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HACER TFG AQUIIIIIIIIIII\TFG COMPLETO\"/>
    </mc:Choice>
  </mc:AlternateContent>
  <bookViews>
    <workbookView xWindow="0" yWindow="0" windowWidth="15345" windowHeight="4050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2" i="1" l="1"/>
  <c r="Q2" i="1" l="1"/>
  <c r="T2" i="1"/>
  <c r="X2" i="1"/>
  <c r="M2" i="1"/>
  <c r="I25" i="1" l="1"/>
  <c r="F25" i="1"/>
  <c r="I24" i="1" l="1"/>
  <c r="F24" i="1"/>
  <c r="I31" i="1" l="1"/>
  <c r="F31" i="1"/>
  <c r="I2" i="1" l="1"/>
  <c r="F2" i="1"/>
  <c r="I20" i="1" l="1"/>
  <c r="F20" i="1"/>
  <c r="I27" i="1" l="1"/>
  <c r="F27" i="1"/>
  <c r="I32" i="1"/>
  <c r="F32" i="1"/>
  <c r="S28" i="1"/>
  <c r="I28" i="1"/>
  <c r="F28" i="1"/>
  <c r="F3" i="1" l="1"/>
  <c r="I3" i="1"/>
  <c r="I17" i="1" l="1"/>
  <c r="F17" i="1"/>
  <c r="I7" i="1" l="1"/>
  <c r="F7" i="1"/>
  <c r="I55" i="1" l="1"/>
  <c r="F55" i="1"/>
  <c r="I54" i="1" l="1"/>
  <c r="F54" i="1"/>
  <c r="I53" i="1" l="1"/>
  <c r="F53" i="1"/>
  <c r="I52" i="1" l="1"/>
  <c r="F52" i="1"/>
  <c r="I51" i="1" l="1"/>
  <c r="F51" i="1"/>
  <c r="I50" i="1" l="1"/>
  <c r="F50" i="1"/>
  <c r="I49" i="1" l="1"/>
  <c r="F49" i="1"/>
  <c r="I48" i="1" l="1"/>
  <c r="F48" i="1"/>
  <c r="I47" i="1" l="1"/>
  <c r="F47" i="1"/>
  <c r="I46" i="1" l="1"/>
  <c r="F46" i="1"/>
  <c r="I45" i="1" l="1"/>
  <c r="F45" i="1"/>
  <c r="I44" i="1" l="1"/>
  <c r="F44" i="1"/>
  <c r="I43" i="1" l="1"/>
  <c r="F43" i="1"/>
  <c r="I42" i="1" l="1"/>
  <c r="F42" i="1"/>
  <c r="I41" i="1" l="1"/>
  <c r="F41" i="1"/>
  <c r="I40" i="1" l="1"/>
  <c r="F40" i="1"/>
  <c r="I39" i="1" l="1"/>
  <c r="F39" i="1"/>
  <c r="I38" i="1" l="1"/>
  <c r="F38" i="1"/>
  <c r="I37" i="1" l="1"/>
  <c r="F37" i="1"/>
  <c r="I36" i="1" l="1"/>
  <c r="F36" i="1"/>
  <c r="I34" i="1" l="1"/>
  <c r="F34" i="1"/>
  <c r="I33" i="1" l="1"/>
  <c r="F33" i="1"/>
  <c r="I30" i="1" l="1"/>
  <c r="F30" i="1"/>
  <c r="I29" i="1" l="1"/>
  <c r="F29" i="1"/>
  <c r="I26" i="1" l="1"/>
  <c r="F26" i="1"/>
  <c r="W35" i="1" l="1"/>
  <c r="K35" i="1"/>
  <c r="J35" i="1"/>
  <c r="L35" i="1" s="1"/>
  <c r="N35" i="1" s="1"/>
  <c r="I35" i="1"/>
  <c r="X35" i="1" s="1"/>
  <c r="F35" i="1"/>
  <c r="C35" i="1"/>
  <c r="O35" i="1" l="1"/>
  <c r="M35" i="1"/>
  <c r="Q35" i="1" s="1"/>
  <c r="T35" i="1" s="1"/>
  <c r="P35" i="1" l="1"/>
  <c r="S35" i="1" l="1"/>
  <c r="U35" i="1" s="1"/>
  <c r="R35" i="1"/>
  <c r="I23" i="1" l="1"/>
  <c r="F23" i="1"/>
  <c r="I22" i="1" l="1"/>
  <c r="F22" i="1"/>
  <c r="I21" i="1" l="1"/>
  <c r="F21" i="1"/>
  <c r="I19" i="1" l="1"/>
  <c r="F19" i="1"/>
  <c r="I18" i="1" l="1"/>
  <c r="F18" i="1"/>
  <c r="I16" i="1" l="1"/>
  <c r="F16" i="1"/>
  <c r="I15" i="1" l="1"/>
  <c r="F15" i="1"/>
  <c r="I14" i="1" l="1"/>
  <c r="F14" i="1"/>
  <c r="I13" i="1" l="1"/>
  <c r="F13" i="1"/>
  <c r="I11" i="1" l="1"/>
  <c r="I10" i="1" l="1"/>
  <c r="I9" i="1" l="1"/>
  <c r="F9" i="1"/>
  <c r="I8" i="1" l="1"/>
  <c r="F8" i="1"/>
  <c r="I6" i="1" l="1"/>
  <c r="F6" i="1"/>
  <c r="I5" i="1" l="1"/>
  <c r="F5" i="1"/>
  <c r="X5" i="1" l="1"/>
  <c r="X6" i="1"/>
  <c r="X7" i="1"/>
  <c r="X8" i="1"/>
  <c r="X9" i="1"/>
  <c r="X10" i="1"/>
  <c r="X11" i="1"/>
  <c r="X12" i="1"/>
  <c r="X13" i="1"/>
  <c r="X14" i="1"/>
  <c r="X15" i="1"/>
  <c r="X16" i="1"/>
  <c r="X17" i="1"/>
  <c r="X18" i="1"/>
  <c r="X19" i="1"/>
  <c r="X20" i="1"/>
  <c r="X21" i="1"/>
  <c r="X22" i="1"/>
  <c r="X23" i="1"/>
  <c r="X24" i="1"/>
  <c r="X25" i="1"/>
  <c r="X26" i="1"/>
  <c r="X27" i="1"/>
  <c r="X28" i="1"/>
  <c r="X29" i="1"/>
  <c r="X30" i="1"/>
  <c r="X31" i="1"/>
  <c r="X32" i="1"/>
  <c r="X33" i="1"/>
  <c r="X34" i="1"/>
  <c r="X36" i="1"/>
  <c r="X37" i="1"/>
  <c r="X38" i="1"/>
  <c r="X39" i="1"/>
  <c r="X40" i="1"/>
  <c r="X41" i="1"/>
  <c r="X42" i="1"/>
  <c r="X43" i="1"/>
  <c r="X44" i="1"/>
  <c r="X45" i="1"/>
  <c r="X46" i="1"/>
  <c r="X47" i="1"/>
  <c r="X48" i="1"/>
  <c r="X49" i="1"/>
  <c r="X50" i="1"/>
  <c r="X51" i="1"/>
  <c r="X52" i="1"/>
  <c r="X53" i="1"/>
  <c r="X54" i="1"/>
  <c r="X55" i="1"/>
  <c r="I4" i="1"/>
  <c r="X4" i="1" s="1"/>
  <c r="F4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3" i="1"/>
  <c r="C4" i="1"/>
  <c r="C5" i="1"/>
  <c r="C6" i="1"/>
  <c r="C7" i="1"/>
  <c r="C8" i="1"/>
  <c r="C9" i="1"/>
  <c r="C10" i="1"/>
  <c r="C11" i="1"/>
  <c r="W3" i="1" l="1"/>
  <c r="W4" i="1"/>
  <c r="W5" i="1"/>
  <c r="W6" i="1"/>
  <c r="W7" i="1"/>
  <c r="W8" i="1"/>
  <c r="W9" i="1"/>
  <c r="W10" i="1"/>
  <c r="W11" i="1"/>
  <c r="W12" i="1"/>
  <c r="W13" i="1"/>
  <c r="W14" i="1"/>
  <c r="W15" i="1"/>
  <c r="W16" i="1"/>
  <c r="W17" i="1"/>
  <c r="W18" i="1"/>
  <c r="W19" i="1"/>
  <c r="W20" i="1"/>
  <c r="W21" i="1"/>
  <c r="W22" i="1"/>
  <c r="W23" i="1"/>
  <c r="W24" i="1"/>
  <c r="W25" i="1"/>
  <c r="W26" i="1"/>
  <c r="W27" i="1"/>
  <c r="W28" i="1"/>
  <c r="W29" i="1"/>
  <c r="W30" i="1"/>
  <c r="W31" i="1"/>
  <c r="W32" i="1"/>
  <c r="W33" i="1"/>
  <c r="W34" i="1"/>
  <c r="W36" i="1"/>
  <c r="W37" i="1"/>
  <c r="W38" i="1"/>
  <c r="W39" i="1"/>
  <c r="W40" i="1"/>
  <c r="W41" i="1"/>
  <c r="W42" i="1"/>
  <c r="W43" i="1"/>
  <c r="W44" i="1"/>
  <c r="W45" i="1"/>
  <c r="W46" i="1"/>
  <c r="W47" i="1"/>
  <c r="W48" i="1"/>
  <c r="W49" i="1"/>
  <c r="W50" i="1"/>
  <c r="W51" i="1"/>
  <c r="W52" i="1"/>
  <c r="W53" i="1"/>
  <c r="W54" i="1"/>
  <c r="W55" i="1"/>
  <c r="X3" i="1"/>
  <c r="W2" i="1" l="1"/>
  <c r="J3" i="1"/>
  <c r="K3" i="1"/>
  <c r="J4" i="1"/>
  <c r="K4" i="1"/>
  <c r="J5" i="1"/>
  <c r="K5" i="1"/>
  <c r="L5" i="1"/>
  <c r="M5" i="1" s="1"/>
  <c r="P5" i="1" s="1"/>
  <c r="J6" i="1"/>
  <c r="K6" i="1"/>
  <c r="J7" i="1"/>
  <c r="K7" i="1"/>
  <c r="J8" i="1"/>
  <c r="K8" i="1"/>
  <c r="J9" i="1"/>
  <c r="K9" i="1"/>
  <c r="J10" i="1"/>
  <c r="K10" i="1"/>
  <c r="J11" i="1"/>
  <c r="K11" i="1"/>
  <c r="L11" i="1" s="1"/>
  <c r="J12" i="1"/>
  <c r="K12" i="1"/>
  <c r="J13" i="1"/>
  <c r="K13" i="1"/>
  <c r="J14" i="1"/>
  <c r="K14" i="1"/>
  <c r="J15" i="1"/>
  <c r="K15" i="1"/>
  <c r="J16" i="1"/>
  <c r="K16" i="1"/>
  <c r="J17" i="1"/>
  <c r="K17" i="1"/>
  <c r="J18" i="1"/>
  <c r="L18" i="1" s="1"/>
  <c r="K18" i="1"/>
  <c r="J19" i="1"/>
  <c r="K19" i="1"/>
  <c r="J20" i="1"/>
  <c r="K20" i="1"/>
  <c r="J21" i="1"/>
  <c r="K21" i="1"/>
  <c r="J22" i="1"/>
  <c r="K22" i="1"/>
  <c r="J23" i="1"/>
  <c r="K23" i="1"/>
  <c r="J24" i="1"/>
  <c r="K24" i="1"/>
  <c r="J25" i="1"/>
  <c r="K25" i="1"/>
  <c r="J26" i="1"/>
  <c r="K26" i="1"/>
  <c r="J27" i="1"/>
  <c r="K27" i="1"/>
  <c r="J28" i="1"/>
  <c r="K28" i="1"/>
  <c r="J29" i="1"/>
  <c r="K29" i="1"/>
  <c r="J30" i="1"/>
  <c r="K30" i="1"/>
  <c r="L30" i="1" s="1"/>
  <c r="M30" i="1" s="1"/>
  <c r="J31" i="1"/>
  <c r="K31" i="1"/>
  <c r="J32" i="1"/>
  <c r="K32" i="1"/>
  <c r="J33" i="1"/>
  <c r="L33" i="1" s="1"/>
  <c r="K33" i="1"/>
  <c r="J34" i="1"/>
  <c r="K34" i="1"/>
  <c r="J36" i="1"/>
  <c r="K36" i="1"/>
  <c r="J37" i="1"/>
  <c r="K37" i="1"/>
  <c r="J38" i="1"/>
  <c r="K38" i="1"/>
  <c r="J39" i="1"/>
  <c r="K39" i="1"/>
  <c r="L39" i="1" s="1"/>
  <c r="N39" i="1" s="1"/>
  <c r="J40" i="1"/>
  <c r="K40" i="1"/>
  <c r="J41" i="1"/>
  <c r="K41" i="1"/>
  <c r="J42" i="1"/>
  <c r="K42" i="1"/>
  <c r="J43" i="1"/>
  <c r="K43" i="1"/>
  <c r="J44" i="1"/>
  <c r="K44" i="1"/>
  <c r="J45" i="1"/>
  <c r="K45" i="1"/>
  <c r="L45" i="1"/>
  <c r="J46" i="1"/>
  <c r="K46" i="1"/>
  <c r="J47" i="1"/>
  <c r="K47" i="1"/>
  <c r="J48" i="1"/>
  <c r="K48" i="1"/>
  <c r="J49" i="1"/>
  <c r="K49" i="1"/>
  <c r="J50" i="1"/>
  <c r="K50" i="1"/>
  <c r="J51" i="1"/>
  <c r="K51" i="1"/>
  <c r="J52" i="1"/>
  <c r="K52" i="1"/>
  <c r="J53" i="1"/>
  <c r="K53" i="1"/>
  <c r="J54" i="1"/>
  <c r="K54" i="1"/>
  <c r="J55" i="1"/>
  <c r="K55" i="1"/>
  <c r="K2" i="1"/>
  <c r="J2" i="1"/>
  <c r="L24" i="1" l="1"/>
  <c r="L32" i="1"/>
  <c r="L55" i="1"/>
  <c r="L53" i="1"/>
  <c r="L52" i="1"/>
  <c r="N52" i="1" s="1"/>
  <c r="L51" i="1"/>
  <c r="M51" i="1" s="1"/>
  <c r="L49" i="1"/>
  <c r="M49" i="1" s="1"/>
  <c r="P49" i="1" s="1"/>
  <c r="L48" i="1"/>
  <c r="N48" i="1" s="1"/>
  <c r="M48" i="1"/>
  <c r="Q48" i="1" s="1"/>
  <c r="T48" i="1" s="1"/>
  <c r="L47" i="1"/>
  <c r="L44" i="1"/>
  <c r="N44" i="1" s="1"/>
  <c r="L43" i="1"/>
  <c r="M43" i="1" s="1"/>
  <c r="P43" i="1" s="1"/>
  <c r="S43" i="1" s="1"/>
  <c r="L41" i="1"/>
  <c r="L40" i="1"/>
  <c r="N40" i="1" s="1"/>
  <c r="N43" i="1"/>
  <c r="M55" i="1"/>
  <c r="P55" i="1" s="1"/>
  <c r="S55" i="1" s="1"/>
  <c r="N55" i="1"/>
  <c r="M47" i="1"/>
  <c r="P47" i="1" s="1"/>
  <c r="S47" i="1" s="1"/>
  <c r="N47" i="1"/>
  <c r="L20" i="1"/>
  <c r="M20" i="1" s="1"/>
  <c r="L16" i="1"/>
  <c r="L6" i="1"/>
  <c r="M6" i="1" s="1"/>
  <c r="L3" i="1"/>
  <c r="M39" i="1"/>
  <c r="O39" i="1" s="1"/>
  <c r="L27" i="1"/>
  <c r="N27" i="1" s="1"/>
  <c r="L4" i="1"/>
  <c r="M4" i="1" s="1"/>
  <c r="L37" i="1"/>
  <c r="M37" i="1" s="1"/>
  <c r="L36" i="1"/>
  <c r="N36" i="1" s="1"/>
  <c r="L34" i="1"/>
  <c r="N34" i="1" s="1"/>
  <c r="M33" i="1"/>
  <c r="N33" i="1"/>
  <c r="O33" i="1" s="1"/>
  <c r="L31" i="1"/>
  <c r="M31" i="1" s="1"/>
  <c r="P31" i="1" s="1"/>
  <c r="L29" i="1"/>
  <c r="M29" i="1" s="1"/>
  <c r="P29" i="1" s="1"/>
  <c r="S29" i="1" s="1"/>
  <c r="L28" i="1"/>
  <c r="M28" i="1" s="1"/>
  <c r="L26" i="1"/>
  <c r="L25" i="1"/>
  <c r="M25" i="1" s="1"/>
  <c r="P25" i="1" s="1"/>
  <c r="L23" i="1"/>
  <c r="M23" i="1" s="1"/>
  <c r="L22" i="1"/>
  <c r="M22" i="1" s="1"/>
  <c r="L21" i="1"/>
  <c r="M21" i="1" s="1"/>
  <c r="P21" i="1" s="1"/>
  <c r="S21" i="1" s="1"/>
  <c r="L19" i="1"/>
  <c r="M19" i="1" s="1"/>
  <c r="P19" i="1" s="1"/>
  <c r="L17" i="1"/>
  <c r="M17" i="1" s="1"/>
  <c r="L15" i="1"/>
  <c r="M15" i="1" s="1"/>
  <c r="P15" i="1" s="1"/>
  <c r="L14" i="1"/>
  <c r="M14" i="1" s="1"/>
  <c r="L13" i="1"/>
  <c r="M13" i="1" s="1"/>
  <c r="P13" i="1" s="1"/>
  <c r="S13" i="1" s="1"/>
  <c r="L12" i="1"/>
  <c r="M12" i="1" s="1"/>
  <c r="L10" i="1"/>
  <c r="L9" i="1"/>
  <c r="M9" i="1" s="1"/>
  <c r="N9" i="1"/>
  <c r="L8" i="1"/>
  <c r="N8" i="1" s="1"/>
  <c r="L7" i="1"/>
  <c r="N7" i="1" s="1"/>
  <c r="M7" i="1"/>
  <c r="P7" i="1" s="1"/>
  <c r="N5" i="1"/>
  <c r="P51" i="1"/>
  <c r="S51" i="1" s="1"/>
  <c r="M44" i="1"/>
  <c r="P44" i="1" s="1"/>
  <c r="S44" i="1" s="1"/>
  <c r="N13" i="1"/>
  <c r="P52" i="1"/>
  <c r="S52" i="1" s="1"/>
  <c r="N51" i="1"/>
  <c r="M52" i="1"/>
  <c r="Q52" i="1" s="1"/>
  <c r="T52" i="1" s="1"/>
  <c r="N11" i="1"/>
  <c r="M11" i="1"/>
  <c r="P11" i="1" s="1"/>
  <c r="M3" i="1"/>
  <c r="P3" i="1" s="1"/>
  <c r="S3" i="1" s="1"/>
  <c r="N3" i="1"/>
  <c r="N32" i="1"/>
  <c r="M32" i="1"/>
  <c r="P32" i="1" s="1"/>
  <c r="N41" i="1"/>
  <c r="N16" i="1"/>
  <c r="M16" i="1"/>
  <c r="P16" i="1" s="1"/>
  <c r="L54" i="1"/>
  <c r="L50" i="1"/>
  <c r="L46" i="1"/>
  <c r="L42" i="1"/>
  <c r="L38" i="1"/>
  <c r="N10" i="1"/>
  <c r="M10" i="1"/>
  <c r="P10" i="1" s="1"/>
  <c r="N53" i="1"/>
  <c r="N45" i="1"/>
  <c r="N26" i="1"/>
  <c r="M26" i="1"/>
  <c r="P26" i="1" s="1"/>
  <c r="S5" i="1"/>
  <c r="M34" i="1"/>
  <c r="P34" i="1" s="1"/>
  <c r="N24" i="1"/>
  <c r="M24" i="1"/>
  <c r="P24" i="1" s="1"/>
  <c r="M53" i="1"/>
  <c r="P53" i="1" s="1"/>
  <c r="M45" i="1"/>
  <c r="P45" i="1" s="1"/>
  <c r="M41" i="1"/>
  <c r="P41" i="1" s="1"/>
  <c r="N37" i="1"/>
  <c r="P23" i="1"/>
  <c r="N18" i="1"/>
  <c r="M18" i="1"/>
  <c r="P18" i="1" s="1"/>
  <c r="N30" i="1"/>
  <c r="P30" i="1"/>
  <c r="N4" i="1"/>
  <c r="P4" i="1"/>
  <c r="S4" i="1" s="1"/>
  <c r="N6" i="1"/>
  <c r="P6" i="1"/>
  <c r="M27" i="1" l="1"/>
  <c r="P27" i="1" s="1"/>
  <c r="S27" i="1" s="1"/>
  <c r="O52" i="1"/>
  <c r="N49" i="1"/>
  <c r="O48" i="1"/>
  <c r="P48" i="1"/>
  <c r="R48" i="1" s="1"/>
  <c r="Q43" i="1"/>
  <c r="T43" i="1" s="1"/>
  <c r="U43" i="1" s="1"/>
  <c r="M40" i="1"/>
  <c r="P39" i="1"/>
  <c r="Q39" i="1"/>
  <c r="T39" i="1" s="1"/>
  <c r="N21" i="1"/>
  <c r="N31" i="1"/>
  <c r="Q55" i="1"/>
  <c r="O55" i="1"/>
  <c r="P20" i="1"/>
  <c r="S20" i="1" s="1"/>
  <c r="R52" i="1"/>
  <c r="N29" i="1"/>
  <c r="N15" i="1"/>
  <c r="N19" i="1"/>
  <c r="N23" i="1"/>
  <c r="O43" i="1"/>
  <c r="N20" i="1"/>
  <c r="Q20" i="1" s="1"/>
  <c r="T20" i="1" s="1"/>
  <c r="U52" i="1"/>
  <c r="Q47" i="1"/>
  <c r="T47" i="1" s="1"/>
  <c r="U47" i="1" s="1"/>
  <c r="O47" i="1"/>
  <c r="P37" i="1"/>
  <c r="S37" i="1" s="1"/>
  <c r="M36" i="1"/>
  <c r="Q33" i="1"/>
  <c r="T33" i="1" s="1"/>
  <c r="P33" i="1"/>
  <c r="P28" i="1"/>
  <c r="N28" i="1"/>
  <c r="N25" i="1"/>
  <c r="Q25" i="1" s="1"/>
  <c r="T25" i="1" s="1"/>
  <c r="S25" i="1"/>
  <c r="P22" i="1"/>
  <c r="S22" i="1" s="1"/>
  <c r="N22" i="1"/>
  <c r="Q22" i="1" s="1"/>
  <c r="T22" i="1" s="1"/>
  <c r="O19" i="1"/>
  <c r="S19" i="1"/>
  <c r="Q19" i="1"/>
  <c r="T19" i="1" s="1"/>
  <c r="N17" i="1"/>
  <c r="O17" i="1" s="1"/>
  <c r="P17" i="1"/>
  <c r="S17" i="1" s="1"/>
  <c r="P14" i="1"/>
  <c r="S14" i="1" s="1"/>
  <c r="N14" i="1"/>
  <c r="Q14" i="1" s="1"/>
  <c r="T14" i="1" s="1"/>
  <c r="P12" i="1"/>
  <c r="S12" i="1" s="1"/>
  <c r="N12" i="1"/>
  <c r="Q9" i="1"/>
  <c r="T9" i="1" s="1"/>
  <c r="P9" i="1"/>
  <c r="O9" i="1"/>
  <c r="M8" i="1"/>
  <c r="P8" i="1" s="1"/>
  <c r="O7" i="1"/>
  <c r="Q7" i="1"/>
  <c r="T7" i="1" s="1"/>
  <c r="Q5" i="1"/>
  <c r="O5" i="1"/>
  <c r="Q44" i="1"/>
  <c r="O51" i="1"/>
  <c r="Q51" i="1"/>
  <c r="R43" i="1"/>
  <c r="S39" i="1"/>
  <c r="U39" i="1" s="1"/>
  <c r="Q21" i="1"/>
  <c r="O21" i="1"/>
  <c r="Q36" i="1"/>
  <c r="T36" i="1" s="1"/>
  <c r="P36" i="1"/>
  <c r="O36" i="1"/>
  <c r="Q13" i="1"/>
  <c r="O13" i="1"/>
  <c r="O44" i="1"/>
  <c r="Q29" i="1"/>
  <c r="O29" i="1"/>
  <c r="S11" i="1"/>
  <c r="Q11" i="1"/>
  <c r="T11" i="1" s="1"/>
  <c r="O11" i="1"/>
  <c r="Q3" i="1"/>
  <c r="T3" i="1" s="1"/>
  <c r="U3" i="1" s="1"/>
  <c r="O3" i="1"/>
  <c r="S24" i="1"/>
  <c r="S18" i="1"/>
  <c r="S34" i="1"/>
  <c r="S41" i="1"/>
  <c r="S45" i="1"/>
  <c r="S49" i="1"/>
  <c r="S10" i="1"/>
  <c r="S16" i="1"/>
  <c r="S32" i="1"/>
  <c r="O6" i="1"/>
  <c r="Q6" i="1"/>
  <c r="T6" i="1" s="1"/>
  <c r="O30" i="1"/>
  <c r="Q30" i="1"/>
  <c r="T30" i="1" s="1"/>
  <c r="S53" i="1"/>
  <c r="O26" i="1"/>
  <c r="Q26" i="1"/>
  <c r="T26" i="1" s="1"/>
  <c r="O37" i="1"/>
  <c r="Q37" i="1"/>
  <c r="T37" i="1" s="1"/>
  <c r="S31" i="1"/>
  <c r="O32" i="1"/>
  <c r="Q32" i="1"/>
  <c r="T32" i="1" s="1"/>
  <c r="S23" i="1"/>
  <c r="O34" i="1"/>
  <c r="Q34" i="1"/>
  <c r="T34" i="1" s="1"/>
  <c r="N50" i="1"/>
  <c r="M50" i="1"/>
  <c r="P50" i="1"/>
  <c r="O16" i="1"/>
  <c r="Q16" i="1"/>
  <c r="T16" i="1" s="1"/>
  <c r="O12" i="1"/>
  <c r="Q12" i="1"/>
  <c r="T12" i="1" s="1"/>
  <c r="O20" i="1"/>
  <c r="O24" i="1"/>
  <c r="Q24" i="1"/>
  <c r="T24" i="1" s="1"/>
  <c r="O28" i="1"/>
  <c r="Q28" i="1"/>
  <c r="T28" i="1" s="1"/>
  <c r="O10" i="1"/>
  <c r="Q10" i="1"/>
  <c r="T10" i="1" s="1"/>
  <c r="O4" i="1"/>
  <c r="Q4" i="1"/>
  <c r="T4" i="1" s="1"/>
  <c r="O49" i="1"/>
  <c r="Q49" i="1"/>
  <c r="T49" i="1" s="1"/>
  <c r="S15" i="1"/>
  <c r="N54" i="1"/>
  <c r="M54" i="1"/>
  <c r="P54" i="1"/>
  <c r="S8" i="1"/>
  <c r="S26" i="1"/>
  <c r="O53" i="1"/>
  <c r="Q53" i="1"/>
  <c r="T53" i="1" s="1"/>
  <c r="O14" i="1"/>
  <c r="N38" i="1"/>
  <c r="M38" i="1"/>
  <c r="P38" i="1" s="1"/>
  <c r="O18" i="1"/>
  <c r="Q18" i="1"/>
  <c r="T18" i="1" s="1"/>
  <c r="N42" i="1"/>
  <c r="M42" i="1"/>
  <c r="P42" i="1" s="1"/>
  <c r="N46" i="1"/>
  <c r="M46" i="1"/>
  <c r="P46" i="1" s="1"/>
  <c r="S6" i="1"/>
  <c r="S30" i="1"/>
  <c r="O45" i="1"/>
  <c r="Q45" i="1"/>
  <c r="T45" i="1" s="1"/>
  <c r="S7" i="1"/>
  <c r="O41" i="1"/>
  <c r="Q41" i="1"/>
  <c r="T41" i="1" s="1"/>
  <c r="Q27" i="1" l="1"/>
  <c r="T27" i="1" s="1"/>
  <c r="U27" i="1" s="1"/>
  <c r="O27" i="1"/>
  <c r="U7" i="1"/>
  <c r="S48" i="1"/>
  <c r="U48" i="1" s="1"/>
  <c r="Q40" i="1"/>
  <c r="T40" i="1" s="1"/>
  <c r="O40" i="1"/>
  <c r="P40" i="1"/>
  <c r="R39" i="1"/>
  <c r="O15" i="1"/>
  <c r="Q15" i="1"/>
  <c r="U30" i="1"/>
  <c r="U11" i="1"/>
  <c r="Q23" i="1"/>
  <c r="O23" i="1"/>
  <c r="T55" i="1"/>
  <c r="U55" i="1" s="1"/>
  <c r="R55" i="1"/>
  <c r="U45" i="1"/>
  <c r="O31" i="1"/>
  <c r="Q31" i="1"/>
  <c r="U49" i="1"/>
  <c r="R47" i="1"/>
  <c r="R37" i="1"/>
  <c r="R34" i="1"/>
  <c r="R33" i="1"/>
  <c r="S33" i="1"/>
  <c r="U33" i="1" s="1"/>
  <c r="O25" i="1"/>
  <c r="U25" i="1"/>
  <c r="R25" i="1"/>
  <c r="O22" i="1"/>
  <c r="R22" i="1"/>
  <c r="U22" i="1"/>
  <c r="U19" i="1"/>
  <c r="R19" i="1"/>
  <c r="Q17" i="1"/>
  <c r="T17" i="1" s="1"/>
  <c r="U17" i="1" s="1"/>
  <c r="U12" i="1"/>
  <c r="R12" i="1"/>
  <c r="R9" i="1"/>
  <c r="S9" i="1"/>
  <c r="U9" i="1" s="1"/>
  <c r="Q8" i="1"/>
  <c r="T8" i="1" s="1"/>
  <c r="U8" i="1" s="1"/>
  <c r="O8" i="1"/>
  <c r="R7" i="1"/>
  <c r="T5" i="1"/>
  <c r="U5" i="1" s="1"/>
  <c r="R5" i="1"/>
  <c r="T13" i="1"/>
  <c r="U13" i="1" s="1"/>
  <c r="R13" i="1"/>
  <c r="R30" i="1"/>
  <c r="U20" i="1"/>
  <c r="T51" i="1"/>
  <c r="U51" i="1" s="1"/>
  <c r="R51" i="1"/>
  <c r="R20" i="1"/>
  <c r="R36" i="1"/>
  <c r="S36" i="1"/>
  <c r="U36" i="1" s="1"/>
  <c r="U26" i="1"/>
  <c r="R28" i="1"/>
  <c r="U14" i="1"/>
  <c r="U18" i="1"/>
  <c r="T44" i="1"/>
  <c r="U44" i="1" s="1"/>
  <c r="R44" i="1"/>
  <c r="T29" i="1"/>
  <c r="U29" i="1" s="1"/>
  <c r="R29" i="1"/>
  <c r="T21" i="1"/>
  <c r="U21" i="1" s="1"/>
  <c r="R21" i="1"/>
  <c r="R14" i="1"/>
  <c r="U53" i="1"/>
  <c r="R10" i="1"/>
  <c r="R11" i="1"/>
  <c r="R3" i="1"/>
  <c r="S38" i="1"/>
  <c r="S46" i="1"/>
  <c r="S42" i="1"/>
  <c r="U16" i="1"/>
  <c r="U41" i="1"/>
  <c r="O46" i="1"/>
  <c r="Q46" i="1"/>
  <c r="T46" i="1" s="1"/>
  <c r="O38" i="1"/>
  <c r="Q38" i="1"/>
  <c r="T38" i="1" s="1"/>
  <c r="R26" i="1"/>
  <c r="R53" i="1"/>
  <c r="R16" i="1"/>
  <c r="R41" i="1"/>
  <c r="U28" i="1"/>
  <c r="U37" i="1"/>
  <c r="U10" i="1"/>
  <c r="U34" i="1"/>
  <c r="S54" i="1"/>
  <c r="U6" i="1"/>
  <c r="S50" i="1"/>
  <c r="R4" i="1"/>
  <c r="R49" i="1"/>
  <c r="R6" i="1"/>
  <c r="O54" i="1"/>
  <c r="Q54" i="1"/>
  <c r="T54" i="1" s="1"/>
  <c r="U32" i="1"/>
  <c r="U24" i="1"/>
  <c r="O42" i="1"/>
  <c r="Q42" i="1"/>
  <c r="T42" i="1" s="1"/>
  <c r="U4" i="1"/>
  <c r="R18" i="1"/>
  <c r="O50" i="1"/>
  <c r="Q50" i="1"/>
  <c r="T50" i="1" s="1"/>
  <c r="R32" i="1"/>
  <c r="R45" i="1"/>
  <c r="R24" i="1"/>
  <c r="R27" i="1" l="1"/>
  <c r="R17" i="1"/>
  <c r="R40" i="1"/>
  <c r="S40" i="1"/>
  <c r="U40" i="1" s="1"/>
  <c r="R8" i="1"/>
  <c r="T31" i="1"/>
  <c r="U31" i="1" s="1"/>
  <c r="R31" i="1"/>
  <c r="T15" i="1"/>
  <c r="U15" i="1" s="1"/>
  <c r="R15" i="1"/>
  <c r="T23" i="1"/>
  <c r="U23" i="1" s="1"/>
  <c r="R23" i="1"/>
  <c r="U54" i="1"/>
  <c r="R54" i="1"/>
  <c r="R46" i="1"/>
  <c r="U42" i="1"/>
  <c r="R42" i="1"/>
  <c r="U46" i="1"/>
  <c r="U50" i="1"/>
  <c r="U38" i="1"/>
  <c r="R50" i="1"/>
  <c r="R38" i="1"/>
  <c r="C2" i="1" l="1"/>
  <c r="L2" i="1" s="1"/>
  <c r="N2" i="1" l="1"/>
  <c r="P2" i="1" l="1"/>
  <c r="O2" i="1"/>
  <c r="R2" i="1" l="1"/>
  <c r="U2" i="1"/>
</calcChain>
</file>

<file path=xl/sharedStrings.xml><?xml version="1.0" encoding="utf-8"?>
<sst xmlns="http://schemas.openxmlformats.org/spreadsheetml/2006/main" count="28" uniqueCount="28">
  <si>
    <t>Experimento</t>
  </si>
  <si>
    <t>Temperatura entrada</t>
  </si>
  <si>
    <t>Temperatura salida</t>
  </si>
  <si>
    <t>Humedad rel de entrada</t>
  </si>
  <si>
    <t>Humedad rel de salida</t>
  </si>
  <si>
    <t>Densidad salida aire seco</t>
  </si>
  <si>
    <t>Presión Pa</t>
  </si>
  <si>
    <t>Caudal m3/s</t>
  </si>
  <si>
    <t>Densdad entrada aire sec (kg/m3)</t>
  </si>
  <si>
    <t>Humedad esp de salida (kg/kgas)</t>
  </si>
  <si>
    <t>Humedad esp de entrada  (kg/kgas)</t>
  </si>
  <si>
    <t>Flujo másico aire seco kg/s</t>
  </si>
  <si>
    <t>Flujo másico vapor entrada (kg/s)</t>
  </si>
  <si>
    <t>Flujo másico vapor salida (kg/s)</t>
  </si>
  <si>
    <t>Flujo vapor evaporado (kg/s)</t>
  </si>
  <si>
    <t>Cp aire J/kgK</t>
  </si>
  <si>
    <t>Cp vapor J/kgK</t>
  </si>
  <si>
    <t>Landa J/kg</t>
  </si>
  <si>
    <t>Calor sensible esp kJ/kgas</t>
  </si>
  <si>
    <t>Calor latente esp kJ/kgas</t>
  </si>
  <si>
    <t>Ganancia entalpía espacífica kJ/kg</t>
  </si>
  <si>
    <t>Eficiencia</t>
  </si>
  <si>
    <t>Caudal m3/min</t>
  </si>
  <si>
    <t>Suma de flujos W</t>
  </si>
  <si>
    <t>Flujo calor sensible W</t>
  </si>
  <si>
    <t>Flujo calor latente W</t>
  </si>
  <si>
    <t>Humedad evaporada</t>
  </si>
  <si>
    <t xml:space="preserve">Temperatura de bulbo húmedo ent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</si>
</sst>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000"/>
  </numFmts>
  <fonts count="1" x14ac:knownFonts="1">
    <font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2" borderId="0" xfId="0" applyFill="1"/>
    <xf numFmtId="0" fontId="0" fillId="5" borderId="0" xfId="0" applyFill="1"/>
    <xf numFmtId="0" fontId="0" fillId="3" borderId="0" xfId="0" applyFill="1" applyProtection="1">
      <protection locked="0"/>
    </xf>
    <xf numFmtId="0" fontId="0" fillId="3" borderId="1" xfId="0" applyFill="1" applyBorder="1" applyProtection="1">
      <protection locked="0"/>
    </xf>
    <xf numFmtId="9" fontId="0" fillId="3" borderId="1" xfId="0" applyNumberFormat="1" applyFill="1" applyBorder="1" applyProtection="1">
      <protection locked="0"/>
    </xf>
    <xf numFmtId="0" fontId="0" fillId="2" borderId="1" xfId="0" applyFill="1" applyBorder="1"/>
    <xf numFmtId="0" fontId="0" fillId="5" borderId="1" xfId="0" applyFill="1" applyBorder="1" applyProtection="1">
      <protection locked="0"/>
    </xf>
    <xf numFmtId="10" fontId="0" fillId="3" borderId="1" xfId="0" applyNumberFormat="1" applyFill="1" applyBorder="1" applyProtection="1">
      <protection locked="0"/>
    </xf>
    <xf numFmtId="0" fontId="0" fillId="5" borderId="0" xfId="0" applyFill="1" applyBorder="1"/>
    <xf numFmtId="164" fontId="0" fillId="4" borderId="1" xfId="0" applyNumberFormat="1" applyFill="1" applyBorder="1"/>
    <xf numFmtId="164" fontId="0" fillId="4" borderId="2" xfId="0" applyNumberFormat="1" applyFill="1" applyBorder="1"/>
    <xf numFmtId="164" fontId="0" fillId="3" borderId="1" xfId="0" applyNumberFormat="1" applyFill="1" applyBorder="1" applyProtection="1">
      <protection locked="0"/>
    </xf>
    <xf numFmtId="164" fontId="0" fillId="4" borderId="1" xfId="0" applyNumberFormat="1" applyFill="1" applyBorder="1" applyProtection="1">
      <protection locked="0"/>
    </xf>
    <xf numFmtId="165" fontId="0" fillId="4" borderId="0" xfId="0" applyNumberFormat="1" applyFill="1"/>
    <xf numFmtId="0" fontId="0" fillId="3" borderId="1" xfId="0" applyNumberFormat="1" applyFill="1" applyBorder="1" applyProtection="1"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60"/>
  <sheetViews>
    <sheetView tabSelected="1" topLeftCell="O1" workbookViewId="0">
      <selection activeCell="Q7" sqref="Q7"/>
    </sheetView>
  </sheetViews>
  <sheetFormatPr baseColWidth="10" defaultRowHeight="15" x14ac:dyDescent="0.25"/>
  <cols>
    <col min="2" max="2" width="22.140625" customWidth="1"/>
    <col min="3" max="3" width="20.5703125" customWidth="1"/>
    <col min="4" max="4" width="31.5703125" customWidth="1"/>
    <col min="5" max="5" width="26" customWidth="1"/>
    <col min="6" max="6" width="36.5703125" customWidth="1"/>
    <col min="7" max="7" width="26.28515625" customWidth="1"/>
    <col min="8" max="8" width="22.85546875" customWidth="1"/>
    <col min="9" max="9" width="23.7109375" customWidth="1"/>
    <col min="10" max="10" width="34.28515625" customWidth="1"/>
    <col min="11" max="11" width="23.28515625" customWidth="1"/>
    <col min="12" max="12" width="28.85546875" customWidth="1"/>
    <col min="13" max="13" width="33.85546875" customWidth="1"/>
    <col min="14" max="14" width="31.42578125" customWidth="1"/>
    <col min="15" max="15" width="27" customWidth="1"/>
    <col min="16" max="16" width="22.140625" customWidth="1"/>
    <col min="17" max="17" width="23.5703125" customWidth="1"/>
    <col min="18" max="18" width="21.42578125" customWidth="1"/>
    <col min="19" max="19" width="26" customWidth="1"/>
    <col min="20" max="20" width="24.28515625" customWidth="1"/>
    <col min="21" max="21" width="38.85546875" customWidth="1"/>
    <col min="22" max="22" width="35" customWidth="1"/>
    <col min="24" max="24" width="21.85546875" customWidth="1"/>
  </cols>
  <sheetData>
    <row r="1" spans="1:32" x14ac:dyDescent="0.25">
      <c r="A1" s="1" t="s">
        <v>0</v>
      </c>
      <c r="B1" s="1" t="s">
        <v>22</v>
      </c>
      <c r="C1" s="1" t="s">
        <v>7</v>
      </c>
      <c r="D1" s="1" t="s">
        <v>1</v>
      </c>
      <c r="E1" s="1" t="s">
        <v>3</v>
      </c>
      <c r="F1" s="1" t="s">
        <v>10</v>
      </c>
      <c r="G1" s="1" t="s">
        <v>2</v>
      </c>
      <c r="H1" s="1" t="s">
        <v>4</v>
      </c>
      <c r="I1" s="1" t="s">
        <v>9</v>
      </c>
      <c r="J1" s="2" t="s">
        <v>8</v>
      </c>
      <c r="K1" s="2" t="s">
        <v>5</v>
      </c>
      <c r="L1" s="2" t="s">
        <v>11</v>
      </c>
      <c r="M1" s="2" t="s">
        <v>12</v>
      </c>
      <c r="N1" s="2" t="s">
        <v>13</v>
      </c>
      <c r="O1" s="2" t="s">
        <v>14</v>
      </c>
      <c r="P1" s="2" t="s">
        <v>24</v>
      </c>
      <c r="Q1" s="2" t="s">
        <v>25</v>
      </c>
      <c r="R1" s="2" t="s">
        <v>23</v>
      </c>
      <c r="S1" s="2" t="s">
        <v>18</v>
      </c>
      <c r="T1" s="2" t="s">
        <v>19</v>
      </c>
      <c r="U1" s="2" t="s">
        <v>20</v>
      </c>
      <c r="V1" s="6" t="s">
        <v>27</v>
      </c>
      <c r="W1" s="7" t="s">
        <v>21</v>
      </c>
      <c r="X1" s="9" t="s">
        <v>26</v>
      </c>
      <c r="AE1" s="1" t="s">
        <v>6</v>
      </c>
      <c r="AF1" s="3">
        <v>92600</v>
      </c>
    </row>
    <row r="2" spans="1:32" x14ac:dyDescent="0.25">
      <c r="A2" s="4">
        <v>1</v>
      </c>
      <c r="B2" s="4">
        <v>210</v>
      </c>
      <c r="C2" s="4">
        <f>B2/3600</f>
        <v>5.8333333333333334E-2</v>
      </c>
      <c r="D2" s="4">
        <v>25.2</v>
      </c>
      <c r="E2" s="5">
        <v>0.55400000000000005</v>
      </c>
      <c r="F2" s="4">
        <f>12.22/1000</f>
        <v>1.222E-2</v>
      </c>
      <c r="G2" s="4">
        <v>20.079999999999998</v>
      </c>
      <c r="H2" s="5">
        <v>0.85619999999999996</v>
      </c>
      <c r="I2" s="4">
        <f>13.87/1000</f>
        <v>1.3869999999999999E-2</v>
      </c>
      <c r="J2" s="10">
        <f>$AF$1/(287*(273+D2))</f>
        <v>1.0819855252303601</v>
      </c>
      <c r="K2" s="10">
        <f>$AF$1/(287*(273+G2))</f>
        <v>1.1008874151211048</v>
      </c>
      <c r="L2" s="10">
        <f>((J2+K2)/2)*C2</f>
        <v>6.3667127426917727E-2</v>
      </c>
      <c r="M2" s="10">
        <f>L2*F2</f>
        <v>7.780122971569346E-4</v>
      </c>
      <c r="N2" s="10">
        <f>L2*I2</f>
        <v>8.830630574113488E-4</v>
      </c>
      <c r="O2" s="10">
        <f>N2-M2</f>
        <v>1.050507602544142E-4</v>
      </c>
      <c r="P2" s="10">
        <f>-$AF$2*L2*(D2-G2)-M2*$AF$3*(D2-G2)</f>
        <v>-335.91299621428141</v>
      </c>
      <c r="Q2" s="10">
        <f>(N2-M2)*$AF$4</f>
        <v>237.09956589421284</v>
      </c>
      <c r="R2" s="10">
        <f>P2+Q2</f>
        <v>-98.813430320068562</v>
      </c>
      <c r="S2" s="10">
        <f>P2/(1000*L2)</f>
        <v>-5.2760821760000001</v>
      </c>
      <c r="T2" s="10">
        <f>Q2/(1000*L2)</f>
        <v>3.7240499999999979</v>
      </c>
      <c r="U2" s="11">
        <f>S2+T2</f>
        <v>-1.5520321760000022</v>
      </c>
      <c r="V2" s="12">
        <v>18.79</v>
      </c>
      <c r="W2" s="13">
        <f>(G2-D2)/(-D2+V2)</f>
        <v>0.79875195007800326</v>
      </c>
      <c r="X2" s="14">
        <f>I2-F2</f>
        <v>1.6499999999999987E-3</v>
      </c>
      <c r="AE2" s="1" t="s">
        <v>15</v>
      </c>
      <c r="AF2" s="3">
        <v>1008</v>
      </c>
    </row>
    <row r="3" spans="1:32" x14ac:dyDescent="0.25">
      <c r="A3" s="4">
        <v>2</v>
      </c>
      <c r="B3" s="4">
        <v>210</v>
      </c>
      <c r="C3" s="4">
        <f t="shared" ref="C3:C55" si="0">B3/3600</f>
        <v>5.8333333333333334E-2</v>
      </c>
      <c r="D3" s="4">
        <v>36.270000000000003</v>
      </c>
      <c r="E3" s="5">
        <v>0.55410000000000004</v>
      </c>
      <c r="F3" s="4">
        <f>22.71/1000</f>
        <v>2.2710000000000001E-2</v>
      </c>
      <c r="G3" s="4">
        <v>26.63</v>
      </c>
      <c r="H3" s="5">
        <v>0.9425</v>
      </c>
      <c r="I3" s="4">
        <f>22.63/1000</f>
        <v>2.2629999999999997E-2</v>
      </c>
      <c r="J3" s="10">
        <f t="shared" ref="J3:J55" si="1">$AF$1/(287*(273+D3))</f>
        <v>1.0432569716548434</v>
      </c>
      <c r="K3" s="10">
        <f t="shared" ref="K3:K55" si="2">$AF$1/(287*(273+G3))</f>
        <v>1.0768216921659828</v>
      </c>
      <c r="L3" s="10">
        <f t="shared" ref="L3:L55" si="3">((J3+K3)/2)*C3</f>
        <v>6.1835627694774097E-2</v>
      </c>
      <c r="M3" s="10">
        <f t="shared" ref="M3:M55" si="4">L3*F3</f>
        <v>1.4042871049483197E-3</v>
      </c>
      <c r="N3" s="10">
        <f t="shared" ref="N3:N55" si="5">L3*I3</f>
        <v>1.3993402547327377E-3</v>
      </c>
      <c r="O3" s="10">
        <f t="shared" ref="O3:O55" si="6">N3-M3</f>
        <v>-4.9468502155819959E-6</v>
      </c>
      <c r="P3" s="10">
        <f t="shared" ref="P3:P55" si="7">-$AF$2*L3*(D3-G3)-M3*$AF$3*(D3-G3)</f>
        <v>-625.77289753817479</v>
      </c>
      <c r="Q3" s="10">
        <f t="shared" ref="Q3:Q55" si="8">(N3-M3)*$AF$4</f>
        <v>-11.165040936568564</v>
      </c>
      <c r="R3" s="10">
        <f t="shared" ref="R3:R55" si="9">P3+Q3</f>
        <v>-636.93793847474331</v>
      </c>
      <c r="S3" s="10">
        <f t="shared" ref="S3:S55" si="10">P3/(1000*L3)</f>
        <v>-10.119940896000003</v>
      </c>
      <c r="T3" s="10">
        <f t="shared" ref="T3:T55" si="11">Q3/(1000*L3)</f>
        <v>-0.18056000000000247</v>
      </c>
      <c r="U3" s="11">
        <f t="shared" ref="U3:U55" si="12">S3+T3</f>
        <v>-10.300500896000004</v>
      </c>
      <c r="V3" s="12">
        <v>28.26</v>
      </c>
      <c r="W3" s="13">
        <f t="shared" ref="W3:W55" si="13">(G3-D3)/(-D3+V3)</f>
        <v>1.2034956304619229</v>
      </c>
      <c r="X3" s="14">
        <f>I3-F3</f>
        <v>-8.0000000000003679E-5</v>
      </c>
      <c r="AE3" s="1" t="s">
        <v>16</v>
      </c>
      <c r="AF3" s="3">
        <v>1840</v>
      </c>
    </row>
    <row r="4" spans="1:32" x14ac:dyDescent="0.25">
      <c r="A4" s="4">
        <v>3</v>
      </c>
      <c r="B4" s="4">
        <v>210</v>
      </c>
      <c r="C4" s="4">
        <f t="shared" si="0"/>
        <v>5.8333333333333334E-2</v>
      </c>
      <c r="D4" s="4">
        <v>30.465</v>
      </c>
      <c r="E4" s="8">
        <v>0.55879999999999996</v>
      </c>
      <c r="F4" s="4">
        <f>16.58/1000</f>
        <v>1.6579999999999998E-2</v>
      </c>
      <c r="G4" s="4">
        <v>23.361999999999998</v>
      </c>
      <c r="H4" s="8">
        <v>0.97840000000000005</v>
      </c>
      <c r="I4" s="4">
        <f>19.17/1000</f>
        <v>1.9170000000000003E-2</v>
      </c>
      <c r="J4" s="10">
        <f t="shared" si="1"/>
        <v>1.0632134961978925</v>
      </c>
      <c r="K4" s="10">
        <f t="shared" si="2"/>
        <v>1.0886958639221405</v>
      </c>
      <c r="L4" s="10">
        <f t="shared" si="3"/>
        <v>6.2764023003500966E-2</v>
      </c>
      <c r="M4" s="10">
        <f t="shared" si="4"/>
        <v>1.0406275013980458E-3</v>
      </c>
      <c r="N4" s="10">
        <f t="shared" si="5"/>
        <v>1.2031863209771138E-3</v>
      </c>
      <c r="O4" s="10">
        <f t="shared" si="6"/>
        <v>1.6255881957906795E-4</v>
      </c>
      <c r="P4" s="10">
        <f t="shared" si="7"/>
        <v>-462.97986017909017</v>
      </c>
      <c r="Q4" s="10">
        <f t="shared" si="8"/>
        <v>366.89525578995637</v>
      </c>
      <c r="R4" s="10">
        <f t="shared" si="9"/>
        <v>-96.084604389133801</v>
      </c>
      <c r="S4" s="10">
        <f>P4/(1000*L4)</f>
        <v>-7.3765166416000012</v>
      </c>
      <c r="T4" s="10">
        <f t="shared" si="11"/>
        <v>5.8456300000000159</v>
      </c>
      <c r="U4" s="11">
        <f t="shared" si="12"/>
        <v>-1.5308866415999853</v>
      </c>
      <c r="V4" s="12">
        <v>22.99</v>
      </c>
      <c r="W4" s="13">
        <f t="shared" si="13"/>
        <v>0.95023411371237465</v>
      </c>
      <c r="X4" s="14">
        <f>I4-F4</f>
        <v>2.5900000000000055E-3</v>
      </c>
      <c r="AE4" s="1" t="s">
        <v>17</v>
      </c>
      <c r="AF4" s="3">
        <v>2257000</v>
      </c>
    </row>
    <row r="5" spans="1:32" x14ac:dyDescent="0.25">
      <c r="A5" s="4">
        <v>4</v>
      </c>
      <c r="B5" s="4">
        <v>210</v>
      </c>
      <c r="C5" s="4">
        <f t="shared" si="0"/>
        <v>5.8333333333333334E-2</v>
      </c>
      <c r="D5" s="4">
        <v>39.594999999999999</v>
      </c>
      <c r="E5" s="8">
        <v>0.48836000000000002</v>
      </c>
      <c r="F5" s="4">
        <f>24.16/1000</f>
        <v>2.4160000000000001E-2</v>
      </c>
      <c r="G5" s="4">
        <v>27.69</v>
      </c>
      <c r="H5" s="8">
        <v>0.94089999999999996</v>
      </c>
      <c r="I5" s="4">
        <f>23.92/1000</f>
        <v>2.392E-2</v>
      </c>
      <c r="J5" s="10">
        <f t="shared" si="1"/>
        <v>1.0321600909281765</v>
      </c>
      <c r="K5" s="10">
        <f t="shared" si="2"/>
        <v>1.0730256530769011</v>
      </c>
      <c r="L5" s="10">
        <f t="shared" si="3"/>
        <v>6.1401250866814763E-2</v>
      </c>
      <c r="M5" s="10">
        <f t="shared" si="4"/>
        <v>1.4834542209422447E-3</v>
      </c>
      <c r="N5" s="10">
        <f t="shared" si="5"/>
        <v>1.4687179207342092E-3</v>
      </c>
      <c r="O5" s="10">
        <f t="shared" si="6"/>
        <v>-1.4736300208035517E-5</v>
      </c>
      <c r="P5" s="10">
        <f t="shared" si="7"/>
        <v>-769.32510810256917</v>
      </c>
      <c r="Q5" s="10">
        <f t="shared" si="8"/>
        <v>-33.259829569536159</v>
      </c>
      <c r="R5" s="10">
        <f t="shared" si="9"/>
        <v>-802.5849376721053</v>
      </c>
      <c r="S5" s="10">
        <f t="shared" si="10"/>
        <v>-12.529469631999998</v>
      </c>
      <c r="T5" s="10">
        <f t="shared" si="11"/>
        <v>-0.54167999999999894</v>
      </c>
      <c r="U5" s="11">
        <f t="shared" si="12"/>
        <v>-13.071149631999997</v>
      </c>
      <c r="V5" s="12">
        <v>29.6</v>
      </c>
      <c r="W5" s="13">
        <f t="shared" si="13"/>
        <v>1.1910955477738869</v>
      </c>
      <c r="X5" s="14">
        <f t="shared" ref="X5:X55" si="14">I5-F5</f>
        <v>-2.4000000000000063E-4</v>
      </c>
    </row>
    <row r="6" spans="1:32" x14ac:dyDescent="0.25">
      <c r="A6" s="4">
        <v>5</v>
      </c>
      <c r="B6" s="4">
        <v>210</v>
      </c>
      <c r="C6" s="4">
        <f t="shared" si="0"/>
        <v>5.8333333333333334E-2</v>
      </c>
      <c r="D6" s="4">
        <v>35.93</v>
      </c>
      <c r="E6" s="8">
        <v>0.4299</v>
      </c>
      <c r="F6" s="4">
        <f>17.33/1000</f>
        <v>1.7329999999999998E-2</v>
      </c>
      <c r="G6" s="4">
        <v>26</v>
      </c>
      <c r="H6" s="8">
        <v>0.95689999999999997</v>
      </c>
      <c r="I6" s="4">
        <f>21.99/1000</f>
        <v>2.1989999999999999E-2</v>
      </c>
      <c r="J6" s="10">
        <f t="shared" si="1"/>
        <v>1.0444051520528708</v>
      </c>
      <c r="K6" s="10">
        <f t="shared" si="2"/>
        <v>1.0790905806812487</v>
      </c>
      <c r="L6" s="10">
        <f t="shared" si="3"/>
        <v>6.1935292204745161E-2</v>
      </c>
      <c r="M6" s="10">
        <f t="shared" si="4"/>
        <v>1.0733386139082336E-3</v>
      </c>
      <c r="N6" s="10">
        <f t="shared" si="5"/>
        <v>1.3619570755823459E-3</v>
      </c>
      <c r="O6" s="10">
        <f t="shared" si="6"/>
        <v>2.8861846167411239E-4</v>
      </c>
      <c r="P6" s="10">
        <f t="shared" si="7"/>
        <v>-639.54877568830443</v>
      </c>
      <c r="Q6" s="10">
        <f t="shared" si="8"/>
        <v>651.41186799847162</v>
      </c>
      <c r="R6" s="10">
        <f t="shared" si="9"/>
        <v>11.86309231016719</v>
      </c>
      <c r="S6" s="10">
        <f t="shared" si="10"/>
        <v>-10.326079896</v>
      </c>
      <c r="T6" s="10">
        <f>Q6/(1000*L6)</f>
        <v>10.517619999999997</v>
      </c>
      <c r="U6" s="11">
        <f t="shared" si="12"/>
        <v>0.19154010399999777</v>
      </c>
      <c r="V6" s="12">
        <v>25.21</v>
      </c>
      <c r="W6" s="13">
        <f t="shared" si="13"/>
        <v>0.92630597014925375</v>
      </c>
      <c r="X6" s="14">
        <f t="shared" si="14"/>
        <v>4.6600000000000009E-3</v>
      </c>
    </row>
    <row r="7" spans="1:32" x14ac:dyDescent="0.25">
      <c r="A7" s="4">
        <v>6</v>
      </c>
      <c r="B7" s="4">
        <v>210</v>
      </c>
      <c r="C7" s="4">
        <f t="shared" si="0"/>
        <v>5.8333333333333334E-2</v>
      </c>
      <c r="D7" s="4">
        <v>48.51</v>
      </c>
      <c r="E7" s="8">
        <v>0.17130000000000001</v>
      </c>
      <c r="F7" s="4">
        <f>13.37/1000</f>
        <v>1.337E-2</v>
      </c>
      <c r="G7" s="4">
        <v>29.8</v>
      </c>
      <c r="H7" s="8">
        <v>0.74390000000000001</v>
      </c>
      <c r="I7" s="4">
        <f>21.34/1000</f>
        <v>2.1340000000000001E-2</v>
      </c>
      <c r="J7" s="10">
        <f t="shared" si="1"/>
        <v>1.0035398078557227</v>
      </c>
      <c r="K7" s="10">
        <f t="shared" si="2"/>
        <v>1.0655484928127257</v>
      </c>
      <c r="L7" s="10">
        <f t="shared" si="3"/>
        <v>6.0348408769496403E-2</v>
      </c>
      <c r="M7" s="10">
        <f t="shared" si="4"/>
        <v>8.0685822524816694E-4</v>
      </c>
      <c r="N7" s="10">
        <f t="shared" si="5"/>
        <v>1.2878350431410534E-3</v>
      </c>
      <c r="O7" s="10">
        <f t="shared" si="6"/>
        <v>4.8097681789288649E-4</v>
      </c>
      <c r="P7" s="10">
        <f t="shared" si="7"/>
        <v>-1165.9289019075793</v>
      </c>
      <c r="Q7" s="10">
        <f t="shared" si="8"/>
        <v>1085.5646779842448</v>
      </c>
      <c r="R7" s="10">
        <f t="shared" si="9"/>
        <v>-80.364223923334521</v>
      </c>
      <c r="S7" s="10">
        <f t="shared" si="10"/>
        <v>-19.319960968</v>
      </c>
      <c r="T7" s="10">
        <f t="shared" si="11"/>
        <v>17.988290000000006</v>
      </c>
      <c r="U7" s="11">
        <f>S7+T7</f>
        <v>-1.3316709679999938</v>
      </c>
      <c r="V7" s="12">
        <v>25.97</v>
      </c>
      <c r="W7" s="13">
        <f t="shared" si="13"/>
        <v>0.83007985803016848</v>
      </c>
      <c r="X7" s="14">
        <f t="shared" si="14"/>
        <v>7.9700000000000014E-3</v>
      </c>
    </row>
    <row r="8" spans="1:32" x14ac:dyDescent="0.25">
      <c r="A8" s="4">
        <v>7</v>
      </c>
      <c r="B8" s="4">
        <v>210</v>
      </c>
      <c r="C8" s="4">
        <f t="shared" si="0"/>
        <v>5.8333333333333334E-2</v>
      </c>
      <c r="D8" s="4">
        <v>29.22</v>
      </c>
      <c r="E8" s="8">
        <v>0.71419999999999995</v>
      </c>
      <c r="F8" s="4">
        <f>19.79/1000</f>
        <v>1.9789999999999999E-2</v>
      </c>
      <c r="G8" s="4">
        <v>23.63</v>
      </c>
      <c r="H8" s="5">
        <v>1</v>
      </c>
      <c r="I8" s="4">
        <f>19.93/1000</f>
        <v>1.993E-2</v>
      </c>
      <c r="J8" s="10">
        <f t="shared" si="1"/>
        <v>1.0675934207653144</v>
      </c>
      <c r="K8" s="10">
        <f t="shared" si="2"/>
        <v>1.0877122463125557</v>
      </c>
      <c r="L8" s="10">
        <f t="shared" si="3"/>
        <v>6.2863081956437875E-2</v>
      </c>
      <c r="M8" s="10">
        <f t="shared" si="4"/>
        <v>1.2440603919179054E-3</v>
      </c>
      <c r="N8" s="10">
        <f t="shared" si="5"/>
        <v>1.2528612233918069E-3</v>
      </c>
      <c r="O8" s="10">
        <f t="shared" si="6"/>
        <v>8.8008314739014461E-6</v>
      </c>
      <c r="P8" s="10">
        <f t="shared" si="7"/>
        <v>-367.01177272869046</v>
      </c>
      <c r="Q8" s="10">
        <f t="shared" si="8"/>
        <v>19.863476636595564</v>
      </c>
      <c r="R8" s="10">
        <f t="shared" si="9"/>
        <v>-347.14829609209488</v>
      </c>
      <c r="S8" s="10">
        <f t="shared" si="10"/>
        <v>-5.8382720240000001</v>
      </c>
      <c r="T8" s="10">
        <f t="shared" si="11"/>
        <v>0.31598000000000515</v>
      </c>
      <c r="U8" s="11">
        <f t="shared" si="12"/>
        <v>-5.5222920239999951</v>
      </c>
      <c r="V8" s="12">
        <v>24.96</v>
      </c>
      <c r="W8" s="13">
        <f t="shared" si="13"/>
        <v>1.3122065727699537</v>
      </c>
      <c r="X8" s="14">
        <f t="shared" si="14"/>
        <v>1.4000000000000123E-4</v>
      </c>
    </row>
    <row r="9" spans="1:32" x14ac:dyDescent="0.25">
      <c r="A9" s="4">
        <v>8</v>
      </c>
      <c r="B9" s="4">
        <v>210</v>
      </c>
      <c r="C9" s="4">
        <f t="shared" si="0"/>
        <v>5.8333333333333334E-2</v>
      </c>
      <c r="D9" s="4">
        <v>29.59</v>
      </c>
      <c r="E9" s="8">
        <v>0.45329999999999998</v>
      </c>
      <c r="F9" s="4">
        <f>12.78/1000</f>
        <v>1.278E-2</v>
      </c>
      <c r="G9" s="4">
        <v>20.52</v>
      </c>
      <c r="H9" s="8">
        <v>0.87870000000000004</v>
      </c>
      <c r="I9" s="4">
        <f>14.44/1000</f>
        <v>1.444E-2</v>
      </c>
      <c r="J9" s="10">
        <f t="shared" si="1"/>
        <v>1.0662879924111617</v>
      </c>
      <c r="K9" s="10">
        <f t="shared" si="2"/>
        <v>1.0992371341772056</v>
      </c>
      <c r="L9" s="10">
        <f t="shared" si="3"/>
        <v>6.3161149525494037E-2</v>
      </c>
      <c r="M9" s="10">
        <f t="shared" si="4"/>
        <v>8.0719949093581379E-4</v>
      </c>
      <c r="N9" s="10">
        <f t="shared" si="5"/>
        <v>9.1204699914813393E-4</v>
      </c>
      <c r="O9" s="10">
        <f t="shared" si="6"/>
        <v>1.0484750821232014E-4</v>
      </c>
      <c r="P9" s="10">
        <f t="shared" si="7"/>
        <v>-590.92579007013035</v>
      </c>
      <c r="Q9" s="10">
        <f t="shared" si="8"/>
        <v>236.64082603520654</v>
      </c>
      <c r="R9" s="10">
        <f t="shared" si="9"/>
        <v>-354.2849640349238</v>
      </c>
      <c r="S9" s="10">
        <f t="shared" si="10"/>
        <v>-9.3558428639999995</v>
      </c>
      <c r="T9" s="10">
        <f t="shared" si="11"/>
        <v>3.7466200000000009</v>
      </c>
      <c r="U9" s="11">
        <f>S9+T9</f>
        <v>-5.6092228639999986</v>
      </c>
      <c r="V9" s="12">
        <v>20.63</v>
      </c>
      <c r="W9" s="13">
        <f t="shared" si="13"/>
        <v>1.0122767857142856</v>
      </c>
      <c r="X9" s="14">
        <f t="shared" si="14"/>
        <v>1.66E-3</v>
      </c>
    </row>
    <row r="10" spans="1:32" x14ac:dyDescent="0.25">
      <c r="A10" s="4">
        <v>9</v>
      </c>
      <c r="B10" s="4">
        <v>210</v>
      </c>
      <c r="C10" s="4">
        <f t="shared" si="0"/>
        <v>5.8333333333333334E-2</v>
      </c>
      <c r="D10" s="4">
        <v>24.61</v>
      </c>
      <c r="E10" s="8">
        <v>0.84799999999999998</v>
      </c>
      <c r="F10" s="4">
        <v>1.7899999999999999E-2</v>
      </c>
      <c r="G10" s="4">
        <v>20.88</v>
      </c>
      <c r="H10" s="5">
        <v>1</v>
      </c>
      <c r="I10" s="4">
        <f>16.82/1000</f>
        <v>1.6820000000000002E-2</v>
      </c>
      <c r="J10" s="10">
        <f t="shared" si="1"/>
        <v>1.0841305185433734</v>
      </c>
      <c r="K10" s="10">
        <f t="shared" si="2"/>
        <v>1.0978905799091241</v>
      </c>
      <c r="L10" s="10">
        <f t="shared" si="3"/>
        <v>6.3642282038197842E-2</v>
      </c>
      <c r="M10" s="10">
        <f t="shared" si="4"/>
        <v>1.1391968484837413E-3</v>
      </c>
      <c r="N10" s="10">
        <f t="shared" si="5"/>
        <v>1.0704631838824878E-3</v>
      </c>
      <c r="O10" s="10">
        <f t="shared" si="6"/>
        <v>-6.8733664601253446E-5</v>
      </c>
      <c r="P10" s="10">
        <f t="shared" si="7"/>
        <v>-247.10333350901143</v>
      </c>
      <c r="Q10" s="10">
        <f t="shared" si="8"/>
        <v>-155.13188100502902</v>
      </c>
      <c r="R10" s="10">
        <f t="shared" si="9"/>
        <v>-402.23521451404042</v>
      </c>
      <c r="S10" s="10">
        <f t="shared" si="10"/>
        <v>-3.8826912800000009</v>
      </c>
      <c r="T10" s="10">
        <f t="shared" si="11"/>
        <v>-2.437559999999992</v>
      </c>
      <c r="U10" s="11">
        <f t="shared" si="12"/>
        <v>-6.3202512799999928</v>
      </c>
      <c r="V10" s="12">
        <v>22.63</v>
      </c>
      <c r="W10" s="13">
        <f t="shared" si="13"/>
        <v>1.8838383838383836</v>
      </c>
      <c r="X10" s="14">
        <f t="shared" si="14"/>
        <v>-1.0799999999999976E-3</v>
      </c>
    </row>
    <row r="11" spans="1:32" x14ac:dyDescent="0.25">
      <c r="A11" s="4">
        <v>10</v>
      </c>
      <c r="B11" s="4">
        <v>210</v>
      </c>
      <c r="C11" s="4">
        <f t="shared" si="0"/>
        <v>5.8333333333333334E-2</v>
      </c>
      <c r="D11" s="4">
        <v>39.69</v>
      </c>
      <c r="E11" s="8">
        <v>0.30280000000000001</v>
      </c>
      <c r="F11" s="4">
        <v>1.4970000000000001E-2</v>
      </c>
      <c r="G11" s="4">
        <v>25.19</v>
      </c>
      <c r="H11" s="8">
        <v>0.83789999999999998</v>
      </c>
      <c r="I11" s="4">
        <f>0.01831</f>
        <v>1.831E-2</v>
      </c>
      <c r="J11" s="10">
        <f t="shared" si="1"/>
        <v>1.031846504920827</v>
      </c>
      <c r="K11" s="10">
        <f t="shared" si="2"/>
        <v>1.0820218103346637</v>
      </c>
      <c r="L11" s="10">
        <f t="shared" si="3"/>
        <v>6.1654492528285143E-2</v>
      </c>
      <c r="M11" s="10">
        <f t="shared" si="4"/>
        <v>9.2296775314842862E-4</v>
      </c>
      <c r="N11" s="10">
        <f t="shared" si="5"/>
        <v>1.128893758192901E-3</v>
      </c>
      <c r="O11" s="10">
        <f t="shared" si="6"/>
        <v>2.0592600504447237E-4</v>
      </c>
      <c r="P11" s="10">
        <f t="shared" si="7"/>
        <v>-925.76684244741557</v>
      </c>
      <c r="Q11" s="10">
        <f t="shared" si="8"/>
        <v>464.77499338537416</v>
      </c>
      <c r="R11" s="10">
        <f t="shared" si="9"/>
        <v>-460.99184906204141</v>
      </c>
      <c r="S11" s="10">
        <f t="shared" si="10"/>
        <v>-15.015399599999997</v>
      </c>
      <c r="T11" s="10">
        <f t="shared" si="11"/>
        <v>7.5383799999999992</v>
      </c>
      <c r="U11" s="11">
        <f t="shared" si="12"/>
        <v>-7.4770195999999975</v>
      </c>
      <c r="V11" s="12">
        <v>24.75</v>
      </c>
      <c r="W11" s="13">
        <f t="shared" si="13"/>
        <v>0.97054886211512703</v>
      </c>
      <c r="X11" s="14">
        <f t="shared" si="14"/>
        <v>3.3399999999999992E-3</v>
      </c>
    </row>
    <row r="12" spans="1:32" x14ac:dyDescent="0.25">
      <c r="A12" s="4">
        <v>11</v>
      </c>
      <c r="B12" s="4">
        <v>210</v>
      </c>
      <c r="C12" s="4">
        <f t="shared" si="0"/>
        <v>5.8333333333333334E-2</v>
      </c>
      <c r="D12" s="4">
        <v>39.950000000000003</v>
      </c>
      <c r="E12" s="8">
        <v>0.32329999999999998</v>
      </c>
      <c r="F12" s="4">
        <v>1.6219999999999998E-2</v>
      </c>
      <c r="G12" s="4">
        <v>25.99</v>
      </c>
      <c r="H12" s="8">
        <v>0.91110000000000002</v>
      </c>
      <c r="I12" s="4">
        <v>2.0920000000000001E-2</v>
      </c>
      <c r="J12" s="10">
        <f t="shared" si="1"/>
        <v>1.0309892430857754</v>
      </c>
      <c r="K12" s="10">
        <f t="shared" si="2"/>
        <v>1.079126671874288</v>
      </c>
      <c r="L12" s="10">
        <f t="shared" si="3"/>
        <v>6.1545047519668522E-2</v>
      </c>
      <c r="M12" s="10">
        <f t="shared" si="4"/>
        <v>9.9826067076902339E-4</v>
      </c>
      <c r="N12" s="10">
        <f t="shared" si="5"/>
        <v>1.2875223941114656E-3</v>
      </c>
      <c r="O12" s="10">
        <f t="shared" si="6"/>
        <v>2.8926172334244223E-4</v>
      </c>
      <c r="P12" s="10">
        <f t="shared" si="7"/>
        <v>-891.68393717521099</v>
      </c>
      <c r="Q12" s="10">
        <f t="shared" si="8"/>
        <v>652.86370958389216</v>
      </c>
      <c r="R12" s="10">
        <f t="shared" si="9"/>
        <v>-238.82022759131883</v>
      </c>
      <c r="S12" s="10">
        <f t="shared" si="10"/>
        <v>-14.488313408000007</v>
      </c>
      <c r="T12" s="10">
        <f t="shared" si="11"/>
        <v>10.607900000000008</v>
      </c>
      <c r="U12" s="11">
        <f t="shared" si="12"/>
        <v>-3.880413407999999</v>
      </c>
      <c r="V12" s="12">
        <v>25.53</v>
      </c>
      <c r="W12" s="13">
        <f t="shared" si="13"/>
        <v>0.96809986130374504</v>
      </c>
      <c r="X12" s="14">
        <f t="shared" si="14"/>
        <v>4.7000000000000028E-3</v>
      </c>
    </row>
    <row r="13" spans="1:32" x14ac:dyDescent="0.25">
      <c r="A13" s="4">
        <v>12</v>
      </c>
      <c r="B13" s="4">
        <v>210</v>
      </c>
      <c r="C13" s="4">
        <f t="shared" si="0"/>
        <v>5.8333333333333334E-2</v>
      </c>
      <c r="D13" s="4">
        <v>25.24</v>
      </c>
      <c r="E13" s="5">
        <v>1</v>
      </c>
      <c r="F13" s="4">
        <f>21.97/1000</f>
        <v>2.197E-2</v>
      </c>
      <c r="G13" s="4">
        <v>22.73</v>
      </c>
      <c r="H13" s="5">
        <v>1</v>
      </c>
      <c r="I13" s="4">
        <f>18.86/1000</f>
        <v>1.8859999999999998E-2</v>
      </c>
      <c r="J13" s="10">
        <f t="shared" si="1"/>
        <v>1.0818404091459675</v>
      </c>
      <c r="K13" s="10">
        <f t="shared" si="2"/>
        <v>1.0910224989811428</v>
      </c>
      <c r="L13" s="10">
        <f t="shared" si="3"/>
        <v>6.337516815370739E-2</v>
      </c>
      <c r="M13" s="10">
        <f t="shared" si="4"/>
        <v>1.3923524443369513E-3</v>
      </c>
      <c r="N13" s="10">
        <f t="shared" si="5"/>
        <v>1.1952556713789213E-3</v>
      </c>
      <c r="O13" s="10">
        <f t="shared" si="6"/>
        <v>-1.9709677295802995E-4</v>
      </c>
      <c r="P13" s="10">
        <f t="shared" si="7"/>
        <v>-166.77468597125764</v>
      </c>
      <c r="Q13" s="10">
        <f t="shared" si="8"/>
        <v>-444.84741656627358</v>
      </c>
      <c r="R13" s="10">
        <f t="shared" si="9"/>
        <v>-611.62210253753119</v>
      </c>
      <c r="S13" s="10">
        <f t="shared" si="10"/>
        <v>-2.631546247999998</v>
      </c>
      <c r="T13" s="10">
        <f t="shared" si="11"/>
        <v>-7.0192699999999979</v>
      </c>
      <c r="U13" s="11">
        <f t="shared" si="12"/>
        <v>-9.6508162479999964</v>
      </c>
      <c r="V13" s="12">
        <v>25.2</v>
      </c>
      <c r="W13" s="13">
        <f t="shared" si="13"/>
        <v>62.750000000001286</v>
      </c>
      <c r="X13" s="14">
        <f t="shared" si="14"/>
        <v>-3.1100000000000017E-3</v>
      </c>
    </row>
    <row r="14" spans="1:32" x14ac:dyDescent="0.25">
      <c r="A14" s="4">
        <v>13</v>
      </c>
      <c r="B14" s="4">
        <v>210</v>
      </c>
      <c r="C14" s="4">
        <f t="shared" si="0"/>
        <v>5.8333333333333334E-2</v>
      </c>
      <c r="D14" s="4">
        <v>46.48</v>
      </c>
      <c r="E14" s="8">
        <v>0.1769</v>
      </c>
      <c r="F14" s="4">
        <f>0.01245</f>
        <v>1.2449999999999999E-2</v>
      </c>
      <c r="G14" s="4">
        <v>27</v>
      </c>
      <c r="H14" s="8">
        <v>0.87649999999999995</v>
      </c>
      <c r="I14" s="4">
        <f>21.36/1000</f>
        <v>2.1360000000000001E-2</v>
      </c>
      <c r="J14" s="10">
        <f t="shared" si="1"/>
        <v>1.009916375434122</v>
      </c>
      <c r="K14" s="10">
        <f t="shared" si="2"/>
        <v>1.075493612078978</v>
      </c>
      <c r="L14" s="10">
        <f t="shared" si="3"/>
        <v>6.0824457969132086E-2</v>
      </c>
      <c r="M14" s="10">
        <f t="shared" si="4"/>
        <v>7.5726450171569439E-4</v>
      </c>
      <c r="N14" s="10">
        <f t="shared" si="5"/>
        <v>1.2992104222206613E-3</v>
      </c>
      <c r="O14" s="10">
        <f t="shared" si="6"/>
        <v>5.419459205049669E-4</v>
      </c>
      <c r="P14" s="10">
        <f t="shared" si="7"/>
        <v>-1221.4821077564984</v>
      </c>
      <c r="Q14" s="10">
        <f t="shared" si="8"/>
        <v>1223.1719425797103</v>
      </c>
      <c r="R14" s="10">
        <f t="shared" si="9"/>
        <v>1.6898348232118678</v>
      </c>
      <c r="S14" s="10">
        <f t="shared" si="10"/>
        <v>-20.08208784</v>
      </c>
      <c r="T14" s="10">
        <f t="shared" si="11"/>
        <v>20.109870000000001</v>
      </c>
      <c r="U14" s="11">
        <f t="shared" si="12"/>
        <v>2.7782160000000999E-2</v>
      </c>
      <c r="V14" s="12">
        <v>24.95</v>
      </c>
      <c r="W14" s="13">
        <f t="shared" si="13"/>
        <v>0.90478402229447275</v>
      </c>
      <c r="X14" s="14">
        <f t="shared" si="14"/>
        <v>8.9100000000000013E-3</v>
      </c>
    </row>
    <row r="15" spans="1:32" x14ac:dyDescent="0.25">
      <c r="A15" s="4">
        <v>14</v>
      </c>
      <c r="B15" s="4">
        <v>210</v>
      </c>
      <c r="C15" s="4">
        <f t="shared" si="0"/>
        <v>5.8333333333333334E-2</v>
      </c>
      <c r="D15" s="4">
        <v>45.96</v>
      </c>
      <c r="E15" s="8">
        <v>0.219</v>
      </c>
      <c r="F15" s="4">
        <f>15.03/1000</f>
        <v>1.503E-2</v>
      </c>
      <c r="G15" s="4">
        <v>28.2</v>
      </c>
      <c r="H15" s="8">
        <v>0.88670000000000004</v>
      </c>
      <c r="I15" s="4">
        <f>23.21/1000</f>
        <v>2.3210000000000001E-2</v>
      </c>
      <c r="J15" s="10">
        <f t="shared" si="1"/>
        <v>1.0115628405558483</v>
      </c>
      <c r="K15" s="10">
        <f t="shared" si="2"/>
        <v>1.0712087769710936</v>
      </c>
      <c r="L15" s="10">
        <f t="shared" si="3"/>
        <v>6.0747505511202469E-2</v>
      </c>
      <c r="M15" s="10">
        <f t="shared" si="4"/>
        <v>9.1303500783337314E-4</v>
      </c>
      <c r="N15" s="10">
        <f t="shared" si="5"/>
        <v>1.4099496029150093E-3</v>
      </c>
      <c r="O15" s="10">
        <f t="shared" si="6"/>
        <v>4.969145950816362E-4</v>
      </c>
      <c r="P15" s="10">
        <f t="shared" si="7"/>
        <v>-1117.3432266619698</v>
      </c>
      <c r="Q15" s="10">
        <f t="shared" si="8"/>
        <v>1121.5362410992529</v>
      </c>
      <c r="R15" s="10">
        <f t="shared" si="9"/>
        <v>4.1930144372831819</v>
      </c>
      <c r="S15" s="10">
        <f t="shared" si="10"/>
        <v>-18.393236352000002</v>
      </c>
      <c r="T15" s="10">
        <f t="shared" si="11"/>
        <v>18.462260000000001</v>
      </c>
      <c r="U15" s="11">
        <f t="shared" si="12"/>
        <v>6.9023647999998161E-2</v>
      </c>
      <c r="V15" s="12">
        <v>26.3</v>
      </c>
      <c r="W15" s="13">
        <f t="shared" si="13"/>
        <v>0.90335707019328593</v>
      </c>
      <c r="X15" s="14">
        <f t="shared" si="14"/>
        <v>8.1800000000000015E-3</v>
      </c>
    </row>
    <row r="16" spans="1:32" x14ac:dyDescent="0.25">
      <c r="A16" s="4">
        <v>15</v>
      </c>
      <c r="B16" s="4">
        <v>210</v>
      </c>
      <c r="C16" s="4">
        <f t="shared" si="0"/>
        <v>5.8333333333333334E-2</v>
      </c>
      <c r="D16" s="4">
        <v>46.64</v>
      </c>
      <c r="E16" s="8">
        <v>0.29149999999999998</v>
      </c>
      <c r="F16" s="4">
        <f>20.79/1000</f>
        <v>2.0789999999999999E-2</v>
      </c>
      <c r="G16" s="4">
        <v>30.15</v>
      </c>
      <c r="H16" s="8">
        <v>0.94499999999999995</v>
      </c>
      <c r="I16" s="4">
        <f>27.76/1000</f>
        <v>2.776E-2</v>
      </c>
      <c r="J16" s="10">
        <f t="shared" si="1"/>
        <v>1.0094108485286366</v>
      </c>
      <c r="K16" s="10">
        <f t="shared" si="2"/>
        <v>1.0643182702414429</v>
      </c>
      <c r="L16" s="10">
        <f t="shared" si="3"/>
        <v>6.0483765964127315E-2</v>
      </c>
      <c r="M16" s="10">
        <f t="shared" si="4"/>
        <v>1.2574574943942068E-3</v>
      </c>
      <c r="N16" s="10">
        <f t="shared" si="5"/>
        <v>1.6790293431641742E-3</v>
      </c>
      <c r="O16" s="10">
        <f t="shared" si="6"/>
        <v>4.2157184876996743E-4</v>
      </c>
      <c r="P16" s="10">
        <f t="shared" si="7"/>
        <v>-1043.5095914663584</v>
      </c>
      <c r="Q16" s="10">
        <f t="shared" si="8"/>
        <v>951.48766267381654</v>
      </c>
      <c r="R16" s="10">
        <f t="shared" si="9"/>
        <v>-92.021928792541871</v>
      </c>
      <c r="S16" s="10">
        <f t="shared" si="10"/>
        <v>-17.252721864000002</v>
      </c>
      <c r="T16" s="10">
        <f t="shared" si="11"/>
        <v>15.731290000000003</v>
      </c>
      <c r="U16" s="11">
        <f t="shared" si="12"/>
        <v>-1.5214318639999984</v>
      </c>
      <c r="V16" s="12">
        <v>29.43</v>
      </c>
      <c r="W16" s="13">
        <f t="shared" si="13"/>
        <v>0.95816385822196404</v>
      </c>
      <c r="X16" s="14">
        <f t="shared" si="14"/>
        <v>6.9700000000000005E-3</v>
      </c>
    </row>
    <row r="17" spans="1:24" x14ac:dyDescent="0.25">
      <c r="A17" s="4">
        <v>16</v>
      </c>
      <c r="B17" s="4">
        <v>210</v>
      </c>
      <c r="C17" s="4">
        <f t="shared" si="0"/>
        <v>5.8333333333333334E-2</v>
      </c>
      <c r="D17" s="4">
        <v>36.35</v>
      </c>
      <c r="E17" s="8">
        <v>0.30570000000000003</v>
      </c>
      <c r="F17" s="4">
        <f>12.52/1000</f>
        <v>1.252E-2</v>
      </c>
      <c r="G17" s="4">
        <v>23.73</v>
      </c>
      <c r="H17" s="8">
        <v>0.77010000000000001</v>
      </c>
      <c r="I17" s="4">
        <f>15.4/1000</f>
        <v>1.54E-2</v>
      </c>
      <c r="J17" s="10">
        <f t="shared" si="1"/>
        <v>1.0429871783536233</v>
      </c>
      <c r="K17" s="10">
        <f t="shared" si="2"/>
        <v>1.0873456799908785</v>
      </c>
      <c r="L17" s="10">
        <f t="shared" si="3"/>
        <v>6.2134708368381301E-2</v>
      </c>
      <c r="M17" s="10">
        <f t="shared" si="4"/>
        <v>7.7792654877213393E-4</v>
      </c>
      <c r="N17" s="10">
        <f t="shared" si="5"/>
        <v>9.5687450887307207E-4</v>
      </c>
      <c r="O17" s="10">
        <f t="shared" si="6"/>
        <v>1.7894796010093814E-4</v>
      </c>
      <c r="P17" s="10">
        <f t="shared" si="7"/>
        <v>-808.47721656957185</v>
      </c>
      <c r="Q17" s="10">
        <f t="shared" si="8"/>
        <v>403.88554594781738</v>
      </c>
      <c r="R17" s="10">
        <f t="shared" si="9"/>
        <v>-404.59167062175447</v>
      </c>
      <c r="S17" s="10">
        <f t="shared" si="10"/>
        <v>-13.011684416000001</v>
      </c>
      <c r="T17" s="10">
        <f t="shared" si="11"/>
        <v>6.5001599999999993</v>
      </c>
      <c r="U17" s="11">
        <f t="shared" si="12"/>
        <v>-6.5115244160000021</v>
      </c>
      <c r="V17" s="12">
        <v>22.36</v>
      </c>
      <c r="W17" s="13">
        <f t="shared" si="13"/>
        <v>0.90207290922087202</v>
      </c>
      <c r="X17" s="14">
        <f t="shared" si="14"/>
        <v>2.8800000000000006E-3</v>
      </c>
    </row>
    <row r="18" spans="1:24" x14ac:dyDescent="0.25">
      <c r="A18" s="4">
        <v>17</v>
      </c>
      <c r="B18" s="4">
        <v>210</v>
      </c>
      <c r="C18" s="4">
        <f t="shared" si="0"/>
        <v>5.8333333333333334E-2</v>
      </c>
      <c r="D18" s="4">
        <v>48.52</v>
      </c>
      <c r="E18" s="8">
        <v>0.15409999999999999</v>
      </c>
      <c r="F18" s="4">
        <f>12.02/1000</f>
        <v>1.2019999999999999E-2</v>
      </c>
      <c r="G18" s="4">
        <v>29.26</v>
      </c>
      <c r="H18" s="8">
        <v>0.83099999999999996</v>
      </c>
      <c r="I18" s="4">
        <f>23.13/1000</f>
        <v>2.3129999999999998E-2</v>
      </c>
      <c r="J18" s="10">
        <f t="shared" si="1"/>
        <v>1.0035085954954386</v>
      </c>
      <c r="K18" s="10">
        <f t="shared" si="2"/>
        <v>1.0674521392962792</v>
      </c>
      <c r="L18" s="10">
        <f t="shared" si="3"/>
        <v>6.0403021431425098E-2</v>
      </c>
      <c r="M18" s="10">
        <f t="shared" si="4"/>
        <v>7.260443176057296E-4</v>
      </c>
      <c r="N18" s="10">
        <f t="shared" si="5"/>
        <v>1.3971218857088625E-3</v>
      </c>
      <c r="O18" s="10">
        <f t="shared" si="6"/>
        <v>6.7107756810313285E-4</v>
      </c>
      <c r="P18" s="10">
        <f t="shared" si="7"/>
        <v>-1198.3989392564404</v>
      </c>
      <c r="Q18" s="10">
        <f t="shared" si="8"/>
        <v>1514.6220712087709</v>
      </c>
      <c r="R18" s="10">
        <f t="shared" si="9"/>
        <v>316.2231319523305</v>
      </c>
      <c r="S18" s="10">
        <f t="shared" si="10"/>
        <v>-19.840049568000001</v>
      </c>
      <c r="T18" s="10">
        <f t="shared" si="11"/>
        <v>25.075270000000003</v>
      </c>
      <c r="U18" s="11">
        <f t="shared" si="12"/>
        <v>5.235220432000002</v>
      </c>
      <c r="V18" s="12">
        <v>25.2</v>
      </c>
      <c r="W18" s="13">
        <f t="shared" si="13"/>
        <v>0.82590051457975977</v>
      </c>
      <c r="X18" s="14">
        <f t="shared" si="14"/>
        <v>1.1109999999999998E-2</v>
      </c>
    </row>
    <row r="19" spans="1:24" x14ac:dyDescent="0.25">
      <c r="A19" s="4">
        <v>18</v>
      </c>
      <c r="B19" s="4">
        <v>210</v>
      </c>
      <c r="C19" s="4">
        <f t="shared" si="0"/>
        <v>5.8333333333333334E-2</v>
      </c>
      <c r="D19" s="4">
        <v>50.15</v>
      </c>
      <c r="E19" s="8">
        <v>0.22339999999999999</v>
      </c>
      <c r="F19" s="4">
        <f>18.98/1000</f>
        <v>1.898E-2</v>
      </c>
      <c r="G19" s="4">
        <v>31.98</v>
      </c>
      <c r="H19" s="8">
        <v>0.93410000000000004</v>
      </c>
      <c r="I19" s="4">
        <f>30.51/1000</f>
        <v>3.0510000000000002E-2</v>
      </c>
      <c r="J19" s="10">
        <f t="shared" si="1"/>
        <v>0.99844680063033708</v>
      </c>
      <c r="K19" s="10">
        <f t="shared" si="2"/>
        <v>1.0579319418443613</v>
      </c>
      <c r="L19" s="10">
        <f t="shared" si="3"/>
        <v>5.9977713322178695E-2</v>
      </c>
      <c r="M19" s="10">
        <f t="shared" si="4"/>
        <v>1.1383769988549516E-3</v>
      </c>
      <c r="N19" s="10">
        <f t="shared" si="5"/>
        <v>1.8299200334596722E-3</v>
      </c>
      <c r="O19" s="10">
        <f t="shared" si="6"/>
        <v>6.9154303460472054E-4</v>
      </c>
      <c r="P19" s="10">
        <f t="shared" si="7"/>
        <v>-1136.5725419998166</v>
      </c>
      <c r="Q19" s="10">
        <f t="shared" si="8"/>
        <v>1560.8126291028543</v>
      </c>
      <c r="R19" s="10">
        <f t="shared" si="9"/>
        <v>424.24008710303769</v>
      </c>
      <c r="S19" s="10">
        <f t="shared" si="10"/>
        <v>-18.949914544000002</v>
      </c>
      <c r="T19" s="10">
        <f t="shared" si="11"/>
        <v>26.02321000000001</v>
      </c>
      <c r="U19" s="11">
        <f t="shared" si="12"/>
        <v>7.0732954560000074</v>
      </c>
      <c r="V19" s="12">
        <v>29.28</v>
      </c>
      <c r="W19" s="13">
        <f t="shared" si="13"/>
        <v>0.87062769525634887</v>
      </c>
      <c r="X19" s="14">
        <f t="shared" si="14"/>
        <v>1.1530000000000002E-2</v>
      </c>
    </row>
    <row r="20" spans="1:24" x14ac:dyDescent="0.25">
      <c r="A20" s="4">
        <v>19</v>
      </c>
      <c r="B20" s="4">
        <v>450</v>
      </c>
      <c r="C20" s="4">
        <f t="shared" si="0"/>
        <v>0.125</v>
      </c>
      <c r="D20" s="4">
        <v>35.950000000000003</v>
      </c>
      <c r="E20" s="8">
        <v>0.31459999999999999</v>
      </c>
      <c r="F20" s="4">
        <f>12.68/1000</f>
        <v>1.268E-2</v>
      </c>
      <c r="G20" s="4">
        <v>25.93</v>
      </c>
      <c r="H20" s="8">
        <v>0.7046</v>
      </c>
      <c r="I20" s="4">
        <f>16.07/1000</f>
        <v>1.6070000000000001E-2</v>
      </c>
      <c r="J20" s="10">
        <f t="shared" si="1"/>
        <v>1.044337542073777</v>
      </c>
      <c r="K20" s="10">
        <f t="shared" si="2"/>
        <v>1.0793432697410543</v>
      </c>
      <c r="L20" s="10">
        <f t="shared" si="3"/>
        <v>0.13273005073842697</v>
      </c>
      <c r="M20" s="10">
        <f t="shared" si="4"/>
        <v>1.6830170433632542E-3</v>
      </c>
      <c r="N20" s="10">
        <f t="shared" si="5"/>
        <v>2.1329719153665217E-3</v>
      </c>
      <c r="O20" s="10">
        <f t="shared" si="6"/>
        <v>4.4995487200326758E-4</v>
      </c>
      <c r="P20" s="10">
        <f t="shared" si="7"/>
        <v>-1371.6241978913106</v>
      </c>
      <c r="Q20" s="10">
        <f t="shared" si="8"/>
        <v>1015.5481461113749</v>
      </c>
      <c r="R20" s="10">
        <f t="shared" si="9"/>
        <v>-356.07605177993571</v>
      </c>
      <c r="S20" s="10">
        <f t="shared" si="10"/>
        <v>-10.333938624000004</v>
      </c>
      <c r="T20" s="10">
        <f t="shared" si="11"/>
        <v>7.6512300000000026</v>
      </c>
      <c r="U20" s="11">
        <f t="shared" si="12"/>
        <v>-2.6827086240000009</v>
      </c>
      <c r="V20" s="12">
        <v>22.36</v>
      </c>
      <c r="W20" s="13">
        <f t="shared" si="13"/>
        <v>0.73730684326710816</v>
      </c>
      <c r="X20" s="14">
        <f t="shared" si="14"/>
        <v>3.3900000000000007E-3</v>
      </c>
    </row>
    <row r="21" spans="1:24" x14ac:dyDescent="0.25">
      <c r="A21" s="4">
        <v>20</v>
      </c>
      <c r="B21" s="4">
        <v>450</v>
      </c>
      <c r="C21" s="4">
        <f t="shared" si="0"/>
        <v>0.125</v>
      </c>
      <c r="D21" s="4">
        <v>41.42</v>
      </c>
      <c r="E21" s="8">
        <v>0.47360000000000002</v>
      </c>
      <c r="F21" s="4">
        <f>25.85/1000</f>
        <v>2.5850000000000001E-2</v>
      </c>
      <c r="G21" s="4">
        <v>30.74</v>
      </c>
      <c r="H21" s="8">
        <v>0.92100000000000004</v>
      </c>
      <c r="I21" s="4">
        <f>27.99/1000</f>
        <v>2.7989999999999998E-2</v>
      </c>
      <c r="J21" s="10">
        <f t="shared" si="1"/>
        <v>1.0261690847391811</v>
      </c>
      <c r="K21" s="10">
        <f t="shared" si="2"/>
        <v>1.0622508843869538</v>
      </c>
      <c r="L21" s="10">
        <f t="shared" si="3"/>
        <v>0.13052624807038343</v>
      </c>
      <c r="M21" s="10">
        <f t="shared" si="4"/>
        <v>3.374103512619412E-3</v>
      </c>
      <c r="N21" s="10">
        <f t="shared" si="5"/>
        <v>3.6534296834900321E-3</v>
      </c>
      <c r="O21" s="10">
        <f t="shared" si="6"/>
        <v>2.7932617087062005E-4</v>
      </c>
      <c r="P21" s="10">
        <f t="shared" si="7"/>
        <v>-1471.4776749740158</v>
      </c>
      <c r="Q21" s="10">
        <f t="shared" si="8"/>
        <v>630.43916765498943</v>
      </c>
      <c r="R21" s="10">
        <f t="shared" si="9"/>
        <v>-841.03850731902639</v>
      </c>
      <c r="S21" s="10">
        <f t="shared" si="10"/>
        <v>-11.273423520000003</v>
      </c>
      <c r="T21" s="10">
        <f t="shared" si="11"/>
        <v>4.8299799999999911</v>
      </c>
      <c r="U21" s="11">
        <f t="shared" si="12"/>
        <v>-6.4434435200000122</v>
      </c>
      <c r="V21" s="12">
        <v>30.75</v>
      </c>
      <c r="W21" s="13">
        <f t="shared" si="13"/>
        <v>1.0009372071227742</v>
      </c>
      <c r="X21" s="14">
        <f t="shared" si="14"/>
        <v>2.1399999999999961E-3</v>
      </c>
    </row>
    <row r="22" spans="1:24" x14ac:dyDescent="0.25">
      <c r="A22" s="4">
        <v>21</v>
      </c>
      <c r="B22" s="4">
        <v>450</v>
      </c>
      <c r="C22" s="4">
        <f t="shared" si="0"/>
        <v>0.125</v>
      </c>
      <c r="D22" s="4">
        <v>35.729999999999997</v>
      </c>
      <c r="E22" s="8">
        <v>0.45300000000000001</v>
      </c>
      <c r="F22" s="4">
        <f>18.1/1000</f>
        <v>1.8100000000000002E-2</v>
      </c>
      <c r="G22" s="4">
        <v>26.3</v>
      </c>
      <c r="H22" s="8">
        <v>0.89690000000000003</v>
      </c>
      <c r="I22" s="4">
        <f>20.97/1000</f>
        <v>2.0969999999999999E-2</v>
      </c>
      <c r="J22" s="10">
        <f t="shared" si="1"/>
        <v>1.0450817336303351</v>
      </c>
      <c r="K22" s="10">
        <f t="shared" si="2"/>
        <v>1.0780089663337566</v>
      </c>
      <c r="L22" s="10">
        <f t="shared" si="3"/>
        <v>0.13269316874775572</v>
      </c>
      <c r="M22" s="10">
        <f t="shared" si="4"/>
        <v>2.4017463543343789E-3</v>
      </c>
      <c r="N22" s="10">
        <f t="shared" si="5"/>
        <v>2.7825757486404372E-3</v>
      </c>
      <c r="O22" s="10">
        <f t="shared" si="6"/>
        <v>3.8082939430605835E-4</v>
      </c>
      <c r="P22" s="10">
        <f t="shared" si="7"/>
        <v>-1302.9801352849934</v>
      </c>
      <c r="Q22" s="10">
        <f t="shared" si="8"/>
        <v>859.53194294877369</v>
      </c>
      <c r="R22" s="10">
        <f t="shared" si="9"/>
        <v>-443.44819233621968</v>
      </c>
      <c r="S22" s="10">
        <f t="shared" si="10"/>
        <v>-9.8194967199999965</v>
      </c>
      <c r="T22" s="10">
        <f t="shared" si="11"/>
        <v>6.4775899999999904</v>
      </c>
      <c r="U22" s="11">
        <f t="shared" si="12"/>
        <v>-3.3419067200000061</v>
      </c>
      <c r="V22" s="12">
        <v>25.58</v>
      </c>
      <c r="W22" s="13">
        <f t="shared" si="13"/>
        <v>0.92906403940886673</v>
      </c>
      <c r="X22" s="14">
        <f t="shared" si="14"/>
        <v>2.8699999999999976E-3</v>
      </c>
    </row>
    <row r="23" spans="1:24" x14ac:dyDescent="0.25">
      <c r="A23" s="4">
        <v>22</v>
      </c>
      <c r="B23" s="4">
        <v>450</v>
      </c>
      <c r="C23" s="4">
        <f t="shared" si="0"/>
        <v>0.125</v>
      </c>
      <c r="D23" s="4">
        <v>30.41</v>
      </c>
      <c r="E23" s="8">
        <v>0.43919999999999998</v>
      </c>
      <c r="F23" s="4">
        <f>12.98/1000</f>
        <v>1.298E-2</v>
      </c>
      <c r="G23" s="4">
        <v>22.15</v>
      </c>
      <c r="H23" s="8">
        <v>0.87590000000000001</v>
      </c>
      <c r="I23" s="4">
        <f>15.92/1000</f>
        <v>1.592E-2</v>
      </c>
      <c r="J23" s="10">
        <f t="shared" si="1"/>
        <v>1.0634062279545609</v>
      </c>
      <c r="K23" s="10">
        <f t="shared" si="2"/>
        <v>1.0931664700108197</v>
      </c>
      <c r="L23" s="10">
        <f t="shared" si="3"/>
        <v>0.13478579362283627</v>
      </c>
      <c r="M23" s="10">
        <f t="shared" si="4"/>
        <v>1.7495196012244148E-3</v>
      </c>
      <c r="N23" s="10">
        <f t="shared" si="5"/>
        <v>2.1457898344755533E-3</v>
      </c>
      <c r="O23" s="10">
        <f t="shared" si="6"/>
        <v>3.9627023325113846E-4</v>
      </c>
      <c r="P23" s="10">
        <f t="shared" si="7"/>
        <v>-1148.827199274474</v>
      </c>
      <c r="Q23" s="10">
        <f t="shared" si="8"/>
        <v>894.38191644781955</v>
      </c>
      <c r="R23" s="10">
        <f t="shared" si="9"/>
        <v>-254.44528282665442</v>
      </c>
      <c r="S23" s="10">
        <f t="shared" si="10"/>
        <v>-8.5233552320000001</v>
      </c>
      <c r="T23" s="10">
        <f t="shared" si="11"/>
        <v>6.6355799999999965</v>
      </c>
      <c r="U23" s="11">
        <f t="shared" si="12"/>
        <v>-1.8877752320000036</v>
      </c>
      <c r="V23" s="12">
        <v>21</v>
      </c>
      <c r="W23" s="13">
        <f t="shared" si="13"/>
        <v>0.87778958554729025</v>
      </c>
      <c r="X23" s="14">
        <f t="shared" si="14"/>
        <v>2.9399999999999999E-3</v>
      </c>
    </row>
    <row r="24" spans="1:24" x14ac:dyDescent="0.25">
      <c r="A24" s="4">
        <v>23</v>
      </c>
      <c r="B24" s="4">
        <v>450</v>
      </c>
      <c r="C24" s="4">
        <f t="shared" si="0"/>
        <v>0.125</v>
      </c>
      <c r="D24" s="4">
        <v>25.2</v>
      </c>
      <c r="E24" s="8">
        <v>0.92649999999999999</v>
      </c>
      <c r="F24" s="4">
        <f>20.29/1000</f>
        <v>2.0289999999999999E-2</v>
      </c>
      <c r="G24" s="4">
        <v>23.12</v>
      </c>
      <c r="H24" s="5">
        <v>1</v>
      </c>
      <c r="I24" s="4">
        <f>19.32/1000</f>
        <v>1.932E-2</v>
      </c>
      <c r="J24" s="10">
        <f t="shared" si="1"/>
        <v>1.0819855252303601</v>
      </c>
      <c r="K24" s="10">
        <f t="shared" si="2"/>
        <v>1.0895855856534289</v>
      </c>
      <c r="L24" s="10">
        <f t="shared" si="3"/>
        <v>0.13572319443023681</v>
      </c>
      <c r="M24" s="10">
        <f t="shared" si="4"/>
        <v>2.7538236149895049E-3</v>
      </c>
      <c r="N24" s="10">
        <f t="shared" si="5"/>
        <v>2.6221721163921753E-3</v>
      </c>
      <c r="O24" s="10">
        <f t="shared" si="6"/>
        <v>-1.3165149859732965E-4</v>
      </c>
      <c r="P24" s="10">
        <f t="shared" si="7"/>
        <v>-295.10211210949927</v>
      </c>
      <c r="Q24" s="10">
        <f t="shared" si="8"/>
        <v>-297.13743233417301</v>
      </c>
      <c r="R24" s="10">
        <f t="shared" si="9"/>
        <v>-592.23954444367223</v>
      </c>
      <c r="S24" s="10">
        <f t="shared" si="10"/>
        <v>-2.174293887999998</v>
      </c>
      <c r="T24" s="10">
        <f t="shared" si="11"/>
        <v>-2.1892899999999988</v>
      </c>
      <c r="U24" s="11">
        <f t="shared" si="12"/>
        <v>-4.3635838879999973</v>
      </c>
      <c r="V24" s="12">
        <v>24.25</v>
      </c>
      <c r="W24" s="13">
        <f t="shared" si="13"/>
        <v>2.189473684210526</v>
      </c>
      <c r="X24" s="14">
        <f t="shared" si="14"/>
        <v>-9.6999999999999864E-4</v>
      </c>
    </row>
    <row r="25" spans="1:24" x14ac:dyDescent="0.25">
      <c r="A25" s="4">
        <v>24</v>
      </c>
      <c r="B25" s="4">
        <v>450</v>
      </c>
      <c r="C25" s="4">
        <f t="shared" si="0"/>
        <v>0.125</v>
      </c>
      <c r="D25" s="4">
        <v>46.75</v>
      </c>
      <c r="E25" s="8">
        <v>0.16520000000000001</v>
      </c>
      <c r="F25" s="4">
        <f>11.78/1000</f>
        <v>1.1779999999999999E-2</v>
      </c>
      <c r="G25" s="4">
        <v>31.1</v>
      </c>
      <c r="H25" s="8">
        <v>0.63719999999999999</v>
      </c>
      <c r="I25" s="4">
        <f>19.67/1000</f>
        <v>1.967E-2</v>
      </c>
      <c r="J25" s="10">
        <f t="shared" si="1"/>
        <v>1.0090635922554914</v>
      </c>
      <c r="K25" s="10">
        <f t="shared" si="2"/>
        <v>1.0609933693643319</v>
      </c>
      <c r="L25" s="10">
        <f t="shared" si="3"/>
        <v>0.12937856010123894</v>
      </c>
      <c r="M25" s="10">
        <f t="shared" si="4"/>
        <v>1.5240794379925945E-3</v>
      </c>
      <c r="N25" s="10">
        <f t="shared" si="5"/>
        <v>2.5448762771913699E-3</v>
      </c>
      <c r="O25" s="10">
        <f t="shared" si="6"/>
        <v>1.0207968391987754E-3</v>
      </c>
      <c r="P25" s="10">
        <f t="shared" si="7"/>
        <v>-2084.860052805499</v>
      </c>
      <c r="Q25" s="10">
        <f t="shared" si="8"/>
        <v>2303.938466071636</v>
      </c>
      <c r="R25" s="10">
        <f t="shared" si="9"/>
        <v>219.07841326613698</v>
      </c>
      <c r="S25" s="10">
        <f t="shared" si="10"/>
        <v>-16.114416879999997</v>
      </c>
      <c r="T25" s="10">
        <f t="shared" si="11"/>
        <v>17.807729999999999</v>
      </c>
      <c r="U25" s="11">
        <f t="shared" si="12"/>
        <v>1.6933131200000027</v>
      </c>
      <c r="V25" s="12">
        <v>24.62</v>
      </c>
      <c r="W25" s="13">
        <f t="shared" si="13"/>
        <v>0.70718481699051061</v>
      </c>
      <c r="X25" s="14">
        <f t="shared" si="14"/>
        <v>7.8900000000000012E-3</v>
      </c>
    </row>
    <row r="26" spans="1:24" x14ac:dyDescent="0.25">
      <c r="A26" s="4">
        <v>25</v>
      </c>
      <c r="B26" s="4">
        <v>450</v>
      </c>
      <c r="C26" s="4">
        <f t="shared" si="0"/>
        <v>0.125</v>
      </c>
      <c r="D26" s="4">
        <v>51.13</v>
      </c>
      <c r="E26" s="8">
        <v>0.2329</v>
      </c>
      <c r="F26" s="4">
        <f>20.28/1000</f>
        <v>2.0279999999999999E-2</v>
      </c>
      <c r="G26" s="4">
        <v>37.369999999999997</v>
      </c>
      <c r="H26" s="8">
        <v>0.68899999999999995</v>
      </c>
      <c r="I26" s="4">
        <f>30.34/1000</f>
        <v>3.0339999999999999E-2</v>
      </c>
      <c r="J26" s="10">
        <f t="shared" si="1"/>
        <v>0.99542801846078233</v>
      </c>
      <c r="K26" s="10">
        <f t="shared" si="2"/>
        <v>1.0395595051831472</v>
      </c>
      <c r="L26" s="10">
        <f t="shared" si="3"/>
        <v>0.1271867202277456</v>
      </c>
      <c r="M26" s="10">
        <f t="shared" si="4"/>
        <v>2.5793466862186806E-3</v>
      </c>
      <c r="N26" s="10">
        <f t="shared" si="5"/>
        <v>3.8588450917098013E-3</v>
      </c>
      <c r="O26" s="10">
        <f t="shared" si="6"/>
        <v>1.2794984054911207E-3</v>
      </c>
      <c r="P26" s="10">
        <f t="shared" si="7"/>
        <v>-1829.3949156368094</v>
      </c>
      <c r="Q26" s="10">
        <f t="shared" si="8"/>
        <v>2887.8279011934596</v>
      </c>
      <c r="R26" s="10">
        <f t="shared" si="9"/>
        <v>1058.4329855566502</v>
      </c>
      <c r="S26" s="10">
        <f t="shared" si="10"/>
        <v>-14.383537152000004</v>
      </c>
      <c r="T26" s="10">
        <f t="shared" si="11"/>
        <v>22.70542</v>
      </c>
      <c r="U26" s="11">
        <f t="shared" si="12"/>
        <v>8.321882847999996</v>
      </c>
      <c r="V26" s="12">
        <v>30.35</v>
      </c>
      <c r="W26" s="13">
        <f t="shared" si="13"/>
        <v>0.66217516843118407</v>
      </c>
      <c r="X26" s="14">
        <f t="shared" si="14"/>
        <v>1.0059999999999999E-2</v>
      </c>
    </row>
    <row r="27" spans="1:24" x14ac:dyDescent="0.25">
      <c r="A27" s="4">
        <v>26</v>
      </c>
      <c r="B27" s="4">
        <v>450</v>
      </c>
      <c r="C27" s="4">
        <f t="shared" si="0"/>
        <v>0.125</v>
      </c>
      <c r="D27" s="4">
        <v>46.77</v>
      </c>
      <c r="E27" s="8">
        <v>0.28799999999999998</v>
      </c>
      <c r="F27" s="4">
        <f>20.57/1000</f>
        <v>2.0570000000000001E-2</v>
      </c>
      <c r="G27" s="4">
        <v>32.79</v>
      </c>
      <c r="H27" s="8">
        <v>0.73480000000000001</v>
      </c>
      <c r="I27" s="4">
        <f>25.04/1000</f>
        <v>2.504E-2</v>
      </c>
      <c r="J27" s="10">
        <f t="shared" si="1"/>
        <v>1.0090004804193433</v>
      </c>
      <c r="K27" s="10">
        <f t="shared" si="2"/>
        <v>1.0551296105945038</v>
      </c>
      <c r="L27" s="10">
        <f t="shared" si="3"/>
        <v>0.12900813068836545</v>
      </c>
      <c r="M27" s="10">
        <f t="shared" si="4"/>
        <v>2.6536972482596776E-3</v>
      </c>
      <c r="N27" s="10">
        <f t="shared" si="5"/>
        <v>3.2303635924366709E-3</v>
      </c>
      <c r="O27" s="10">
        <f t="shared" si="6"/>
        <v>5.7666634417699331E-4</v>
      </c>
      <c r="P27" s="10">
        <f t="shared" si="7"/>
        <v>-1886.2235214159696</v>
      </c>
      <c r="Q27" s="10">
        <f t="shared" si="8"/>
        <v>1301.5359388074739</v>
      </c>
      <c r="R27" s="10">
        <f t="shared" si="9"/>
        <v>-584.68758260849563</v>
      </c>
      <c r="S27" s="10">
        <f t="shared" si="10"/>
        <v>-14.620966224000005</v>
      </c>
      <c r="T27" s="10">
        <f t="shared" si="11"/>
        <v>10.088789999999996</v>
      </c>
      <c r="U27" s="11">
        <f t="shared" si="12"/>
        <v>-4.5321762240000094</v>
      </c>
      <c r="V27" s="12">
        <v>29.33</v>
      </c>
      <c r="W27" s="13">
        <f t="shared" si="13"/>
        <v>0.80160550458715596</v>
      </c>
      <c r="X27" s="14">
        <f t="shared" si="14"/>
        <v>4.4699999999999983E-3</v>
      </c>
    </row>
    <row r="28" spans="1:24" x14ac:dyDescent="0.25">
      <c r="A28" s="4">
        <v>27</v>
      </c>
      <c r="B28" s="4">
        <v>450</v>
      </c>
      <c r="C28" s="4">
        <f t="shared" si="0"/>
        <v>0.125</v>
      </c>
      <c r="D28" s="4">
        <v>41.52</v>
      </c>
      <c r="E28" s="8">
        <v>0.30599999999999999</v>
      </c>
      <c r="F28" s="4">
        <f>16.7/1000</f>
        <v>1.67E-2</v>
      </c>
      <c r="G28" s="4">
        <v>29.12</v>
      </c>
      <c r="H28" s="8">
        <v>0.72840000000000005</v>
      </c>
      <c r="I28" s="4">
        <f>20.07/1000</f>
        <v>2.0070000000000001E-2</v>
      </c>
      <c r="J28" s="10">
        <f t="shared" si="1"/>
        <v>1.0258428196098608</v>
      </c>
      <c r="K28" s="10">
        <f t="shared" si="2"/>
        <v>1.0679467881096696</v>
      </c>
      <c r="L28" s="10">
        <f t="shared" si="3"/>
        <v>0.13086185048247065</v>
      </c>
      <c r="M28" s="10">
        <f t="shared" si="4"/>
        <v>2.1853929030572596E-3</v>
      </c>
      <c r="N28" s="10">
        <f t="shared" si="5"/>
        <v>2.6263973391831862E-3</v>
      </c>
      <c r="O28" s="10">
        <f t="shared" si="6"/>
        <v>4.4100443612592665E-4</v>
      </c>
      <c r="P28" s="10">
        <f t="shared" si="7"/>
        <v>-1685.5303660266516</v>
      </c>
      <c r="Q28" s="10">
        <f t="shared" si="8"/>
        <v>995.34701233621649</v>
      </c>
      <c r="R28" s="10">
        <f t="shared" si="9"/>
        <v>-690.18335369043507</v>
      </c>
      <c r="S28" s="10">
        <f>P28/(1000*L28)</f>
        <v>-12.880227199999998</v>
      </c>
      <c r="T28" s="10">
        <f t="shared" si="11"/>
        <v>7.6060900000000098</v>
      </c>
      <c r="U28" s="11">
        <f t="shared" si="12"/>
        <v>-5.2741371999999886</v>
      </c>
      <c r="V28" s="12">
        <v>26.17</v>
      </c>
      <c r="W28" s="13">
        <f t="shared" si="13"/>
        <v>0.80781758957654726</v>
      </c>
      <c r="X28" s="14">
        <f t="shared" si="14"/>
        <v>3.3700000000000015E-3</v>
      </c>
    </row>
    <row r="29" spans="1:24" x14ac:dyDescent="0.25">
      <c r="A29" s="4">
        <v>28</v>
      </c>
      <c r="B29" s="4">
        <v>450</v>
      </c>
      <c r="C29" s="4">
        <f t="shared" si="0"/>
        <v>0.125</v>
      </c>
      <c r="D29" s="4">
        <v>47.99</v>
      </c>
      <c r="E29" s="8">
        <v>0.2077</v>
      </c>
      <c r="F29" s="4">
        <f>15.81/1000</f>
        <v>1.5810000000000001E-2</v>
      </c>
      <c r="G29" s="4">
        <v>32.119999999999997</v>
      </c>
      <c r="H29" s="8">
        <v>0.74429999999999996</v>
      </c>
      <c r="I29" s="4">
        <f>24.41/1000</f>
        <v>2.4410000000000001E-2</v>
      </c>
      <c r="J29" s="10">
        <f t="shared" si="1"/>
        <v>1.0051655304641682</v>
      </c>
      <c r="K29" s="10">
        <f t="shared" si="2"/>
        <v>1.0574465247236935</v>
      </c>
      <c r="L29" s="10">
        <f t="shared" si="3"/>
        <v>0.12891325344924137</v>
      </c>
      <c r="M29" s="10">
        <f t="shared" si="4"/>
        <v>2.0381185370325064E-3</v>
      </c>
      <c r="N29" s="10">
        <f t="shared" si="5"/>
        <v>3.1467725166959819E-3</v>
      </c>
      <c r="O29" s="10">
        <f t="shared" si="6"/>
        <v>1.1086539796634756E-3</v>
      </c>
      <c r="P29" s="10">
        <f t="shared" si="7"/>
        <v>-2121.7348506735561</v>
      </c>
      <c r="Q29" s="10">
        <f t="shared" si="8"/>
        <v>2502.2320321004645</v>
      </c>
      <c r="R29" s="10">
        <f t="shared" si="9"/>
        <v>380.49718142690836</v>
      </c>
      <c r="S29" s="10">
        <f t="shared" si="10"/>
        <v>-16.458624648000008</v>
      </c>
      <c r="T29" s="10">
        <f t="shared" si="11"/>
        <v>19.410199999999996</v>
      </c>
      <c r="U29" s="11">
        <f t="shared" si="12"/>
        <v>2.9515753519999883</v>
      </c>
      <c r="V29" s="12">
        <v>27.19</v>
      </c>
      <c r="W29" s="13">
        <f t="shared" si="13"/>
        <v>0.76298076923076941</v>
      </c>
      <c r="X29" s="14">
        <f t="shared" si="14"/>
        <v>8.6E-3</v>
      </c>
    </row>
    <row r="30" spans="1:24" x14ac:dyDescent="0.25">
      <c r="A30" s="4">
        <v>29</v>
      </c>
      <c r="B30" s="4">
        <v>450</v>
      </c>
      <c r="C30" s="4">
        <f t="shared" si="0"/>
        <v>0.125</v>
      </c>
      <c r="D30" s="4">
        <v>43.19</v>
      </c>
      <c r="E30" s="8">
        <v>0.39340000000000003</v>
      </c>
      <c r="F30" s="4">
        <f>23.51/1000</f>
        <v>2.3510000000000003E-2</v>
      </c>
      <c r="G30" s="4">
        <v>31.95</v>
      </c>
      <c r="H30" s="8">
        <v>0.8901</v>
      </c>
      <c r="I30" s="4">
        <f>28.99/1000</f>
        <v>2.8989999999999998E-2</v>
      </c>
      <c r="J30" s="10">
        <f t="shared" si="1"/>
        <v>1.0204246928229652</v>
      </c>
      <c r="K30" s="10">
        <f t="shared" si="2"/>
        <v>1.058036017785517</v>
      </c>
      <c r="L30" s="10">
        <f t="shared" si="3"/>
        <v>0.12990379441303013</v>
      </c>
      <c r="M30" s="10">
        <f t="shared" si="4"/>
        <v>3.0540382066503386E-3</v>
      </c>
      <c r="N30" s="10">
        <f t="shared" si="5"/>
        <v>3.7659110000337432E-3</v>
      </c>
      <c r="O30" s="10">
        <f t="shared" si="6"/>
        <v>7.1187279338340466E-4</v>
      </c>
      <c r="P30" s="10">
        <f t="shared" si="7"/>
        <v>-1534.9619949707378</v>
      </c>
      <c r="Q30" s="10">
        <f t="shared" si="8"/>
        <v>1606.6968946663444</v>
      </c>
      <c r="R30" s="10">
        <f t="shared" si="9"/>
        <v>71.7348996956066</v>
      </c>
      <c r="S30" s="10">
        <f t="shared" si="10"/>
        <v>-11.816144415999998</v>
      </c>
      <c r="T30" s="10">
        <f t="shared" si="11"/>
        <v>12.368359999999992</v>
      </c>
      <c r="U30" s="11">
        <f t="shared" si="12"/>
        <v>0.5522155839999936</v>
      </c>
      <c r="V30" s="12">
        <v>30.03</v>
      </c>
      <c r="W30" s="13">
        <f t="shared" si="13"/>
        <v>0.85410334346504568</v>
      </c>
      <c r="X30" s="14">
        <f t="shared" si="14"/>
        <v>5.4799999999999953E-3</v>
      </c>
    </row>
    <row r="31" spans="1:24" x14ac:dyDescent="0.25">
      <c r="A31" s="4">
        <v>30</v>
      </c>
      <c r="B31" s="4">
        <v>450</v>
      </c>
      <c r="C31" s="4">
        <f t="shared" si="0"/>
        <v>0.125</v>
      </c>
      <c r="D31" s="4">
        <v>51.96</v>
      </c>
      <c r="E31" s="8">
        <v>0.18579999999999999</v>
      </c>
      <c r="F31" s="4">
        <f>17.22/1000</f>
        <v>1.7219999999999999E-2</v>
      </c>
      <c r="G31" s="4">
        <v>34.22</v>
      </c>
      <c r="H31" s="8">
        <v>0.69510000000000005</v>
      </c>
      <c r="I31" s="4">
        <f>25.67/1000</f>
        <v>2.5670000000000002E-2</v>
      </c>
      <c r="J31" s="10">
        <f t="shared" si="1"/>
        <v>0.99288553552342873</v>
      </c>
      <c r="K31" s="10">
        <f t="shared" si="2"/>
        <v>1.050218356954929</v>
      </c>
      <c r="L31" s="10">
        <f t="shared" si="3"/>
        <v>0.12769399327989736</v>
      </c>
      <c r="M31" s="10">
        <f t="shared" si="4"/>
        <v>2.1988905642798323E-3</v>
      </c>
      <c r="N31" s="10">
        <f t="shared" si="5"/>
        <v>3.2779048074949653E-3</v>
      </c>
      <c r="O31" s="10">
        <f t="shared" si="6"/>
        <v>1.079014243215133E-3</v>
      </c>
      <c r="P31" s="10">
        <f t="shared" si="7"/>
        <v>-2355.1890785546589</v>
      </c>
      <c r="Q31" s="10">
        <f t="shared" si="8"/>
        <v>2435.3351469365552</v>
      </c>
      <c r="R31" s="10">
        <f t="shared" si="9"/>
        <v>80.146068381896384</v>
      </c>
      <c r="S31" s="10">
        <f t="shared" si="10"/>
        <v>-18.444008352000001</v>
      </c>
      <c r="T31" s="10">
        <f t="shared" si="11"/>
        <v>19.071650000000005</v>
      </c>
      <c r="U31" s="11">
        <f t="shared" si="12"/>
        <v>0.62764164800000444</v>
      </c>
      <c r="V31" s="12">
        <v>28.8</v>
      </c>
      <c r="W31" s="13">
        <f t="shared" si="13"/>
        <v>0.76597582037996559</v>
      </c>
      <c r="X31" s="14">
        <f t="shared" si="14"/>
        <v>8.4500000000000026E-3</v>
      </c>
    </row>
    <row r="32" spans="1:24" x14ac:dyDescent="0.25">
      <c r="A32" s="4">
        <v>31</v>
      </c>
      <c r="B32" s="4">
        <v>450</v>
      </c>
      <c r="C32" s="4">
        <f t="shared" si="0"/>
        <v>0.125</v>
      </c>
      <c r="D32" s="4">
        <v>41.48</v>
      </c>
      <c r="E32" s="8">
        <v>0.31609999999999999</v>
      </c>
      <c r="F32" s="4">
        <f>17.22/1000</f>
        <v>1.7219999999999999E-2</v>
      </c>
      <c r="G32" s="4">
        <v>29.52</v>
      </c>
      <c r="H32" s="8">
        <v>0.74360000000000004</v>
      </c>
      <c r="I32" s="4">
        <f>20.98/1000</f>
        <v>2.0980000000000002E-2</v>
      </c>
      <c r="J32" s="10">
        <f t="shared" si="1"/>
        <v>1.0259733007621894</v>
      </c>
      <c r="K32" s="10">
        <f t="shared" si="2"/>
        <v>1.0665347204273881</v>
      </c>
      <c r="L32" s="10">
        <f t="shared" si="3"/>
        <v>0.13078175132434861</v>
      </c>
      <c r="M32" s="10">
        <f t="shared" si="4"/>
        <v>2.252061757805283E-3</v>
      </c>
      <c r="N32" s="10">
        <f t="shared" si="5"/>
        <v>2.743801142784834E-3</v>
      </c>
      <c r="O32" s="10">
        <f t="shared" si="6"/>
        <v>4.9173938497955099E-4</v>
      </c>
      <c r="P32" s="10">
        <f t="shared" si="7"/>
        <v>-1626.2227156728889</v>
      </c>
      <c r="Q32" s="10">
        <f t="shared" si="8"/>
        <v>1109.8557918988465</v>
      </c>
      <c r="R32" s="10">
        <f t="shared" si="9"/>
        <v>-516.36692377404233</v>
      </c>
      <c r="S32" s="10">
        <f t="shared" si="10"/>
        <v>-12.434630207999996</v>
      </c>
      <c r="T32" s="10">
        <f t="shared" si="11"/>
        <v>8.4863200000000028</v>
      </c>
      <c r="U32" s="11">
        <f t="shared" si="12"/>
        <v>-3.9483102079999934</v>
      </c>
      <c r="V32" s="12">
        <v>26.45</v>
      </c>
      <c r="W32" s="13">
        <f t="shared" si="13"/>
        <v>0.79574184963406513</v>
      </c>
      <c r="X32" s="14">
        <f t="shared" si="14"/>
        <v>3.7600000000000029E-3</v>
      </c>
    </row>
    <row r="33" spans="1:24" x14ac:dyDescent="0.25">
      <c r="A33" s="4">
        <v>32</v>
      </c>
      <c r="B33" s="4">
        <v>450</v>
      </c>
      <c r="C33" s="4">
        <f t="shared" si="0"/>
        <v>0.125</v>
      </c>
      <c r="D33" s="4">
        <v>25.2</v>
      </c>
      <c r="E33" s="8">
        <v>0.57950000000000002</v>
      </c>
      <c r="F33" s="4">
        <f>12.63/1000</f>
        <v>1.2630000000000001E-2</v>
      </c>
      <c r="G33" s="4">
        <v>19.579999999999998</v>
      </c>
      <c r="H33" s="5">
        <v>0.9</v>
      </c>
      <c r="I33" s="4">
        <f>13.95/1000</f>
        <v>1.3949999999999999E-2</v>
      </c>
      <c r="J33" s="10">
        <f t="shared" si="1"/>
        <v>1.0819855252303601</v>
      </c>
      <c r="K33" s="10">
        <f t="shared" si="2"/>
        <v>1.1027687593946729</v>
      </c>
      <c r="L33" s="10">
        <f t="shared" si="3"/>
        <v>0.13654714278906455</v>
      </c>
      <c r="M33" s="10">
        <f t="shared" si="4"/>
        <v>1.7245904134258853E-3</v>
      </c>
      <c r="N33" s="10">
        <f t="shared" si="5"/>
        <v>1.9048326419074503E-3</v>
      </c>
      <c r="O33" s="10">
        <f t="shared" si="6"/>
        <v>1.8024222848156499E-4</v>
      </c>
      <c r="P33" s="10">
        <f t="shared" si="7"/>
        <v>-791.36774656149373</v>
      </c>
      <c r="Q33" s="10">
        <f t="shared" si="8"/>
        <v>406.80670968289218</v>
      </c>
      <c r="R33" s="10">
        <f t="shared" si="9"/>
        <v>-384.56103687860156</v>
      </c>
      <c r="S33" s="10">
        <f t="shared" si="10"/>
        <v>-5.7955643040000018</v>
      </c>
      <c r="T33" s="10">
        <f t="shared" si="11"/>
        <v>2.9792399999999968</v>
      </c>
      <c r="U33" s="11">
        <f t="shared" si="12"/>
        <v>-2.816324304000005</v>
      </c>
      <c r="V33" s="12">
        <v>19.21</v>
      </c>
      <c r="W33" s="13">
        <f t="shared" si="13"/>
        <v>0.93823038397328917</v>
      </c>
      <c r="X33" s="14">
        <f t="shared" si="14"/>
        <v>1.3199999999999983E-3</v>
      </c>
    </row>
    <row r="34" spans="1:24" x14ac:dyDescent="0.25">
      <c r="A34" s="4">
        <v>33</v>
      </c>
      <c r="B34" s="4">
        <v>450</v>
      </c>
      <c r="C34" s="4">
        <f t="shared" si="0"/>
        <v>0.125</v>
      </c>
      <c r="D34" s="4">
        <v>30.03</v>
      </c>
      <c r="E34" s="8">
        <v>0.69159999999999999</v>
      </c>
      <c r="F34" s="4">
        <f>20.08/1000</f>
        <v>2.0079999999999997E-2</v>
      </c>
      <c r="G34" s="4">
        <v>25.67</v>
      </c>
      <c r="H34" s="5">
        <v>1</v>
      </c>
      <c r="I34" s="4">
        <f>22.55/1000</f>
        <v>2.2550000000000001E-2</v>
      </c>
      <c r="J34" s="10">
        <f t="shared" si="1"/>
        <v>1.0647397406979291</v>
      </c>
      <c r="K34" s="10">
        <f t="shared" si="2"/>
        <v>1.0802828661187711</v>
      </c>
      <c r="L34" s="10">
        <f t="shared" si="3"/>
        <v>0.13406391292604375</v>
      </c>
      <c r="M34" s="10">
        <f t="shared" si="4"/>
        <v>2.6920033715549579E-3</v>
      </c>
      <c r="N34" s="10">
        <f t="shared" si="5"/>
        <v>3.0231412364822865E-3</v>
      </c>
      <c r="O34" s="10">
        <f t="shared" si="6"/>
        <v>3.3113786492732855E-4</v>
      </c>
      <c r="P34" s="10">
        <f t="shared" si="7"/>
        <v>-610.79113748837358</v>
      </c>
      <c r="Q34" s="10">
        <f t="shared" si="8"/>
        <v>747.37816114098052</v>
      </c>
      <c r="R34" s="10">
        <f t="shared" si="9"/>
        <v>136.58702365260694</v>
      </c>
      <c r="S34" s="10">
        <f t="shared" si="10"/>
        <v>-4.555969792</v>
      </c>
      <c r="T34" s="10">
        <f t="shared" si="11"/>
        <v>5.5747900000000081</v>
      </c>
      <c r="U34" s="11">
        <f t="shared" si="12"/>
        <v>1.0188202080000082</v>
      </c>
      <c r="V34" s="12">
        <v>25.35</v>
      </c>
      <c r="W34" s="13">
        <f t="shared" si="13"/>
        <v>0.93162393162393153</v>
      </c>
      <c r="X34" s="14">
        <f t="shared" si="14"/>
        <v>2.4700000000000034E-3</v>
      </c>
    </row>
    <row r="35" spans="1:24" x14ac:dyDescent="0.25">
      <c r="A35" s="4">
        <v>34</v>
      </c>
      <c r="B35" s="4">
        <v>450</v>
      </c>
      <c r="C35" s="4">
        <f t="shared" ref="C35" si="15">B35/3600</f>
        <v>0.125</v>
      </c>
      <c r="D35" s="4">
        <v>30.01</v>
      </c>
      <c r="E35" s="8">
        <v>0.61619999999999997</v>
      </c>
      <c r="F35" s="4">
        <f>17.85/1000</f>
        <v>1.7850000000000001E-2</v>
      </c>
      <c r="G35" s="4">
        <v>23.75</v>
      </c>
      <c r="H35" s="8">
        <v>0.95750000000000002</v>
      </c>
      <c r="I35" s="4">
        <f>19.59/1000</f>
        <v>1.959E-2</v>
      </c>
      <c r="J35" s="10">
        <f t="shared" ref="J35" si="16">$AF$1/(287*(273+D35))</f>
        <v>1.0648100182294096</v>
      </c>
      <c r="K35" s="10">
        <f t="shared" ref="K35" si="17">$AF$1/(287*(273+G35))</f>
        <v>1.0872723963730189</v>
      </c>
      <c r="L35" s="10">
        <f t="shared" ref="L35" si="18">((J35+K35)/2)*C35</f>
        <v>0.13450515091265178</v>
      </c>
      <c r="M35" s="10">
        <f t="shared" ref="M35" si="19">L35*F35</f>
        <v>2.4009169437908344E-3</v>
      </c>
      <c r="N35" s="10">
        <f t="shared" ref="N35" si="20">L35*I35</f>
        <v>2.6349559063788483E-3</v>
      </c>
      <c r="O35" s="10">
        <f t="shared" ref="O35" si="21">N35-M35</f>
        <v>2.3403896258801385E-4</v>
      </c>
      <c r="P35" s="10">
        <f t="shared" ref="P35" si="22">-$AF$2*L35*(D35-G35)-M35*$AF$3*(D35-G35)</f>
        <v>-876.39298439626623</v>
      </c>
      <c r="Q35" s="10">
        <f t="shared" ref="Q35" si="23">(N35-M35)*$AF$4</f>
        <v>528.22593856114725</v>
      </c>
      <c r="R35" s="10">
        <f t="shared" ref="R35" si="24">P35+Q35</f>
        <v>-348.16704583511898</v>
      </c>
      <c r="S35" s="10">
        <f t="shared" ref="S35" si="25">P35/(1000*L35)</f>
        <v>-6.5156834400000019</v>
      </c>
      <c r="T35" s="10">
        <f t="shared" ref="T35" si="26">Q35/(1000*L35)</f>
        <v>3.9271799999999959</v>
      </c>
      <c r="U35" s="11">
        <f t="shared" ref="U35" si="27">S35+T35</f>
        <v>-2.588503440000006</v>
      </c>
      <c r="V35" s="12">
        <v>24.01</v>
      </c>
      <c r="W35" s="13">
        <f t="shared" ref="W35" si="28">(G35-D35)/(-D35+V35)</f>
        <v>1.0433333333333337</v>
      </c>
      <c r="X35" s="14">
        <f t="shared" ref="X35" si="29">I35-F35</f>
        <v>1.7399999999999985E-3</v>
      </c>
    </row>
    <row r="36" spans="1:24" x14ac:dyDescent="0.25">
      <c r="A36" s="4">
        <v>35</v>
      </c>
      <c r="B36" s="4">
        <v>450</v>
      </c>
      <c r="C36" s="4">
        <f t="shared" si="0"/>
        <v>0.125</v>
      </c>
      <c r="D36" s="4">
        <v>35.020000000000003</v>
      </c>
      <c r="E36" s="8">
        <v>0.58699999999999997</v>
      </c>
      <c r="F36" s="4">
        <f>22.62/1000</f>
        <v>2.2620000000000001E-2</v>
      </c>
      <c r="G36" s="4">
        <v>26.98</v>
      </c>
      <c r="H36" s="8">
        <v>0.98129999999999995</v>
      </c>
      <c r="I36" s="4">
        <f>23.93/1000</f>
        <v>2.393E-2</v>
      </c>
      <c r="J36" s="10">
        <f t="shared" si="1"/>
        <v>1.0474906941876938</v>
      </c>
      <c r="K36" s="10">
        <f t="shared" si="2"/>
        <v>1.0755653164334067</v>
      </c>
      <c r="L36" s="10">
        <f t="shared" si="3"/>
        <v>0.13269100066381878</v>
      </c>
      <c r="M36" s="10">
        <f t="shared" si="4"/>
        <v>3.0014704350155809E-3</v>
      </c>
      <c r="N36" s="10">
        <f t="shared" si="5"/>
        <v>3.1752956458851833E-3</v>
      </c>
      <c r="O36" s="10">
        <f t="shared" si="6"/>
        <v>1.7382521086960244E-4</v>
      </c>
      <c r="P36" s="10">
        <f t="shared" si="7"/>
        <v>-1119.7728835272467</v>
      </c>
      <c r="Q36" s="10">
        <f t="shared" si="8"/>
        <v>392.3235009326927</v>
      </c>
      <c r="R36" s="10">
        <f t="shared" si="9"/>
        <v>-727.44938259455398</v>
      </c>
      <c r="S36" s="10">
        <f t="shared" si="10"/>
        <v>-8.4389512320000026</v>
      </c>
      <c r="T36" s="10">
        <f t="shared" si="11"/>
        <v>2.9566699999999972</v>
      </c>
      <c r="U36" s="11">
        <f t="shared" si="12"/>
        <v>-5.4822812320000054</v>
      </c>
      <c r="V36" s="12">
        <v>27.86</v>
      </c>
      <c r="W36" s="13">
        <f t="shared" si="13"/>
        <v>1.1229050279329607</v>
      </c>
      <c r="X36" s="14">
        <f t="shared" si="14"/>
        <v>1.3099999999999987E-3</v>
      </c>
    </row>
    <row r="37" spans="1:24" x14ac:dyDescent="0.25">
      <c r="A37" s="4">
        <v>36</v>
      </c>
      <c r="B37" s="4">
        <v>450</v>
      </c>
      <c r="C37" s="4">
        <f t="shared" si="0"/>
        <v>0.125</v>
      </c>
      <c r="D37" s="4">
        <v>25</v>
      </c>
      <c r="E37" s="4">
        <v>69.73</v>
      </c>
      <c r="F37" s="4">
        <f>15.04/1000</f>
        <v>1.504E-2</v>
      </c>
      <c r="G37" s="4">
        <v>20.99</v>
      </c>
      <c r="H37" s="4">
        <v>100</v>
      </c>
      <c r="I37" s="4">
        <f>16.94/1000</f>
        <v>1.694E-2</v>
      </c>
      <c r="J37" s="10">
        <f t="shared" si="1"/>
        <v>1.0827116900123939</v>
      </c>
      <c r="K37" s="10">
        <f t="shared" si="2"/>
        <v>1.0974797905496561</v>
      </c>
      <c r="L37" s="10">
        <f t="shared" si="3"/>
        <v>0.13626196753512812</v>
      </c>
      <c r="M37" s="10">
        <f t="shared" si="4"/>
        <v>2.0493799917283267E-3</v>
      </c>
      <c r="N37" s="10">
        <f t="shared" si="5"/>
        <v>2.3082777300450705E-3</v>
      </c>
      <c r="O37" s="10">
        <f t="shared" si="6"/>
        <v>2.588977383167438E-4</v>
      </c>
      <c r="P37" s="10">
        <f t="shared" si="7"/>
        <v>-565.90291906535913</v>
      </c>
      <c r="Q37" s="10">
        <f t="shared" si="8"/>
        <v>584.33219538089077</v>
      </c>
      <c r="R37" s="10">
        <f t="shared" si="9"/>
        <v>18.429276315531638</v>
      </c>
      <c r="S37" s="10">
        <f t="shared" si="10"/>
        <v>-4.1530511360000011</v>
      </c>
      <c r="T37" s="10">
        <f t="shared" si="11"/>
        <v>4.2883000000000058</v>
      </c>
      <c r="U37" s="11">
        <f t="shared" si="12"/>
        <v>0.13524886400000469</v>
      </c>
      <c r="V37" s="12">
        <v>20.85</v>
      </c>
      <c r="W37" s="13">
        <f t="shared" si="13"/>
        <v>0.96626506024096459</v>
      </c>
      <c r="X37" s="14">
        <f t="shared" si="14"/>
        <v>1.9000000000000006E-3</v>
      </c>
    </row>
    <row r="38" spans="1:24" x14ac:dyDescent="0.25">
      <c r="A38" s="4">
        <v>37</v>
      </c>
      <c r="B38" s="4">
        <v>300</v>
      </c>
      <c r="C38" s="4">
        <f t="shared" si="0"/>
        <v>8.3333333333333329E-2</v>
      </c>
      <c r="D38" s="4">
        <v>34.56</v>
      </c>
      <c r="E38" s="8">
        <v>0.33650000000000002</v>
      </c>
      <c r="F38" s="4">
        <f>12.56/1000</f>
        <v>1.256E-2</v>
      </c>
      <c r="G38" s="4">
        <v>23.46</v>
      </c>
      <c r="H38" s="8">
        <v>0.85760000000000003</v>
      </c>
      <c r="I38" s="4">
        <f>16.88/1000</f>
        <v>1.6879999999999999E-2</v>
      </c>
      <c r="J38" s="10">
        <f t="shared" si="1"/>
        <v>1.0490573664445746</v>
      </c>
      <c r="K38" s="10">
        <f t="shared" si="2"/>
        <v>1.0883359766028922</v>
      </c>
      <c r="L38" s="10">
        <f t="shared" si="3"/>
        <v>8.9058055960311105E-2</v>
      </c>
      <c r="M38" s="10">
        <f t="shared" si="4"/>
        <v>1.1185691828615074E-3</v>
      </c>
      <c r="N38" s="10">
        <f t="shared" si="5"/>
        <v>1.5032999846100513E-3</v>
      </c>
      <c r="O38" s="10">
        <f t="shared" si="6"/>
        <v>3.8473080174854387E-4</v>
      </c>
      <c r="P38" s="10">
        <f t="shared" si="7"/>
        <v>-1019.2984335194926</v>
      </c>
      <c r="Q38" s="10">
        <f t="shared" si="8"/>
        <v>868.33741954646348</v>
      </c>
      <c r="R38" s="10">
        <f t="shared" si="9"/>
        <v>-150.96101397302914</v>
      </c>
      <c r="S38" s="10">
        <f t="shared" si="10"/>
        <v>-11.445325440000003</v>
      </c>
      <c r="T38" s="10">
        <f t="shared" si="11"/>
        <v>9.7502399999999962</v>
      </c>
      <c r="U38" s="11">
        <f t="shared" si="12"/>
        <v>-1.6950854400000068</v>
      </c>
      <c r="V38" s="12">
        <v>21.89</v>
      </c>
      <c r="W38" s="13">
        <f t="shared" si="13"/>
        <v>0.8760852407261247</v>
      </c>
      <c r="X38" s="14">
        <f t="shared" si="14"/>
        <v>4.3199999999999992E-3</v>
      </c>
    </row>
    <row r="39" spans="1:24" x14ac:dyDescent="0.25">
      <c r="A39" s="4">
        <v>38</v>
      </c>
      <c r="B39" s="4">
        <v>300</v>
      </c>
      <c r="C39" s="4">
        <f t="shared" si="0"/>
        <v>8.3333333333333329E-2</v>
      </c>
      <c r="D39" s="4">
        <v>40.75</v>
      </c>
      <c r="E39" s="8">
        <v>0.4859</v>
      </c>
      <c r="F39" s="4">
        <f>25.59/1000</f>
        <v>2.5589999999999998E-2</v>
      </c>
      <c r="G39" s="4">
        <v>28.97</v>
      </c>
      <c r="H39" s="5">
        <v>1</v>
      </c>
      <c r="I39" s="4">
        <f>27.44/1000</f>
        <v>2.7440000000000003E-2</v>
      </c>
      <c r="J39" s="10">
        <f t="shared" si="1"/>
        <v>1.0283604258922499</v>
      </c>
      <c r="K39" s="10">
        <f t="shared" si="2"/>
        <v>1.0684772779537481</v>
      </c>
      <c r="L39" s="10">
        <f t="shared" si="3"/>
        <v>8.7368237660249926E-2</v>
      </c>
      <c r="M39" s="10">
        <f t="shared" si="4"/>
        <v>2.2357532017257954E-3</v>
      </c>
      <c r="N39" s="10">
        <f t="shared" si="5"/>
        <v>2.3973844413972584E-3</v>
      </c>
      <c r="O39" s="10">
        <f t="shared" si="6"/>
        <v>1.6163123967146299E-4</v>
      </c>
      <c r="P39" s="10">
        <f t="shared" si="7"/>
        <v>-1085.8918201528929</v>
      </c>
      <c r="Q39" s="10">
        <f t="shared" si="8"/>
        <v>364.80170793849197</v>
      </c>
      <c r="R39" s="10">
        <f t="shared" si="9"/>
        <v>-721.09011221440096</v>
      </c>
      <c r="S39" s="10">
        <f t="shared" si="10"/>
        <v>-12.428908367999998</v>
      </c>
      <c r="T39" s="10">
        <f t="shared" si="11"/>
        <v>4.1754500000000156</v>
      </c>
      <c r="U39" s="11">
        <f t="shared" si="12"/>
        <v>-8.2534583679999827</v>
      </c>
      <c r="V39" s="12">
        <v>30.5</v>
      </c>
      <c r="W39" s="13">
        <f t="shared" si="13"/>
        <v>1.149268292682927</v>
      </c>
      <c r="X39" s="14">
        <f t="shared" si="14"/>
        <v>1.8500000000000044E-3</v>
      </c>
    </row>
    <row r="40" spans="1:24" x14ac:dyDescent="0.25">
      <c r="A40" s="4">
        <v>39</v>
      </c>
      <c r="B40" s="4">
        <v>300</v>
      </c>
      <c r="C40" s="4">
        <f t="shared" si="0"/>
        <v>8.3333333333333329E-2</v>
      </c>
      <c r="D40" s="4">
        <v>30.27</v>
      </c>
      <c r="E40" s="8">
        <v>0.60240000000000005</v>
      </c>
      <c r="F40" s="4">
        <f>17.71/1000</f>
        <v>1.771E-2</v>
      </c>
      <c r="G40" s="4">
        <v>22.94</v>
      </c>
      <c r="H40" s="5">
        <v>1</v>
      </c>
      <c r="I40" s="4">
        <f>19.1/1000</f>
        <v>1.9100000000000002E-2</v>
      </c>
      <c r="J40" s="10">
        <f t="shared" si="1"/>
        <v>1.0638971333257277</v>
      </c>
      <c r="K40" s="10">
        <f t="shared" si="2"/>
        <v>1.090248305817711</v>
      </c>
      <c r="L40" s="10">
        <f t="shared" si="3"/>
        <v>8.9756059964309937E-2</v>
      </c>
      <c r="M40" s="10">
        <f t="shared" si="4"/>
        <v>1.5895798219679291E-3</v>
      </c>
      <c r="N40" s="10">
        <f t="shared" si="5"/>
        <v>1.71434074531832E-3</v>
      </c>
      <c r="O40" s="10">
        <f t="shared" si="6"/>
        <v>1.2476092335039096E-4</v>
      </c>
      <c r="P40" s="10">
        <f t="shared" si="7"/>
        <v>-684.61419586954469</v>
      </c>
      <c r="Q40" s="10">
        <f t="shared" si="8"/>
        <v>281.58540400183239</v>
      </c>
      <c r="R40" s="10">
        <f t="shared" si="9"/>
        <v>-403.0287918677123</v>
      </c>
      <c r="S40" s="10">
        <f t="shared" si="10"/>
        <v>-7.6274983119999984</v>
      </c>
      <c r="T40" s="10">
        <f t="shared" si="11"/>
        <v>3.1372300000000033</v>
      </c>
      <c r="U40" s="11">
        <f t="shared" si="12"/>
        <v>-4.4902683119999951</v>
      </c>
      <c r="V40" s="12">
        <v>24</v>
      </c>
      <c r="W40" s="13">
        <f t="shared" si="13"/>
        <v>1.169059011164274</v>
      </c>
      <c r="X40" s="14">
        <f t="shared" si="14"/>
        <v>1.3900000000000023E-3</v>
      </c>
    </row>
    <row r="41" spans="1:24" x14ac:dyDescent="0.25">
      <c r="A41" s="4">
        <v>40</v>
      </c>
      <c r="B41" s="4">
        <v>300</v>
      </c>
      <c r="C41" s="4">
        <f t="shared" si="0"/>
        <v>8.3333333333333329E-2</v>
      </c>
      <c r="D41" s="4">
        <v>51.52</v>
      </c>
      <c r="E41" s="8">
        <v>0.1459</v>
      </c>
      <c r="F41" s="4">
        <f>13.22/1000</f>
        <v>1.3220000000000001E-2</v>
      </c>
      <c r="G41" s="4">
        <v>30.34</v>
      </c>
      <c r="H41" s="5">
        <v>0.74</v>
      </c>
      <c r="I41" s="4">
        <f>21.269/1000</f>
        <v>2.1269E-2</v>
      </c>
      <c r="J41" s="10">
        <f t="shared" si="1"/>
        <v>0.99423173802444664</v>
      </c>
      <c r="K41" s="10">
        <f t="shared" si="2"/>
        <v>1.0636516239984619</v>
      </c>
      <c r="L41" s="10">
        <f t="shared" si="3"/>
        <v>8.5745140084287852E-2</v>
      </c>
      <c r="M41" s="10">
        <f t="shared" si="4"/>
        <v>1.1335507519142855E-3</v>
      </c>
      <c r="N41" s="10">
        <f t="shared" si="5"/>
        <v>1.8237133844527184E-3</v>
      </c>
      <c r="O41" s="10">
        <f t="shared" si="6"/>
        <v>6.901626325384329E-4</v>
      </c>
      <c r="P41" s="10">
        <f t="shared" si="7"/>
        <v>-1874.7865565841009</v>
      </c>
      <c r="Q41" s="10">
        <f t="shared" si="8"/>
        <v>1557.697061639243</v>
      </c>
      <c r="R41" s="10">
        <f t="shared" si="9"/>
        <v>-317.08949494485796</v>
      </c>
      <c r="S41" s="10">
        <f t="shared" si="10"/>
        <v>-21.864639264000004</v>
      </c>
      <c r="T41" s="10">
        <f t="shared" si="11"/>
        <v>18.166592999999999</v>
      </c>
      <c r="U41" s="11">
        <f t="shared" si="12"/>
        <v>-3.6980462640000056</v>
      </c>
      <c r="V41" s="12">
        <v>26.59</v>
      </c>
      <c r="W41" s="13">
        <f t="shared" si="13"/>
        <v>0.84957882069795432</v>
      </c>
      <c r="X41" s="14">
        <f t="shared" si="14"/>
        <v>8.0489999999999989E-3</v>
      </c>
    </row>
    <row r="42" spans="1:24" x14ac:dyDescent="0.25">
      <c r="A42" s="4">
        <v>41</v>
      </c>
      <c r="B42" s="4">
        <v>300</v>
      </c>
      <c r="C42" s="4">
        <f t="shared" si="0"/>
        <v>8.3333333333333329E-2</v>
      </c>
      <c r="D42" s="4">
        <v>51.6</v>
      </c>
      <c r="E42" s="8">
        <v>0.28489999999999999</v>
      </c>
      <c r="F42" s="4">
        <f>26.12/1000</f>
        <v>2.6120000000000001E-2</v>
      </c>
      <c r="G42" s="4">
        <v>32.840000000000003</v>
      </c>
      <c r="H42" s="8">
        <v>0.84670000000000001</v>
      </c>
      <c r="I42" s="4">
        <f>30.05/1000</f>
        <v>3.005E-2</v>
      </c>
      <c r="J42" s="10">
        <f t="shared" si="1"/>
        <v>0.99398670247594989</v>
      </c>
      <c r="K42" s="10">
        <f t="shared" si="2"/>
        <v>1.0549571136008806</v>
      </c>
      <c r="L42" s="10">
        <f t="shared" si="3"/>
        <v>8.5372659003201262E-2</v>
      </c>
      <c r="M42" s="10">
        <f t="shared" si="4"/>
        <v>2.2299338531636169E-3</v>
      </c>
      <c r="N42" s="10">
        <f t="shared" si="5"/>
        <v>2.5654484030461981E-3</v>
      </c>
      <c r="O42" s="10">
        <f t="shared" si="6"/>
        <v>3.3551454988258117E-4</v>
      </c>
      <c r="P42" s="10">
        <f t="shared" si="7"/>
        <v>-1691.3775602802991</v>
      </c>
      <c r="Q42" s="10">
        <f t="shared" si="8"/>
        <v>757.25633908498571</v>
      </c>
      <c r="R42" s="10">
        <f t="shared" si="9"/>
        <v>-934.12122119531341</v>
      </c>
      <c r="S42" s="10">
        <f t="shared" si="10"/>
        <v>-19.811700607999999</v>
      </c>
      <c r="T42" s="10">
        <f t="shared" si="11"/>
        <v>8.8700100000000059</v>
      </c>
      <c r="U42" s="11">
        <f t="shared" si="12"/>
        <v>-10.941690607999993</v>
      </c>
      <c r="V42" s="12">
        <v>32.799999999999997</v>
      </c>
      <c r="W42" s="13">
        <f t="shared" si="13"/>
        <v>0.99787234042553163</v>
      </c>
      <c r="X42" s="14">
        <f t="shared" si="14"/>
        <v>3.9299999999999995E-3</v>
      </c>
    </row>
    <row r="43" spans="1:24" x14ac:dyDescent="0.25">
      <c r="A43" s="4">
        <v>42</v>
      </c>
      <c r="B43" s="4">
        <v>300</v>
      </c>
      <c r="C43" s="4">
        <f t="shared" si="0"/>
        <v>8.3333333333333329E-2</v>
      </c>
      <c r="D43" s="4">
        <v>25.2</v>
      </c>
      <c r="E43" s="8">
        <v>0.71650000000000003</v>
      </c>
      <c r="F43" s="4">
        <f>15.65/1000</f>
        <v>1.5650000000000001E-2</v>
      </c>
      <c r="G43" s="4">
        <v>20.88</v>
      </c>
      <c r="H43" s="5">
        <v>1</v>
      </c>
      <c r="I43" s="4">
        <f>16.82/1000</f>
        <v>1.6820000000000002E-2</v>
      </c>
      <c r="J43" s="10">
        <f t="shared" si="1"/>
        <v>1.0819855252303601</v>
      </c>
      <c r="K43" s="10">
        <f t="shared" si="2"/>
        <v>1.0978905799091241</v>
      </c>
      <c r="L43" s="10">
        <f t="shared" si="3"/>
        <v>9.0828171047478493E-2</v>
      </c>
      <c r="M43" s="10">
        <f t="shared" si="4"/>
        <v>1.4214608768930385E-3</v>
      </c>
      <c r="N43" s="10">
        <f t="shared" si="5"/>
        <v>1.5277298370185884E-3</v>
      </c>
      <c r="O43" s="10">
        <f t="shared" si="6"/>
        <v>1.0626896012554989E-4</v>
      </c>
      <c r="P43" s="10">
        <f t="shared" si="7"/>
        <v>-406.81562873475536</v>
      </c>
      <c r="Q43" s="10">
        <f t="shared" si="8"/>
        <v>239.84904300336609</v>
      </c>
      <c r="R43" s="10">
        <f t="shared" si="9"/>
        <v>-166.96658573138927</v>
      </c>
      <c r="S43" s="10">
        <f t="shared" si="10"/>
        <v>-4.4789587200000005</v>
      </c>
      <c r="T43" s="10">
        <f t="shared" si="11"/>
        <v>2.6406900000000011</v>
      </c>
      <c r="U43" s="11">
        <f t="shared" si="12"/>
        <v>-1.8382687199999994</v>
      </c>
      <c r="V43" s="12">
        <v>21.32</v>
      </c>
      <c r="W43" s="13">
        <f t="shared" si="13"/>
        <v>1.1134020618556704</v>
      </c>
      <c r="X43" s="14">
        <f t="shared" si="14"/>
        <v>1.1700000000000009E-3</v>
      </c>
    </row>
    <row r="44" spans="1:24" x14ac:dyDescent="0.25">
      <c r="A44" s="4">
        <v>43</v>
      </c>
      <c r="B44" s="4">
        <v>300</v>
      </c>
      <c r="C44" s="4">
        <f t="shared" si="0"/>
        <v>8.3333333333333329E-2</v>
      </c>
      <c r="D44" s="4">
        <v>25.79</v>
      </c>
      <c r="E44" s="8">
        <v>0.55769999999999997</v>
      </c>
      <c r="F44" s="4">
        <f>12.59/1000</f>
        <v>1.259E-2</v>
      </c>
      <c r="G44" s="15">
        <v>18.79</v>
      </c>
      <c r="H44" s="8">
        <v>0.91849999999999998</v>
      </c>
      <c r="I44" s="4">
        <f>13.55/1000</f>
        <v>1.3550000000000001E-2</v>
      </c>
      <c r="J44" s="10">
        <f t="shared" si="1"/>
        <v>1.0798490030579784</v>
      </c>
      <c r="K44" s="10">
        <f t="shared" si="2"/>
        <v>1.105754424838731</v>
      </c>
      <c r="L44" s="10">
        <f t="shared" si="3"/>
        <v>9.1066809495696233E-2</v>
      </c>
      <c r="M44" s="10">
        <f t="shared" si="4"/>
        <v>1.1465311315508157E-3</v>
      </c>
      <c r="N44" s="10">
        <f t="shared" si="5"/>
        <v>1.2339552686666841E-3</v>
      </c>
      <c r="O44" s="10">
        <f t="shared" si="6"/>
        <v>8.7424137115868364E-5</v>
      </c>
      <c r="P44" s="10">
        <f t="shared" si="7"/>
        <v>-657.33472877600707</v>
      </c>
      <c r="Q44" s="10">
        <f t="shared" si="8"/>
        <v>197.3162774705149</v>
      </c>
      <c r="R44" s="10">
        <f t="shared" si="9"/>
        <v>-460.01845130549214</v>
      </c>
      <c r="S44" s="10">
        <f t="shared" si="10"/>
        <v>-7.2181591999999997</v>
      </c>
      <c r="T44" s="10">
        <f t="shared" si="11"/>
        <v>2.1667199999999998</v>
      </c>
      <c r="U44" s="11">
        <f t="shared" si="12"/>
        <v>-5.0514391999999999</v>
      </c>
      <c r="V44" s="12">
        <v>19.36</v>
      </c>
      <c r="W44" s="13">
        <f t="shared" si="13"/>
        <v>1.088646967340591</v>
      </c>
      <c r="X44" s="14">
        <f t="shared" si="14"/>
        <v>9.6000000000000078E-4</v>
      </c>
    </row>
    <row r="45" spans="1:24" x14ac:dyDescent="0.25">
      <c r="A45" s="4">
        <v>44</v>
      </c>
      <c r="B45" s="4">
        <v>300</v>
      </c>
      <c r="C45" s="4">
        <f t="shared" si="0"/>
        <v>8.3333333333333329E-2</v>
      </c>
      <c r="D45" s="4">
        <v>45.91</v>
      </c>
      <c r="E45" s="8">
        <v>0.36080000000000001</v>
      </c>
      <c r="F45" s="4">
        <f>24.85/1000</f>
        <v>2.4850000000000001E-2</v>
      </c>
      <c r="G45" s="4">
        <v>31.16</v>
      </c>
      <c r="H45" s="8">
        <v>0.90759999999999996</v>
      </c>
      <c r="I45" s="4">
        <f>28.25/1000</f>
        <v>2.8250000000000001E-2</v>
      </c>
      <c r="J45" s="10">
        <f t="shared" si="1"/>
        <v>1.0117214374704255</v>
      </c>
      <c r="K45" s="10">
        <f t="shared" si="2"/>
        <v>1.060784072934289</v>
      </c>
      <c r="L45" s="10">
        <f t="shared" si="3"/>
        <v>8.6354396266863101E-2</v>
      </c>
      <c r="M45" s="10">
        <f t="shared" si="4"/>
        <v>2.1459067472315483E-3</v>
      </c>
      <c r="N45" s="10">
        <f t="shared" si="5"/>
        <v>2.4395116945388827E-3</v>
      </c>
      <c r="O45" s="10">
        <f t="shared" si="6"/>
        <v>2.936049473073344E-4</v>
      </c>
      <c r="P45" s="10">
        <f t="shared" si="7"/>
        <v>-1342.1570728155846</v>
      </c>
      <c r="Q45" s="10">
        <f t="shared" si="8"/>
        <v>662.66636607265377</v>
      </c>
      <c r="R45" s="10">
        <f t="shared" si="9"/>
        <v>-679.4907067429308</v>
      </c>
      <c r="S45" s="10">
        <f t="shared" si="10"/>
        <v>-15.542428999999997</v>
      </c>
      <c r="T45" s="10">
        <f t="shared" si="11"/>
        <v>7.6737999999999964</v>
      </c>
      <c r="U45" s="11">
        <f t="shared" si="12"/>
        <v>-7.8686290000000003</v>
      </c>
      <c r="V45" s="12">
        <v>31.18</v>
      </c>
      <c r="W45" s="13">
        <f t="shared" si="13"/>
        <v>1.0013577732518668</v>
      </c>
      <c r="X45" s="14">
        <f t="shared" si="14"/>
        <v>3.4000000000000002E-3</v>
      </c>
    </row>
    <row r="46" spans="1:24" x14ac:dyDescent="0.25">
      <c r="A46" s="4">
        <v>45</v>
      </c>
      <c r="B46" s="4">
        <v>300</v>
      </c>
      <c r="C46" s="4">
        <f t="shared" si="0"/>
        <v>8.3333333333333329E-2</v>
      </c>
      <c r="D46" s="4">
        <v>45.15</v>
      </c>
      <c r="E46" s="8">
        <v>0.29799999999999999</v>
      </c>
      <c r="F46" s="4">
        <f>19.68/1000</f>
        <v>1.968E-2</v>
      </c>
      <c r="G46" s="4">
        <v>29.37</v>
      </c>
      <c r="H46" s="8">
        <v>0.81799999999999995</v>
      </c>
      <c r="I46" s="4">
        <f>22.91/1000</f>
        <v>2.291E-2</v>
      </c>
      <c r="J46" s="10">
        <f t="shared" si="1"/>
        <v>1.0141382480707006</v>
      </c>
      <c r="K46" s="10">
        <f t="shared" si="2"/>
        <v>1.067063807995811</v>
      </c>
      <c r="L46" s="10">
        <f t="shared" si="3"/>
        <v>8.6716752336104652E-2</v>
      </c>
      <c r="M46" s="10">
        <f t="shared" si="4"/>
        <v>1.7065856859745396E-3</v>
      </c>
      <c r="N46" s="10">
        <f t="shared" si="5"/>
        <v>1.9866807960201576E-3</v>
      </c>
      <c r="O46" s="10">
        <f t="shared" si="6"/>
        <v>2.8009511004561797E-4</v>
      </c>
      <c r="P46" s="10">
        <f t="shared" si="7"/>
        <v>-1428.8885313880489</v>
      </c>
      <c r="Q46" s="10">
        <f t="shared" si="8"/>
        <v>632.1746633729598</v>
      </c>
      <c r="R46" s="10">
        <f t="shared" si="9"/>
        <v>-796.71386801508913</v>
      </c>
      <c r="S46" s="10">
        <f t="shared" si="10"/>
        <v>-16.477652735999996</v>
      </c>
      <c r="T46" s="10">
        <f t="shared" si="11"/>
        <v>7.2901099999999994</v>
      </c>
      <c r="U46" s="11">
        <f t="shared" si="12"/>
        <v>-9.1875427359999975</v>
      </c>
      <c r="V46" s="12">
        <v>28.57</v>
      </c>
      <c r="W46" s="13">
        <f t="shared" si="13"/>
        <v>0.95174909529553675</v>
      </c>
      <c r="X46" s="14">
        <f t="shared" si="14"/>
        <v>3.2300000000000002E-3</v>
      </c>
    </row>
    <row r="47" spans="1:24" x14ac:dyDescent="0.25">
      <c r="A47" s="4">
        <v>46</v>
      </c>
      <c r="B47" s="4">
        <v>300</v>
      </c>
      <c r="C47" s="4">
        <f t="shared" si="0"/>
        <v>8.3333333333333329E-2</v>
      </c>
      <c r="D47" s="4">
        <v>34.89</v>
      </c>
      <c r="E47" s="8">
        <v>0.4546</v>
      </c>
      <c r="F47" s="4">
        <f>17.34/1000</f>
        <v>1.7340000000000001E-2</v>
      </c>
      <c r="G47" s="4">
        <v>25.32</v>
      </c>
      <c r="H47" s="8">
        <v>0.92820000000000003</v>
      </c>
      <c r="I47" s="4">
        <f>20.47/1000</f>
        <v>2.0469999999999999E-2</v>
      </c>
      <c r="J47" s="10">
        <f t="shared" si="1"/>
        <v>1.0479329748406685</v>
      </c>
      <c r="K47" s="10">
        <f t="shared" si="2"/>
        <v>1.0815502937238315</v>
      </c>
      <c r="L47" s="10">
        <f t="shared" si="3"/>
        <v>8.8728469523520828E-2</v>
      </c>
      <c r="M47" s="10">
        <f t="shared" si="4"/>
        <v>1.5385516615378512E-3</v>
      </c>
      <c r="N47" s="10">
        <f t="shared" si="5"/>
        <v>1.8162717711464713E-3</v>
      </c>
      <c r="O47" s="10">
        <f t="shared" si="6"/>
        <v>2.777201096086201E-4</v>
      </c>
      <c r="P47" s="10">
        <f t="shared" si="7"/>
        <v>-883.01655346450286</v>
      </c>
      <c r="Q47" s="10">
        <f t="shared" si="8"/>
        <v>626.81428738665556</v>
      </c>
      <c r="R47" s="10">
        <f t="shared" si="9"/>
        <v>-256.2022660778473</v>
      </c>
      <c r="S47" s="10">
        <f t="shared" si="10"/>
        <v>-9.9518965920000007</v>
      </c>
      <c r="T47" s="10">
        <f t="shared" si="11"/>
        <v>7.0644099999999979</v>
      </c>
      <c r="U47" s="11">
        <f t="shared" si="12"/>
        <v>-2.8874865920000028</v>
      </c>
      <c r="V47" s="12">
        <v>24.94</v>
      </c>
      <c r="W47" s="13">
        <f t="shared" si="13"/>
        <v>0.96180904522613075</v>
      </c>
      <c r="X47" s="14">
        <f t="shared" si="14"/>
        <v>3.1299999999999974E-3</v>
      </c>
    </row>
    <row r="48" spans="1:24" x14ac:dyDescent="0.25">
      <c r="A48" s="4">
        <v>47</v>
      </c>
      <c r="B48" s="4">
        <v>300</v>
      </c>
      <c r="C48" s="4">
        <f t="shared" si="0"/>
        <v>8.3333333333333329E-2</v>
      </c>
      <c r="D48" s="4">
        <v>39.880000000000003</v>
      </c>
      <c r="E48" s="8">
        <v>0.27379999999999999</v>
      </c>
      <c r="F48" s="4">
        <f>13.67/1000</f>
        <v>1.367E-2</v>
      </c>
      <c r="G48" s="4">
        <v>25.86</v>
      </c>
      <c r="H48" s="8">
        <v>0.80089999999999995</v>
      </c>
      <c r="I48" s="4">
        <f>18.22/1000</f>
        <v>1.822E-2</v>
      </c>
      <c r="J48" s="10">
        <f t="shared" si="1"/>
        <v>1.0312199041923209</v>
      </c>
      <c r="K48" s="10">
        <f t="shared" si="2"/>
        <v>1.0795960771722324</v>
      </c>
      <c r="L48" s="10">
        <f t="shared" si="3"/>
        <v>8.7950665890189711E-2</v>
      </c>
      <c r="M48" s="10">
        <f t="shared" si="4"/>
        <v>1.2022856027188934E-3</v>
      </c>
      <c r="N48" s="10">
        <f t="shared" si="5"/>
        <v>1.6024611325192565E-3</v>
      </c>
      <c r="O48" s="10">
        <f t="shared" si="6"/>
        <v>4.001755298003631E-4</v>
      </c>
      <c r="P48" s="10">
        <f t="shared" si="7"/>
        <v>-1273.9480037029225</v>
      </c>
      <c r="Q48" s="10">
        <f t="shared" si="8"/>
        <v>903.19617075941949</v>
      </c>
      <c r="R48" s="10">
        <f t="shared" si="9"/>
        <v>-370.75183294350302</v>
      </c>
      <c r="S48" s="10">
        <f t="shared" si="10"/>
        <v>-14.484802256000004</v>
      </c>
      <c r="T48" s="10">
        <f t="shared" si="11"/>
        <v>10.269349999999998</v>
      </c>
      <c r="U48" s="11">
        <f t="shared" si="12"/>
        <v>-4.2154522560000061</v>
      </c>
      <c r="V48" s="12">
        <v>24.01</v>
      </c>
      <c r="W48" s="13">
        <f t="shared" si="13"/>
        <v>0.88342785129174561</v>
      </c>
      <c r="X48" s="14">
        <f t="shared" si="14"/>
        <v>4.5500000000000002E-3</v>
      </c>
    </row>
    <row r="49" spans="1:24" x14ac:dyDescent="0.25">
      <c r="A49" s="4">
        <v>48</v>
      </c>
      <c r="B49" s="4">
        <v>300</v>
      </c>
      <c r="C49" s="4">
        <f t="shared" si="0"/>
        <v>8.3333333333333329E-2</v>
      </c>
      <c r="D49" s="4">
        <v>30</v>
      </c>
      <c r="E49" s="8">
        <v>0.72470000000000001</v>
      </c>
      <c r="F49" s="4">
        <f>21.02/1000</f>
        <v>2.102E-2</v>
      </c>
      <c r="G49" s="4">
        <v>24.3</v>
      </c>
      <c r="H49" s="5">
        <v>1</v>
      </c>
      <c r="I49" s="4">
        <f>20.76/1000</f>
        <v>2.0760000000000001E-2</v>
      </c>
      <c r="J49" s="10">
        <f t="shared" si="1"/>
        <v>1.0648451604742355</v>
      </c>
      <c r="K49" s="10">
        <f t="shared" si="2"/>
        <v>1.0852609607255075</v>
      </c>
      <c r="L49" s="10">
        <f t="shared" si="3"/>
        <v>8.9587755049989282E-2</v>
      </c>
      <c r="M49" s="10">
        <f t="shared" si="4"/>
        <v>1.8831346111507748E-3</v>
      </c>
      <c r="N49" s="10">
        <f t="shared" si="5"/>
        <v>1.8598417948377775E-3</v>
      </c>
      <c r="O49" s="10">
        <f t="shared" si="6"/>
        <v>-2.3292816312997294E-5</v>
      </c>
      <c r="P49" s="10">
        <f t="shared" si="7"/>
        <v>-534.4857212169677</v>
      </c>
      <c r="Q49" s="10">
        <f t="shared" si="8"/>
        <v>-52.571886418434893</v>
      </c>
      <c r="R49" s="10">
        <f t="shared" si="9"/>
        <v>-587.05760763540263</v>
      </c>
      <c r="S49" s="10">
        <f t="shared" si="10"/>
        <v>-5.9660577599999991</v>
      </c>
      <c r="T49" s="10">
        <f t="shared" si="11"/>
        <v>-0.58682000000000201</v>
      </c>
      <c r="U49" s="11">
        <f t="shared" si="12"/>
        <v>-6.5528777600000012</v>
      </c>
      <c r="V49" s="12">
        <v>25.85</v>
      </c>
      <c r="W49" s="13">
        <f t="shared" si="13"/>
        <v>1.3734939759036147</v>
      </c>
      <c r="X49" s="14">
        <f t="shared" si="14"/>
        <v>-2.5999999999999981E-4</v>
      </c>
    </row>
    <row r="50" spans="1:24" x14ac:dyDescent="0.25">
      <c r="A50" s="4">
        <v>49</v>
      </c>
      <c r="B50" s="4">
        <v>300</v>
      </c>
      <c r="C50" s="4">
        <f t="shared" si="0"/>
        <v>8.3333333333333329E-2</v>
      </c>
      <c r="D50" s="4">
        <v>30.03</v>
      </c>
      <c r="E50" s="8">
        <v>0.44790000000000002</v>
      </c>
      <c r="F50" s="4">
        <f>12.93/1000</f>
        <v>1.2930000000000001E-2</v>
      </c>
      <c r="G50" s="4">
        <v>21.4</v>
      </c>
      <c r="H50" s="8">
        <v>0.87319999999999998</v>
      </c>
      <c r="I50" s="4">
        <f>15.15/1000</f>
        <v>1.515E-2</v>
      </c>
      <c r="J50" s="10">
        <f t="shared" si="1"/>
        <v>1.0647397406979291</v>
      </c>
      <c r="K50" s="10">
        <f t="shared" si="2"/>
        <v>1.0959513710043933</v>
      </c>
      <c r="L50" s="10">
        <f t="shared" si="3"/>
        <v>9.0028796320930096E-2</v>
      </c>
      <c r="M50" s="10">
        <f t="shared" si="4"/>
        <v>1.1640723364296263E-3</v>
      </c>
      <c r="N50" s="10">
        <f t="shared" si="5"/>
        <v>1.363936264262091E-3</v>
      </c>
      <c r="O50" s="10">
        <f t="shared" si="6"/>
        <v>1.9986392783246472E-4</v>
      </c>
      <c r="P50" s="10">
        <f t="shared" si="7"/>
        <v>-801.64863779225732</v>
      </c>
      <c r="Q50" s="10">
        <f t="shared" si="8"/>
        <v>451.09288511787287</v>
      </c>
      <c r="R50" s="10">
        <f t="shared" si="9"/>
        <v>-350.55575267438445</v>
      </c>
      <c r="S50" s="10">
        <f t="shared" si="10"/>
        <v>-8.9043580560000031</v>
      </c>
      <c r="T50" s="10">
        <f t="shared" si="11"/>
        <v>5.0105399999999971</v>
      </c>
      <c r="U50" s="11">
        <f t="shared" si="12"/>
        <v>-3.893818056000006</v>
      </c>
      <c r="V50" s="12">
        <v>20.85</v>
      </c>
      <c r="W50" s="13">
        <f t="shared" si="13"/>
        <v>0.94008714596949927</v>
      </c>
      <c r="X50" s="14">
        <f t="shared" si="14"/>
        <v>2.2199999999999998E-3</v>
      </c>
    </row>
    <row r="51" spans="1:24" x14ac:dyDescent="0.25">
      <c r="A51" s="4">
        <v>50</v>
      </c>
      <c r="B51" s="4">
        <v>300</v>
      </c>
      <c r="C51" s="4">
        <f t="shared" si="0"/>
        <v>8.3333333333333329E-2</v>
      </c>
      <c r="D51" s="4">
        <v>39.96</v>
      </c>
      <c r="E51" s="8">
        <v>0.39539999999999997</v>
      </c>
      <c r="F51" s="4">
        <f>19.9/1000</f>
        <v>1.9899999999999998E-2</v>
      </c>
      <c r="G51" s="4">
        <v>27.78</v>
      </c>
      <c r="H51" s="8">
        <v>0.88149999999999995</v>
      </c>
      <c r="I51" s="4">
        <f>22.5/1000</f>
        <v>2.2499999999999999E-2</v>
      </c>
      <c r="J51" s="10">
        <f t="shared" si="1"/>
        <v>1.0309562999223332</v>
      </c>
      <c r="K51" s="10">
        <f t="shared" si="2"/>
        <v>1.0727045801705348</v>
      </c>
      <c r="L51" s="10">
        <f t="shared" si="3"/>
        <v>8.7652536670536157E-2</v>
      </c>
      <c r="M51" s="10">
        <f t="shared" si="4"/>
        <v>1.7442854797436694E-3</v>
      </c>
      <c r="N51" s="10">
        <f t="shared" si="5"/>
        <v>1.9721820750870636E-3</v>
      </c>
      <c r="O51" s="10">
        <f t="shared" si="6"/>
        <v>2.2789659534339416E-4</v>
      </c>
      <c r="P51" s="10">
        <f t="shared" si="7"/>
        <v>-1115.2402905639387</v>
      </c>
      <c r="Q51" s="10">
        <f t="shared" si="8"/>
        <v>514.36261569004057</v>
      </c>
      <c r="R51" s="10">
        <f t="shared" si="9"/>
        <v>-600.87767487389817</v>
      </c>
      <c r="S51" s="10">
        <f t="shared" si="10"/>
        <v>-12.723422880000001</v>
      </c>
      <c r="T51" s="10">
        <f t="shared" si="11"/>
        <v>5.8682000000000034</v>
      </c>
      <c r="U51" s="11">
        <f t="shared" si="12"/>
        <v>-6.8552228799999977</v>
      </c>
      <c r="V51" s="12">
        <v>27.54</v>
      </c>
      <c r="W51" s="13">
        <f t="shared" si="13"/>
        <v>0.98067632850241526</v>
      </c>
      <c r="X51" s="14">
        <f t="shared" si="14"/>
        <v>2.6000000000000016E-3</v>
      </c>
    </row>
    <row r="52" spans="1:24" x14ac:dyDescent="0.25">
      <c r="A52" s="4">
        <v>51</v>
      </c>
      <c r="B52" s="4">
        <v>300</v>
      </c>
      <c r="C52" s="4">
        <f t="shared" si="0"/>
        <v>8.3333333333333329E-2</v>
      </c>
      <c r="D52" s="4">
        <v>34.9</v>
      </c>
      <c r="E52" s="8">
        <v>0.63080000000000003</v>
      </c>
      <c r="F52" s="4">
        <f>24.17/1000</f>
        <v>2.4170000000000001E-2</v>
      </c>
      <c r="G52" s="4">
        <v>27.1</v>
      </c>
      <c r="H52" s="5">
        <v>1</v>
      </c>
      <c r="I52" s="4">
        <f>24.56/1000</f>
        <v>2.4559999999999998E-2</v>
      </c>
      <c r="J52" s="10">
        <f t="shared" si="1"/>
        <v>1.0478989399925087</v>
      </c>
      <c r="K52" s="10">
        <f t="shared" si="2"/>
        <v>1.0751352336677551</v>
      </c>
      <c r="L52" s="10">
        <f t="shared" si="3"/>
        <v>8.8459757235844316E-2</v>
      </c>
      <c r="M52" s="10">
        <f t="shared" si="4"/>
        <v>2.138072332390357E-3</v>
      </c>
      <c r="N52" s="10">
        <f t="shared" si="5"/>
        <v>2.1725716377123364E-3</v>
      </c>
      <c r="O52" s="10">
        <f t="shared" si="6"/>
        <v>3.4499305321979406E-5</v>
      </c>
      <c r="P52" s="10">
        <f t="shared" si="7"/>
        <v>-726.19160940556856</v>
      </c>
      <c r="Q52" s="10">
        <f t="shared" si="8"/>
        <v>77.864932111707517</v>
      </c>
      <c r="R52" s="10">
        <f t="shared" si="9"/>
        <v>-648.32667729386105</v>
      </c>
      <c r="S52" s="10">
        <f t="shared" si="10"/>
        <v>-8.2092878399999965</v>
      </c>
      <c r="T52" s="10">
        <f t="shared" si="11"/>
        <v>0.88023000000000307</v>
      </c>
      <c r="U52" s="11">
        <f t="shared" si="12"/>
        <v>-7.3290578399999937</v>
      </c>
      <c r="V52" s="12">
        <v>28.32</v>
      </c>
      <c r="W52" s="13">
        <f t="shared" si="13"/>
        <v>1.1854103343465043</v>
      </c>
      <c r="X52" s="14">
        <f t="shared" si="14"/>
        <v>3.8999999999999799E-4</v>
      </c>
    </row>
    <row r="53" spans="1:24" x14ac:dyDescent="0.25">
      <c r="A53" s="4">
        <v>52</v>
      </c>
      <c r="B53" s="4">
        <v>300</v>
      </c>
      <c r="C53" s="4">
        <f t="shared" si="0"/>
        <v>8.3333333333333329E-2</v>
      </c>
      <c r="D53" s="4">
        <v>45.25</v>
      </c>
      <c r="E53" s="8">
        <v>0.22040000000000001</v>
      </c>
      <c r="F53" s="4">
        <f>14.58/1000</f>
        <v>1.4579999999999999E-2</v>
      </c>
      <c r="G53" s="4">
        <v>28.17</v>
      </c>
      <c r="H53" s="8">
        <v>0.76580000000000004</v>
      </c>
      <c r="I53" s="4">
        <f>19.97/1000</f>
        <v>1.9969999999999998E-2</v>
      </c>
      <c r="J53" s="10">
        <f t="shared" si="1"/>
        <v>1.0138195871914952</v>
      </c>
      <c r="K53" s="10">
        <f t="shared" si="2"/>
        <v>1.0713154817003465</v>
      </c>
      <c r="L53" s="10">
        <f t="shared" si="3"/>
        <v>8.6880627870493402E-2</v>
      </c>
      <c r="M53" s="10">
        <f t="shared" si="4"/>
        <v>1.2667195543517938E-3</v>
      </c>
      <c r="N53" s="10">
        <f t="shared" si="5"/>
        <v>1.735006138573753E-3</v>
      </c>
      <c r="O53" s="10">
        <f t="shared" si="6"/>
        <v>4.6828658422195927E-4</v>
      </c>
      <c r="P53" s="10">
        <f t="shared" si="7"/>
        <v>-1535.6019417987761</v>
      </c>
      <c r="Q53" s="10">
        <f t="shared" si="8"/>
        <v>1056.9228205889622</v>
      </c>
      <c r="R53" s="10">
        <f t="shared" si="9"/>
        <v>-478.67912120981396</v>
      </c>
      <c r="S53" s="10">
        <f t="shared" si="10"/>
        <v>-17.674848575999999</v>
      </c>
      <c r="T53" s="10">
        <f t="shared" si="11"/>
        <v>12.165229999999998</v>
      </c>
      <c r="U53" s="11">
        <f t="shared" si="12"/>
        <v>-5.5096185760000012</v>
      </c>
      <c r="V53" s="12">
        <v>25.88</v>
      </c>
      <c r="W53" s="13">
        <f t="shared" si="13"/>
        <v>0.88177594217862665</v>
      </c>
      <c r="X53" s="14">
        <f t="shared" si="14"/>
        <v>5.389999999999999E-3</v>
      </c>
    </row>
    <row r="54" spans="1:24" x14ac:dyDescent="0.25">
      <c r="A54" s="4">
        <v>53</v>
      </c>
      <c r="B54" s="4">
        <v>300</v>
      </c>
      <c r="C54" s="4">
        <f t="shared" si="0"/>
        <v>8.3333333333333329E-2</v>
      </c>
      <c r="D54" s="4">
        <v>50.87</v>
      </c>
      <c r="E54" s="8">
        <v>0.20219999999999999</v>
      </c>
      <c r="F54" s="4">
        <f>17.79/1000</f>
        <v>1.779E-2</v>
      </c>
      <c r="G54" s="4">
        <v>31.26</v>
      </c>
      <c r="H54" s="8">
        <v>0.74009999999999998</v>
      </c>
      <c r="I54" s="4">
        <f>23.1/1000</f>
        <v>2.3100000000000002E-2</v>
      </c>
      <c r="J54" s="10">
        <f t="shared" si="1"/>
        <v>0.99622713935743779</v>
      </c>
      <c r="K54" s="10">
        <f t="shared" si="2"/>
        <v>1.0604354289873574</v>
      </c>
      <c r="L54" s="10">
        <f t="shared" si="3"/>
        <v>8.5694273681033134E-2</v>
      </c>
      <c r="M54" s="10">
        <f t="shared" si="4"/>
        <v>1.5245011287855796E-3</v>
      </c>
      <c r="N54" s="10">
        <f t="shared" si="5"/>
        <v>1.9795377220318657E-3</v>
      </c>
      <c r="O54" s="10">
        <f t="shared" si="6"/>
        <v>4.5503659324628611E-4</v>
      </c>
      <c r="P54" s="10">
        <f t="shared" si="7"/>
        <v>-1748.9160840694326</v>
      </c>
      <c r="Q54" s="10">
        <f t="shared" si="8"/>
        <v>1027.0175909568677</v>
      </c>
      <c r="R54" s="10">
        <f t="shared" si="9"/>
        <v>-721.89849311256489</v>
      </c>
      <c r="S54" s="10">
        <f t="shared" si="10"/>
        <v>-20.408785895999994</v>
      </c>
      <c r="T54" s="10">
        <f t="shared" si="11"/>
        <v>11.984670000000003</v>
      </c>
      <c r="U54" s="11">
        <f t="shared" si="12"/>
        <v>-8.4241158959999911</v>
      </c>
      <c r="V54" s="12">
        <v>28.84</v>
      </c>
      <c r="W54" s="13">
        <f t="shared" si="13"/>
        <v>0.89014979573309116</v>
      </c>
      <c r="X54" s="14">
        <f t="shared" si="14"/>
        <v>5.3100000000000022E-3</v>
      </c>
    </row>
    <row r="55" spans="1:24" x14ac:dyDescent="0.25">
      <c r="A55" s="4">
        <v>54</v>
      </c>
      <c r="B55" s="4">
        <v>300</v>
      </c>
      <c r="C55" s="4">
        <f t="shared" si="0"/>
        <v>8.3333333333333329E-2</v>
      </c>
      <c r="D55" s="4">
        <v>25.34</v>
      </c>
      <c r="E55" s="8">
        <v>0.81379999999999997</v>
      </c>
      <c r="F55" s="4">
        <f>17.94/1000</f>
        <v>1.7940000000000001E-2</v>
      </c>
      <c r="G55" s="4">
        <v>21.56</v>
      </c>
      <c r="H55" s="5">
        <v>1</v>
      </c>
      <c r="I55" s="4">
        <f>17.55/1000</f>
        <v>1.755E-2</v>
      </c>
      <c r="J55" s="10">
        <f t="shared" si="1"/>
        <v>1.0814777891791025</v>
      </c>
      <c r="K55" s="10">
        <f t="shared" si="2"/>
        <v>1.0953560687930928</v>
      </c>
      <c r="L55" s="10">
        <f t="shared" si="3"/>
        <v>9.0701410748841471E-2</v>
      </c>
      <c r="M55" s="10">
        <f t="shared" si="4"/>
        <v>1.6271833088342162E-3</v>
      </c>
      <c r="N55" s="10">
        <f t="shared" si="5"/>
        <v>1.5918097586421678E-3</v>
      </c>
      <c r="O55" s="10">
        <f t="shared" si="6"/>
        <v>-3.5373550192048389E-5</v>
      </c>
      <c r="P55" s="10">
        <f t="shared" si="7"/>
        <v>-356.91152864126957</v>
      </c>
      <c r="Q55" s="10">
        <f t="shared" si="8"/>
        <v>-79.838102783453209</v>
      </c>
      <c r="R55" s="10">
        <f t="shared" si="9"/>
        <v>-436.74963142472279</v>
      </c>
      <c r="S55" s="10">
        <f t="shared" si="10"/>
        <v>-3.9350162880000012</v>
      </c>
      <c r="T55" s="10">
        <f t="shared" si="11"/>
        <v>-0.88023000000000529</v>
      </c>
      <c r="U55" s="11">
        <f t="shared" si="12"/>
        <v>-4.8152462880000062</v>
      </c>
      <c r="V55" s="12">
        <v>22.85</v>
      </c>
      <c r="W55" s="13">
        <f t="shared" si="13"/>
        <v>1.5180722891566278</v>
      </c>
      <c r="X55" s="14">
        <f t="shared" si="14"/>
        <v>-3.9000000000000146E-4</v>
      </c>
    </row>
    <row r="56" spans="1:24" x14ac:dyDescent="0.25">
      <c r="A56" s="4"/>
      <c r="B56" s="4"/>
      <c r="C56" s="4"/>
      <c r="D56" s="4"/>
      <c r="E56" s="4"/>
      <c r="F56" s="4"/>
      <c r="G56" s="4"/>
      <c r="H56" s="4"/>
      <c r="I56" s="4"/>
      <c r="J56" s="10"/>
      <c r="K56" s="10"/>
      <c r="L56" s="10"/>
      <c r="M56" s="10"/>
      <c r="N56" s="10"/>
      <c r="O56" s="10"/>
      <c r="P56" s="10"/>
      <c r="Q56" s="10"/>
      <c r="R56" s="10"/>
      <c r="S56" s="10"/>
      <c r="T56" s="10"/>
      <c r="U56" s="11"/>
      <c r="V56" s="12"/>
      <c r="W56" s="13"/>
      <c r="X56" s="14"/>
    </row>
    <row r="57" spans="1:24" x14ac:dyDescent="0.25">
      <c r="A57" s="4"/>
      <c r="B57" s="4"/>
      <c r="C57" s="4"/>
      <c r="D57" s="4"/>
      <c r="E57" s="4"/>
      <c r="F57" s="4"/>
      <c r="G57" s="4"/>
      <c r="H57" s="4"/>
      <c r="I57" s="4"/>
      <c r="J57" s="10"/>
      <c r="K57" s="10"/>
      <c r="L57" s="10"/>
      <c r="M57" s="10"/>
      <c r="N57" s="10"/>
      <c r="O57" s="10"/>
      <c r="P57" s="10"/>
      <c r="Q57" s="10"/>
      <c r="R57" s="10"/>
      <c r="S57" s="10"/>
      <c r="T57" s="10"/>
      <c r="U57" s="11"/>
      <c r="V57" s="12"/>
      <c r="W57" s="13"/>
      <c r="X57" s="14"/>
    </row>
    <row r="58" spans="1:24" x14ac:dyDescent="0.25">
      <c r="A58" s="4"/>
      <c r="B58" s="4"/>
      <c r="C58" s="4"/>
      <c r="D58" s="4"/>
      <c r="E58" s="4"/>
      <c r="F58" s="4"/>
      <c r="G58" s="4"/>
      <c r="H58" s="4"/>
      <c r="I58" s="4"/>
      <c r="J58" s="10"/>
      <c r="K58" s="10"/>
      <c r="L58" s="10"/>
      <c r="M58" s="10"/>
      <c r="N58" s="10"/>
      <c r="O58" s="10"/>
      <c r="P58" s="10"/>
      <c r="Q58" s="10"/>
      <c r="R58" s="10"/>
      <c r="S58" s="10"/>
      <c r="T58" s="10"/>
      <c r="U58" s="11"/>
      <c r="V58" s="12"/>
      <c r="W58" s="13"/>
      <c r="X58" s="14"/>
    </row>
    <row r="59" spans="1:24" x14ac:dyDescent="0.25">
      <c r="A59" s="4"/>
      <c r="B59" s="4"/>
      <c r="C59" s="4"/>
      <c r="D59" s="4"/>
      <c r="E59" s="4"/>
      <c r="F59" s="4"/>
      <c r="G59" s="4"/>
      <c r="H59" s="4"/>
      <c r="I59" s="4"/>
      <c r="J59" s="10"/>
      <c r="K59" s="10"/>
      <c r="L59" s="10"/>
      <c r="M59" s="10"/>
      <c r="N59" s="10"/>
      <c r="O59" s="10"/>
      <c r="P59" s="10"/>
      <c r="Q59" s="10"/>
      <c r="R59" s="10"/>
      <c r="S59" s="10"/>
      <c r="T59" s="10"/>
      <c r="U59" s="11"/>
      <c r="V59" s="12"/>
      <c r="W59" s="13"/>
      <c r="X59" s="14"/>
    </row>
    <row r="60" spans="1:24" x14ac:dyDescent="0.25">
      <c r="A60" s="4"/>
      <c r="B60" s="4"/>
      <c r="C60" s="4"/>
      <c r="D60" s="4"/>
      <c r="E60" s="4"/>
      <c r="F60" s="4"/>
      <c r="G60" s="4"/>
      <c r="H60" s="4"/>
      <c r="I60" s="4"/>
      <c r="J60" s="10"/>
      <c r="K60" s="10"/>
      <c r="L60" s="10"/>
      <c r="M60" s="10"/>
      <c r="N60" s="10"/>
      <c r="O60" s="10"/>
      <c r="P60" s="10"/>
      <c r="Q60" s="10"/>
      <c r="R60" s="10"/>
      <c r="S60" s="10"/>
      <c r="T60" s="10"/>
      <c r="U60" s="11"/>
      <c r="V60" s="12"/>
      <c r="W60" s="13"/>
      <c r="X60" s="14"/>
    </row>
  </sheetData>
  <sheetProtection selectLockedCells="1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Hewlett-Packard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Javi</dc:creator>
  <cp:lastModifiedBy>Javier</cp:lastModifiedBy>
  <dcterms:created xsi:type="dcterms:W3CDTF">2016-05-09T19:49:49Z</dcterms:created>
  <dcterms:modified xsi:type="dcterms:W3CDTF">2016-06-18T15:24:01Z</dcterms:modified>
</cp:coreProperties>
</file>