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240" yWindow="75" windowWidth="14460" windowHeight="7605"/>
  </bookViews>
  <sheets>
    <sheet name="Portada" sheetId="14" r:id="rId1"/>
    <sheet name="Datos_personales" sheetId="11" r:id="rId2"/>
    <sheet name="Datos_Convenio" sheetId="16" r:id="rId3"/>
    <sheet name="Convenio" sheetId="13" r:id="rId4"/>
    <sheet name="Datos_Variables" sheetId="17" r:id="rId5"/>
    <sheet name="Incidencias" sheetId="15" r:id="rId6"/>
    <sheet name="1" sheetId="2" r:id="rId7"/>
    <sheet name="2" sheetId="5" r:id="rId8"/>
    <sheet name="Devengos" sheetId="9" r:id="rId9"/>
    <sheet name="Prestaciones de la SS" sheetId="10" r:id="rId10"/>
    <sheet name="Bases_Cotización" sheetId="7" r:id="rId11"/>
    <sheet name="Modelo_Clase" sheetId="3" r:id="rId12"/>
    <sheet name="Datos_Auxiliares" sheetId="4" r:id="rId13"/>
  </sheets>
  <calcPr calcId="145621"/>
</workbook>
</file>

<file path=xl/calcChain.xml><?xml version="1.0" encoding="utf-8"?>
<calcChain xmlns="http://schemas.openxmlformats.org/spreadsheetml/2006/main">
  <c r="AD3" i="17" l="1"/>
  <c r="AB3" i="17"/>
  <c r="Z3" i="17"/>
  <c r="Z4" i="17"/>
  <c r="Z5" i="17"/>
  <c r="M15" i="17"/>
  <c r="N15" i="17" s="1"/>
  <c r="M16" i="17"/>
  <c r="N16" i="17" s="1"/>
  <c r="M17" i="17"/>
  <c r="N17" i="17" s="1"/>
  <c r="M18" i="17"/>
  <c r="N18" i="17" s="1"/>
  <c r="M19" i="17"/>
  <c r="N19" i="17" s="1"/>
  <c r="M20" i="17"/>
  <c r="N20" i="17" s="1"/>
  <c r="M21" i="17"/>
  <c r="N21" i="17" s="1"/>
  <c r="M22" i="17"/>
  <c r="N22" i="17" s="1"/>
  <c r="M23" i="17"/>
  <c r="N23" i="17" s="1"/>
  <c r="M24" i="17"/>
  <c r="N24" i="17" s="1"/>
  <c r="M25" i="17"/>
  <c r="N25" i="17" s="1"/>
  <c r="M26" i="17"/>
  <c r="N26" i="17" s="1"/>
  <c r="M27" i="17"/>
  <c r="N27" i="17" s="1"/>
  <c r="M28" i="17"/>
  <c r="N28" i="17" s="1"/>
  <c r="M29" i="17"/>
  <c r="N29" i="17" s="1"/>
  <c r="M30" i="17"/>
  <c r="N30" i="17" s="1"/>
  <c r="M31" i="17"/>
  <c r="N31" i="17" s="1"/>
  <c r="M32" i="17"/>
  <c r="N32" i="17" s="1"/>
  <c r="M33" i="17"/>
  <c r="N33" i="17" s="1"/>
  <c r="M34" i="17"/>
  <c r="N34" i="17" s="1"/>
  <c r="M35" i="17"/>
  <c r="N35" i="17" s="1"/>
  <c r="M36" i="17"/>
  <c r="N36" i="17" s="1"/>
  <c r="M37" i="17"/>
  <c r="N37" i="17" s="1"/>
  <c r="M38" i="17"/>
  <c r="N38" i="17" s="1"/>
  <c r="M39" i="17"/>
  <c r="N39" i="17" s="1"/>
  <c r="M40" i="17"/>
  <c r="N40" i="17" s="1"/>
  <c r="M41" i="17"/>
  <c r="N41" i="17" s="1"/>
  <c r="M42" i="17"/>
  <c r="N42" i="17" s="1"/>
  <c r="M43" i="17"/>
  <c r="N43" i="17" s="1"/>
  <c r="M44" i="17"/>
  <c r="N44" i="17" s="1"/>
  <c r="M45" i="17"/>
  <c r="N45" i="17" s="1"/>
  <c r="M46" i="17"/>
  <c r="N46" i="17" s="1"/>
  <c r="M47" i="17"/>
  <c r="N47" i="17" s="1"/>
  <c r="M48" i="17"/>
  <c r="N48" i="17" s="1"/>
  <c r="M49" i="17"/>
  <c r="N49" i="17" s="1"/>
  <c r="M50" i="17"/>
  <c r="N50" i="17" s="1"/>
  <c r="M51" i="17"/>
  <c r="N51" i="17" s="1"/>
  <c r="M52" i="17"/>
  <c r="N52" i="17" s="1"/>
  <c r="M3" i="17"/>
  <c r="N3" i="17" s="1"/>
  <c r="M4" i="17"/>
  <c r="N4" i="17" s="1"/>
  <c r="M5" i="17"/>
  <c r="N5" i="17" s="1"/>
  <c r="M6" i="17"/>
  <c r="N6" i="17" s="1"/>
  <c r="M7" i="17"/>
  <c r="N7" i="17" s="1"/>
  <c r="M8" i="17"/>
  <c r="N8" i="17" s="1"/>
  <c r="M9" i="17"/>
  <c r="N9" i="17" s="1"/>
  <c r="M10" i="17"/>
  <c r="N10" i="17" s="1"/>
  <c r="M11" i="17"/>
  <c r="N11" i="17" s="1"/>
  <c r="M12" i="17"/>
  <c r="N12" i="17" s="1"/>
  <c r="M13" i="17"/>
  <c r="N13" i="17" s="1"/>
  <c r="K11" i="17"/>
  <c r="L11" i="17" s="1"/>
  <c r="K12" i="17"/>
  <c r="L12" i="17" s="1"/>
  <c r="K13" i="17"/>
  <c r="L13" i="17" s="1"/>
  <c r="K14" i="17"/>
  <c r="L14" i="17" s="1"/>
  <c r="K15" i="17"/>
  <c r="L15" i="17" s="1"/>
  <c r="K16" i="17"/>
  <c r="L16" i="17" s="1"/>
  <c r="K17" i="17"/>
  <c r="L17" i="17" s="1"/>
  <c r="K18" i="17"/>
  <c r="L18" i="17" s="1"/>
  <c r="K19" i="17"/>
  <c r="L19" i="17" s="1"/>
  <c r="K20" i="17"/>
  <c r="L20" i="17" s="1"/>
  <c r="K21" i="17"/>
  <c r="L21" i="17" s="1"/>
  <c r="K22" i="17"/>
  <c r="L22" i="17" s="1"/>
  <c r="K23" i="17"/>
  <c r="L23" i="17" s="1"/>
  <c r="K24" i="17"/>
  <c r="L24" i="17" s="1"/>
  <c r="K25" i="17"/>
  <c r="L25" i="17" s="1"/>
  <c r="K26" i="17"/>
  <c r="L26" i="17" s="1"/>
  <c r="K27" i="17"/>
  <c r="L27" i="17" s="1"/>
  <c r="K28" i="17"/>
  <c r="L28" i="17" s="1"/>
  <c r="K29" i="17"/>
  <c r="L29" i="17" s="1"/>
  <c r="K30" i="17"/>
  <c r="L30" i="17" s="1"/>
  <c r="K31" i="17"/>
  <c r="L31" i="17" s="1"/>
  <c r="K32" i="17"/>
  <c r="L32" i="17" s="1"/>
  <c r="K33" i="17"/>
  <c r="L33" i="17" s="1"/>
  <c r="K34" i="17"/>
  <c r="L34" i="17" s="1"/>
  <c r="K35" i="17"/>
  <c r="L35" i="17" s="1"/>
  <c r="K36" i="17"/>
  <c r="L36" i="17" s="1"/>
  <c r="K37" i="17"/>
  <c r="L37" i="17" s="1"/>
  <c r="K38" i="17"/>
  <c r="L38" i="17" s="1"/>
  <c r="K39" i="17"/>
  <c r="L39" i="17" s="1"/>
  <c r="K40" i="17"/>
  <c r="L40" i="17" s="1"/>
  <c r="K41" i="17"/>
  <c r="L41" i="17" s="1"/>
  <c r="K42" i="17"/>
  <c r="L42" i="17" s="1"/>
  <c r="K43" i="17"/>
  <c r="L43" i="17" s="1"/>
  <c r="K44" i="17"/>
  <c r="L44" i="17" s="1"/>
  <c r="K45" i="17"/>
  <c r="L45" i="17" s="1"/>
  <c r="K46" i="17"/>
  <c r="L46" i="17" s="1"/>
  <c r="K47" i="17"/>
  <c r="L47" i="17" s="1"/>
  <c r="K48" i="17"/>
  <c r="L48" i="17" s="1"/>
  <c r="K49" i="17"/>
  <c r="L49" i="17" s="1"/>
  <c r="K50" i="17"/>
  <c r="L50" i="17" s="1"/>
  <c r="K51" i="17"/>
  <c r="L51" i="17" s="1"/>
  <c r="K52" i="17"/>
  <c r="L52" i="17" s="1"/>
  <c r="K3" i="17"/>
  <c r="L3" i="17" s="1"/>
  <c r="K4" i="17"/>
  <c r="L4" i="17" s="1"/>
  <c r="K5" i="17"/>
  <c r="L5" i="17" s="1"/>
  <c r="K6" i="17"/>
  <c r="L6" i="17" s="1"/>
  <c r="K7" i="17"/>
  <c r="L7" i="17" s="1"/>
  <c r="K8" i="17"/>
  <c r="L8" i="17" s="1"/>
  <c r="K9" i="17"/>
  <c r="L9" i="17" s="1"/>
  <c r="I5" i="17"/>
  <c r="I6" i="17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3" i="17"/>
  <c r="F15" i="17"/>
  <c r="F16" i="17"/>
  <c r="F17" i="17"/>
  <c r="F18" i="17"/>
  <c r="G18" i="17" s="1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3" i="17"/>
  <c r="G3" i="17" s="1"/>
  <c r="F4" i="17"/>
  <c r="G4" i="17" s="1"/>
  <c r="F5" i="17"/>
  <c r="G5" i="17" s="1"/>
  <c r="F6" i="17"/>
  <c r="F7" i="17"/>
  <c r="F8" i="17"/>
  <c r="F9" i="17"/>
  <c r="G9" i="17" s="1"/>
  <c r="F10" i="17"/>
  <c r="F11" i="17"/>
  <c r="F12" i="17"/>
  <c r="F13" i="17"/>
  <c r="E3" i="17"/>
  <c r="E4" i="17"/>
  <c r="E5" i="17"/>
  <c r="E6" i="17"/>
  <c r="E7" i="17"/>
  <c r="E9" i="17"/>
  <c r="C3" i="17"/>
  <c r="D3" i="17" s="1"/>
  <c r="C4" i="17"/>
  <c r="D4" i="17" s="1"/>
  <c r="C5" i="17"/>
  <c r="D5" i="17" s="1"/>
  <c r="C6" i="17"/>
  <c r="D6" i="17" s="1"/>
  <c r="C7" i="17"/>
  <c r="D7" i="17" s="1"/>
  <c r="C8" i="17"/>
  <c r="D8" i="17" s="1"/>
  <c r="C9" i="17"/>
  <c r="C10" i="17"/>
  <c r="C11" i="17"/>
  <c r="C12" i="17"/>
  <c r="P20" i="13"/>
  <c r="P21" i="13"/>
  <c r="P22" i="13"/>
  <c r="P23" i="13"/>
  <c r="P24" i="13"/>
  <c r="P25" i="13"/>
  <c r="P26" i="13"/>
  <c r="P27" i="13"/>
  <c r="P28" i="13"/>
  <c r="P29" i="13"/>
  <c r="P30" i="13"/>
  <c r="P31" i="13"/>
  <c r="P32" i="13"/>
  <c r="P5" i="13"/>
  <c r="P6" i="13"/>
  <c r="P7" i="13"/>
  <c r="P8" i="13"/>
  <c r="P9" i="13"/>
  <c r="P10" i="13"/>
  <c r="P11" i="13"/>
  <c r="P12" i="13"/>
  <c r="P13" i="13"/>
  <c r="P14" i="13"/>
  <c r="P15" i="13"/>
  <c r="P16" i="13"/>
  <c r="AH52" i="17"/>
  <c r="AD52" i="17"/>
  <c r="AC52" i="17"/>
  <c r="AB52" i="17"/>
  <c r="Z52" i="17"/>
  <c r="AH51" i="17"/>
  <c r="AD51" i="17"/>
  <c r="AC51" i="17"/>
  <c r="AB51" i="17"/>
  <c r="Z51" i="17"/>
  <c r="AH50" i="17"/>
  <c r="AD50" i="17"/>
  <c r="AC50" i="17"/>
  <c r="AB50" i="17"/>
  <c r="Z50" i="17"/>
  <c r="AH49" i="17"/>
  <c r="AD49" i="17"/>
  <c r="AC49" i="17"/>
  <c r="AB49" i="17"/>
  <c r="Z49" i="17"/>
  <c r="AH48" i="17"/>
  <c r="AD48" i="17"/>
  <c r="AC48" i="17"/>
  <c r="AB48" i="17"/>
  <c r="Z48" i="17"/>
  <c r="AH47" i="17"/>
  <c r="AD47" i="17"/>
  <c r="AC47" i="17"/>
  <c r="AB47" i="17"/>
  <c r="Z47" i="17"/>
  <c r="AH46" i="17"/>
  <c r="AD46" i="17"/>
  <c r="AC46" i="17"/>
  <c r="AB46" i="17"/>
  <c r="AH45" i="17"/>
  <c r="AD45" i="17"/>
  <c r="AC45" i="17"/>
  <c r="AB45" i="17"/>
  <c r="Z45" i="17"/>
  <c r="AH44" i="17"/>
  <c r="AD44" i="17"/>
  <c r="AC44" i="17"/>
  <c r="AB44" i="17"/>
  <c r="Z44" i="17"/>
  <c r="AH43" i="17"/>
  <c r="AD43" i="17"/>
  <c r="AC43" i="17"/>
  <c r="AB43" i="17"/>
  <c r="Z43" i="17"/>
  <c r="AH42" i="17"/>
  <c r="AD42" i="17"/>
  <c r="AC42" i="17"/>
  <c r="AB42" i="17"/>
  <c r="Z42" i="17"/>
  <c r="AH41" i="17"/>
  <c r="AD41" i="17"/>
  <c r="AC41" i="17"/>
  <c r="AB41" i="17"/>
  <c r="Z41" i="17"/>
  <c r="AH40" i="17"/>
  <c r="AD40" i="17"/>
  <c r="AC40" i="17"/>
  <c r="AB40" i="17"/>
  <c r="Z40" i="17"/>
  <c r="AH39" i="17"/>
  <c r="AD39" i="17"/>
  <c r="AC39" i="17"/>
  <c r="AB39" i="17"/>
  <c r="Z39" i="17"/>
  <c r="AH38" i="17"/>
  <c r="AD38" i="17"/>
  <c r="AC38" i="17"/>
  <c r="AB38" i="17"/>
  <c r="Z38" i="17"/>
  <c r="AH37" i="17"/>
  <c r="AD37" i="17"/>
  <c r="AC37" i="17"/>
  <c r="AB37" i="17"/>
  <c r="Z37" i="17"/>
  <c r="AH36" i="17"/>
  <c r="AD36" i="17"/>
  <c r="AC36" i="17"/>
  <c r="AB36" i="17"/>
  <c r="Z36" i="17"/>
  <c r="AH35" i="17"/>
  <c r="AD35" i="17"/>
  <c r="AC35" i="17"/>
  <c r="AB35" i="17"/>
  <c r="Z35" i="17"/>
  <c r="AH34" i="17"/>
  <c r="AD34" i="17"/>
  <c r="AC34" i="17"/>
  <c r="AB34" i="17"/>
  <c r="Z34" i="17"/>
  <c r="AH33" i="17"/>
  <c r="AD33" i="17"/>
  <c r="AC33" i="17"/>
  <c r="AB33" i="17"/>
  <c r="Z33" i="17"/>
  <c r="AH32" i="17"/>
  <c r="AD32" i="17"/>
  <c r="AC32" i="17"/>
  <c r="AB32" i="17"/>
  <c r="Z32" i="17"/>
  <c r="AH31" i="17"/>
  <c r="AD31" i="17"/>
  <c r="AC31" i="17"/>
  <c r="AB31" i="17"/>
  <c r="AH30" i="17"/>
  <c r="AD30" i="17"/>
  <c r="AC30" i="17"/>
  <c r="AB30" i="17"/>
  <c r="AH29" i="17"/>
  <c r="AD29" i="17"/>
  <c r="AC29" i="17"/>
  <c r="AB29" i="17"/>
  <c r="Z29" i="17"/>
  <c r="AH28" i="17"/>
  <c r="AD28" i="17"/>
  <c r="AC28" i="17"/>
  <c r="AB28" i="17"/>
  <c r="Z28" i="17"/>
  <c r="AH27" i="17"/>
  <c r="AD27" i="17"/>
  <c r="AC27" i="17"/>
  <c r="AB27" i="17"/>
  <c r="Z27" i="17"/>
  <c r="AH26" i="17"/>
  <c r="AD26" i="17"/>
  <c r="AC26" i="17"/>
  <c r="AB26" i="17"/>
  <c r="Z26" i="17"/>
  <c r="AH25" i="17"/>
  <c r="AD25" i="17"/>
  <c r="AC25" i="17"/>
  <c r="AB25" i="17"/>
  <c r="AH24" i="17"/>
  <c r="AD24" i="17"/>
  <c r="AC24" i="17"/>
  <c r="AB24" i="17"/>
  <c r="Z24" i="17"/>
  <c r="AH23" i="17"/>
  <c r="AD23" i="17"/>
  <c r="AC23" i="17"/>
  <c r="AB23" i="17"/>
  <c r="AH22" i="17"/>
  <c r="AD22" i="17"/>
  <c r="AC22" i="17"/>
  <c r="AB22" i="17"/>
  <c r="AH21" i="17"/>
  <c r="AD21" i="17"/>
  <c r="AC21" i="17"/>
  <c r="AB21" i="17"/>
  <c r="Z21" i="17"/>
  <c r="AH20" i="17"/>
  <c r="AD20" i="17"/>
  <c r="AC20" i="17"/>
  <c r="AB20" i="17"/>
  <c r="Z20" i="17"/>
  <c r="AH19" i="17"/>
  <c r="AD19" i="17"/>
  <c r="AC19" i="17"/>
  <c r="AB19" i="17"/>
  <c r="Z19" i="17"/>
  <c r="AH18" i="17"/>
  <c r="AD18" i="17"/>
  <c r="AC18" i="17"/>
  <c r="AB18" i="17"/>
  <c r="Z18" i="17"/>
  <c r="AH17" i="17"/>
  <c r="AD17" i="17"/>
  <c r="AC17" i="17"/>
  <c r="AB17" i="17"/>
  <c r="Z17" i="17"/>
  <c r="AH16" i="17"/>
  <c r="AD16" i="17"/>
  <c r="AC16" i="17"/>
  <c r="AB16" i="17"/>
  <c r="Z16" i="17"/>
  <c r="AH15" i="17"/>
  <c r="AD15" i="17"/>
  <c r="AC15" i="17"/>
  <c r="AB15" i="17"/>
  <c r="Z15" i="17"/>
  <c r="AH14" i="17"/>
  <c r="AD14" i="17"/>
  <c r="AC14" i="17"/>
  <c r="AB14" i="17"/>
  <c r="Z14" i="17"/>
  <c r="AH13" i="17"/>
  <c r="AD13" i="17"/>
  <c r="AC13" i="17"/>
  <c r="AB13" i="17"/>
  <c r="AH12" i="17"/>
  <c r="AC12" i="17"/>
  <c r="AB12" i="17"/>
  <c r="AH11" i="17"/>
  <c r="AD11" i="17"/>
  <c r="AC11" i="17"/>
  <c r="AB11" i="17"/>
  <c r="AH10" i="17"/>
  <c r="AD10" i="17"/>
  <c r="AC10" i="17"/>
  <c r="AB10" i="17"/>
  <c r="Z10" i="17"/>
  <c r="AH9" i="17"/>
  <c r="AD9" i="17"/>
  <c r="AC9" i="17"/>
  <c r="AB9" i="17"/>
  <c r="AH8" i="17"/>
  <c r="AD8" i="17"/>
  <c r="AC8" i="17"/>
  <c r="AB8" i="17"/>
  <c r="Z8" i="17"/>
  <c r="AH7" i="17"/>
  <c r="AD7" i="17"/>
  <c r="AC7" i="17"/>
  <c r="AB7" i="17"/>
  <c r="Z7" i="17"/>
  <c r="AH6" i="17"/>
  <c r="AD6" i="17"/>
  <c r="AC6" i="17"/>
  <c r="AB6" i="17"/>
  <c r="Z6" i="17"/>
  <c r="AH5" i="17"/>
  <c r="AD5" i="17"/>
  <c r="AC5" i="17"/>
  <c r="AB5" i="17"/>
  <c r="AH4" i="17"/>
  <c r="AD4" i="17"/>
  <c r="AC4" i="17"/>
  <c r="AB4" i="17"/>
  <c r="AH3" i="17"/>
  <c r="AC3" i="17"/>
  <c r="Q52" i="17"/>
  <c r="P52" i="17"/>
  <c r="Q51" i="17"/>
  <c r="P51" i="17"/>
  <c r="Q50" i="17"/>
  <c r="P50" i="17"/>
  <c r="Q49" i="17"/>
  <c r="P49" i="17"/>
  <c r="Q48" i="17"/>
  <c r="P48" i="17"/>
  <c r="Q47" i="17"/>
  <c r="P47" i="17"/>
  <c r="Q46" i="17"/>
  <c r="P46" i="17"/>
  <c r="Q45" i="17"/>
  <c r="P45" i="17"/>
  <c r="Q44" i="17"/>
  <c r="P44" i="17"/>
  <c r="Q43" i="17"/>
  <c r="P43" i="17"/>
  <c r="Q42" i="17"/>
  <c r="P42" i="17"/>
  <c r="Q41" i="17"/>
  <c r="P41" i="17"/>
  <c r="Q40" i="17"/>
  <c r="P40" i="17"/>
  <c r="Q39" i="17"/>
  <c r="P39" i="17"/>
  <c r="Q38" i="17"/>
  <c r="P38" i="17"/>
  <c r="Q37" i="17"/>
  <c r="P37" i="17"/>
  <c r="Q36" i="17"/>
  <c r="P36" i="17"/>
  <c r="Q35" i="17"/>
  <c r="P35" i="17"/>
  <c r="Q34" i="17"/>
  <c r="P34" i="17"/>
  <c r="Q33" i="17"/>
  <c r="P33" i="17"/>
  <c r="Q32" i="17"/>
  <c r="P32" i="17"/>
  <c r="Q31" i="17"/>
  <c r="Q30" i="17"/>
  <c r="Q29" i="17"/>
  <c r="P29" i="17"/>
  <c r="Q28" i="17"/>
  <c r="P28" i="17"/>
  <c r="Q27" i="17"/>
  <c r="P27" i="17"/>
  <c r="Q26" i="17"/>
  <c r="P26" i="17"/>
  <c r="Q25" i="17"/>
  <c r="Q24" i="17"/>
  <c r="P24" i="17"/>
  <c r="Q23" i="17"/>
  <c r="Q22" i="17"/>
  <c r="P22" i="17"/>
  <c r="Q21" i="17"/>
  <c r="P21" i="17"/>
  <c r="Q20" i="17"/>
  <c r="P20" i="17"/>
  <c r="Q19" i="17"/>
  <c r="P19" i="17"/>
  <c r="Q18" i="17"/>
  <c r="Q17" i="17"/>
  <c r="P17" i="17"/>
  <c r="Q16" i="17"/>
  <c r="P16" i="17"/>
  <c r="Q15" i="17"/>
  <c r="P15" i="17"/>
  <c r="Q14" i="17"/>
  <c r="P14" i="17"/>
  <c r="M14" i="17"/>
  <c r="N14" i="17" s="1"/>
  <c r="Q13" i="17"/>
  <c r="Q11" i="17"/>
  <c r="Q10" i="17"/>
  <c r="P10" i="17"/>
  <c r="K10" i="17"/>
  <c r="L10" i="17" s="1"/>
  <c r="Q9" i="17"/>
  <c r="Q8" i="17"/>
  <c r="P8" i="17"/>
  <c r="Q7" i="17"/>
  <c r="P7" i="17"/>
  <c r="Q6" i="17"/>
  <c r="Q5" i="17"/>
  <c r="Q3" i="17"/>
  <c r="H52" i="17"/>
  <c r="C52" i="17"/>
  <c r="D52" i="17" s="1"/>
  <c r="H51" i="17"/>
  <c r="C51" i="17"/>
  <c r="D51" i="17" s="1"/>
  <c r="H50" i="17"/>
  <c r="C50" i="17"/>
  <c r="D50" i="17" s="1"/>
  <c r="H49" i="17"/>
  <c r="C49" i="17"/>
  <c r="D49" i="17" s="1"/>
  <c r="H48" i="17"/>
  <c r="C48" i="17"/>
  <c r="D48" i="17" s="1"/>
  <c r="H47" i="17"/>
  <c r="C47" i="17"/>
  <c r="D47" i="17" s="1"/>
  <c r="H46" i="17"/>
  <c r="C46" i="17"/>
  <c r="H45" i="17"/>
  <c r="C45" i="17"/>
  <c r="D45" i="17" s="1"/>
  <c r="H44" i="17"/>
  <c r="C44" i="17"/>
  <c r="D44" i="17" s="1"/>
  <c r="H43" i="17"/>
  <c r="C43" i="17"/>
  <c r="D43" i="17" s="1"/>
  <c r="H42" i="17"/>
  <c r="C42" i="17"/>
  <c r="D42" i="17" s="1"/>
  <c r="H41" i="17"/>
  <c r="C41" i="17"/>
  <c r="D41" i="17" s="1"/>
  <c r="H40" i="17"/>
  <c r="C40" i="17"/>
  <c r="D40" i="17" s="1"/>
  <c r="H39" i="17"/>
  <c r="C39" i="17"/>
  <c r="D39" i="17" s="1"/>
  <c r="H38" i="17"/>
  <c r="C38" i="17"/>
  <c r="D38" i="17" s="1"/>
  <c r="H37" i="17"/>
  <c r="C37" i="17"/>
  <c r="D37" i="17" s="1"/>
  <c r="H36" i="17"/>
  <c r="C36" i="17"/>
  <c r="D36" i="17" s="1"/>
  <c r="H35" i="17"/>
  <c r="C35" i="17"/>
  <c r="D35" i="17" s="1"/>
  <c r="H34" i="17"/>
  <c r="C34" i="17"/>
  <c r="D34" i="17" s="1"/>
  <c r="H33" i="17"/>
  <c r="C33" i="17"/>
  <c r="D33" i="17" s="1"/>
  <c r="H32" i="17"/>
  <c r="C32" i="17"/>
  <c r="D32" i="17" s="1"/>
  <c r="H31" i="17"/>
  <c r="E31" i="17"/>
  <c r="C31" i="17"/>
  <c r="H30" i="17"/>
  <c r="E30" i="17"/>
  <c r="C30" i="17"/>
  <c r="H29" i="17"/>
  <c r="C29" i="17"/>
  <c r="D29" i="17" s="1"/>
  <c r="H28" i="17"/>
  <c r="C28" i="17"/>
  <c r="D28" i="17" s="1"/>
  <c r="H27" i="17"/>
  <c r="C27" i="17"/>
  <c r="D27" i="17" s="1"/>
  <c r="H26" i="17"/>
  <c r="C26" i="17"/>
  <c r="D26" i="17" s="1"/>
  <c r="H25" i="17"/>
  <c r="E25" i="17"/>
  <c r="C25" i="17"/>
  <c r="H24" i="17"/>
  <c r="C24" i="17"/>
  <c r="D24" i="17" s="1"/>
  <c r="H23" i="17"/>
  <c r="E23" i="17"/>
  <c r="C23" i="17"/>
  <c r="H22" i="17"/>
  <c r="C22" i="17"/>
  <c r="H21" i="17"/>
  <c r="C21" i="17"/>
  <c r="D21" i="17" s="1"/>
  <c r="H20" i="17"/>
  <c r="C20" i="17"/>
  <c r="D20" i="17" s="1"/>
  <c r="H19" i="17"/>
  <c r="C19" i="17"/>
  <c r="D19" i="17" s="1"/>
  <c r="H18" i="17"/>
  <c r="E18" i="17"/>
  <c r="C18" i="17"/>
  <c r="H17" i="17"/>
  <c r="C17" i="17"/>
  <c r="D17" i="17" s="1"/>
  <c r="H16" i="17"/>
  <c r="C16" i="17"/>
  <c r="D16" i="17" s="1"/>
  <c r="H15" i="17"/>
  <c r="C15" i="17"/>
  <c r="D15" i="17" s="1"/>
  <c r="H14" i="17"/>
  <c r="F14" i="17"/>
  <c r="C14" i="17"/>
  <c r="D14" i="17" s="1"/>
  <c r="H13" i="17"/>
  <c r="E13" i="17"/>
  <c r="C13" i="17"/>
  <c r="H12" i="17"/>
  <c r="E12" i="17"/>
  <c r="H11" i="17"/>
  <c r="E11" i="17"/>
  <c r="H10" i="17"/>
  <c r="D10" i="17"/>
  <c r="H9" i="17"/>
  <c r="D9" i="17"/>
  <c r="H8" i="17"/>
  <c r="H7" i="17"/>
  <c r="H6" i="17"/>
  <c r="H5" i="17"/>
  <c r="I4" i="17"/>
  <c r="H4" i="17"/>
  <c r="H3" i="17"/>
  <c r="R52" i="16"/>
  <c r="P52" i="16"/>
  <c r="K52" i="16"/>
  <c r="I52" i="16"/>
  <c r="E52" i="17" s="1"/>
  <c r="R51" i="16"/>
  <c r="P51" i="16"/>
  <c r="K51" i="16"/>
  <c r="I51" i="16"/>
  <c r="E51" i="17" s="1"/>
  <c r="R50" i="16"/>
  <c r="P50" i="16"/>
  <c r="K50" i="16"/>
  <c r="I50" i="16"/>
  <c r="L50" i="16" s="1"/>
  <c r="M50" i="16" s="1"/>
  <c r="R49" i="16"/>
  <c r="P49" i="16"/>
  <c r="K49" i="16"/>
  <c r="I49" i="16"/>
  <c r="E49" i="17" s="1"/>
  <c r="R48" i="16"/>
  <c r="P48" i="16"/>
  <c r="K48" i="16"/>
  <c r="I48" i="16"/>
  <c r="L48" i="16" s="1"/>
  <c r="M48" i="16" s="1"/>
  <c r="R47" i="16"/>
  <c r="P47" i="16"/>
  <c r="K47" i="16"/>
  <c r="I47" i="16"/>
  <c r="L47" i="16" s="1"/>
  <c r="M47" i="16" s="1"/>
  <c r="R46" i="16"/>
  <c r="P46" i="16"/>
  <c r="M46" i="16"/>
  <c r="K46" i="16"/>
  <c r="I46" i="16"/>
  <c r="E46" i="17" s="1"/>
  <c r="R45" i="16"/>
  <c r="P45" i="16"/>
  <c r="L45" i="16"/>
  <c r="M45" i="16" s="1"/>
  <c r="K45" i="16"/>
  <c r="I45" i="16"/>
  <c r="E45" i="17" s="1"/>
  <c r="R44" i="16"/>
  <c r="P44" i="16"/>
  <c r="K44" i="16"/>
  <c r="I44" i="16"/>
  <c r="E44" i="17" s="1"/>
  <c r="R43" i="16"/>
  <c r="P43" i="16"/>
  <c r="K43" i="16"/>
  <c r="I43" i="16"/>
  <c r="L43" i="16" s="1"/>
  <c r="M43" i="16" s="1"/>
  <c r="R42" i="16"/>
  <c r="P42" i="16"/>
  <c r="K42" i="16"/>
  <c r="I42" i="16"/>
  <c r="L42" i="16" s="1"/>
  <c r="M42" i="16" s="1"/>
  <c r="R41" i="16"/>
  <c r="P41" i="16"/>
  <c r="K41" i="16"/>
  <c r="I41" i="16"/>
  <c r="L41" i="16" s="1"/>
  <c r="M41" i="16" s="1"/>
  <c r="R40" i="16"/>
  <c r="P40" i="16"/>
  <c r="L40" i="16"/>
  <c r="M40" i="16" s="1"/>
  <c r="K40" i="16"/>
  <c r="I40" i="16"/>
  <c r="E40" i="17" s="1"/>
  <c r="R39" i="16"/>
  <c r="P39" i="16"/>
  <c r="K39" i="16"/>
  <c r="I39" i="16"/>
  <c r="E39" i="17" s="1"/>
  <c r="R38" i="16"/>
  <c r="P38" i="16"/>
  <c r="K38" i="16"/>
  <c r="I38" i="16"/>
  <c r="E38" i="17" s="1"/>
  <c r="R37" i="16"/>
  <c r="P37" i="16"/>
  <c r="L37" i="16"/>
  <c r="M37" i="16" s="1"/>
  <c r="K37" i="16"/>
  <c r="I37" i="16"/>
  <c r="E37" i="17" s="1"/>
  <c r="R36" i="16"/>
  <c r="P36" i="16"/>
  <c r="L36" i="16"/>
  <c r="M36" i="16" s="1"/>
  <c r="K36" i="16"/>
  <c r="I36" i="16"/>
  <c r="E36" i="17" s="1"/>
  <c r="R35" i="16"/>
  <c r="P35" i="16"/>
  <c r="L35" i="16"/>
  <c r="M35" i="16" s="1"/>
  <c r="K35" i="16"/>
  <c r="I35" i="16"/>
  <c r="E35" i="17" s="1"/>
  <c r="R34" i="16"/>
  <c r="P34" i="16"/>
  <c r="L34" i="16"/>
  <c r="M34" i="16" s="1"/>
  <c r="K34" i="16"/>
  <c r="I34" i="16"/>
  <c r="E34" i="17" s="1"/>
  <c r="R33" i="16"/>
  <c r="P33" i="16"/>
  <c r="L33" i="16"/>
  <c r="M33" i="16" s="1"/>
  <c r="K33" i="16"/>
  <c r="I33" i="16"/>
  <c r="E33" i="17" s="1"/>
  <c r="R32" i="16"/>
  <c r="P32" i="16"/>
  <c r="L32" i="16"/>
  <c r="M32" i="16" s="1"/>
  <c r="K32" i="16"/>
  <c r="I32" i="16"/>
  <c r="E32" i="17" s="1"/>
  <c r="M31" i="16"/>
  <c r="K31" i="16"/>
  <c r="S31" i="16" s="1"/>
  <c r="M30" i="16"/>
  <c r="K30" i="16"/>
  <c r="S30" i="16" s="1"/>
  <c r="J30" i="16"/>
  <c r="R29" i="16"/>
  <c r="P29" i="16"/>
  <c r="L29" i="16"/>
  <c r="M29" i="16" s="1"/>
  <c r="K29" i="16"/>
  <c r="I29" i="16"/>
  <c r="E29" i="17" s="1"/>
  <c r="R28" i="16"/>
  <c r="P28" i="16"/>
  <c r="L28" i="16"/>
  <c r="M28" i="16" s="1"/>
  <c r="K28" i="16"/>
  <c r="I28" i="16"/>
  <c r="R27" i="16"/>
  <c r="P27" i="16"/>
  <c r="L27" i="16"/>
  <c r="M27" i="16" s="1"/>
  <c r="K27" i="16"/>
  <c r="I27" i="16"/>
  <c r="E27" i="17" s="1"/>
  <c r="R26" i="16"/>
  <c r="P26" i="16"/>
  <c r="K26" i="16"/>
  <c r="I26" i="16"/>
  <c r="L26" i="16" s="1"/>
  <c r="M26" i="16" s="1"/>
  <c r="K25" i="16"/>
  <c r="J25" i="16" s="1"/>
  <c r="R24" i="16"/>
  <c r="P24" i="16"/>
  <c r="L24" i="16"/>
  <c r="M24" i="16" s="1"/>
  <c r="K24" i="16"/>
  <c r="I24" i="16"/>
  <c r="E24" i="17" s="1"/>
  <c r="K23" i="16"/>
  <c r="S23" i="16" s="1"/>
  <c r="R22" i="16"/>
  <c r="M22" i="16"/>
  <c r="K22" i="16"/>
  <c r="I22" i="16"/>
  <c r="E22" i="17" s="1"/>
  <c r="R21" i="16"/>
  <c r="P21" i="16"/>
  <c r="K21" i="16"/>
  <c r="I21" i="16"/>
  <c r="E21" i="17" s="1"/>
  <c r="R20" i="16"/>
  <c r="P20" i="16"/>
  <c r="K20" i="16"/>
  <c r="I20" i="16"/>
  <c r="E20" i="17" s="1"/>
  <c r="G20" i="17" s="1"/>
  <c r="R19" i="16"/>
  <c r="P19" i="16"/>
  <c r="L19" i="16"/>
  <c r="M19" i="16" s="1"/>
  <c r="K19" i="16"/>
  <c r="I19" i="16"/>
  <c r="E19" i="17" s="1"/>
  <c r="L18" i="16"/>
  <c r="M18" i="16" s="1"/>
  <c r="K18" i="16"/>
  <c r="J18" i="16" s="1"/>
  <c r="R17" i="16"/>
  <c r="P17" i="16"/>
  <c r="K17" i="16"/>
  <c r="I17" i="16"/>
  <c r="E17" i="17" s="1"/>
  <c r="R16" i="16"/>
  <c r="P16" i="16"/>
  <c r="L16" i="16"/>
  <c r="M16" i="16" s="1"/>
  <c r="K16" i="16"/>
  <c r="I16" i="16"/>
  <c r="E16" i="17" s="1"/>
  <c r="G16" i="17" s="1"/>
  <c r="R15" i="16"/>
  <c r="P15" i="16"/>
  <c r="L15" i="16"/>
  <c r="M15" i="16" s="1"/>
  <c r="K15" i="16"/>
  <c r="I15" i="16"/>
  <c r="E15" i="17" s="1"/>
  <c r="R14" i="16"/>
  <c r="P14" i="16"/>
  <c r="K14" i="16"/>
  <c r="I14" i="16"/>
  <c r="E14" i="17" s="1"/>
  <c r="L13" i="16"/>
  <c r="M13" i="16" s="1"/>
  <c r="K13" i="16"/>
  <c r="S13" i="16" s="1"/>
  <c r="L12" i="16"/>
  <c r="M12" i="16" s="1"/>
  <c r="K12" i="16"/>
  <c r="S12" i="16" s="1"/>
  <c r="L11" i="16"/>
  <c r="M11" i="16" s="1"/>
  <c r="K11" i="16"/>
  <c r="J11" i="16" s="1"/>
  <c r="R10" i="16"/>
  <c r="P10" i="16"/>
  <c r="K10" i="16"/>
  <c r="I10" i="16"/>
  <c r="L10" i="16" s="1"/>
  <c r="M10" i="16" s="1"/>
  <c r="L9" i="16"/>
  <c r="K9" i="16"/>
  <c r="S9" i="16" s="1"/>
  <c r="R8" i="16"/>
  <c r="P8" i="16"/>
  <c r="K8" i="16"/>
  <c r="I8" i="16"/>
  <c r="E8" i="17" s="1"/>
  <c r="R7" i="16"/>
  <c r="L7" i="16"/>
  <c r="M7" i="16" s="1"/>
  <c r="K7" i="16"/>
  <c r="I7" i="16"/>
  <c r="G7" i="17" s="1"/>
  <c r="P6" i="16"/>
  <c r="L6" i="16"/>
  <c r="M6" i="16" s="1"/>
  <c r="K6" i="16"/>
  <c r="J6" i="16" s="1"/>
  <c r="O6" i="16" s="1"/>
  <c r="L5" i="16"/>
  <c r="M5" i="16" s="1"/>
  <c r="K5" i="16"/>
  <c r="S5" i="16" s="1"/>
  <c r="P4" i="16"/>
  <c r="L4" i="16"/>
  <c r="M4" i="16" s="1"/>
  <c r="K4" i="16"/>
  <c r="S4" i="16" s="1"/>
  <c r="L3" i="16"/>
  <c r="K3" i="16"/>
  <c r="S3" i="16" s="1"/>
  <c r="G11" i="17" l="1"/>
  <c r="G31" i="17"/>
  <c r="L21" i="16"/>
  <c r="M21" i="16" s="1"/>
  <c r="L38" i="16"/>
  <c r="M38" i="16" s="1"/>
  <c r="L39" i="16"/>
  <c r="M39" i="16" s="1"/>
  <c r="E10" i="17"/>
  <c r="G21" i="17"/>
  <c r="G25" i="17"/>
  <c r="G37" i="17"/>
  <c r="G30" i="17"/>
  <c r="G23" i="17"/>
  <c r="G13" i="17"/>
  <c r="G12" i="17"/>
  <c r="G22" i="17"/>
  <c r="G46" i="17"/>
  <c r="G38" i="17"/>
  <c r="G17" i="17"/>
  <c r="G33" i="17"/>
  <c r="G24" i="17"/>
  <c r="G14" i="17"/>
  <c r="G19" i="17"/>
  <c r="G15" i="17"/>
  <c r="G44" i="17"/>
  <c r="G45" i="17"/>
  <c r="G39" i="17"/>
  <c r="G40" i="17"/>
  <c r="G49" i="17"/>
  <c r="G51" i="17"/>
  <c r="G52" i="17"/>
  <c r="G35" i="17"/>
  <c r="J13" i="16"/>
  <c r="G8" i="17"/>
  <c r="S16" i="16"/>
  <c r="S47" i="16"/>
  <c r="S11" i="16"/>
  <c r="G32" i="17"/>
  <c r="G34" i="17"/>
  <c r="G36" i="17"/>
  <c r="J52" i="16"/>
  <c r="O52" i="16" s="1"/>
  <c r="J12" i="16"/>
  <c r="G27" i="17"/>
  <c r="G29" i="17"/>
  <c r="J46" i="16"/>
  <c r="S17" i="16"/>
  <c r="S10" i="16"/>
  <c r="L17" i="16"/>
  <c r="M17" i="16" s="1"/>
  <c r="S20" i="16"/>
  <c r="J23" i="16"/>
  <c r="J3" i="16"/>
  <c r="J9" i="16"/>
  <c r="S18" i="16"/>
  <c r="J33" i="16"/>
  <c r="O33" i="16" s="1"/>
  <c r="J34" i="16"/>
  <c r="O34" i="16" s="1"/>
  <c r="L52" i="16"/>
  <c r="M52" i="16" s="1"/>
  <c r="S14" i="16"/>
  <c r="S19" i="16"/>
  <c r="L20" i="16"/>
  <c r="M20" i="16" s="1"/>
  <c r="S21" i="16"/>
  <c r="S24" i="16"/>
  <c r="J37" i="16"/>
  <c r="O37" i="16" s="1"/>
  <c r="S41" i="16"/>
  <c r="S48" i="16"/>
  <c r="L51" i="16"/>
  <c r="M51" i="16" s="1"/>
  <c r="E41" i="17"/>
  <c r="G41" i="17" s="1"/>
  <c r="E47" i="17"/>
  <c r="G47" i="17" s="1"/>
  <c r="J28" i="16"/>
  <c r="O28" i="16" s="1"/>
  <c r="J31" i="16"/>
  <c r="S37" i="16"/>
  <c r="S46" i="16"/>
  <c r="E28" i="17"/>
  <c r="G28" i="17" s="1"/>
  <c r="E50" i="17"/>
  <c r="G50" i="17" s="1"/>
  <c r="G10" i="17"/>
  <c r="E43" i="17"/>
  <c r="G43" i="17" s="1"/>
  <c r="J15" i="16"/>
  <c r="O15" i="16" s="1"/>
  <c r="S22" i="16"/>
  <c r="S33" i="16"/>
  <c r="S39" i="16"/>
  <c r="E26" i="17"/>
  <c r="G26" i="17" s="1"/>
  <c r="E42" i="17"/>
  <c r="G42" i="17" s="1"/>
  <c r="E48" i="17"/>
  <c r="G48" i="17" s="1"/>
  <c r="S26" i="16"/>
  <c r="S32" i="16"/>
  <c r="S36" i="16"/>
  <c r="S44" i="16"/>
  <c r="S49" i="16"/>
  <c r="S34" i="16"/>
  <c r="J16" i="16"/>
  <c r="O16" i="16" s="1"/>
  <c r="J5" i="16"/>
  <c r="S15" i="16"/>
  <c r="S27" i="16"/>
  <c r="S28" i="16"/>
  <c r="J41" i="16"/>
  <c r="O41" i="16" s="1"/>
  <c r="S43" i="16"/>
  <c r="S45" i="16"/>
  <c r="L49" i="16"/>
  <c r="M49" i="16" s="1"/>
  <c r="J51" i="16"/>
  <c r="O51" i="16" s="1"/>
  <c r="S52" i="16"/>
  <c r="S8" i="16"/>
  <c r="J10" i="16"/>
  <c r="O10" i="16" s="1"/>
  <c r="S40" i="16"/>
  <c r="S50" i="16"/>
  <c r="S51" i="16"/>
  <c r="J32" i="16"/>
  <c r="O32" i="16" s="1"/>
  <c r="S38" i="16"/>
  <c r="J38" i="16"/>
  <c r="O38" i="16" s="1"/>
  <c r="S6" i="16"/>
  <c r="J21" i="16"/>
  <c r="O21" i="16" s="1"/>
  <c r="J24" i="16"/>
  <c r="O24" i="16" s="1"/>
  <c r="S29" i="16"/>
  <c r="J29" i="16"/>
  <c r="O29" i="16" s="1"/>
  <c r="S42" i="16"/>
  <c r="J42" i="16"/>
  <c r="O42" i="16" s="1"/>
  <c r="J8" i="16"/>
  <c r="O8" i="16" s="1"/>
  <c r="J14" i="16"/>
  <c r="O14" i="16" s="1"/>
  <c r="S7" i="16"/>
  <c r="L8" i="16"/>
  <c r="M8" i="16" s="1"/>
  <c r="L14" i="16"/>
  <c r="M14" i="16" s="1"/>
  <c r="J20" i="16"/>
  <c r="O20" i="16" s="1"/>
  <c r="J22" i="16"/>
  <c r="S25" i="16"/>
  <c r="J27" i="16"/>
  <c r="O27" i="16" s="1"/>
  <c r="S35" i="16"/>
  <c r="J35" i="16"/>
  <c r="O35" i="16" s="1"/>
  <c r="J44" i="16"/>
  <c r="O44" i="16" s="1"/>
  <c r="L44" i="16"/>
  <c r="M44" i="16" s="1"/>
  <c r="J4" i="16"/>
  <c r="J7" i="16"/>
  <c r="J26" i="16"/>
  <c r="O26" i="16" s="1"/>
  <c r="J36" i="16"/>
  <c r="O36" i="16" s="1"/>
  <c r="J40" i="16"/>
  <c r="O40" i="16" s="1"/>
  <c r="J50" i="16"/>
  <c r="O50" i="16" s="1"/>
  <c r="J45" i="16"/>
  <c r="O45" i="16" s="1"/>
  <c r="J49" i="16"/>
  <c r="O49" i="16" s="1"/>
  <c r="J48" i="16"/>
  <c r="O48" i="16" s="1"/>
  <c r="J17" i="16"/>
  <c r="O17" i="16" s="1"/>
  <c r="J19" i="16"/>
  <c r="O19" i="16" s="1"/>
  <c r="J39" i="16"/>
  <c r="O39" i="16" s="1"/>
  <c r="J43" i="16"/>
  <c r="O43" i="16" s="1"/>
  <c r="J47" i="16"/>
  <c r="O47" i="16" s="1"/>
  <c r="W52" i="15"/>
  <c r="K52" i="15"/>
  <c r="F52" i="15"/>
  <c r="W51" i="15"/>
  <c r="K51" i="15"/>
  <c r="F51" i="15"/>
  <c r="W50" i="15"/>
  <c r="K50" i="15"/>
  <c r="F50" i="15"/>
  <c r="W49" i="15"/>
  <c r="K49" i="15"/>
  <c r="F49" i="15"/>
  <c r="W48" i="15"/>
  <c r="K48" i="15"/>
  <c r="F48" i="15"/>
  <c r="W47" i="15"/>
  <c r="K47" i="15"/>
  <c r="F47" i="15"/>
  <c r="W46" i="15"/>
  <c r="K46" i="15"/>
  <c r="F46" i="15"/>
  <c r="W45" i="15"/>
  <c r="K45" i="15"/>
  <c r="F45" i="15"/>
  <c r="W44" i="15"/>
  <c r="K44" i="15"/>
  <c r="F44" i="15"/>
  <c r="W43" i="15"/>
  <c r="K43" i="15"/>
  <c r="F43" i="15"/>
  <c r="W42" i="15"/>
  <c r="K42" i="15"/>
  <c r="F42" i="15"/>
  <c r="W41" i="15"/>
  <c r="K41" i="15"/>
  <c r="F41" i="15"/>
  <c r="W40" i="15"/>
  <c r="K40" i="15"/>
  <c r="F40" i="15"/>
  <c r="W39" i="15"/>
  <c r="K39" i="15"/>
  <c r="F39" i="15"/>
  <c r="W38" i="15"/>
  <c r="K38" i="15"/>
  <c r="F38" i="15"/>
  <c r="W37" i="15"/>
  <c r="K37" i="15"/>
  <c r="F37" i="15"/>
  <c r="W36" i="15"/>
  <c r="K36" i="15"/>
  <c r="F36" i="15"/>
  <c r="W35" i="15"/>
  <c r="K35" i="15"/>
  <c r="F35" i="15"/>
  <c r="W34" i="15"/>
  <c r="K34" i="15"/>
  <c r="F34" i="15"/>
  <c r="W33" i="15"/>
  <c r="K33" i="15"/>
  <c r="F33" i="15"/>
  <c r="W32" i="15"/>
  <c r="K32" i="15"/>
  <c r="F32" i="15"/>
  <c r="W31" i="15"/>
  <c r="K31" i="15"/>
  <c r="F31" i="15"/>
  <c r="W30" i="15"/>
  <c r="K30" i="15"/>
  <c r="F30" i="15"/>
  <c r="W29" i="15"/>
  <c r="K29" i="15"/>
  <c r="F29" i="15"/>
  <c r="W28" i="15"/>
  <c r="K28" i="15"/>
  <c r="F28" i="15"/>
  <c r="W27" i="15"/>
  <c r="K27" i="15"/>
  <c r="F27" i="15"/>
  <c r="W26" i="15"/>
  <c r="K26" i="15"/>
  <c r="F26" i="15"/>
  <c r="W25" i="15"/>
  <c r="K25" i="15"/>
  <c r="F25" i="15"/>
  <c r="W24" i="15"/>
  <c r="K24" i="15"/>
  <c r="F24" i="15"/>
  <c r="W23" i="15"/>
  <c r="K23" i="15"/>
  <c r="F23" i="15"/>
  <c r="W22" i="15"/>
  <c r="K22" i="15"/>
  <c r="F22" i="15"/>
  <c r="W21" i="15"/>
  <c r="K21" i="15"/>
  <c r="F21" i="15"/>
  <c r="W20" i="15"/>
  <c r="K20" i="15"/>
  <c r="F20" i="15"/>
  <c r="W19" i="15"/>
  <c r="K19" i="15"/>
  <c r="F19" i="15"/>
  <c r="W18" i="15"/>
  <c r="K18" i="15"/>
  <c r="F18" i="15"/>
  <c r="W17" i="15"/>
  <c r="K17" i="15"/>
  <c r="F17" i="15"/>
  <c r="W16" i="15"/>
  <c r="K16" i="15"/>
  <c r="F16" i="15"/>
  <c r="W15" i="15"/>
  <c r="K15" i="15"/>
  <c r="F15" i="15"/>
  <c r="W14" i="15"/>
  <c r="K14" i="15"/>
  <c r="F14" i="15"/>
  <c r="W13" i="15"/>
  <c r="K13" i="15"/>
  <c r="F13" i="15"/>
  <c r="W12" i="15"/>
  <c r="K12" i="15"/>
  <c r="F12" i="15"/>
  <c r="W11" i="15"/>
  <c r="K11" i="15"/>
  <c r="F11" i="15"/>
  <c r="W10" i="15"/>
  <c r="K10" i="15"/>
  <c r="F10" i="15"/>
  <c r="W9" i="15"/>
  <c r="K9" i="15"/>
  <c r="F9" i="15"/>
  <c r="W8" i="15"/>
  <c r="K8" i="15"/>
  <c r="F8" i="15"/>
  <c r="W7" i="15"/>
  <c r="K7" i="15"/>
  <c r="F7" i="15"/>
  <c r="W6" i="15"/>
  <c r="K6" i="15"/>
  <c r="F6" i="15"/>
  <c r="W5" i="15"/>
  <c r="K5" i="15"/>
  <c r="F5" i="15"/>
  <c r="W4" i="15"/>
  <c r="K4" i="15"/>
  <c r="F4" i="15"/>
  <c r="W3" i="15"/>
  <c r="K3" i="15"/>
  <c r="F3" i="15"/>
  <c r="P4" i="13" l="1"/>
  <c r="P13" i="3" l="1"/>
  <c r="O76" i="3" s="1"/>
  <c r="L13" i="3"/>
  <c r="N76" i="3" s="1"/>
  <c r="J13" i="3"/>
  <c r="L76" i="3" s="1"/>
  <c r="H13" i="3"/>
  <c r="I45" i="11" l="1"/>
  <c r="K45" i="11"/>
  <c r="J45" i="11" l="1"/>
  <c r="M45" i="11"/>
  <c r="H5" i="11"/>
  <c r="H6" i="11"/>
  <c r="H7" i="11"/>
  <c r="H30" i="11"/>
  <c r="H3" i="11"/>
  <c r="Z30" i="11" l="1"/>
  <c r="A1" i="10" l="1"/>
  <c r="C3" i="10" s="1"/>
  <c r="K4" i="11"/>
  <c r="D26" i="10" l="1"/>
  <c r="C31" i="10"/>
  <c r="F32" i="10"/>
  <c r="D32" i="10"/>
  <c r="D18" i="10"/>
  <c r="D17" i="10"/>
  <c r="C17" i="10"/>
  <c r="D13" i="10"/>
  <c r="D12" i="10"/>
  <c r="F18" i="10"/>
  <c r="D4" i="10"/>
  <c r="B5" i="10" s="1"/>
  <c r="C5" i="10" s="1"/>
  <c r="B4" i="10"/>
  <c r="F9" i="10" s="1"/>
  <c r="F4" i="10"/>
  <c r="C1" i="7"/>
  <c r="L3" i="7" s="1"/>
  <c r="K7" i="7"/>
  <c r="E17" i="10" l="1"/>
  <c r="B32" i="10"/>
  <c r="E31" i="10" s="1"/>
  <c r="H3" i="7"/>
  <c r="H5" i="7"/>
  <c r="H4" i="7"/>
  <c r="E12" i="10"/>
  <c r="F13" i="10" s="1"/>
  <c r="B18" i="10"/>
  <c r="F21" i="10" s="1"/>
  <c r="E5" i="10"/>
  <c r="F6" i="10" s="1"/>
  <c r="D5" i="10"/>
  <c r="D6" i="10" s="1"/>
  <c r="G18" i="10" l="1"/>
  <c r="G34" i="10"/>
  <c r="G38" i="10" s="1"/>
  <c r="D25" i="10"/>
  <c r="F26" i="10" s="1"/>
  <c r="E6" i="10"/>
  <c r="E7" i="10" s="1"/>
  <c r="I21" i="13"/>
  <c r="I22" i="13"/>
  <c r="I23" i="13"/>
  <c r="I24" i="13"/>
  <c r="I25" i="13"/>
  <c r="I26" i="13"/>
  <c r="I27" i="13"/>
  <c r="I28" i="13"/>
  <c r="I29" i="13"/>
  <c r="I30" i="13"/>
  <c r="I31" i="13"/>
  <c r="I32" i="13"/>
  <c r="I20" i="13"/>
  <c r="I5" i="13"/>
  <c r="I6" i="13"/>
  <c r="I7" i="13"/>
  <c r="I8" i="13"/>
  <c r="I9" i="13"/>
  <c r="I10" i="13"/>
  <c r="I11" i="13"/>
  <c r="I12" i="13"/>
  <c r="I13" i="13"/>
  <c r="I14" i="13"/>
  <c r="I15" i="13"/>
  <c r="I16" i="13"/>
  <c r="I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4" i="13"/>
  <c r="D4" i="9" l="1"/>
  <c r="G21" i="2"/>
  <c r="C5" i="13"/>
  <c r="C6" i="13"/>
  <c r="C7" i="13"/>
  <c r="C8" i="13"/>
  <c r="C9" i="13"/>
  <c r="C10" i="13"/>
  <c r="C11" i="13"/>
  <c r="C12" i="13"/>
  <c r="C13" i="13"/>
  <c r="C14" i="13"/>
  <c r="C15" i="13"/>
  <c r="C16" i="13"/>
  <c r="C4" i="13"/>
  <c r="F3" i="9" l="1"/>
  <c r="G14" i="2"/>
  <c r="D23" i="10" l="1"/>
  <c r="D36" i="10"/>
  <c r="E36" i="10"/>
  <c r="E28" i="10"/>
  <c r="E23" i="10"/>
  <c r="E10" i="7"/>
  <c r="E11" i="7"/>
  <c r="D3" i="9"/>
  <c r="D71" i="7"/>
  <c r="D28" i="10" l="1"/>
  <c r="F28" i="10" s="1"/>
  <c r="F29" i="10" s="1"/>
  <c r="J5" i="7" s="1"/>
  <c r="G36" i="10"/>
  <c r="G39" i="10" s="1"/>
  <c r="G40" i="10" s="1"/>
  <c r="J3" i="7" s="1"/>
  <c r="F23" i="10"/>
  <c r="F24" i="10" s="1"/>
  <c r="I5" i="7" s="1"/>
  <c r="G25" i="3"/>
  <c r="P49" i="11"/>
  <c r="W6" i="11"/>
  <c r="N6" i="11"/>
  <c r="R6" i="11" s="1"/>
  <c r="G37" i="10" l="1"/>
  <c r="I3" i="7" s="1"/>
  <c r="H12" i="2"/>
  <c r="A1" i="9"/>
  <c r="W4" i="11"/>
  <c r="W8" i="11"/>
  <c r="X8" i="11" s="1"/>
  <c r="W10" i="11"/>
  <c r="X10" i="11" s="1"/>
  <c r="W11" i="11"/>
  <c r="X11" i="11" s="1"/>
  <c r="W13" i="11"/>
  <c r="X13" i="11" s="1"/>
  <c r="W14" i="11"/>
  <c r="X14" i="11" s="1"/>
  <c r="W15" i="11"/>
  <c r="X15" i="11" s="1"/>
  <c r="W16" i="11"/>
  <c r="X16" i="11" s="1"/>
  <c r="W17" i="11"/>
  <c r="X17" i="11" s="1"/>
  <c r="W18" i="11"/>
  <c r="X18" i="11" s="1"/>
  <c r="W19" i="11"/>
  <c r="X19" i="11" s="1"/>
  <c r="W20" i="11"/>
  <c r="X20" i="11" s="1"/>
  <c r="W21" i="11"/>
  <c r="X21" i="11" s="1"/>
  <c r="F23" i="9" l="1"/>
  <c r="B15" i="9"/>
  <c r="D16" i="9"/>
  <c r="D25" i="9"/>
  <c r="F8" i="9"/>
  <c r="B16" i="9"/>
  <c r="F11" i="9"/>
  <c r="B27" i="9"/>
  <c r="F6" i="9"/>
  <c r="K29" i="3" s="1"/>
  <c r="B25" i="9"/>
  <c r="J43" i="3" s="1"/>
  <c r="D27" i="9"/>
  <c r="D6" i="9"/>
  <c r="F20" i="9"/>
  <c r="Q43" i="3" s="1"/>
  <c r="D7" i="9"/>
  <c r="I29" i="3" s="1"/>
  <c r="D11" i="9"/>
  <c r="D23" i="9"/>
  <c r="D5" i="9"/>
  <c r="O27" i="3" s="1"/>
  <c r="D8" i="9"/>
  <c r="O29" i="3" s="1"/>
  <c r="D12" i="9"/>
  <c r="D15" i="9"/>
  <c r="B20" i="9"/>
  <c r="B21" i="9"/>
  <c r="D20" i="9"/>
  <c r="B23" i="9"/>
  <c r="N43" i="3" l="1"/>
  <c r="G18" i="7"/>
  <c r="F10" i="10"/>
  <c r="F14" i="10" s="1"/>
  <c r="M29" i="3"/>
  <c r="F5" i="9"/>
  <c r="M27" i="3" s="1"/>
  <c r="F4" i="9"/>
  <c r="K27" i="3" s="1"/>
  <c r="F15" i="9"/>
  <c r="F16" i="7" l="1"/>
  <c r="O4" i="11"/>
  <c r="P4" i="11"/>
  <c r="Q4" i="11"/>
  <c r="O5" i="11"/>
  <c r="P5" i="11"/>
  <c r="Q5" i="11"/>
  <c r="O7" i="11"/>
  <c r="P7" i="11"/>
  <c r="Q7" i="11"/>
  <c r="O8" i="11"/>
  <c r="P8" i="11"/>
  <c r="Q8" i="11"/>
  <c r="O9" i="11"/>
  <c r="P9" i="11"/>
  <c r="Q9" i="11"/>
  <c r="O10" i="11"/>
  <c r="P10" i="11"/>
  <c r="Q10" i="11"/>
  <c r="O11" i="11"/>
  <c r="P11" i="11"/>
  <c r="Q11" i="11"/>
  <c r="O12" i="11"/>
  <c r="P12" i="11"/>
  <c r="Q12" i="11"/>
  <c r="O13" i="11"/>
  <c r="P13" i="11"/>
  <c r="Q13" i="11"/>
  <c r="O14" i="11"/>
  <c r="P14" i="11"/>
  <c r="Q14" i="11"/>
  <c r="O15" i="11"/>
  <c r="P15" i="11"/>
  <c r="Q15" i="11"/>
  <c r="O16" i="11"/>
  <c r="P16" i="11"/>
  <c r="Q16" i="11"/>
  <c r="O17" i="11"/>
  <c r="P17" i="11"/>
  <c r="Q17" i="11"/>
  <c r="O18" i="11"/>
  <c r="P18" i="11"/>
  <c r="Q18" i="11"/>
  <c r="O19" i="11"/>
  <c r="P19" i="11"/>
  <c r="Q19" i="11"/>
  <c r="O20" i="11"/>
  <c r="P20" i="11"/>
  <c r="Q20" i="11"/>
  <c r="O21" i="11"/>
  <c r="P21" i="11"/>
  <c r="Q21" i="11"/>
  <c r="O22" i="11"/>
  <c r="P22" i="11"/>
  <c r="Q22" i="11"/>
  <c r="O23" i="11"/>
  <c r="P23" i="11"/>
  <c r="Q23" i="11"/>
  <c r="O24" i="11"/>
  <c r="P24" i="11"/>
  <c r="Q24" i="11"/>
  <c r="O25" i="11"/>
  <c r="P25" i="11"/>
  <c r="Q25" i="11"/>
  <c r="O26" i="11"/>
  <c r="P26" i="11"/>
  <c r="Q26" i="11"/>
  <c r="O27" i="11"/>
  <c r="P27" i="11"/>
  <c r="Q27" i="11"/>
  <c r="O28" i="11"/>
  <c r="P28" i="11"/>
  <c r="Q28" i="11"/>
  <c r="O29" i="11"/>
  <c r="P29" i="11"/>
  <c r="Q29" i="11"/>
  <c r="O30" i="11"/>
  <c r="P30" i="11"/>
  <c r="Q30" i="11"/>
  <c r="O31" i="11"/>
  <c r="P31" i="11"/>
  <c r="Q31" i="11"/>
  <c r="O32" i="11"/>
  <c r="P32" i="11"/>
  <c r="Q32" i="11"/>
  <c r="O33" i="11"/>
  <c r="P33" i="11"/>
  <c r="Q33" i="11"/>
  <c r="O34" i="11"/>
  <c r="P34" i="11"/>
  <c r="Q34" i="11"/>
  <c r="O35" i="11"/>
  <c r="P35" i="11"/>
  <c r="Q35" i="11"/>
  <c r="O36" i="11"/>
  <c r="P36" i="11"/>
  <c r="Q36" i="11"/>
  <c r="O37" i="11"/>
  <c r="P37" i="11"/>
  <c r="Q37" i="11"/>
  <c r="O38" i="11"/>
  <c r="P38" i="11"/>
  <c r="Q38" i="11"/>
  <c r="O39" i="11"/>
  <c r="P39" i="11"/>
  <c r="Q39" i="11"/>
  <c r="O40" i="11"/>
  <c r="P40" i="11"/>
  <c r="Q40" i="11"/>
  <c r="O41" i="11"/>
  <c r="P41" i="11"/>
  <c r="Q41" i="11"/>
  <c r="O42" i="11"/>
  <c r="P42" i="11"/>
  <c r="Q42" i="11"/>
  <c r="O43" i="11"/>
  <c r="P43" i="11"/>
  <c r="Q43" i="11"/>
  <c r="O44" i="11"/>
  <c r="P44" i="11"/>
  <c r="Q44" i="11"/>
  <c r="O45" i="11"/>
  <c r="P45" i="11"/>
  <c r="Q45" i="11"/>
  <c r="O46" i="11"/>
  <c r="P46" i="11"/>
  <c r="Q46" i="11"/>
  <c r="O47" i="11"/>
  <c r="P47" i="11"/>
  <c r="Q47" i="11"/>
  <c r="O48" i="11"/>
  <c r="P48" i="11"/>
  <c r="Q48" i="11"/>
  <c r="O49" i="11"/>
  <c r="O50" i="11"/>
  <c r="P50" i="11"/>
  <c r="Q50" i="11"/>
  <c r="O51" i="11"/>
  <c r="P51" i="11"/>
  <c r="Q51" i="11"/>
  <c r="O52" i="11"/>
  <c r="P52" i="11"/>
  <c r="Q52" i="11"/>
  <c r="P3" i="11"/>
  <c r="Q3" i="11"/>
  <c r="O3" i="11"/>
  <c r="I14" i="11"/>
  <c r="H14" i="11" s="1"/>
  <c r="K14" i="11"/>
  <c r="I15" i="11"/>
  <c r="H15" i="11" s="1"/>
  <c r="K15" i="11"/>
  <c r="I16" i="11"/>
  <c r="H16" i="11" s="1"/>
  <c r="K16" i="11"/>
  <c r="I17" i="11"/>
  <c r="H17" i="11" s="1"/>
  <c r="K17" i="11"/>
  <c r="I18" i="11"/>
  <c r="H18" i="11" s="1"/>
  <c r="K18" i="11"/>
  <c r="I19" i="11"/>
  <c r="H19" i="11" s="1"/>
  <c r="K19" i="11"/>
  <c r="I20" i="11"/>
  <c r="K20" i="11"/>
  <c r="I21" i="11"/>
  <c r="H21" i="11" s="1"/>
  <c r="K21" i="11"/>
  <c r="H23" i="11"/>
  <c r="I24" i="11"/>
  <c r="H24" i="11" s="1"/>
  <c r="I26" i="11"/>
  <c r="H26" i="11" s="1"/>
  <c r="K26" i="11"/>
  <c r="I27" i="11"/>
  <c r="H27" i="11" s="1"/>
  <c r="K27" i="11"/>
  <c r="I28" i="11"/>
  <c r="K28" i="11"/>
  <c r="I29" i="11"/>
  <c r="H29" i="11" s="1"/>
  <c r="K29" i="11"/>
  <c r="H31" i="11"/>
  <c r="I32" i="11"/>
  <c r="H32" i="11" s="1"/>
  <c r="K32" i="11"/>
  <c r="I33" i="11"/>
  <c r="K33" i="11"/>
  <c r="I34" i="11"/>
  <c r="H34" i="11" s="1"/>
  <c r="K34" i="11"/>
  <c r="I35" i="11"/>
  <c r="H35" i="11" s="1"/>
  <c r="K35" i="11"/>
  <c r="I36" i="11"/>
  <c r="H36" i="11" s="1"/>
  <c r="K36" i="11"/>
  <c r="I37" i="11"/>
  <c r="H37" i="11" s="1"/>
  <c r="K37" i="11"/>
  <c r="I38" i="11"/>
  <c r="K38" i="11"/>
  <c r="I39" i="11"/>
  <c r="H39" i="11" s="1"/>
  <c r="K39" i="11"/>
  <c r="I40" i="11"/>
  <c r="H40" i="11" s="1"/>
  <c r="K40" i="11"/>
  <c r="I41" i="11"/>
  <c r="K41" i="11"/>
  <c r="I42" i="11"/>
  <c r="H42" i="11" s="1"/>
  <c r="K42" i="11"/>
  <c r="I43" i="11"/>
  <c r="H43" i="11" s="1"/>
  <c r="K43" i="11"/>
  <c r="I44" i="11"/>
  <c r="K44" i="11"/>
  <c r="H45" i="11"/>
  <c r="H46" i="11"/>
  <c r="I47" i="11"/>
  <c r="H47" i="11" s="1"/>
  <c r="K47" i="11"/>
  <c r="I48" i="11"/>
  <c r="H48" i="11" s="1"/>
  <c r="K48" i="11"/>
  <c r="I49" i="11"/>
  <c r="H49" i="11" s="1"/>
  <c r="K49" i="11"/>
  <c r="I50" i="11"/>
  <c r="H50" i="11" s="1"/>
  <c r="K50" i="11"/>
  <c r="I51" i="11"/>
  <c r="K51" i="11"/>
  <c r="I52" i="11"/>
  <c r="H52" i="11" s="1"/>
  <c r="K52" i="11"/>
  <c r="B1" i="5"/>
  <c r="G13" i="2"/>
  <c r="G12" i="2"/>
  <c r="C47" i="11"/>
  <c r="C28" i="11"/>
  <c r="C21" i="11"/>
  <c r="C35" i="11"/>
  <c r="C34" i="11"/>
  <c r="C49" i="11"/>
  <c r="C26" i="11"/>
  <c r="C8" i="11"/>
  <c r="C10" i="11"/>
  <c r="C51" i="11"/>
  <c r="C36" i="11"/>
  <c r="C39" i="11"/>
  <c r="C50" i="11"/>
  <c r="C43" i="11"/>
  <c r="C24" i="11"/>
  <c r="C42" i="11"/>
  <c r="C33" i="11"/>
  <c r="C41" i="11"/>
  <c r="C19" i="11"/>
  <c r="C52" i="11"/>
  <c r="C44" i="11"/>
  <c r="C29" i="11"/>
  <c r="C16" i="11"/>
  <c r="C15" i="11"/>
  <c r="C45" i="11"/>
  <c r="C20" i="11"/>
  <c r="C40" i="11"/>
  <c r="C14" i="11"/>
  <c r="C32" i="11"/>
  <c r="C37" i="11"/>
  <c r="C48" i="11"/>
  <c r="K8" i="11"/>
  <c r="K11" i="11"/>
  <c r="K13" i="11"/>
  <c r="H4" i="11"/>
  <c r="I8" i="11"/>
  <c r="H8" i="11" s="1"/>
  <c r="I9" i="11"/>
  <c r="H9" i="11" s="1"/>
  <c r="C17" i="11"/>
  <c r="I10" i="11"/>
  <c r="H10" i="11" s="1"/>
  <c r="C27" i="11"/>
  <c r="I11" i="11"/>
  <c r="H11" i="11" s="1"/>
  <c r="H12" i="11"/>
  <c r="C38" i="11"/>
  <c r="I13" i="11"/>
  <c r="H13" i="11" s="1"/>
  <c r="N51" i="11" l="1"/>
  <c r="R51" i="11" s="1"/>
  <c r="H51" i="11"/>
  <c r="N44" i="11"/>
  <c r="R44" i="11" s="1"/>
  <c r="H44" i="11"/>
  <c r="N41" i="11"/>
  <c r="R41" i="11" s="1"/>
  <c r="H41" i="11"/>
  <c r="N33" i="11"/>
  <c r="R33" i="11" s="1"/>
  <c r="H33" i="11"/>
  <c r="N28" i="11"/>
  <c r="R28" i="11" s="1"/>
  <c r="H28" i="11"/>
  <c r="N20" i="11"/>
  <c r="R20" i="11" s="1"/>
  <c r="H20" i="11"/>
  <c r="N38" i="11"/>
  <c r="R38" i="11" s="1"/>
  <c r="H38" i="11"/>
  <c r="R25" i="11"/>
  <c r="H25" i="11"/>
  <c r="N22" i="11"/>
  <c r="R22" i="11" s="1"/>
  <c r="H22" i="11"/>
  <c r="H2" i="5"/>
  <c r="K2" i="5"/>
  <c r="H3" i="9" s="1"/>
  <c r="I3" i="9" s="1"/>
  <c r="B4" i="9"/>
  <c r="F7" i="7" s="1"/>
  <c r="G27" i="3"/>
  <c r="G15" i="2"/>
  <c r="I25" i="3"/>
  <c r="K6" i="5"/>
  <c r="C48" i="5"/>
  <c r="K3" i="5"/>
  <c r="C46" i="5"/>
  <c r="C44" i="5"/>
  <c r="C45" i="5" s="1"/>
  <c r="C31" i="5"/>
  <c r="C42" i="5"/>
  <c r="C43" i="5" s="1"/>
  <c r="C30" i="5"/>
  <c r="J10" i="11"/>
  <c r="J32" i="11"/>
  <c r="J48" i="11"/>
  <c r="J43" i="11"/>
  <c r="J35" i="11"/>
  <c r="J27" i="11"/>
  <c r="J24" i="11"/>
  <c r="J17" i="11"/>
  <c r="J15" i="11"/>
  <c r="J50" i="11"/>
  <c r="J26" i="11"/>
  <c r="J51" i="11"/>
  <c r="J44" i="11"/>
  <c r="J41" i="11"/>
  <c r="J38" i="11"/>
  <c r="J33" i="11"/>
  <c r="J28" i="11"/>
  <c r="J20" i="11"/>
  <c r="J52" i="11"/>
  <c r="J40" i="11"/>
  <c r="J37" i="11"/>
  <c r="J29" i="11"/>
  <c r="J21" i="11"/>
  <c r="J19" i="11"/>
  <c r="J16" i="11"/>
  <c r="J14" i="11"/>
  <c r="J13" i="11"/>
  <c r="J11" i="11"/>
  <c r="J8" i="11"/>
  <c r="J49" i="11"/>
  <c r="J47" i="11"/>
  <c r="J42" i="11"/>
  <c r="J39" i="11"/>
  <c r="J36" i="11"/>
  <c r="J34" i="11"/>
  <c r="J18" i="11"/>
  <c r="M43" i="11"/>
  <c r="M39" i="11"/>
  <c r="N37" i="11"/>
  <c r="R37" i="11" s="1"/>
  <c r="N36" i="11"/>
  <c r="R36" i="11" s="1"/>
  <c r="N49" i="11"/>
  <c r="R49" i="11" s="1"/>
  <c r="M34" i="11"/>
  <c r="M15" i="11"/>
  <c r="M47" i="11"/>
  <c r="M41" i="11"/>
  <c r="N30" i="11"/>
  <c r="R30" i="11" s="1"/>
  <c r="N15" i="11"/>
  <c r="R15" i="11" s="1"/>
  <c r="M51" i="11"/>
  <c r="M50" i="11"/>
  <c r="M49" i="11"/>
  <c r="N47" i="11"/>
  <c r="R47" i="11" s="1"/>
  <c r="N39" i="11"/>
  <c r="R39" i="11" s="1"/>
  <c r="M38" i="11"/>
  <c r="M36" i="11"/>
  <c r="M29" i="11"/>
  <c r="N26" i="11"/>
  <c r="R26" i="11" s="1"/>
  <c r="N18" i="11"/>
  <c r="R18" i="11" s="1"/>
  <c r="M28" i="11"/>
  <c r="M20" i="11"/>
  <c r="M18" i="11"/>
  <c r="N16" i="11"/>
  <c r="R16" i="11" s="1"/>
  <c r="N14" i="11"/>
  <c r="R14" i="11" s="1"/>
  <c r="M52" i="11"/>
  <c r="N48" i="11"/>
  <c r="R48" i="11" s="1"/>
  <c r="N45" i="11"/>
  <c r="R45" i="11" s="1"/>
  <c r="N27" i="11"/>
  <c r="R27" i="11" s="1"/>
  <c r="M21" i="11"/>
  <c r="N17" i="11"/>
  <c r="R17" i="11" s="1"/>
  <c r="C8" i="5"/>
  <c r="M42" i="11"/>
  <c r="M35" i="11"/>
  <c r="M31" i="11"/>
  <c r="M24" i="11"/>
  <c r="N50" i="11"/>
  <c r="R50" i="11" s="1"/>
  <c r="M48" i="11"/>
  <c r="M44" i="11"/>
  <c r="N43" i="11"/>
  <c r="R43" i="11" s="1"/>
  <c r="N40" i="11"/>
  <c r="R40" i="11" s="1"/>
  <c r="M33" i="11"/>
  <c r="N29" i="11"/>
  <c r="R29" i="11" s="1"/>
  <c r="M27" i="11"/>
  <c r="N19" i="11"/>
  <c r="R19" i="11" s="1"/>
  <c r="M17" i="11"/>
  <c r="N52" i="11"/>
  <c r="R52" i="11" s="1"/>
  <c r="N46" i="11"/>
  <c r="R46" i="11" s="1"/>
  <c r="N42" i="11"/>
  <c r="R42" i="11" s="1"/>
  <c r="M37" i="11"/>
  <c r="N35" i="11"/>
  <c r="R35" i="11" s="1"/>
  <c r="N32" i="11"/>
  <c r="R32" i="11" s="1"/>
  <c r="N31" i="11"/>
  <c r="R31" i="11" s="1"/>
  <c r="M26" i="11"/>
  <c r="N24" i="11"/>
  <c r="R24" i="11" s="1"/>
  <c r="N21" i="11"/>
  <c r="R21" i="11" s="1"/>
  <c r="M16" i="11"/>
  <c r="N34" i="11"/>
  <c r="R34" i="11" s="1"/>
  <c r="N23" i="11"/>
  <c r="R23" i="11" s="1"/>
  <c r="M40" i="11"/>
  <c r="M32" i="11"/>
  <c r="M19" i="11"/>
  <c r="M14" i="11"/>
  <c r="M10" i="11"/>
  <c r="M13" i="11"/>
  <c r="N12" i="11"/>
  <c r="R12" i="11" s="1"/>
  <c r="R9" i="11"/>
  <c r="N5" i="11"/>
  <c r="R5" i="11" s="1"/>
  <c r="N13" i="11"/>
  <c r="R13" i="11" s="1"/>
  <c r="N11" i="11"/>
  <c r="R11" i="11" s="1"/>
  <c r="N8" i="11"/>
  <c r="R8" i="11" s="1"/>
  <c r="N4" i="11"/>
  <c r="R4" i="11" s="1"/>
  <c r="M11" i="11"/>
  <c r="M8" i="11"/>
  <c r="M4" i="11"/>
  <c r="N10" i="11"/>
  <c r="R10" i="11" s="1"/>
  <c r="N7" i="11"/>
  <c r="R7" i="11" s="1"/>
  <c r="N3" i="11"/>
  <c r="R3" i="11" s="1"/>
  <c r="B6" i="9"/>
  <c r="F8" i="7" s="1"/>
  <c r="C3" i="5" l="1"/>
  <c r="U22" i="3"/>
  <c r="D26" i="9"/>
  <c r="Z35" i="11"/>
  <c r="Z20" i="11"/>
  <c r="Z14" i="11"/>
  <c r="Z4" i="11"/>
  <c r="Z46" i="11"/>
  <c r="Z16" i="11"/>
  <c r="Z26" i="11"/>
  <c r="Z37" i="11"/>
  <c r="Z45" i="11"/>
  <c r="Z51" i="11"/>
  <c r="Z28" i="11"/>
  <c r="Z39" i="11"/>
  <c r="Z44" i="11"/>
  <c r="Z19" i="11"/>
  <c r="Z9" i="11"/>
  <c r="Z38" i="11"/>
  <c r="Z32" i="11"/>
  <c r="Z7" i="11"/>
  <c r="Z8" i="11"/>
  <c r="Z5" i="11"/>
  <c r="Z15" i="11"/>
  <c r="Z29" i="11"/>
  <c r="Z41" i="11"/>
  <c r="Z33" i="11"/>
  <c r="Z36" i="11"/>
  <c r="Z47" i="11"/>
  <c r="Z34" i="11"/>
  <c r="Z42" i="11"/>
  <c r="Z13" i="11"/>
  <c r="Z27" i="11"/>
  <c r="Z43" i="11"/>
  <c r="Z52" i="11"/>
  <c r="Z49" i="11"/>
  <c r="Z10" i="11"/>
  <c r="Z11" i="11"/>
  <c r="Z12" i="11"/>
  <c r="Z17" i="11"/>
  <c r="Z24" i="11"/>
  <c r="Z48" i="11"/>
  <c r="Z21" i="11"/>
  <c r="Z50" i="11"/>
  <c r="Z18" i="11"/>
  <c r="Z40" i="11"/>
  <c r="Z25" i="11"/>
  <c r="Z31" i="11"/>
  <c r="C16" i="5"/>
  <c r="D24" i="5"/>
  <c r="C24" i="5" s="1"/>
  <c r="G32" i="10"/>
  <c r="E26" i="7"/>
  <c r="E25" i="7"/>
  <c r="F5" i="7"/>
  <c r="F24" i="7" l="1"/>
  <c r="F29" i="7" s="1"/>
  <c r="U97" i="3" s="1"/>
  <c r="G23" i="9"/>
  <c r="F22" i="9" s="1"/>
  <c r="G18" i="9"/>
  <c r="D21" i="9" s="1"/>
  <c r="F18" i="7" l="1"/>
  <c r="O41" i="3"/>
  <c r="F24" i="9"/>
  <c r="F17" i="7" s="1"/>
  <c r="D9" i="9"/>
  <c r="U93" i="3" s="1"/>
  <c r="B3" i="9"/>
  <c r="D48" i="5"/>
  <c r="D46" i="5"/>
  <c r="D45" i="5"/>
  <c r="D44" i="5"/>
  <c r="D43" i="5"/>
  <c r="D42" i="5"/>
  <c r="D39" i="5"/>
  <c r="D38" i="5"/>
  <c r="D35" i="5"/>
  <c r="D34" i="5"/>
  <c r="D23" i="5"/>
  <c r="D22" i="5"/>
  <c r="D4" i="5"/>
  <c r="D5" i="5"/>
  <c r="H6" i="5"/>
  <c r="F21" i="2"/>
  <c r="N38" i="7"/>
  <c r="N35" i="7" s="1"/>
  <c r="E39" i="7" s="1"/>
  <c r="M38" i="7"/>
  <c r="M35" i="7" s="1"/>
  <c r="E38" i="7" s="1"/>
  <c r="E12" i="7" l="1"/>
  <c r="F9" i="7" s="1"/>
  <c r="F6" i="7"/>
  <c r="D18" i="5"/>
  <c r="D37" i="5"/>
  <c r="B9" i="9"/>
  <c r="D2" i="5"/>
  <c r="O38" i="7"/>
  <c r="O35" i="7" s="1"/>
  <c r="L38" i="7"/>
  <c r="L35" i="7" s="1"/>
  <c r="S36" i="7"/>
  <c r="M64" i="3" s="1"/>
  <c r="S35" i="7"/>
  <c r="F52" i="7" s="1"/>
  <c r="R36" i="7"/>
  <c r="R35" i="7"/>
  <c r="F49" i="7" s="1"/>
  <c r="Q36" i="7"/>
  <c r="M61" i="3" s="1"/>
  <c r="Q35" i="7"/>
  <c r="P36" i="7"/>
  <c r="P35" i="7"/>
  <c r="F50" i="7" l="1"/>
  <c r="U65" i="3" s="1"/>
  <c r="M65" i="3"/>
  <c r="F2" i="9"/>
  <c r="AA51" i="3" s="1"/>
  <c r="F17" i="9"/>
  <c r="R41" i="3" s="1"/>
  <c r="O36" i="7"/>
  <c r="M60" i="3" s="1"/>
  <c r="L36" i="7"/>
  <c r="M59" i="3" s="1"/>
  <c r="H2" i="9" l="1"/>
  <c r="H4" i="9" s="1"/>
  <c r="I2" i="9"/>
  <c r="I4" i="9" s="1"/>
  <c r="F19" i="7"/>
  <c r="E14" i="7"/>
  <c r="O32" i="3" s="1"/>
  <c r="E15" i="7"/>
  <c r="G32" i="3" s="1"/>
  <c r="F13" i="7" l="1"/>
  <c r="F4" i="7" s="1"/>
  <c r="J6" i="4"/>
  <c r="J7" i="4" s="1"/>
  <c r="J8" i="4" s="1"/>
  <c r="J4" i="4"/>
  <c r="J3" i="4"/>
  <c r="D80" i="7" l="1"/>
  <c r="D73" i="7" l="1"/>
  <c r="B29" i="4" l="1"/>
  <c r="B27" i="4"/>
  <c r="B24" i="4"/>
  <c r="B25" i="4"/>
  <c r="B23" i="4"/>
  <c r="B19" i="4"/>
  <c r="B20" i="4"/>
  <c r="B21" i="4"/>
  <c r="B18" i="4"/>
  <c r="F20" i="2"/>
  <c r="F19" i="2"/>
  <c r="R78" i="7"/>
  <c r="L65" i="7"/>
  <c r="L64" i="7"/>
  <c r="L63" i="7"/>
  <c r="L62" i="7"/>
  <c r="L61" i="7"/>
  <c r="L60" i="7"/>
  <c r="L59" i="7"/>
  <c r="L5" i="7"/>
  <c r="D57" i="7"/>
  <c r="S9" i="3"/>
  <c r="L9" i="3" s="1"/>
  <c r="Q7" i="3"/>
  <c r="L7" i="3"/>
  <c r="L4" i="3"/>
  <c r="G29" i="3" s="1"/>
  <c r="G9" i="3"/>
  <c r="C9" i="3"/>
  <c r="C7" i="3"/>
  <c r="C4" i="3"/>
  <c r="U48" i="3"/>
  <c r="U37" i="3"/>
  <c r="U32" i="3"/>
  <c r="U31" i="3"/>
  <c r="U27" i="3"/>
  <c r="U98" i="3" s="1"/>
  <c r="U25" i="3"/>
  <c r="U13" i="3" l="1"/>
  <c r="U29" i="3"/>
  <c r="U92" i="3" s="1"/>
  <c r="U94" i="3" s="1"/>
  <c r="D64" i="7"/>
  <c r="F53" i="7"/>
  <c r="U64" i="3" s="1"/>
  <c r="M5" i="7"/>
  <c r="D70" i="7"/>
  <c r="D72" i="7" s="1"/>
  <c r="D59" i="7"/>
  <c r="G43" i="3" l="1"/>
  <c r="D39" i="7"/>
  <c r="D38" i="7"/>
  <c r="F11" i="10"/>
  <c r="I4" i="7" s="1"/>
  <c r="F3" i="7" s="1"/>
  <c r="F15" i="10"/>
  <c r="J4" i="7" s="1"/>
  <c r="F7" i="10"/>
  <c r="D7" i="10"/>
  <c r="D62" i="7"/>
  <c r="U43" i="3" l="1"/>
  <c r="U41" i="3"/>
  <c r="G7" i="10"/>
  <c r="F32" i="7" l="1"/>
  <c r="J46" i="3"/>
  <c r="U46" i="3" s="1"/>
  <c r="U51" i="3" s="1"/>
  <c r="F38" i="7"/>
  <c r="F35" i="7" l="1"/>
  <c r="U59" i="3" s="1"/>
  <c r="F34" i="7"/>
  <c r="F23" i="7"/>
  <c r="F22" i="7" s="1"/>
  <c r="F21" i="7" l="1"/>
  <c r="F27" i="7" s="1"/>
  <c r="C14" i="5"/>
  <c r="D15" i="5" s="1"/>
  <c r="C9" i="5"/>
  <c r="D10" i="5" s="1"/>
  <c r="C47" i="5"/>
  <c r="D47" i="5" s="1"/>
  <c r="D41" i="5" s="1"/>
  <c r="G32" i="7" l="1"/>
  <c r="U96" i="3"/>
  <c r="C28" i="5"/>
  <c r="D32" i="5" s="1"/>
  <c r="C29" i="5"/>
  <c r="D33" i="5" s="1"/>
  <c r="D74" i="7"/>
  <c r="D75" i="7" s="1"/>
  <c r="D77" i="7" s="1"/>
  <c r="D12" i="5"/>
  <c r="D13" i="5"/>
  <c r="D11" i="5"/>
  <c r="F44" i="7" l="1"/>
  <c r="F42" i="7"/>
  <c r="U60" i="3" s="1"/>
  <c r="F46" i="7"/>
  <c r="F41" i="7"/>
  <c r="F47" i="7"/>
  <c r="U61" i="3" s="1"/>
  <c r="D36" i="5"/>
  <c r="D27" i="5" s="1"/>
  <c r="D7" i="5"/>
  <c r="F82" i="7"/>
  <c r="F85" i="7"/>
  <c r="F87" i="7"/>
  <c r="F88" i="7"/>
  <c r="H87" i="7" s="1"/>
  <c r="K87" i="7" s="1"/>
  <c r="F84" i="7"/>
  <c r="F83" i="7"/>
  <c r="F86" i="7"/>
  <c r="H85" i="7" l="1"/>
  <c r="K85" i="7" s="1"/>
  <c r="D65" i="7"/>
  <c r="H86" i="7"/>
  <c r="K86" i="7" s="1"/>
  <c r="D63" i="7"/>
  <c r="H82" i="7"/>
  <c r="K82" i="7" s="1"/>
  <c r="H84" i="7"/>
  <c r="K84" i="7" s="1"/>
  <c r="H83" i="7"/>
  <c r="K83" i="7" s="1"/>
  <c r="H81" i="7"/>
  <c r="K81" i="7" s="1"/>
  <c r="D66" i="7" l="1"/>
  <c r="F73" i="7" s="1"/>
  <c r="K88" i="7"/>
  <c r="F76" i="7" l="1"/>
  <c r="H75" i="7" s="1"/>
  <c r="K75" i="7" s="1"/>
  <c r="F72" i="7"/>
  <c r="H71" i="7" s="1"/>
  <c r="K71" i="7" s="1"/>
  <c r="F74" i="7"/>
  <c r="H72" i="7" s="1"/>
  <c r="K72" i="7" s="1"/>
  <c r="F75" i="7"/>
  <c r="F71" i="7"/>
  <c r="F70" i="7"/>
  <c r="H70" i="7" l="1"/>
  <c r="K70" i="7" s="1"/>
  <c r="H74" i="7"/>
  <c r="K74" i="7" s="1"/>
  <c r="H69" i="7"/>
  <c r="K69" i="7" s="1"/>
  <c r="H73" i="7"/>
  <c r="K73" i="7" s="1"/>
  <c r="K76" i="7" l="1"/>
  <c r="K90" i="7" s="1"/>
  <c r="F89" i="7" s="1"/>
  <c r="F90" i="7" s="1"/>
  <c r="K91" i="7" l="1"/>
  <c r="L90" i="7"/>
  <c r="D81" i="7" l="1"/>
  <c r="D83" i="7" s="1"/>
  <c r="M66" i="3" s="1"/>
  <c r="U66" i="3" l="1"/>
  <c r="U71" i="3" s="1"/>
  <c r="U72" i="3" s="1"/>
  <c r="D85" i="7"/>
</calcChain>
</file>

<file path=xl/sharedStrings.xml><?xml version="1.0" encoding="utf-8"?>
<sst xmlns="http://schemas.openxmlformats.org/spreadsheetml/2006/main" count="1588" uniqueCount="607">
  <si>
    <t>4. Base sujeta a retencion del IRPF</t>
  </si>
  <si>
    <t>3. Base de cotizacion adicional por horas extraordinarias</t>
  </si>
  <si>
    <t>(desempleo, formacion profesional, Fondo de Garantia Social)</t>
  </si>
  <si>
    <t>2. Base de cotizacion por contingencias profesionales (AT y EP) y conceptos de recaudacion conjunta</t>
  </si>
  <si>
    <t>TOTAL</t>
  </si>
  <si>
    <t xml:space="preserve">     Prorrata pagas extraordinarias</t>
  </si>
  <si>
    <t xml:space="preserve">     Remuneracion mensual</t>
  </si>
  <si>
    <t>1. Base de cotizacion por contingencias comunes</t>
  </si>
  <si>
    <t>de</t>
  </si>
  <si>
    <t>5. Otras deducciones</t>
  </si>
  <si>
    <t>4. Valor de los productos recibidos en especie</t>
  </si>
  <si>
    <t>3. Anticipos</t>
  </si>
  <si>
    <t>Fuerza mayor</t>
  </si>
  <si>
    <t>Horas extraordinarias</t>
  </si>
  <si>
    <t>Desempleo</t>
  </si>
  <si>
    <t>%</t>
  </si>
  <si>
    <t>II. DEDUCCIONES</t>
  </si>
  <si>
    <t>Indemnizaciones o suplidos</t>
  </si>
  <si>
    <t>Salario en especie</t>
  </si>
  <si>
    <t>Gratificaciones extraordinarias</t>
  </si>
  <si>
    <t>Salario base</t>
  </si>
  <si>
    <t>I. DEVENGOS</t>
  </si>
  <si>
    <t>al</t>
  </si>
  <si>
    <t>CCC Seguridad Social</t>
  </si>
  <si>
    <t>C.I.F.</t>
  </si>
  <si>
    <t>Domicilio:</t>
  </si>
  <si>
    <t>Empresa:</t>
  </si>
  <si>
    <t>DATOS DE LA EMPRESA</t>
  </si>
  <si>
    <t>Nombre de la empresa</t>
  </si>
  <si>
    <t>Domicilio</t>
  </si>
  <si>
    <t>CIF</t>
  </si>
  <si>
    <t>Codigo de cuenta de cotizacion de la Seguridad Social</t>
  </si>
  <si>
    <t>DATOS DEL TRABAJADOR</t>
  </si>
  <si>
    <t>Nombre y apellidos del trabajador</t>
  </si>
  <si>
    <t>NIF</t>
  </si>
  <si>
    <t>Grupo de cotización</t>
  </si>
  <si>
    <t>PERIODO DE LIQUIDACIÓN</t>
  </si>
  <si>
    <t>INICIO</t>
  </si>
  <si>
    <t>FINALIZACION</t>
  </si>
  <si>
    <t>Trabajador:</t>
  </si>
  <si>
    <t>Nº Afiliación Seguridad Social</t>
  </si>
  <si>
    <t>Categoría Profesional</t>
  </si>
  <si>
    <t>Grupo Cotiz.</t>
  </si>
  <si>
    <t>Nº Matricula</t>
  </si>
  <si>
    <t xml:space="preserve">Periodo de liquidación: </t>
  </si>
  <si>
    <t>Del</t>
  </si>
  <si>
    <t>Nº días/horas</t>
  </si>
  <si>
    <t>1. PERCEPCIONES SUJETAS A COTIZACIÓN</t>
  </si>
  <si>
    <t xml:space="preserve">  TOTALES  </t>
  </si>
  <si>
    <t>1.1. Percepciones de carácter salarial</t>
  </si>
  <si>
    <t xml:space="preserve">Salario Base </t>
  </si>
  <si>
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</t>
  </si>
  <si>
    <t>COMPLEMENTOS SALARIALES</t>
  </si>
  <si>
    <t>Personales</t>
  </si>
  <si>
    <t>Antigüedad</t>
  </si>
  <si>
    <t>Idiomas</t>
  </si>
  <si>
    <t>Puesto de trabajo</t>
  </si>
  <si>
    <t>Tóxicos, penosos o peligrosos</t>
  </si>
  <si>
    <t>Turnicidad</t>
  </si>
  <si>
    <t>Nocturnidad</t>
  </si>
  <si>
    <t>Por calidad o cantidad de trabajo</t>
  </si>
  <si>
    <t>Incentivos</t>
  </si>
  <si>
    <t>De vencimiento periódico superior al mes</t>
  </si>
  <si>
    <t>Participación en beneficios</t>
  </si>
  <si>
    <t>En especie</t>
  </si>
  <si>
    <t>De residencia</t>
  </si>
  <si>
    <t>1.2. Percepciones de carácter asistencia y acción social empresarial</t>
  </si>
  <si>
    <t>Asistencial</t>
  </si>
  <si>
    <t>Acción social empresarial</t>
  </si>
  <si>
    <t>Compl. Empr. I.L.T.- Enfermedad</t>
  </si>
  <si>
    <t>Compl. Empr. I.L.T.- Accidente</t>
  </si>
  <si>
    <t>2. PERCEPCIONES NO SALARIALES EXCLUIDAS DE COTIZACIÓN</t>
  </si>
  <si>
    <t>Ropa de trabajo</t>
  </si>
  <si>
    <t>Prestaciones de la Seguridad Social</t>
  </si>
  <si>
    <t>Maternidad</t>
  </si>
  <si>
    <t>Enfermedad</t>
  </si>
  <si>
    <t>x</t>
  </si>
  <si>
    <t>Accidentes</t>
  </si>
  <si>
    <t>Del día ____ al día ______</t>
  </si>
  <si>
    <t>Mejoras voluntarias de la acción protectora de la S.S. y productos en especie concedidos voulntariamente por las Empresas</t>
  </si>
  <si>
    <t xml:space="preserve">Seguro de Salud </t>
  </si>
  <si>
    <t>A.    TOTAL DEVENGOS ………………………………</t>
  </si>
  <si>
    <t>………………</t>
  </si>
  <si>
    <t>Valladolid    a</t>
  </si>
  <si>
    <t>Firma y sello de la Empresa</t>
  </si>
  <si>
    <t>RECIBI</t>
  </si>
  <si>
    <t>GRUPO</t>
  </si>
  <si>
    <t>CATEGORIA PROFESIONAL</t>
  </si>
  <si>
    <t>Ingenieros, licenciados y personal de alta direccion</t>
  </si>
  <si>
    <t>Ingenieros tecnicos, peritos y ayudantes titulados</t>
  </si>
  <si>
    <t>Jefes administrativos y de taller</t>
  </si>
  <si>
    <t>Oficiales administrativos</t>
  </si>
  <si>
    <t>Auxiliares administrativos</t>
  </si>
  <si>
    <t>Oficiales de 1ª y 2ª</t>
  </si>
  <si>
    <t>Oficiales de 3ª y especialistas</t>
  </si>
  <si>
    <t>Peones</t>
  </si>
  <si>
    <t>Trabjadores menores de 18 años</t>
  </si>
  <si>
    <t>Subalternos</t>
  </si>
  <si>
    <t>MÍNIMO PERSONAL</t>
  </si>
  <si>
    <t>RETRIBUCIÓN INTEGRA</t>
  </si>
  <si>
    <t>Edad</t>
  </si>
  <si>
    <t>años</t>
  </si>
  <si>
    <t>COTIZACIONES A LA SS</t>
  </si>
  <si>
    <t>DESCENDIENTES</t>
  </si>
  <si>
    <t>Hijos solteros &lt;25 años e ingresos anuales &lt;8000 euros que convivan con el contribuyente</t>
  </si>
  <si>
    <t>hijos</t>
  </si>
  <si>
    <t>Hijos &gt;=25 años con minusvalía  e ingresos anuales &lt;8000 euros que convivan con el contribuyente</t>
  </si>
  <si>
    <t xml:space="preserve">De los anteriores indicar el número de hijos &lt;3 años </t>
  </si>
  <si>
    <t>Derechos en "exclusiva" sobre los descendientes (1)</t>
  </si>
  <si>
    <t>NO</t>
  </si>
  <si>
    <t>ASCENDIENTES (2)</t>
  </si>
  <si>
    <t>Ascendientes &gt;65 años pero &lt;75 años con ingresos anuales &lt;8000 euros que convivan con el contribuyente (al menos 6 meses)</t>
  </si>
  <si>
    <t>ascendientes</t>
  </si>
  <si>
    <t>Ascendientes &gt;75 años con ingresos anuales &lt;8000 euros que convivan con el contribuyente (al menos 6 meses)</t>
  </si>
  <si>
    <t>Ascendientes &lt;65 años con ingresos anuales &lt;8000 euros y minusvalía que convivan con el contribuyente (al menos 6 meses)</t>
  </si>
  <si>
    <t>Número de contribuyentes que se aplican esta deducción sobre este descendiente (3)</t>
  </si>
  <si>
    <t>MINUSVALÍAS (4)</t>
  </si>
  <si>
    <t xml:space="preserve">Número de descendientes con grado de minusvalía &gt;=33% y &lt;65% </t>
  </si>
  <si>
    <t>descendientes</t>
  </si>
  <si>
    <t>Número de descendientes con grado de minusvalía &gt;=65%</t>
  </si>
  <si>
    <t xml:space="preserve">Número de ascendientes con grado de minusvalía &gt;=33% y &lt;65% </t>
  </si>
  <si>
    <t>Número de ascendientes con grado de minusvalía &gt;=65%</t>
  </si>
  <si>
    <t>OTROS</t>
  </si>
  <si>
    <t>Trabajador con Minusvalía &gt;=33% y &lt;65%</t>
  </si>
  <si>
    <t>Trabajador con Minúsvalía &gt;65%</t>
  </si>
  <si>
    <t>Pensionistas o Clases Pasivas</t>
  </si>
  <si>
    <t>3 o más hijos</t>
  </si>
  <si>
    <t>Percibe Prestacion o Subsidio por Desempleo</t>
  </si>
  <si>
    <t>-</t>
  </si>
  <si>
    <t>Nota 1: Derechos en "exclusiva" se refiere a cuando es el contribuyente el único que se desgrava por el hijo.</t>
  </si>
  <si>
    <t>Nota 2: Son considerados ascendientes los padres, los abuelos, y el resto de ascendientes en linea directa del contribuyente</t>
  </si>
  <si>
    <t>Nota 3: La desgravación se prorratea en el caso de que el ascendiente, aun conviviendo más de 6 meses, no habite el año completo con el contribuyente</t>
  </si>
  <si>
    <t>Nota 4: Solo se aplica a los descendientes y/o ascendientes que convivan con el contribuyente y que tengan unos ingresos anuales menores de 8000 euros</t>
  </si>
  <si>
    <t>SI</t>
  </si>
  <si>
    <t>PAGAS EXTRAORDINARIA</t>
  </si>
  <si>
    <t>NUMERO DE PAGAS</t>
  </si>
  <si>
    <t>Para contingencias comunes</t>
  </si>
  <si>
    <t>Importe de la base</t>
  </si>
  <si>
    <t>BASES SEGURIDAD SOCIAL</t>
  </si>
  <si>
    <t>MÍNIMO</t>
  </si>
  <si>
    <t>MÁXIMO</t>
  </si>
  <si>
    <t>Euros/mes</t>
  </si>
  <si>
    <t>Ingenieros y Licenciados</t>
  </si>
  <si>
    <t>Ingenieros Técnicos, Peritos y Ayudantes Titulados</t>
  </si>
  <si>
    <t>Jefes Administrativos y de taller</t>
  </si>
  <si>
    <t>Ayudantes no Titulados</t>
  </si>
  <si>
    <t>Oficiales Administrativos</t>
  </si>
  <si>
    <t>Auxiliares Administrativos</t>
  </si>
  <si>
    <t>Euros/día</t>
  </si>
  <si>
    <t>BASES LIMITE</t>
  </si>
  <si>
    <t>Grupo de cotizacion</t>
  </si>
  <si>
    <t>Minimo</t>
  </si>
  <si>
    <t>Maximo</t>
  </si>
  <si>
    <t>Para contingencias profesionales (AT y EP)</t>
  </si>
  <si>
    <t>Para desempleo, Fondo de Garantia Salarial y formacion profesional</t>
  </si>
  <si>
    <t>BASES DE LA COTIZACIÓN</t>
  </si>
  <si>
    <t>CUOTAS DE LA COTIZACIÓN</t>
  </si>
  <si>
    <t>BASE</t>
  </si>
  <si>
    <t>A cargo del empresario</t>
  </si>
  <si>
    <t>CONTINGENCIAS COMUNES</t>
  </si>
  <si>
    <t>CONTINGENCIAS PROFESIONALES</t>
  </si>
  <si>
    <t>DESEMPLEO</t>
  </si>
  <si>
    <t>FONDO DE GARANTÍA SALARIAL</t>
  </si>
  <si>
    <t>FORMACIÓN PROFESIONAL</t>
  </si>
  <si>
    <t>A cargo del trabajador</t>
  </si>
  <si>
    <t>IT</t>
  </si>
  <si>
    <t>IMS</t>
  </si>
  <si>
    <t>Empresario</t>
  </si>
  <si>
    <t>EMPRESARIO</t>
  </si>
  <si>
    <t>TRABAJADOR</t>
  </si>
  <si>
    <t>Para desempleo</t>
  </si>
  <si>
    <t>Para el Fondo de Garantía Salarial</t>
  </si>
  <si>
    <t>Para formación profesional</t>
  </si>
  <si>
    <t>CÁLCULO DE LAS RETENCIONES A CUENTA DEL IRPF</t>
  </si>
  <si>
    <t>CUOTA DE RETENCIÓN</t>
  </si>
  <si>
    <t>LIMITES A LA OBLIGACIÓN DE RETENER</t>
  </si>
  <si>
    <t>SALARIO BRUTO</t>
  </si>
  <si>
    <t>TABLA TRAMOS IRPF</t>
  </si>
  <si>
    <t>SITUACION FAMILIAR</t>
  </si>
  <si>
    <t>Nº HIJOS</t>
  </si>
  <si>
    <t>OTROS INGRESOS (1)</t>
  </si>
  <si>
    <t>a</t>
  </si>
  <si>
    <t>Retención</t>
  </si>
  <si>
    <t>2 o más</t>
  </si>
  <si>
    <t>Soltero, Viudos, Divorciado o Separado</t>
  </si>
  <si>
    <t>TOTAL BRUTO</t>
  </si>
  <si>
    <t>Con cónyuge (ingresos de este &lt; 1500 euros año)</t>
  </si>
  <si>
    <t>MINIMO PERSONAL</t>
  </si>
  <si>
    <t>Otros (Solteros sin hijos, cónyuge &gt; 1500 euros)</t>
  </si>
  <si>
    <t>ASCENDIENTES</t>
  </si>
  <si>
    <t>MINUSVALÍAS</t>
  </si>
  <si>
    <t>MINIMO PERSONAL Y FAMILIAR</t>
  </si>
  <si>
    <t>APLICACIÓN DE LA ESCALA A LA BASE DE RETENCIÓN</t>
  </si>
  <si>
    <t>RETRIBUCIÓN TOTAL</t>
  </si>
  <si>
    <t>RTOS TRABAJO</t>
  </si>
  <si>
    <t>SEGURIDAD SOCIAL</t>
  </si>
  <si>
    <t>TOTAL DEDUCCIONES</t>
  </si>
  <si>
    <t>BASE DE RETENCIÓN</t>
  </si>
  <si>
    <t>IMPORTE PREVIO DE RETENCIÓN</t>
  </si>
  <si>
    <t>TIPO DE RETENCIÓN</t>
  </si>
  <si>
    <r>
      <t>Nota 1:</t>
    </r>
    <r>
      <rPr>
        <i/>
        <sz val="8"/>
        <color theme="0" tint="-0.34998626667073579"/>
        <rFont val="Arial"/>
        <family val="2"/>
      </rPr>
      <t xml:space="preserve"> En "Otros Ingresos" incluir el total de remuneraciones especiales, que se suelen recibir en momentos puntuales durante el año, con obligación de tributar (pluses, variables, … etc)</t>
    </r>
  </si>
  <si>
    <t>APLICACIÓN DE LA ESCALA AL MINIMO PESONAL Y FAMILIAR</t>
  </si>
  <si>
    <t>TIPO PREVIO DE RETENCION</t>
  </si>
  <si>
    <t>IMPORTE DE RETENCION AL MES</t>
  </si>
  <si>
    <t>ANTIGÜEDAD</t>
  </si>
  <si>
    <t>PLUS DE CONVENIO</t>
  </si>
  <si>
    <t>HORAS EXTRAORDINARIAS POR FUERZA MAYOR</t>
  </si>
  <si>
    <t>HORAS EXTRAORDINARIAS HABITUALES</t>
  </si>
  <si>
    <t>Por fuerza mayor</t>
  </si>
  <si>
    <t>Habituales</t>
  </si>
  <si>
    <t>Para cotización adicional por horas extraordinarias</t>
  </si>
  <si>
    <t>Para cotización adicional por horas extraordinarias habituales</t>
  </si>
  <si>
    <t>Para cotización adicional por horas extraordinarias por fuerza mayor</t>
  </si>
  <si>
    <t>a-b</t>
  </si>
  <si>
    <t>Numero de afiliacion a la Seguridad Social</t>
  </si>
  <si>
    <t>Cotización por la gratificacion extraordinaria</t>
  </si>
  <si>
    <t>PLUS DE DISTANCIA</t>
  </si>
  <si>
    <t>GASTOS DE LOCOMOCIÓN</t>
  </si>
  <si>
    <t>Vivienda</t>
  </si>
  <si>
    <t>Vehiculo</t>
  </si>
  <si>
    <t>Gastos de locomocion</t>
  </si>
  <si>
    <t>Gastos de manutencion</t>
  </si>
  <si>
    <t>Base para contingencias comunes</t>
  </si>
  <si>
    <t>PLUS DE TRANSPORTE</t>
  </si>
  <si>
    <t>TIPOS DE COTIZACIÓN</t>
  </si>
  <si>
    <t>CONTIGENCIAS</t>
  </si>
  <si>
    <t>TRABAJADORES</t>
  </si>
  <si>
    <t>EMPRESA</t>
  </si>
  <si>
    <t>Comunes</t>
  </si>
  <si>
    <t>Horas extraordinarias Fuerza mayor</t>
  </si>
  <si>
    <t>Resto horas extraordinarias</t>
  </si>
  <si>
    <t>Comunes (trabajadores &gt;65años (38 años 6 meses cotizacion) o 67 años (37 cotizacion)</t>
  </si>
  <si>
    <t>Tipo general</t>
  </si>
  <si>
    <t>Contrato duracion determinada Tiempo completo</t>
  </si>
  <si>
    <t>Contrato duración determinada Tiempo parcial</t>
  </si>
  <si>
    <t>FONDO DE GARANTIA SALARIAL</t>
  </si>
  <si>
    <t>INCREMENTOS</t>
  </si>
  <si>
    <t>TIPO DE CONTRATO</t>
  </si>
  <si>
    <t>INDEFINIDO</t>
  </si>
  <si>
    <t>TEMPORAL</t>
  </si>
  <si>
    <t>Gastos de Asistencia</t>
  </si>
  <si>
    <t>Asistencia de terceras personas o mov. Reducida</t>
  </si>
  <si>
    <t>MINIMO DEL CONTRIBUYENTE</t>
  </si>
  <si>
    <t>MINIMO DEL CNTRIBUYENTE</t>
  </si>
  <si>
    <t>EDAD &gt; 65 Y EDAD &lt; 76</t>
  </si>
  <si>
    <t>EDAD &gt; 75</t>
  </si>
  <si>
    <t>MINIMO POR DESCENDIENTES</t>
  </si>
  <si>
    <t>POR EL PRIMERO</t>
  </si>
  <si>
    <t>POR EL SEGUNDO</t>
  </si>
  <si>
    <t>POR EL TERCERO</t>
  </si>
  <si>
    <t>POR EL CUARTO Y SUGUIENTES</t>
  </si>
  <si>
    <t>SI DESCENDIENTE MENOR DE 3 AÑOS</t>
  </si>
  <si>
    <t>MINIMO POR ASCENDIENTES</t>
  </si>
  <si>
    <t>ASCENDIENTE &lt; 75 AÑOS</t>
  </si>
  <si>
    <t>ASCENDIENTE &gt; 75 AÑOS</t>
  </si>
  <si>
    <t>MINIMO POR DISCAPACIDAD</t>
  </si>
  <si>
    <t>TRABAJADOR DISCAPACITADO &gt; 33%</t>
  </si>
  <si>
    <t>TRABAJADOR DISCAPACITADO &gt; 65%</t>
  </si>
  <si>
    <t>ASCENDIENTE O DESCENDIENTE CON DISCAPACIDAD &gt; 33%</t>
  </si>
  <si>
    <t>ASCENDIENTE O DESCENDIENTE CON DISCAPACIDAD &gt; 65%</t>
  </si>
  <si>
    <t>Complementos Personales</t>
  </si>
  <si>
    <t>Conocimientos Especiales</t>
  </si>
  <si>
    <t>PERSONAL</t>
  </si>
  <si>
    <t>DE PUESTO DE TRABAJO</t>
  </si>
  <si>
    <t>Penosidad, toxicidad, peligrosidad</t>
  </si>
  <si>
    <t>DE VENCIMIENTO SUPERIOR AL MES</t>
  </si>
  <si>
    <t>Pagas extraordinarias</t>
  </si>
  <si>
    <t>Otras gratificaciones</t>
  </si>
  <si>
    <t>EN ESPECIE</t>
  </si>
  <si>
    <t>Vehiculos</t>
  </si>
  <si>
    <t>Complementos de Puesto de trabajo</t>
  </si>
  <si>
    <t>Valor Catastral Vivienda</t>
  </si>
  <si>
    <t>PLUSES</t>
  </si>
  <si>
    <t>PLUS DE COMIDA</t>
  </si>
  <si>
    <t>Año de valoracion del valor catastral de la vivienda</t>
  </si>
  <si>
    <t>GASTOS DE MANUTENCIÓN</t>
  </si>
  <si>
    <t>PERNOCTA</t>
  </si>
  <si>
    <t>España</t>
  </si>
  <si>
    <t>Extranjero</t>
  </si>
  <si>
    <t>NO PERNOCTA</t>
  </si>
  <si>
    <t>¿PERNOCTA?</t>
  </si>
  <si>
    <t>DÍAS</t>
  </si>
  <si>
    <t>¿LUGAR?</t>
  </si>
  <si>
    <t>TOTAL COMPUTABLE</t>
  </si>
  <si>
    <t>¿JUSTIFICADO?</t>
  </si>
  <si>
    <t xml:space="preserve">TOTAL  </t>
  </si>
  <si>
    <t>KM RECORRIDOS</t>
  </si>
  <si>
    <t>ADQUISICION POR PRENDA DE TRABAJO</t>
  </si>
  <si>
    <t>Pluses</t>
  </si>
  <si>
    <t>Otros</t>
  </si>
  <si>
    <t>DESCUENTO PRODUCTOS EMPRESA</t>
  </si>
  <si>
    <t>QUEBRANTO DE MONEDA</t>
  </si>
  <si>
    <t xml:space="preserve">TIPO </t>
  </si>
  <si>
    <t>b</t>
  </si>
  <si>
    <t>d</t>
  </si>
  <si>
    <t>f</t>
  </si>
  <si>
    <t>g</t>
  </si>
  <si>
    <t>h</t>
  </si>
  <si>
    <t>PERSONAL EN TRABAJOS EXCLUSIVOS DE OFICINA</t>
  </si>
  <si>
    <t>REPRESENTANTES DE COMERCIO</t>
  </si>
  <si>
    <t>PERSONAL DE OFICIOS EN INSTALACIONES Y REPARACIONES EN EDIFICIOS, OBRAS Y TRABAJOS DE CONSTRUCCION EN GENERAL</t>
  </si>
  <si>
    <t>CONDUCTORES DE VEHICULO AUTOMOVIL DE TRANSPORTE DE MERCANCIAS QUE TENGA UNA CAPACIDAD DE CARGA ÚTIL SUPERIOR A 3,5 TN</t>
  </si>
  <si>
    <t>PERSONAL DE LIMPIEZA EN GENERAL. LIMPIEZA DE EDIFICIOS Y DE TODO TIPO DE ESTABLECIMIENTOS. LIMPIEZA DE CALLES</t>
  </si>
  <si>
    <t>VIGILANTES, GUARDAS, GUARDAS JURADOS Y PERSONAL DE SEGURIDAD</t>
  </si>
  <si>
    <t>Tipo de contingencias Profesionales</t>
  </si>
  <si>
    <t>28/1234567/42</t>
  </si>
  <si>
    <t>A/28123453</t>
  </si>
  <si>
    <t>Retribuciones sujetas</t>
  </si>
  <si>
    <t>Asistencia y puntualidad</t>
  </si>
  <si>
    <t>Horas extraordianrias por Fuerza Mayor</t>
  </si>
  <si>
    <t>Comisiones</t>
  </si>
  <si>
    <t>DEVENGOS: PERCEPCIONES SALARIALES</t>
  </si>
  <si>
    <t>DEVENGOS: PERCEPCIONES NO SALARIALES</t>
  </si>
  <si>
    <t>DESGASTE DE HERRAMIENTAS</t>
  </si>
  <si>
    <t>POR CALIDAD O CANTIDAD</t>
  </si>
  <si>
    <t>INCAPACIDAD TEMPORAL</t>
  </si>
  <si>
    <t>BASE REGULADORA</t>
  </si>
  <si>
    <t>BCCC</t>
  </si>
  <si>
    <t>BCCP</t>
  </si>
  <si>
    <t>Días de baja</t>
  </si>
  <si>
    <t>ENFERMEDAD COMUN o ACCIDENTE NO LABORAL</t>
  </si>
  <si>
    <t>A partir del 21º</t>
  </si>
  <si>
    <t>Del 4º al 15º</t>
  </si>
  <si>
    <t>Del 16º al 20º</t>
  </si>
  <si>
    <t>INSS</t>
  </si>
  <si>
    <t>ACCIDENTE DE TRABAJO o ENFERMEDAD LABORAL</t>
  </si>
  <si>
    <t>A partir del 1º</t>
  </si>
  <si>
    <t>% DE LA B.R.</t>
  </si>
  <si>
    <t>PERIODO</t>
  </si>
  <si>
    <t>A CARGO DE ..</t>
  </si>
  <si>
    <t>RIESGO DURANTE EL EMBARAZO</t>
  </si>
  <si>
    <t>MATERNIDAD</t>
  </si>
  <si>
    <t>PATERNIDAD</t>
  </si>
  <si>
    <t>RIESGO DURANTE LA LACTANCIA NATURAL</t>
  </si>
  <si>
    <t>IMPORTE TOTAL DEL SUBSIDIO</t>
  </si>
  <si>
    <t>BASES DE COTIZACION</t>
  </si>
  <si>
    <t>Por los días trabajados</t>
  </si>
  <si>
    <t>Total a cotizar en el mes de liquidación</t>
  </si>
  <si>
    <t>Periodo de IT</t>
  </si>
  <si>
    <t>A</t>
  </si>
  <si>
    <t>B</t>
  </si>
  <si>
    <t>Por los dias trabajados</t>
  </si>
  <si>
    <t>Periodo trabajado</t>
  </si>
  <si>
    <t>Periodo IT</t>
  </si>
  <si>
    <t>INCAPACIDAD TEMPORAL DERIVADA DE ACCIDENTE DE TRABAJO</t>
  </si>
  <si>
    <r>
      <t>INCAPACIDAD TEMPORAL (</t>
    </r>
    <r>
      <rPr>
        <b/>
        <sz val="11"/>
        <color theme="0"/>
        <rFont val="Calibri"/>
        <family val="2"/>
        <scheme val="minor"/>
      </rPr>
      <t>ENFERMEDAD COMÚN o ACCIDENTE NO LABORAL</t>
    </r>
    <r>
      <rPr>
        <b/>
        <sz val="14"/>
        <color theme="0"/>
        <rFont val="Calibri"/>
        <family val="2"/>
        <scheme val="minor"/>
      </rPr>
      <t>)</t>
    </r>
  </si>
  <si>
    <t>Por el periodo de descanso</t>
  </si>
  <si>
    <t>Por el periodo de IT</t>
  </si>
  <si>
    <t>Horas extraordinarias habituales</t>
  </si>
  <si>
    <t>Derechos en "exclusiva" sobre los descendientes</t>
  </si>
  <si>
    <t>Numero de Hijos</t>
  </si>
  <si>
    <t>Al día</t>
  </si>
  <si>
    <t>Del día</t>
  </si>
  <si>
    <t>Km Recorridos</t>
  </si>
  <si>
    <t>¿Justificado?</t>
  </si>
  <si>
    <t>Total Locomoción</t>
  </si>
  <si>
    <t>Total</t>
  </si>
  <si>
    <t>Días</t>
  </si>
  <si>
    <t>¿Lugar?</t>
  </si>
  <si>
    <t>¿Pernocta?</t>
  </si>
  <si>
    <t>Plus de Convenio</t>
  </si>
  <si>
    <t>Plus de Distancia</t>
  </si>
  <si>
    <t>Plus de Comida</t>
  </si>
  <si>
    <t>Plus de Transporte</t>
  </si>
  <si>
    <t>Valor Catastral de la vivienda</t>
  </si>
  <si>
    <t>Número de Pagas extraordinarias</t>
  </si>
  <si>
    <t>Valor Pagas extraordinarias</t>
  </si>
  <si>
    <t>Comisiones Devengadas</t>
  </si>
  <si>
    <t>Valor Horas Extras de Fuerza Mayor</t>
  </si>
  <si>
    <t>Valor Horas extras habituales</t>
  </si>
  <si>
    <t>Responsabilidad y Disponibilidad</t>
  </si>
  <si>
    <t>Total Penosidad, toxicidad, peligrosidad</t>
  </si>
  <si>
    <t>Total turno noche</t>
  </si>
  <si>
    <t>Turnos de noche</t>
  </si>
  <si>
    <t>Valor Turno de Noche</t>
  </si>
  <si>
    <t>Total Turnicidad</t>
  </si>
  <si>
    <t>Salario Base Anual</t>
  </si>
  <si>
    <t>Grupo de Cotización</t>
  </si>
  <si>
    <t>Número de afiliacion de la SS</t>
  </si>
  <si>
    <t>Alberto Arriaga Gonzalez</t>
  </si>
  <si>
    <t>Amelia Calabria Bravo</t>
  </si>
  <si>
    <t>Ángel Lopez García</t>
  </si>
  <si>
    <t>Luis Lara Salas</t>
  </si>
  <si>
    <t>Félix Atienza Ramos</t>
  </si>
  <si>
    <t>Raul Peña Salgado</t>
  </si>
  <si>
    <t>Juan López Sanz</t>
  </si>
  <si>
    <t>Javier Perez Suarez</t>
  </si>
  <si>
    <t>Miguel Sanchez Ramos</t>
  </si>
  <si>
    <t>Mi Empresa</t>
  </si>
  <si>
    <t xml:space="preserve">C/ Locura Temporal 17 </t>
  </si>
  <si>
    <t>J</t>
  </si>
  <si>
    <t>C</t>
  </si>
  <si>
    <t>U</t>
  </si>
  <si>
    <t>E</t>
  </si>
  <si>
    <t>I</t>
  </si>
  <si>
    <t>D</t>
  </si>
  <si>
    <t>F</t>
  </si>
  <si>
    <t>L</t>
  </si>
  <si>
    <t>28/01351432/31</t>
  </si>
  <si>
    <t>28/01351432/33</t>
  </si>
  <si>
    <t>28/01351432/35</t>
  </si>
  <si>
    <t>Rocío Sanz San Jose</t>
  </si>
  <si>
    <t>Angel Alonso Pérez</t>
  </si>
  <si>
    <t>Lucía González Marcos</t>
  </si>
  <si>
    <t>Juan Manuel Huerga Alónso</t>
  </si>
  <si>
    <t>Fernando Rodrigo Martín</t>
  </si>
  <si>
    <t>Ignacio Martín Alónso</t>
  </si>
  <si>
    <t>María Pérez Alónso</t>
  </si>
  <si>
    <t>Jesús Fernández Silva</t>
  </si>
  <si>
    <t>Marga García Pérez</t>
  </si>
  <si>
    <t>Santiago González López</t>
  </si>
  <si>
    <t>Alfonso Martín López</t>
  </si>
  <si>
    <t>Juan Álvarez Rico</t>
  </si>
  <si>
    <t>Angel Hernan Hernan</t>
  </si>
  <si>
    <t>Antonio García Sánchez</t>
  </si>
  <si>
    <t>Susana López Sánchez</t>
  </si>
  <si>
    <t>Marta García Fernández</t>
  </si>
  <si>
    <t>Mónica Hernández Lopez</t>
  </si>
  <si>
    <t>Santiago Herrero Lopez</t>
  </si>
  <si>
    <t>Pedro Martín Montero</t>
  </si>
  <si>
    <t>José Manrique Alonso</t>
  </si>
  <si>
    <t>Carlos Fernández Bajo</t>
  </si>
  <si>
    <t>Pablo González Blanco</t>
  </si>
  <si>
    <t>Marcos Alonso Piña</t>
  </si>
  <si>
    <t>Oscar Primo Chica</t>
  </si>
  <si>
    <t>Francisco García Barrio</t>
  </si>
  <si>
    <t>Vicente Ferrer García</t>
  </si>
  <si>
    <t>Pedro Saz Martín</t>
  </si>
  <si>
    <t>Alfredo Iglesias Sanz</t>
  </si>
  <si>
    <t>Julio Suarez Díaz</t>
  </si>
  <si>
    <t>Felipe González López</t>
  </si>
  <si>
    <t>David Gómez Díaz</t>
  </si>
  <si>
    <t>Antonio Gómez Rua</t>
  </si>
  <si>
    <t>Raúl López Barrio</t>
  </si>
  <si>
    <t>Hector Bajo Lera</t>
  </si>
  <si>
    <t>Nuria Ferández Díaz</t>
  </si>
  <si>
    <t>David Gallego Millán</t>
  </si>
  <si>
    <t>Luis Llamas Rodríguez</t>
  </si>
  <si>
    <t>Daniel Pinto González</t>
  </si>
  <si>
    <t>Miguel Martín Argales</t>
  </si>
  <si>
    <t>Rosa Sánchez Pérez</t>
  </si>
  <si>
    <t>O</t>
  </si>
  <si>
    <t>T</t>
  </si>
  <si>
    <t>X</t>
  </si>
  <si>
    <t>R</t>
  </si>
  <si>
    <t>V</t>
  </si>
  <si>
    <t>K</t>
  </si>
  <si>
    <t>P</t>
  </si>
  <si>
    <t>G</t>
  </si>
  <si>
    <t>M</t>
  </si>
  <si>
    <t>H</t>
  </si>
  <si>
    <t>N</t>
  </si>
  <si>
    <t>Z</t>
  </si>
  <si>
    <t>13/62735143/16</t>
  </si>
  <si>
    <t>Asistencia y Puntualidad</t>
  </si>
  <si>
    <t>Valor de adquisición del vehiculo</t>
  </si>
  <si>
    <t>Adquisicion de prenda de trabajo</t>
  </si>
  <si>
    <t>Quebranto de moneda</t>
  </si>
  <si>
    <t>Desgaste de herramientas</t>
  </si>
  <si>
    <t>Descuento productos de empresa</t>
  </si>
  <si>
    <t>Tipo de Contrato</t>
  </si>
  <si>
    <t>Trabajador 1</t>
  </si>
  <si>
    <t>Convenio</t>
  </si>
  <si>
    <t>IT (S/N)</t>
  </si>
  <si>
    <t>Seg. Soc</t>
  </si>
  <si>
    <t>CONVENIO DESPACHOS Y OFICINAS</t>
  </si>
  <si>
    <t>Trabajador 2</t>
  </si>
  <si>
    <t>Trabajador 3</t>
  </si>
  <si>
    <t>Trabajador 4</t>
  </si>
  <si>
    <t>Trabajador 5</t>
  </si>
  <si>
    <t>Trabajador 6</t>
  </si>
  <si>
    <t>Trabajador 7</t>
  </si>
  <si>
    <t>Trabajador 8</t>
  </si>
  <si>
    <t>Trabajador 9</t>
  </si>
  <si>
    <t>Trabajador 10</t>
  </si>
  <si>
    <t>Trabajador 11</t>
  </si>
  <si>
    <t>Trabajador 12</t>
  </si>
  <si>
    <t>Trabajador 13</t>
  </si>
  <si>
    <t>Trabajador 14</t>
  </si>
  <si>
    <t>Trabajador 15</t>
  </si>
  <si>
    <t>Trabajador 16</t>
  </si>
  <si>
    <t>Trabajador 17</t>
  </si>
  <si>
    <t>Trabajador 18</t>
  </si>
  <si>
    <t>Trabajador 19</t>
  </si>
  <si>
    <t>Trabajador 20</t>
  </si>
  <si>
    <t>Trabajador 21</t>
  </si>
  <si>
    <t>Trabajador 22</t>
  </si>
  <si>
    <t>Trabajador 23</t>
  </si>
  <si>
    <t>Trabajador 24</t>
  </si>
  <si>
    <t>Trabajador 25</t>
  </si>
  <si>
    <t>Trabajador 26</t>
  </si>
  <si>
    <t>Trabajador 27</t>
  </si>
  <si>
    <t>Trabajador 28</t>
  </si>
  <si>
    <t>Trabajador 29</t>
  </si>
  <si>
    <t>Trabajador 30</t>
  </si>
  <si>
    <t>Trabajador 31</t>
  </si>
  <si>
    <t>Trabajador 32</t>
  </si>
  <si>
    <t>Trabajador 33</t>
  </si>
  <si>
    <t>Trabajador 34</t>
  </si>
  <si>
    <t>Trabajador 35</t>
  </si>
  <si>
    <t>Trabajador 36</t>
  </si>
  <si>
    <t>Trabajador 37</t>
  </si>
  <si>
    <t>Trabajador 38</t>
  </si>
  <si>
    <t>Trabajador 39</t>
  </si>
  <si>
    <t>Trabajador 40</t>
  </si>
  <si>
    <t>Trabajador 41</t>
  </si>
  <si>
    <t>Trabajador 42</t>
  </si>
  <si>
    <t>Trabajador 43</t>
  </si>
  <si>
    <t>Trabajador 44</t>
  </si>
  <si>
    <t>Trabajador 45</t>
  </si>
  <si>
    <t>Trabajador 46</t>
  </si>
  <si>
    <t>Trabajador 47</t>
  </si>
  <si>
    <t>Trabajador 48</t>
  </si>
  <si>
    <t>Trabajador 49</t>
  </si>
  <si>
    <t>Trabajador 50</t>
  </si>
  <si>
    <t>Salario Mensual</t>
  </si>
  <si>
    <t>Salario Anual</t>
  </si>
  <si>
    <t>Salario por día trabajado</t>
  </si>
  <si>
    <t>Incentivo (por día)</t>
  </si>
  <si>
    <t>Plus de convenio (por día)</t>
  </si>
  <si>
    <t>Pagas Extras</t>
  </si>
  <si>
    <t>Nocturnicidad</t>
  </si>
  <si>
    <t>Plus de asistencia (por día)</t>
  </si>
  <si>
    <t>Incentivo</t>
  </si>
  <si>
    <t>Plus de convenio</t>
  </si>
  <si>
    <t>Horas Extras habituales</t>
  </si>
  <si>
    <t>Horas Extras Habituales</t>
  </si>
  <si>
    <t>Horas Extras de Fuerza Mayor</t>
  </si>
  <si>
    <t>Cantidad de horas extras habituales</t>
  </si>
  <si>
    <t>Cantidad de horas extras de Fuerza Mayor</t>
  </si>
  <si>
    <t>CONVENIO B. TRABAJADORES DEL TALLER</t>
  </si>
  <si>
    <t>PUESTO DE TRABAJO</t>
  </si>
  <si>
    <t>POR CALIDAD O CANTIDAD DE TRABAJO</t>
  </si>
  <si>
    <t>DE VENCIMIENTO PERIODICO SUPERIOR AL MES</t>
  </si>
  <si>
    <t>Número de días de baja</t>
  </si>
  <si>
    <t>Numero de días de baja</t>
  </si>
  <si>
    <t>DATOS DEL CONTRATO</t>
  </si>
  <si>
    <t>47/13572406/89</t>
  </si>
  <si>
    <t>Salario Base Mes</t>
  </si>
  <si>
    <t>Salario Base Convenio</t>
  </si>
  <si>
    <t>47/00450548/32</t>
  </si>
  <si>
    <t>Días de actividad</t>
  </si>
  <si>
    <t>Fecha de antigüedad</t>
  </si>
  <si>
    <t>Valor de Turnicidad (€/dia)</t>
  </si>
  <si>
    <t xml:space="preserve">SALARIO MES </t>
  </si>
  <si>
    <t>Junio</t>
  </si>
  <si>
    <t>Diciembre</t>
  </si>
  <si>
    <t>Prorrateo</t>
  </si>
  <si>
    <t>Paga Extraordinaria percibida</t>
  </si>
  <si>
    <t>Resp. Y Disp</t>
  </si>
  <si>
    <t>Horas extras hab</t>
  </si>
  <si>
    <t>Horas extras fuerza mayor</t>
  </si>
  <si>
    <t>Locomoción</t>
  </si>
  <si>
    <t>Manutención</t>
  </si>
  <si>
    <t>62/17830052/29</t>
  </si>
  <si>
    <r>
      <t>BCC (</t>
    </r>
    <r>
      <rPr>
        <sz val="8"/>
        <rFont val="Calibri"/>
        <family val="2"/>
        <scheme val="minor"/>
      </rPr>
      <t>mes anterio</t>
    </r>
    <r>
      <rPr>
        <sz val="9"/>
        <rFont val="Calibri"/>
        <family val="2"/>
        <scheme val="minor"/>
      </rPr>
      <t>r)</t>
    </r>
  </si>
  <si>
    <r>
      <t>BCP (</t>
    </r>
    <r>
      <rPr>
        <sz val="8"/>
        <rFont val="Calibri"/>
        <family val="2"/>
        <scheme val="minor"/>
      </rPr>
      <t>mes anterior</t>
    </r>
    <r>
      <rPr>
        <sz val="9"/>
        <rFont val="Calibri"/>
        <family val="2"/>
        <scheme val="minor"/>
      </rPr>
      <t>)</t>
    </r>
  </si>
  <si>
    <t>Inicio de la baja</t>
  </si>
  <si>
    <t>Fin de la baja</t>
  </si>
  <si>
    <t>Contingencias Comunes</t>
  </si>
  <si>
    <t>Formación profesional</t>
  </si>
  <si>
    <t>2. Impuestos sobre la Renta de las Personas Físicas</t>
  </si>
  <si>
    <t>1. Aportación del trabajador a las cotizaciones de la Seguridad Social y conceptos de recaudación conjunta</t>
  </si>
  <si>
    <t>LIQUIIDO TOTAL A PERCIBIR (A-B)</t>
  </si>
  <si>
    <t>B.    TOTAL A DEDUCIR</t>
  </si>
  <si>
    <t>DETERMINACION DE LAS BASES DE COTIZACION A LA SEGURIDAD SOCIAL Y CONCEPTOS DE  RECAUDACION CONJUNTA Y DE LA BASE SUJETA A RETENCION DEL IRPF</t>
  </si>
  <si>
    <t>Importe Horas extras</t>
  </si>
  <si>
    <t>Horas extr. Cotizadas año anterior</t>
  </si>
  <si>
    <t>90/85669885/85</t>
  </si>
  <si>
    <t>99/85555866/69</t>
  </si>
  <si>
    <t>12/25689855/85</t>
  </si>
  <si>
    <t>NÚMERO DE TRABAJADOR</t>
  </si>
  <si>
    <t>NOMBRE Y APELLIDOS</t>
  </si>
  <si>
    <t>28/00361428/26</t>
  </si>
  <si>
    <r>
      <t>BCC (</t>
    </r>
    <r>
      <rPr>
        <sz val="8"/>
        <rFont val="Calibri"/>
        <family val="2"/>
        <scheme val="minor"/>
      </rPr>
      <t>mes anterior</t>
    </r>
    <r>
      <rPr>
        <sz val="9"/>
        <rFont val="Calibri"/>
        <family val="2"/>
        <scheme val="minor"/>
      </rPr>
      <t>)</t>
    </r>
  </si>
  <si>
    <t>Enfermedad Comun</t>
  </si>
  <si>
    <t>Accidente de trabajo</t>
  </si>
  <si>
    <t>BCC</t>
  </si>
  <si>
    <t>BCP</t>
  </si>
  <si>
    <t>SALARIO BASE</t>
  </si>
  <si>
    <t>PAGAS EXTRAS</t>
  </si>
  <si>
    <t>BUSCAR(A1;'Datos Trabajador'!B3:B52;'Datos Trabajador'!BH39:BH52</t>
  </si>
  <si>
    <t>¿MATERNIDAD?</t>
  </si>
  <si>
    <t>¿ENFERMEDAD COMÚN?</t>
  </si>
  <si>
    <t>¿ACCIDENTE LABORAL?</t>
  </si>
  <si>
    <t>28/013515432/25</t>
  </si>
  <si>
    <t>96/44054889/32</t>
  </si>
  <si>
    <t>47/00450548/33</t>
  </si>
  <si>
    <t>Días del mes</t>
  </si>
  <si>
    <t>ENFERMEDAD COMÚN</t>
  </si>
  <si>
    <t>ACCIDENTE LABORAL</t>
  </si>
  <si>
    <t>28/01381324/36</t>
  </si>
  <si>
    <t>Complemntos por Calidad o Cantidad</t>
  </si>
  <si>
    <t>Jose Manuel López Pérez</t>
  </si>
  <si>
    <t>28/00221324/42</t>
  </si>
  <si>
    <t>08/00181241/17</t>
  </si>
  <si>
    <t>13/34740451/22</t>
  </si>
  <si>
    <t>28/00131325/13</t>
  </si>
  <si>
    <t>S.B + P.E</t>
  </si>
  <si>
    <t>HORAS EXT.</t>
  </si>
  <si>
    <t>31/06/2010</t>
  </si>
  <si>
    <t>JUNIO</t>
  </si>
  <si>
    <r>
      <rPr>
        <b/>
        <sz val="10"/>
        <rFont val="Calibri"/>
        <family val="2"/>
        <scheme val="minor"/>
      </rPr>
      <t>S</t>
    </r>
    <r>
      <rPr>
        <sz val="10"/>
        <rFont val="Calibri"/>
        <family val="2"/>
        <scheme val="minor"/>
      </rPr>
      <t>{1;2;3};{"SOLTERO, VIUDO, SEPARADO, DIVORCIADO";"CON CONYUGE&lt;1500€";"CON CONYUGE&gt;1500€"}</t>
    </r>
  </si>
  <si>
    <t xml:space="preserve">SITUACION FAMILIAR </t>
  </si>
  <si>
    <t>ESPAÑA</t>
  </si>
  <si>
    <t>EXTRANJERO</t>
  </si>
  <si>
    <t>Ayudantes no titulados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</si>
</sst>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7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haroni"/>
    </font>
    <font>
      <sz val="8"/>
      <color theme="1"/>
      <name val="Calibri"/>
      <family val="2"/>
      <scheme val="minor"/>
    </font>
    <font>
      <sz val="11"/>
      <color theme="1"/>
      <name val="Aharoni"/>
    </font>
    <font>
      <sz val="8"/>
      <color theme="1"/>
      <name val="Aharoni"/>
    </font>
    <font>
      <b/>
      <sz val="11"/>
      <color theme="1"/>
      <name val="Aharoni"/>
    </font>
    <font>
      <sz val="14"/>
      <color theme="1"/>
      <name val="Aharoni"/>
    </font>
    <font>
      <b/>
      <sz val="14"/>
      <color theme="1"/>
      <name val="Aharoni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sz val="6"/>
      <name val="Arial"/>
      <family val="2"/>
    </font>
    <font>
      <i/>
      <sz val="8"/>
      <color theme="0" tint="-0.34998626667073579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9"/>
      <color theme="1"/>
      <name val="Calibri"/>
      <family val="2"/>
      <scheme val="minor"/>
    </font>
    <font>
      <i/>
      <sz val="10"/>
      <name val="Arial"/>
      <family val="2"/>
    </font>
    <font>
      <b/>
      <i/>
      <sz val="10"/>
      <color theme="0"/>
      <name val="Arial"/>
      <family val="2"/>
    </font>
    <font>
      <b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b/>
      <sz val="10"/>
      <color indexed="48"/>
      <name val="Arial"/>
      <family val="2"/>
    </font>
    <font>
      <b/>
      <sz val="10"/>
      <name val="Arial"/>
      <family val="2"/>
    </font>
    <font>
      <sz val="10"/>
      <color indexed="48"/>
      <name val="Arial"/>
      <family val="2"/>
    </font>
    <font>
      <sz val="10"/>
      <color indexed="12"/>
      <name val="Arial"/>
      <family val="2"/>
    </font>
    <font>
      <b/>
      <i/>
      <sz val="8"/>
      <color theme="0" tint="-0.34998626667073579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b/>
      <sz val="11"/>
      <name val="Arial"/>
      <family val="2"/>
    </font>
    <font>
      <b/>
      <sz val="11"/>
      <color indexed="48"/>
      <name val="Arial"/>
      <family val="2"/>
    </font>
    <font>
      <sz val="10"/>
      <color indexed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color theme="0" tint="-0.249977111117893"/>
      <name val="Calibri"/>
      <family val="2"/>
      <scheme val="minor"/>
    </font>
    <font>
      <b/>
      <sz val="9"/>
      <color rgb="FFFF0000"/>
      <name val="Arial"/>
      <family val="2"/>
    </font>
    <font>
      <sz val="10"/>
      <color theme="0" tint="-0.249977111117893"/>
      <name val="Arial"/>
      <family val="2"/>
    </font>
    <font>
      <b/>
      <sz val="10"/>
      <color theme="0" tint="-0.249977111117893"/>
      <name val="Arial"/>
      <family val="2"/>
    </font>
    <font>
      <b/>
      <sz val="14"/>
      <color theme="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u/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7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1"/>
      <name val="Georgia"/>
      <family val="1"/>
    </font>
    <font>
      <sz val="9"/>
      <color theme="1"/>
      <name val="Georgia"/>
      <family val="1"/>
    </font>
    <font>
      <sz val="11"/>
      <color theme="1"/>
      <name val="Georgia"/>
      <family val="1"/>
    </font>
    <font>
      <sz val="11"/>
      <color theme="2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2"/>
      <name val="Calibri"/>
      <family val="2"/>
      <scheme val="minor"/>
    </font>
    <font>
      <b/>
      <sz val="12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8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6">
    <xf numFmtId="0" fontId="0" fillId="0" borderId="0"/>
    <xf numFmtId="0" fontId="17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73" fillId="0" borderId="0" applyNumberFormat="0" applyFill="0" applyBorder="0" applyAlignment="0" applyProtection="0"/>
  </cellStyleXfs>
  <cellXfs count="78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11" xfId="0" applyBorder="1" applyAlignment="1">
      <alignment vertical="center"/>
    </xf>
    <xf numFmtId="43" fontId="0" fillId="0" borderId="0" xfId="0" applyNumberForma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0" fillId="0" borderId="14" xfId="0" applyNumberForma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vertical="center"/>
    </xf>
    <xf numFmtId="0" fontId="0" fillId="0" borderId="17" xfId="0" applyBorder="1"/>
    <xf numFmtId="0" fontId="0" fillId="0" borderId="6" xfId="0" applyBorder="1"/>
    <xf numFmtId="0" fontId="0" fillId="0" borderId="18" xfId="0" applyBorder="1"/>
    <xf numFmtId="0" fontId="0" fillId="0" borderId="19" xfId="0" applyBorder="1"/>
    <xf numFmtId="0" fontId="0" fillId="0" borderId="0" xfId="0" applyBorder="1"/>
    <xf numFmtId="0" fontId="0" fillId="0" borderId="20" xfId="0" applyBorder="1"/>
    <xf numFmtId="0" fontId="0" fillId="0" borderId="21" xfId="0" applyBorder="1"/>
    <xf numFmtId="0" fontId="0" fillId="0" borderId="7" xfId="0" applyBorder="1"/>
    <xf numFmtId="0" fontId="0" fillId="0" borderId="22" xfId="0" applyBorder="1"/>
    <xf numFmtId="0" fontId="0" fillId="0" borderId="14" xfId="0" applyBorder="1"/>
    <xf numFmtId="0" fontId="1" fillId="0" borderId="0" xfId="0" applyFont="1" applyBorder="1"/>
    <xf numFmtId="0" fontId="15" fillId="0" borderId="0" xfId="0" applyFont="1" applyBorder="1"/>
    <xf numFmtId="164" fontId="0" fillId="0" borderId="23" xfId="0" applyNumberFormat="1" applyBorder="1"/>
    <xf numFmtId="164" fontId="0" fillId="0" borderId="0" xfId="0" applyNumberFormat="1" applyBorder="1"/>
    <xf numFmtId="0" fontId="13" fillId="0" borderId="19" xfId="0" applyFont="1" applyBorder="1"/>
    <xf numFmtId="0" fontId="13" fillId="0" borderId="0" xfId="0" applyFont="1" applyBorder="1"/>
    <xf numFmtId="164" fontId="13" fillId="0" borderId="23" xfId="0" applyNumberFormat="1" applyFont="1" applyBorder="1"/>
    <xf numFmtId="0" fontId="13" fillId="0" borderId="20" xfId="0" applyFont="1" applyBorder="1"/>
    <xf numFmtId="0" fontId="13" fillId="0" borderId="0" xfId="0" applyFont="1"/>
    <xf numFmtId="0" fontId="0" fillId="0" borderId="0" xfId="0" applyFill="1" applyBorder="1"/>
    <xf numFmtId="0" fontId="1" fillId="0" borderId="0" xfId="0" applyFont="1" applyBorder="1" applyAlignment="1">
      <alignment horizontal="center"/>
    </xf>
    <xf numFmtId="0" fontId="1" fillId="0" borderId="19" xfId="0" applyFont="1" applyBorder="1"/>
    <xf numFmtId="0" fontId="1" fillId="0" borderId="20" xfId="0" applyFont="1" applyBorder="1"/>
    <xf numFmtId="0" fontId="1" fillId="0" borderId="0" xfId="0" applyFont="1"/>
    <xf numFmtId="0" fontId="0" fillId="0" borderId="59" xfId="0" applyNumberForma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7" fillId="0" borderId="0" xfId="1"/>
    <xf numFmtId="0" fontId="17" fillId="0" borderId="0" xfId="1" applyAlignment="1">
      <alignment horizontal="center"/>
    </xf>
    <xf numFmtId="0" fontId="17" fillId="0" borderId="41" xfId="1" applyBorder="1"/>
    <xf numFmtId="3" fontId="18" fillId="0" borderId="30" xfId="1" applyNumberFormat="1" applyFont="1" applyBorder="1" applyAlignment="1">
      <alignment horizontal="center"/>
    </xf>
    <xf numFmtId="2" fontId="17" fillId="0" borderId="33" xfId="1" applyNumberFormat="1" applyBorder="1"/>
    <xf numFmtId="0" fontId="17" fillId="0" borderId="19" xfId="1" applyBorder="1"/>
    <xf numFmtId="0" fontId="17" fillId="0" borderId="63" xfId="1" applyBorder="1" applyAlignment="1">
      <alignment horizontal="center"/>
    </xf>
    <xf numFmtId="2" fontId="17" fillId="0" borderId="20" xfId="1" applyNumberFormat="1" applyBorder="1"/>
    <xf numFmtId="0" fontId="17" fillId="0" borderId="65" xfId="1" applyBorder="1" applyAlignment="1">
      <alignment vertical="center" wrapText="1"/>
    </xf>
    <xf numFmtId="0" fontId="17" fillId="0" borderId="67" xfId="1" applyBorder="1" applyAlignment="1">
      <alignment vertical="center" wrapText="1"/>
    </xf>
    <xf numFmtId="0" fontId="17" fillId="0" borderId="69" xfId="1" applyBorder="1" applyAlignment="1">
      <alignment vertical="center" wrapText="1"/>
    </xf>
    <xf numFmtId="0" fontId="17" fillId="0" borderId="0" xfId="1" applyBorder="1"/>
    <xf numFmtId="164" fontId="20" fillId="2" borderId="27" xfId="1" applyNumberFormat="1" applyFont="1" applyFill="1" applyBorder="1" applyAlignment="1"/>
    <xf numFmtId="0" fontId="22" fillId="0" borderId="0" xfId="1" applyFont="1"/>
    <xf numFmtId="164" fontId="19" fillId="3" borderId="59" xfId="1" applyNumberFormat="1" applyFont="1" applyFill="1" applyBorder="1" applyAlignment="1">
      <alignment horizontal="center" vertical="center"/>
    </xf>
    <xf numFmtId="164" fontId="20" fillId="3" borderId="59" xfId="1" applyNumberFormat="1" applyFont="1" applyFill="1" applyBorder="1" applyAlignment="1">
      <alignment horizontal="center" vertical="center"/>
    </xf>
    <xf numFmtId="0" fontId="19" fillId="3" borderId="59" xfId="1" applyNumberFormat="1" applyFont="1" applyFill="1" applyBorder="1" applyAlignment="1">
      <alignment horizontal="center" vertical="center"/>
    </xf>
    <xf numFmtId="164" fontId="20" fillId="2" borderId="27" xfId="1" applyNumberFormat="1" applyFont="1" applyFill="1" applyBorder="1" applyAlignment="1">
      <alignment vertical="center"/>
    </xf>
    <xf numFmtId="0" fontId="18" fillId="0" borderId="46" xfId="1" applyFont="1" applyBorder="1" applyAlignment="1">
      <alignment horizontal="center" vertical="center"/>
    </xf>
    <xf numFmtId="2" fontId="17" fillId="0" borderId="66" xfId="1" applyNumberFormat="1" applyBorder="1" applyAlignment="1">
      <alignment vertical="center"/>
    </xf>
    <xf numFmtId="0" fontId="18" fillId="0" borderId="63" xfId="1" applyFont="1" applyBorder="1" applyAlignment="1">
      <alignment horizontal="center" vertical="center"/>
    </xf>
    <xf numFmtId="2" fontId="17" fillId="0" borderId="20" xfId="1" applyNumberFormat="1" applyBorder="1" applyAlignment="1">
      <alignment vertical="center"/>
    </xf>
    <xf numFmtId="0" fontId="17" fillId="0" borderId="19" xfId="1" applyBorder="1" applyAlignment="1">
      <alignment vertical="center"/>
    </xf>
    <xf numFmtId="2" fontId="17" fillId="0" borderId="68" xfId="1" applyNumberFormat="1" applyBorder="1" applyAlignment="1">
      <alignment vertical="center"/>
    </xf>
    <xf numFmtId="0" fontId="18" fillId="0" borderId="64" xfId="1" applyFont="1" applyBorder="1" applyAlignment="1">
      <alignment horizontal="center" vertical="center"/>
    </xf>
    <xf numFmtId="2" fontId="17" fillId="0" borderId="22" xfId="1" applyNumberFormat="1" applyBorder="1" applyAlignment="1">
      <alignment vertical="center"/>
    </xf>
    <xf numFmtId="0" fontId="17" fillId="0" borderId="21" xfId="1" applyBorder="1" applyAlignment="1">
      <alignment vertical="center"/>
    </xf>
    <xf numFmtId="2" fontId="17" fillId="0" borderId="70" xfId="1" applyNumberFormat="1" applyBorder="1" applyAlignment="1">
      <alignment vertical="center"/>
    </xf>
    <xf numFmtId="0" fontId="17" fillId="0" borderId="61" xfId="1" applyBorder="1" applyAlignment="1">
      <alignment vertical="center" wrapText="1"/>
    </xf>
    <xf numFmtId="0" fontId="18" fillId="0" borderId="62" xfId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17" fillId="0" borderId="0" xfId="1" applyAlignment="1">
      <alignment horizontal="center" vertical="center"/>
    </xf>
    <xf numFmtId="0" fontId="17" fillId="0" borderId="0" xfId="1" applyAlignment="1">
      <alignment vertical="center"/>
    </xf>
    <xf numFmtId="0" fontId="18" fillId="0" borderId="0" xfId="1" applyFont="1" applyBorder="1" applyAlignment="1">
      <alignment horizontal="center" vertical="center"/>
    </xf>
    <xf numFmtId="0" fontId="17" fillId="0" borderId="19" xfId="1" applyBorder="1" applyAlignment="1">
      <alignment vertical="center" wrapText="1"/>
    </xf>
    <xf numFmtId="0" fontId="17" fillId="0" borderId="71" xfId="1" applyBorder="1" applyAlignment="1">
      <alignment vertical="center"/>
    </xf>
    <xf numFmtId="0" fontId="18" fillId="0" borderId="72" xfId="1" applyFont="1" applyBorder="1" applyAlignment="1">
      <alignment horizontal="center" vertical="center"/>
    </xf>
    <xf numFmtId="2" fontId="17" fillId="0" borderId="73" xfId="1" applyNumberFormat="1" applyBorder="1" applyAlignment="1">
      <alignment vertical="center"/>
    </xf>
    <xf numFmtId="0" fontId="17" fillId="0" borderId="67" xfId="1" applyBorder="1" applyAlignment="1">
      <alignment vertical="center"/>
    </xf>
    <xf numFmtId="0" fontId="14" fillId="2" borderId="14" xfId="0" applyFont="1" applyFill="1" applyBorder="1" applyAlignment="1">
      <alignment horizontal="center" vertical="center"/>
    </xf>
    <xf numFmtId="0" fontId="20" fillId="0" borderId="0" xfId="1" applyFont="1" applyAlignment="1">
      <alignment horizontal="center"/>
    </xf>
    <xf numFmtId="44" fontId="0" fillId="0" borderId="0" xfId="2" applyFont="1"/>
    <xf numFmtId="44" fontId="6" fillId="0" borderId="0" xfId="2" applyFont="1"/>
    <xf numFmtId="44" fontId="0" fillId="0" borderId="0" xfId="0" applyNumberFormat="1"/>
    <xf numFmtId="164" fontId="17" fillId="0" borderId="75" xfId="1" applyNumberFormat="1" applyBorder="1" applyAlignment="1">
      <alignment horizontal="center"/>
    </xf>
    <xf numFmtId="164" fontId="17" fillId="0" borderId="76" xfId="1" applyNumberFormat="1" applyBorder="1" applyAlignment="1">
      <alignment horizontal="center"/>
    </xf>
    <xf numFmtId="164" fontId="28" fillId="0" borderId="28" xfId="1" applyNumberFormat="1" applyFont="1" applyBorder="1" applyAlignment="1">
      <alignment horizontal="left"/>
    </xf>
    <xf numFmtId="164" fontId="28" fillId="0" borderId="14" xfId="1" applyNumberFormat="1" applyFont="1" applyBorder="1" applyAlignment="1">
      <alignment horizontal="left"/>
    </xf>
    <xf numFmtId="164" fontId="17" fillId="0" borderId="14" xfId="1" applyNumberFormat="1" applyBorder="1" applyAlignment="1">
      <alignment horizontal="center"/>
    </xf>
    <xf numFmtId="164" fontId="17" fillId="0" borderId="48" xfId="1" applyNumberFormat="1" applyBorder="1" applyAlignment="1">
      <alignment horizontal="center"/>
    </xf>
    <xf numFmtId="164" fontId="17" fillId="0" borderId="30" xfId="1" applyNumberFormat="1" applyBorder="1" applyAlignment="1">
      <alignment horizontal="center"/>
    </xf>
    <xf numFmtId="164" fontId="17" fillId="0" borderId="31" xfId="1" applyNumberFormat="1" applyBorder="1" applyAlignment="1">
      <alignment horizontal="center"/>
    </xf>
    <xf numFmtId="164" fontId="20" fillId="2" borderId="26" xfId="1" applyNumberFormat="1" applyFont="1" applyFill="1" applyBorder="1" applyAlignment="1">
      <alignment horizontal="center" vertical="center"/>
    </xf>
    <xf numFmtId="164" fontId="20" fillId="2" borderId="27" xfId="1" applyNumberFormat="1" applyFont="1" applyFill="1" applyBorder="1" applyAlignment="1">
      <alignment horizontal="center" vertical="center"/>
    </xf>
    <xf numFmtId="164" fontId="20" fillId="2" borderId="30" xfId="1" applyNumberFormat="1" applyFont="1" applyFill="1" applyBorder="1" applyAlignment="1">
      <alignment horizontal="center" vertical="center"/>
    </xf>
    <xf numFmtId="164" fontId="20" fillId="2" borderId="31" xfId="1" applyNumberFormat="1" applyFont="1" applyFill="1" applyBorder="1" applyAlignment="1">
      <alignment horizontal="center" vertical="center"/>
    </xf>
    <xf numFmtId="164" fontId="17" fillId="0" borderId="0" xfId="1" applyNumberFormat="1" applyBorder="1" applyAlignment="1">
      <alignment horizontal="center"/>
    </xf>
    <xf numFmtId="44" fontId="12" fillId="0" borderId="0" xfId="2" applyFont="1"/>
    <xf numFmtId="0" fontId="31" fillId="0" borderId="0" xfId="0" applyFont="1"/>
    <xf numFmtId="0" fontId="12" fillId="0" borderId="0" xfId="0" applyFont="1"/>
    <xf numFmtId="0" fontId="33" fillId="0" borderId="4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4" fontId="6" fillId="0" borderId="0" xfId="0" applyNumberFormat="1" applyFont="1"/>
    <xf numFmtId="0" fontId="30" fillId="0" borderId="37" xfId="0" applyFont="1" applyBorder="1"/>
    <xf numFmtId="10" fontId="0" fillId="0" borderId="24" xfId="3" applyNumberFormat="1" applyFont="1" applyBorder="1" applyAlignment="1">
      <alignment horizontal="center" vertical="center"/>
    </xf>
    <xf numFmtId="10" fontId="0" fillId="0" borderId="26" xfId="3" applyNumberFormat="1" applyFont="1" applyBorder="1" applyAlignment="1">
      <alignment horizontal="center" vertical="center"/>
    </xf>
    <xf numFmtId="0" fontId="30" fillId="0" borderId="41" xfId="0" applyFont="1" applyBorder="1"/>
    <xf numFmtId="10" fontId="0" fillId="0" borderId="30" xfId="3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4" fontId="27" fillId="0" borderId="0" xfId="0" applyNumberFormat="1" applyFont="1"/>
    <xf numFmtId="0" fontId="25" fillId="0" borderId="0" xfId="0" applyFont="1"/>
    <xf numFmtId="0" fontId="34" fillId="0" borderId="0" xfId="0" applyFont="1"/>
    <xf numFmtId="44" fontId="34" fillId="0" borderId="0" xfId="2" applyFont="1"/>
    <xf numFmtId="164" fontId="17" fillId="0" borderId="0" xfId="1" applyNumberFormat="1"/>
    <xf numFmtId="164" fontId="17" fillId="0" borderId="0" xfId="1" applyNumberFormat="1" applyAlignment="1"/>
    <xf numFmtId="10" fontId="17" fillId="0" borderId="0" xfId="1" applyNumberFormat="1"/>
    <xf numFmtId="164" fontId="17" fillId="0" borderId="27" xfId="1" applyNumberFormat="1" applyFont="1" applyBorder="1"/>
    <xf numFmtId="164" fontId="18" fillId="0" borderId="48" xfId="1" applyNumberFormat="1" applyFont="1" applyBorder="1"/>
    <xf numFmtId="164" fontId="17" fillId="0" borderId="24" xfId="1" applyNumberFormat="1" applyFont="1" applyBorder="1"/>
    <xf numFmtId="164" fontId="17" fillId="0" borderId="26" xfId="1" applyNumberFormat="1" applyFont="1" applyBorder="1"/>
    <xf numFmtId="10" fontId="17" fillId="0" borderId="27" xfId="1" applyNumberFormat="1" applyFont="1" applyBorder="1"/>
    <xf numFmtId="164" fontId="17" fillId="0" borderId="62" xfId="1" applyNumberFormat="1" applyBorder="1"/>
    <xf numFmtId="164" fontId="17" fillId="0" borderId="28" xfId="1" applyNumberFormat="1" applyFont="1" applyBorder="1"/>
    <xf numFmtId="164" fontId="17" fillId="0" borderId="14" xfId="1" applyNumberFormat="1" applyFont="1" applyBorder="1"/>
    <xf numFmtId="10" fontId="17" fillId="0" borderId="48" xfId="1" applyNumberFormat="1" applyFont="1" applyBorder="1"/>
    <xf numFmtId="164" fontId="37" fillId="0" borderId="0" xfId="1" applyNumberFormat="1" applyFont="1"/>
    <xf numFmtId="164" fontId="17" fillId="0" borderId="48" xfId="1" applyNumberFormat="1" applyFont="1" applyBorder="1"/>
    <xf numFmtId="164" fontId="17" fillId="0" borderId="29" xfId="1" applyNumberFormat="1" applyFont="1" applyBorder="1"/>
    <xf numFmtId="164" fontId="17" fillId="0" borderId="30" xfId="1" applyNumberFormat="1" applyFont="1" applyBorder="1"/>
    <xf numFmtId="10" fontId="17" fillId="0" borderId="31" xfId="1" applyNumberFormat="1" applyFont="1" applyBorder="1"/>
    <xf numFmtId="10" fontId="17" fillId="0" borderId="0" xfId="1" applyNumberFormat="1" applyFont="1" applyBorder="1"/>
    <xf numFmtId="164" fontId="17" fillId="3" borderId="0" xfId="1" applyNumberFormat="1" applyFill="1" applyBorder="1" applyAlignment="1"/>
    <xf numFmtId="164" fontId="17" fillId="3" borderId="0" xfId="1" applyNumberFormat="1" applyFill="1" applyBorder="1"/>
    <xf numFmtId="164" fontId="17" fillId="0" borderId="0" xfId="1" applyNumberFormat="1" applyBorder="1"/>
    <xf numFmtId="164" fontId="17" fillId="0" borderId="24" xfId="1" applyNumberFormat="1" applyBorder="1"/>
    <xf numFmtId="164" fontId="17" fillId="0" borderId="27" xfId="1" applyNumberFormat="1" applyBorder="1"/>
    <xf numFmtId="164" fontId="17" fillId="0" borderId="28" xfId="1" applyNumberFormat="1" applyBorder="1"/>
    <xf numFmtId="164" fontId="17" fillId="0" borderId="48" xfId="1" applyNumberFormat="1" applyBorder="1"/>
    <xf numFmtId="0" fontId="17" fillId="0" borderId="0" xfId="1" applyNumberFormat="1" applyAlignment="1">
      <alignment horizontal="center" vertical="center"/>
    </xf>
    <xf numFmtId="164" fontId="17" fillId="0" borderId="46" xfId="1" applyNumberFormat="1" applyBorder="1" applyAlignment="1">
      <alignment horizontal="center"/>
    </xf>
    <xf numFmtId="0" fontId="17" fillId="0" borderId="23" xfId="1" applyNumberFormat="1" applyFont="1" applyBorder="1" applyAlignment="1">
      <alignment horizontal="center" vertical="center"/>
    </xf>
    <xf numFmtId="164" fontId="28" fillId="0" borderId="0" xfId="1" applyNumberFormat="1" applyFont="1" applyBorder="1" applyAlignment="1">
      <alignment horizontal="left"/>
    </xf>
    <xf numFmtId="10" fontId="38" fillId="0" borderId="0" xfId="1" applyNumberFormat="1" applyFont="1" applyBorder="1" applyAlignment="1">
      <alignment horizontal="center"/>
    </xf>
    <xf numFmtId="0" fontId="36" fillId="0" borderId="0" xfId="1" applyFont="1" applyFill="1" applyBorder="1" applyAlignment="1">
      <alignment vertical="center"/>
    </xf>
    <xf numFmtId="0" fontId="39" fillId="0" borderId="0" xfId="1" applyFont="1" applyFill="1" applyBorder="1" applyAlignment="1">
      <alignment vertical="center"/>
    </xf>
    <xf numFmtId="164" fontId="17" fillId="0" borderId="47" xfId="1" applyNumberFormat="1" applyFont="1" applyBorder="1"/>
    <xf numFmtId="164" fontId="41" fillId="2" borderId="29" xfId="1" applyNumberFormat="1" applyFont="1" applyFill="1" applyBorder="1" applyAlignment="1">
      <alignment horizontal="center" vertical="center"/>
    </xf>
    <xf numFmtId="164" fontId="42" fillId="0" borderId="31" xfId="1" applyNumberFormat="1" applyFont="1" applyBorder="1"/>
    <xf numFmtId="164" fontId="20" fillId="2" borderId="29" xfId="1" applyNumberFormat="1" applyFont="1" applyFill="1" applyBorder="1" applyAlignment="1">
      <alignment horizontal="center"/>
    </xf>
    <xf numFmtId="164" fontId="20" fillId="2" borderId="30" xfId="1" applyNumberFormat="1" applyFont="1" applyFill="1" applyBorder="1" applyAlignment="1">
      <alignment horizontal="center"/>
    </xf>
    <xf numFmtId="0" fontId="20" fillId="2" borderId="31" xfId="1" applyNumberFormat="1" applyFont="1" applyFill="1" applyBorder="1" applyAlignment="1">
      <alignment horizontal="center"/>
    </xf>
    <xf numFmtId="164" fontId="43" fillId="0" borderId="62" xfId="1" applyNumberFormat="1" applyFont="1" applyBorder="1" applyAlignment="1">
      <alignment horizontal="center"/>
    </xf>
    <xf numFmtId="10" fontId="43" fillId="0" borderId="55" xfId="1" applyNumberFormat="1" applyFont="1" applyBorder="1" applyAlignment="1">
      <alignment horizontal="center"/>
    </xf>
    <xf numFmtId="164" fontId="17" fillId="0" borderId="0" xfId="1" applyNumberFormat="1" applyFont="1" applyFill="1" applyBorder="1" applyAlignment="1"/>
    <xf numFmtId="164" fontId="17" fillId="0" borderId="0" xfId="1" applyNumberFormat="1" applyFont="1" applyFill="1" applyBorder="1"/>
    <xf numFmtId="164" fontId="35" fillId="0" borderId="0" xfId="1" applyNumberFormat="1" applyFont="1" applyFill="1" applyBorder="1"/>
    <xf numFmtId="164" fontId="18" fillId="0" borderId="0" xfId="1" applyNumberFormat="1" applyFont="1" applyFill="1" applyBorder="1"/>
    <xf numFmtId="164" fontId="17" fillId="0" borderId="0" xfId="1" applyNumberFormat="1" applyFont="1" applyFill="1" applyBorder="1" applyAlignment="1">
      <alignment horizontal="center"/>
    </xf>
    <xf numFmtId="0" fontId="20" fillId="2" borderId="30" xfId="1" applyNumberFormat="1" applyFont="1" applyFill="1" applyBorder="1" applyAlignment="1">
      <alignment horizontal="center"/>
    </xf>
    <xf numFmtId="164" fontId="20" fillId="2" borderId="26" xfId="1" applyNumberFormat="1" applyFont="1" applyFill="1" applyBorder="1" applyAlignment="1">
      <alignment horizontal="center"/>
    </xf>
    <xf numFmtId="164" fontId="20" fillId="2" borderId="27" xfId="1" applyNumberFormat="1" applyFont="1" applyFill="1" applyBorder="1" applyAlignment="1">
      <alignment horizontal="center"/>
    </xf>
    <xf numFmtId="164" fontId="20" fillId="2" borderId="31" xfId="1" applyNumberFormat="1" applyFont="1" applyFill="1" applyBorder="1" applyAlignment="1">
      <alignment horizontal="center"/>
    </xf>
    <xf numFmtId="164" fontId="36" fillId="0" borderId="0" xfId="1" applyNumberFormat="1" applyFont="1" applyFill="1" applyBorder="1" applyAlignment="1">
      <alignment horizontal="center"/>
    </xf>
    <xf numFmtId="164" fontId="18" fillId="0" borderId="0" xfId="1" applyNumberFormat="1" applyFont="1" applyFill="1" applyBorder="1" applyAlignment="1">
      <alignment horizontal="center"/>
    </xf>
    <xf numFmtId="164" fontId="36" fillId="0" borderId="0" xfId="1" applyNumberFormat="1" applyFont="1" applyFill="1" applyBorder="1" applyAlignment="1">
      <alignment wrapText="1"/>
    </xf>
    <xf numFmtId="10" fontId="44" fillId="0" borderId="0" xfId="1" applyNumberFormat="1" applyFont="1" applyFill="1" applyBorder="1" applyAlignment="1">
      <alignment horizontal="center"/>
    </xf>
    <xf numFmtId="10" fontId="37" fillId="0" borderId="0" xfId="1" applyNumberFormat="1" applyFont="1" applyFill="1" applyBorder="1" applyAlignment="1">
      <alignment horizontal="center"/>
    </xf>
    <xf numFmtId="10" fontId="44" fillId="0" borderId="0" xfId="1" applyNumberFormat="1" applyFont="1" applyFill="1" applyBorder="1" applyAlignment="1"/>
    <xf numFmtId="0" fontId="17" fillId="0" borderId="0" xfId="1" applyFill="1" applyAlignment="1">
      <alignment horizontal="center" vertical="center"/>
    </xf>
    <xf numFmtId="0" fontId="17" fillId="0" borderId="0" xfId="1" applyFill="1" applyAlignment="1">
      <alignment vertical="center"/>
    </xf>
    <xf numFmtId="0" fontId="0" fillId="0" borderId="0" xfId="0" applyFill="1"/>
    <xf numFmtId="164" fontId="26" fillId="0" borderId="0" xfId="1" applyNumberFormat="1" applyFont="1"/>
    <xf numFmtId="10" fontId="26" fillId="0" borderId="0" xfId="1" applyNumberFormat="1" applyFont="1" applyBorder="1"/>
    <xf numFmtId="164" fontId="41" fillId="2" borderId="61" xfId="1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14" fontId="0" fillId="0" borderId="14" xfId="0" applyNumberForma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164" fontId="19" fillId="0" borderId="0" xfId="1" applyNumberFormat="1" applyFont="1" applyFill="1" applyBorder="1" applyAlignment="1">
      <alignment horizontal="center" vertical="center"/>
    </xf>
    <xf numFmtId="0" fontId="27" fillId="0" borderId="0" xfId="0" applyFont="1"/>
    <xf numFmtId="44" fontId="27" fillId="0" borderId="0" xfId="2" applyFont="1"/>
    <xf numFmtId="0" fontId="17" fillId="3" borderId="59" xfId="1" applyNumberFormat="1" applyFont="1" applyFill="1" applyBorder="1" applyAlignment="1">
      <alignment horizontal="center" vertical="center"/>
    </xf>
    <xf numFmtId="10" fontId="45" fillId="0" borderId="26" xfId="3" applyNumberFormat="1" applyFont="1" applyBorder="1" applyAlignment="1">
      <alignment horizontal="center" vertical="center"/>
    </xf>
    <xf numFmtId="0" fontId="27" fillId="0" borderId="0" xfId="0" applyFont="1" applyFill="1" applyBorder="1"/>
    <xf numFmtId="0" fontId="27" fillId="0" borderId="0" xfId="0" applyFont="1" applyFill="1" applyBorder="1" applyAlignment="1">
      <alignment wrapText="1"/>
    </xf>
    <xf numFmtId="0" fontId="14" fillId="2" borderId="14" xfId="0" applyFont="1" applyFill="1" applyBorder="1" applyAlignment="1">
      <alignment horizontal="center" vertical="center"/>
    </xf>
    <xf numFmtId="0" fontId="0" fillId="0" borderId="30" xfId="0" applyBorder="1"/>
    <xf numFmtId="44" fontId="27" fillId="0" borderId="48" xfId="2" applyFont="1" applyBorder="1"/>
    <xf numFmtId="44" fontId="27" fillId="0" borderId="14" xfId="2" applyFont="1" applyBorder="1"/>
    <xf numFmtId="44" fontId="27" fillId="0" borderId="30" xfId="2" applyFont="1" applyBorder="1"/>
    <xf numFmtId="44" fontId="27" fillId="0" borderId="31" xfId="2" applyFont="1" applyBorder="1"/>
    <xf numFmtId="44" fontId="27" fillId="0" borderId="48" xfId="2" applyFont="1" applyFill="1" applyBorder="1"/>
    <xf numFmtId="44" fontId="27" fillId="0" borderId="31" xfId="2" applyFont="1" applyFill="1" applyBorder="1"/>
    <xf numFmtId="44" fontId="36" fillId="0" borderId="0" xfId="2" applyFont="1" applyFill="1" applyBorder="1" applyAlignment="1">
      <alignment vertical="center" wrapText="1"/>
    </xf>
    <xf numFmtId="44" fontId="36" fillId="0" borderId="6" xfId="2" applyFont="1" applyFill="1" applyBorder="1" applyAlignment="1">
      <alignment vertical="center" wrapText="1"/>
    </xf>
    <xf numFmtId="44" fontId="36" fillId="0" borderId="18" xfId="2" applyFont="1" applyFill="1" applyBorder="1" applyAlignment="1">
      <alignment horizontal="center" vertical="center"/>
    </xf>
    <xf numFmtId="44" fontId="36" fillId="0" borderId="20" xfId="2" applyFont="1" applyFill="1" applyBorder="1" applyAlignment="1">
      <alignment horizontal="center" vertical="center"/>
    </xf>
    <xf numFmtId="164" fontId="49" fillId="0" borderId="7" xfId="1" applyNumberFormat="1" applyFont="1" applyFill="1" applyBorder="1" applyAlignment="1">
      <alignment horizontal="center" vertical="center" wrapText="1"/>
    </xf>
    <xf numFmtId="44" fontId="36" fillId="0" borderId="18" xfId="2" applyFont="1" applyFill="1" applyBorder="1" applyAlignment="1">
      <alignment vertical="center" wrapText="1"/>
    </xf>
    <xf numFmtId="164" fontId="36" fillId="0" borderId="7" xfId="1" applyNumberFormat="1" applyFont="1" applyFill="1" applyBorder="1" applyAlignment="1">
      <alignment vertical="center" wrapText="1"/>
    </xf>
    <xf numFmtId="44" fontId="36" fillId="0" borderId="7" xfId="2" applyFont="1" applyFill="1" applyBorder="1" applyAlignment="1">
      <alignment vertical="center" wrapText="1"/>
    </xf>
    <xf numFmtId="44" fontId="36" fillId="0" borderId="22" xfId="2" applyFont="1" applyFill="1" applyBorder="1" applyAlignment="1">
      <alignment horizontal="center" vertical="center"/>
    </xf>
    <xf numFmtId="164" fontId="36" fillId="0" borderId="42" xfId="1" applyNumberFormat="1" applyFont="1" applyFill="1" applyBorder="1" applyAlignment="1">
      <alignment vertical="center" wrapText="1"/>
    </xf>
    <xf numFmtId="44" fontId="17" fillId="0" borderId="12" xfId="2" applyFont="1" applyBorder="1" applyAlignment="1">
      <alignment horizontal="center" vertical="center"/>
    </xf>
    <xf numFmtId="164" fontId="49" fillId="0" borderId="12" xfId="1" applyNumberFormat="1" applyFont="1" applyFill="1" applyBorder="1" applyAlignment="1">
      <alignment horizontal="center" vertical="center" wrapText="1"/>
    </xf>
    <xf numFmtId="44" fontId="36" fillId="0" borderId="12" xfId="2" applyFont="1" applyFill="1" applyBorder="1" applyAlignment="1">
      <alignment vertical="center" wrapText="1"/>
    </xf>
    <xf numFmtId="44" fontId="49" fillId="0" borderId="12" xfId="2" applyFont="1" applyFill="1" applyBorder="1" applyAlignment="1">
      <alignment horizontal="center" vertical="center" wrapText="1"/>
    </xf>
    <xf numFmtId="44" fontId="36" fillId="0" borderId="45" xfId="2" applyFont="1" applyFill="1" applyBorder="1" applyAlignment="1">
      <alignment horizontal="center" vertical="center"/>
    </xf>
    <xf numFmtId="44" fontId="36" fillId="0" borderId="6" xfId="2" applyFont="1" applyFill="1" applyBorder="1" applyAlignment="1">
      <alignment vertical="center"/>
    </xf>
    <xf numFmtId="44" fontId="36" fillId="0" borderId="7" xfId="2" applyFont="1" applyFill="1" applyBorder="1" applyAlignment="1">
      <alignment vertical="center"/>
    </xf>
    <xf numFmtId="9" fontId="36" fillId="0" borderId="22" xfId="3" applyFont="1" applyFill="1" applyBorder="1" applyAlignment="1">
      <alignment horizontal="center" vertical="center"/>
    </xf>
    <xf numFmtId="164" fontId="50" fillId="0" borderId="6" xfId="1" applyNumberFormat="1" applyFont="1" applyFill="1" applyBorder="1" applyAlignment="1">
      <alignment horizontal="center" vertical="center" wrapText="1"/>
    </xf>
    <xf numFmtId="0" fontId="50" fillId="0" borderId="18" xfId="2" applyNumberFormat="1" applyFont="1" applyFill="1" applyBorder="1" applyAlignment="1">
      <alignment horizontal="center" vertical="center"/>
    </xf>
    <xf numFmtId="164" fontId="49" fillId="0" borderId="20" xfId="1" applyNumberFormat="1" applyFont="1" applyFill="1" applyBorder="1" applyAlignment="1">
      <alignment horizontal="center" vertical="center" wrapText="1"/>
    </xf>
    <xf numFmtId="0" fontId="49" fillId="0" borderId="21" xfId="1" applyFont="1" applyBorder="1" applyAlignment="1">
      <alignment horizontal="center" vertical="center"/>
    </xf>
    <xf numFmtId="0" fontId="17" fillId="0" borderId="22" xfId="1" applyFont="1" applyBorder="1"/>
    <xf numFmtId="0" fontId="49" fillId="0" borderId="0" xfId="1" applyFont="1" applyBorder="1" applyAlignment="1">
      <alignment horizontal="center" vertical="center"/>
    </xf>
    <xf numFmtId="0" fontId="49" fillId="0" borderId="19" xfId="1" applyFont="1" applyBorder="1" applyAlignment="1">
      <alignment horizontal="center" vertical="center"/>
    </xf>
    <xf numFmtId="0" fontId="49" fillId="0" borderId="7" xfId="1" applyFont="1" applyBorder="1" applyAlignment="1">
      <alignment horizontal="center" vertical="center" wrapText="1"/>
    </xf>
    <xf numFmtId="164" fontId="49" fillId="0" borderId="18" xfId="1" applyNumberFormat="1" applyFont="1" applyFill="1" applyBorder="1" applyAlignment="1">
      <alignment horizontal="center" vertical="center" wrapText="1"/>
    </xf>
    <xf numFmtId="164" fontId="49" fillId="0" borderId="6" xfId="1" applyNumberFormat="1" applyFont="1" applyFill="1" applyBorder="1" applyAlignment="1">
      <alignment horizontal="center" vertical="center" wrapText="1"/>
    </xf>
    <xf numFmtId="164" fontId="49" fillId="0" borderId="0" xfId="1" applyNumberFormat="1" applyFont="1" applyFill="1" applyBorder="1" applyAlignment="1">
      <alignment horizontal="center" vertical="center" wrapText="1"/>
    </xf>
    <xf numFmtId="44" fontId="17" fillId="0" borderId="6" xfId="2" applyFont="1" applyBorder="1" applyAlignment="1">
      <alignment horizontal="center" vertical="center"/>
    </xf>
    <xf numFmtId="164" fontId="20" fillId="2" borderId="0" xfId="1" applyNumberFormat="1" applyFont="1" applyFill="1" applyBorder="1" applyAlignment="1">
      <alignment vertical="center"/>
    </xf>
    <xf numFmtId="0" fontId="34" fillId="0" borderId="0" xfId="0" applyFont="1" applyAlignment="1">
      <alignment horizontal="center" vertical="center" wrapText="1"/>
    </xf>
    <xf numFmtId="44" fontId="51" fillId="0" borderId="0" xfId="2" applyFont="1" applyAlignment="1">
      <alignment vertical="center" wrapText="1"/>
    </xf>
    <xf numFmtId="9" fontId="51" fillId="0" borderId="0" xfId="3" applyFont="1" applyAlignment="1">
      <alignment vertical="center" wrapText="1"/>
    </xf>
    <xf numFmtId="44" fontId="17" fillId="0" borderId="0" xfId="2" applyFont="1" applyBorder="1" applyAlignment="1">
      <alignment horizontal="center" vertical="center"/>
    </xf>
    <xf numFmtId="44" fontId="17" fillId="0" borderId="6" xfId="2" applyFont="1" applyBorder="1" applyAlignment="1">
      <alignment horizontal="center" vertical="center"/>
    </xf>
    <xf numFmtId="44" fontId="17" fillId="0" borderId="7" xfId="2" applyFont="1" applyBorder="1" applyAlignment="1">
      <alignment horizontal="center" vertical="center"/>
    </xf>
    <xf numFmtId="164" fontId="49" fillId="0" borderId="17" xfId="1" applyNumberFormat="1" applyFont="1" applyFill="1" applyBorder="1" applyAlignment="1">
      <alignment horizontal="center" vertical="center" wrapText="1"/>
    </xf>
    <xf numFmtId="164" fontId="49" fillId="0" borderId="6" xfId="1" applyNumberFormat="1" applyFont="1" applyFill="1" applyBorder="1" applyAlignment="1">
      <alignment horizontal="center" vertical="center" wrapText="1"/>
    </xf>
    <xf numFmtId="0" fontId="52" fillId="0" borderId="0" xfId="0" applyNumberFormat="1" applyFont="1" applyAlignment="1">
      <alignment horizontal="center" vertical="center"/>
    </xf>
    <xf numFmtId="49" fontId="25" fillId="2" borderId="19" xfId="0" applyNumberFormat="1" applyFont="1" applyFill="1" applyBorder="1" applyAlignment="1">
      <alignment horizontal="center" vertical="center"/>
    </xf>
    <xf numFmtId="0" fontId="25" fillId="2" borderId="0" xfId="0" applyFont="1" applyFill="1" applyBorder="1"/>
    <xf numFmtId="0" fontId="47" fillId="2" borderId="0" xfId="0" applyFont="1" applyFill="1" applyBorder="1" applyAlignment="1">
      <alignment horizontal="center" vertical="center"/>
    </xf>
    <xf numFmtId="0" fontId="47" fillId="2" borderId="20" xfId="0" applyFont="1" applyFill="1" applyBorder="1" applyAlignment="1">
      <alignment horizontal="center" vertical="center"/>
    </xf>
    <xf numFmtId="10" fontId="27" fillId="0" borderId="19" xfId="3" applyNumberFormat="1" applyFont="1" applyFill="1" applyBorder="1" applyAlignment="1">
      <alignment horizontal="center" vertical="center"/>
    </xf>
    <xf numFmtId="10" fontId="27" fillId="0" borderId="0" xfId="3" applyNumberFormat="1" applyFont="1" applyBorder="1"/>
    <xf numFmtId="10" fontId="27" fillId="0" borderId="20" xfId="3" applyNumberFormat="1" applyFont="1" applyBorder="1"/>
    <xf numFmtId="10" fontId="27" fillId="0" borderId="21" xfId="3" applyNumberFormat="1" applyFont="1" applyFill="1" applyBorder="1" applyAlignment="1">
      <alignment horizontal="center" vertical="center"/>
    </xf>
    <xf numFmtId="0" fontId="27" fillId="0" borderId="7" xfId="0" applyFont="1" applyFill="1" applyBorder="1"/>
    <xf numFmtId="10" fontId="27" fillId="0" borderId="7" xfId="3" applyNumberFormat="1" applyFont="1" applyBorder="1"/>
    <xf numFmtId="10" fontId="27" fillId="0" borderId="22" xfId="3" applyNumberFormat="1" applyFont="1" applyBorder="1"/>
    <xf numFmtId="0" fontId="27" fillId="0" borderId="58" xfId="0" applyFont="1" applyFill="1" applyBorder="1" applyAlignment="1">
      <alignment horizontal="left"/>
    </xf>
    <xf numFmtId="0" fontId="27" fillId="0" borderId="41" xfId="0" applyFont="1" applyFill="1" applyBorder="1" applyAlignment="1">
      <alignment horizontal="left"/>
    </xf>
    <xf numFmtId="164" fontId="17" fillId="0" borderId="7" xfId="2" applyNumberFormat="1" applyFont="1" applyBorder="1" applyAlignment="1">
      <alignment horizontal="center" vertical="center"/>
    </xf>
    <xf numFmtId="164" fontId="53" fillId="0" borderId="20" xfId="1" applyNumberFormat="1" applyFont="1" applyFill="1" applyBorder="1" applyAlignment="1">
      <alignment horizontal="center" vertical="center" wrapText="1"/>
    </xf>
    <xf numFmtId="44" fontId="54" fillId="0" borderId="0" xfId="2" applyFont="1" applyBorder="1" applyAlignment="1">
      <alignment horizontal="center" vertical="center"/>
    </xf>
    <xf numFmtId="164" fontId="55" fillId="0" borderId="0" xfId="1" applyNumberFormat="1" applyFont="1" applyFill="1" applyBorder="1" applyAlignment="1">
      <alignment vertical="center"/>
    </xf>
    <xf numFmtId="164" fontId="53" fillId="0" borderId="0" xfId="1" applyNumberFormat="1" applyFont="1" applyFill="1" applyBorder="1" applyAlignment="1">
      <alignment horizontal="center" vertical="center" wrapText="1"/>
    </xf>
    <xf numFmtId="2" fontId="53" fillId="0" borderId="0" xfId="1" applyNumberFormat="1" applyFont="1" applyFill="1" applyBorder="1" applyAlignment="1">
      <alignment horizontal="center" vertical="center" wrapText="1"/>
    </xf>
    <xf numFmtId="164" fontId="53" fillId="0" borderId="7" xfId="1" applyNumberFormat="1" applyFont="1" applyFill="1" applyBorder="1" applyAlignment="1">
      <alignment horizontal="center" vertical="center" wrapText="1"/>
    </xf>
    <xf numFmtId="0" fontId="53" fillId="0" borderId="0" xfId="1" applyFont="1" applyBorder="1" applyAlignment="1">
      <alignment horizontal="center" vertical="center"/>
    </xf>
    <xf numFmtId="49" fontId="25" fillId="2" borderId="17" xfId="0" applyNumberFormat="1" applyFont="1" applyFill="1" applyBorder="1" applyAlignment="1">
      <alignment horizontal="center" vertical="center"/>
    </xf>
    <xf numFmtId="0" fontId="25" fillId="2" borderId="6" xfId="0" applyFont="1" applyFill="1" applyBorder="1"/>
    <xf numFmtId="0" fontId="47" fillId="2" borderId="6" xfId="0" applyFont="1" applyFill="1" applyBorder="1" applyAlignment="1">
      <alignment horizontal="center" vertical="center"/>
    </xf>
    <xf numFmtId="0" fontId="47" fillId="2" borderId="18" xfId="0" applyFont="1" applyFill="1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 vertical="center"/>
    </xf>
    <xf numFmtId="49" fontId="0" fillId="0" borderId="21" xfId="0" applyNumberFormat="1" applyFill="1" applyBorder="1" applyAlignment="1">
      <alignment horizontal="center" vertical="center"/>
    </xf>
    <xf numFmtId="0" fontId="27" fillId="0" borderId="7" xfId="0" applyFont="1" applyFill="1" applyBorder="1" applyAlignment="1">
      <alignment wrapText="1"/>
    </xf>
    <xf numFmtId="0" fontId="0" fillId="0" borderId="0" xfId="0" applyNumberFormat="1" applyBorder="1" applyAlignment="1">
      <alignment horizontal="center" vertical="center"/>
    </xf>
    <xf numFmtId="44" fontId="2" fillId="0" borderId="0" xfId="0" applyNumberFormat="1" applyFont="1" applyBorder="1" applyAlignment="1">
      <alignment vertical="center"/>
    </xf>
    <xf numFmtId="44" fontId="36" fillId="0" borderId="20" xfId="2" applyFont="1" applyFill="1" applyBorder="1" applyAlignment="1">
      <alignment vertical="center" wrapText="1"/>
    </xf>
    <xf numFmtId="0" fontId="57" fillId="0" borderId="0" xfId="1" applyFont="1"/>
    <xf numFmtId="164" fontId="58" fillId="0" borderId="0" xfId="1" applyNumberFormat="1" applyFont="1" applyFill="1" applyBorder="1" applyAlignment="1">
      <alignment vertical="center"/>
    </xf>
    <xf numFmtId="164" fontId="19" fillId="0" borderId="0" xfId="1" applyNumberFormat="1" applyFont="1" applyFill="1" applyBorder="1" applyAlignment="1">
      <alignment vertical="center"/>
    </xf>
    <xf numFmtId="0" fontId="57" fillId="0" borderId="0" xfId="1" applyFont="1" applyFill="1" applyBorder="1"/>
    <xf numFmtId="44" fontId="49" fillId="0" borderId="6" xfId="2" applyFont="1" applyFill="1" applyBorder="1" applyAlignment="1">
      <alignment horizontal="center" vertical="center" wrapText="1"/>
    </xf>
    <xf numFmtId="164" fontId="49" fillId="0" borderId="21" xfId="1" applyNumberFormat="1" applyFont="1" applyFill="1" applyBorder="1" applyAlignment="1">
      <alignment horizontal="center" vertical="center" wrapText="1"/>
    </xf>
    <xf numFmtId="44" fontId="36" fillId="0" borderId="22" xfId="2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9" fontId="6" fillId="0" borderId="20" xfId="3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9" fontId="6" fillId="0" borderId="22" xfId="3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30" fillId="0" borderId="53" xfId="0" applyFont="1" applyBorder="1" applyAlignment="1">
      <alignment horizontal="center" vertical="center" wrapText="1"/>
    </xf>
    <xf numFmtId="44" fontId="0" fillId="0" borderId="55" xfId="0" applyNumberFormat="1" applyBorder="1"/>
    <xf numFmtId="0" fontId="14" fillId="0" borderId="0" xfId="0" applyFont="1" applyFill="1" applyBorder="1" applyAlignment="1">
      <alignment horizontal="center" vertical="center"/>
    </xf>
    <xf numFmtId="44" fontId="6" fillId="0" borderId="0" xfId="2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0" fontId="30" fillId="0" borderId="0" xfId="0" applyFont="1" applyBorder="1"/>
    <xf numFmtId="10" fontId="0" fillId="0" borderId="0" xfId="3" applyNumberFormat="1" applyFont="1" applyBorder="1" applyAlignment="1">
      <alignment horizontal="center" vertical="center"/>
    </xf>
    <xf numFmtId="0" fontId="34" fillId="0" borderId="0" xfId="0" applyNumberFormat="1" applyFont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44" fontId="1" fillId="0" borderId="0" xfId="0" applyNumberFormat="1" applyFont="1"/>
    <xf numFmtId="44" fontId="1" fillId="0" borderId="55" xfId="0" applyNumberFormat="1" applyFont="1" applyBorder="1"/>
    <xf numFmtId="0" fontId="6" fillId="0" borderId="1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2" xfId="0" applyFont="1" applyBorder="1" applyAlignment="1">
      <alignment wrapText="1"/>
    </xf>
    <xf numFmtId="0" fontId="6" fillId="0" borderId="4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9" fontId="6" fillId="0" borderId="45" xfId="3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49" fillId="0" borderId="6" xfId="1" applyNumberFormat="1" applyFont="1" applyFill="1" applyBorder="1" applyAlignment="1">
      <alignment horizontal="center" vertical="center" wrapText="1"/>
    </xf>
    <xf numFmtId="164" fontId="49" fillId="0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0" fillId="0" borderId="0" xfId="2" applyNumberFormat="1" applyFont="1"/>
    <xf numFmtId="0" fontId="0" fillId="0" borderId="0" xfId="0" applyFill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44" fontId="0" fillId="0" borderId="0" xfId="2" applyFont="1" applyAlignment="1">
      <alignment horizontal="center" vertical="center"/>
    </xf>
    <xf numFmtId="0" fontId="52" fillId="0" borderId="0" xfId="0" applyFont="1"/>
    <xf numFmtId="0" fontId="49" fillId="0" borderId="0" xfId="1" applyFont="1" applyAlignment="1">
      <alignment vertical="center" wrapText="1"/>
    </xf>
    <xf numFmtId="9" fontId="0" fillId="0" borderId="0" xfId="3" applyFont="1" applyAlignment="1">
      <alignment horizontal="center" vertical="center"/>
    </xf>
    <xf numFmtId="164" fontId="35" fillId="0" borderId="62" xfId="1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60" fillId="0" borderId="0" xfId="0" applyFont="1" applyFill="1" applyAlignment="1">
      <alignment horizontal="center" vertical="center" wrapText="1"/>
    </xf>
    <xf numFmtId="44" fontId="27" fillId="0" borderId="0" xfId="2" applyFont="1" applyAlignment="1">
      <alignment horizontal="center" vertical="center"/>
    </xf>
    <xf numFmtId="41" fontId="52" fillId="0" borderId="0" xfId="2" applyNumberFormat="1" applyFont="1"/>
    <xf numFmtId="0" fontId="6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0" fillId="0" borderId="0" xfId="2" applyFont="1" applyBorder="1"/>
    <xf numFmtId="0" fontId="6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60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Fill="1" applyBorder="1"/>
    <xf numFmtId="0" fontId="52" fillId="0" borderId="0" xfId="0" applyFont="1" applyFill="1"/>
    <xf numFmtId="14" fontId="0" fillId="0" borderId="0" xfId="0" applyNumberFormat="1" applyAlignment="1">
      <alignment horizontal="center" vertical="center"/>
    </xf>
    <xf numFmtId="44" fontId="0" fillId="0" borderId="0" xfId="0" applyNumberFormat="1" applyBorder="1"/>
    <xf numFmtId="0" fontId="62" fillId="5" borderId="0" xfId="0" applyFont="1" applyFill="1" applyBorder="1" applyAlignment="1">
      <alignment horizontal="center" vertical="center" wrapText="1"/>
    </xf>
    <xf numFmtId="44" fontId="0" fillId="0" borderId="0" xfId="2" applyFont="1" applyFill="1" applyBorder="1"/>
    <xf numFmtId="0" fontId="0" fillId="0" borderId="0" xfId="0" applyAlignment="1"/>
    <xf numFmtId="14" fontId="0" fillId="0" borderId="0" xfId="0" applyNumberFormat="1" applyBorder="1"/>
    <xf numFmtId="4" fontId="63" fillId="0" borderId="0" xfId="0" applyNumberFormat="1" applyFont="1" applyBorder="1"/>
    <xf numFmtId="0" fontId="63" fillId="0" borderId="0" xfId="0" applyFont="1" applyBorder="1"/>
    <xf numFmtId="0" fontId="63" fillId="0" borderId="0" xfId="0" applyFont="1"/>
    <xf numFmtId="0" fontId="0" fillId="0" borderId="0" xfId="0" applyBorder="1" applyAlignment="1">
      <alignment horizontal="center" vertical="center"/>
    </xf>
    <xf numFmtId="44" fontId="0" fillId="0" borderId="0" xfId="2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4" fontId="27" fillId="0" borderId="0" xfId="0" applyNumberFormat="1" applyFont="1" applyAlignment="1">
      <alignment horizontal="center" vertical="center"/>
    </xf>
    <xf numFmtId="44" fontId="6" fillId="0" borderId="0" xfId="0" applyNumberFormat="1" applyFont="1" applyAlignment="1">
      <alignment horizontal="center"/>
    </xf>
    <xf numFmtId="4" fontId="0" fillId="0" borderId="0" xfId="0" applyNumberFormat="1" applyBorder="1" applyAlignment="1"/>
    <xf numFmtId="0" fontId="0" fillId="0" borderId="11" xfId="0" applyBorder="1"/>
    <xf numFmtId="0" fontId="0" fillId="0" borderId="81" xfId="0" applyBorder="1"/>
    <xf numFmtId="0" fontId="0" fillId="0" borderId="81" xfId="0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1" xfId="0" applyFont="1" applyBorder="1"/>
    <xf numFmtId="0" fontId="13" fillId="0" borderId="79" xfId="0" applyFont="1" applyBorder="1"/>
    <xf numFmtId="0" fontId="0" fillId="0" borderId="10" xfId="0" applyBorder="1"/>
    <xf numFmtId="0" fontId="13" fillId="0" borderId="0" xfId="0" applyFont="1" applyBorder="1" applyAlignment="1"/>
    <xf numFmtId="0" fontId="13" fillId="0" borderId="11" xfId="0" applyFont="1" applyBorder="1" applyAlignment="1"/>
    <xf numFmtId="0" fontId="66" fillId="0" borderId="0" xfId="0" applyFont="1" applyBorder="1" applyAlignment="1"/>
    <xf numFmtId="44" fontId="2" fillId="0" borderId="0" xfId="2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81" xfId="0" applyFont="1" applyBorder="1" applyAlignment="1">
      <alignment vertical="center"/>
    </xf>
    <xf numFmtId="0" fontId="2" fillId="0" borderId="0" xfId="0" applyFont="1" applyBorder="1"/>
    <xf numFmtId="0" fontId="2" fillId="0" borderId="20" xfId="0" applyFont="1" applyBorder="1"/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3" fillId="0" borderId="0" xfId="0" applyFont="1" applyBorder="1"/>
    <xf numFmtId="0" fontId="67" fillId="0" borderId="0" xfId="0" applyFont="1" applyBorder="1"/>
    <xf numFmtId="0" fontId="2" fillId="0" borderId="11" xfId="0" applyFont="1" applyBorder="1"/>
    <xf numFmtId="0" fontId="2" fillId="0" borderId="79" xfId="0" applyFont="1" applyBorder="1"/>
    <xf numFmtId="10" fontId="2" fillId="0" borderId="23" xfId="0" applyNumberFormat="1" applyFont="1" applyBorder="1" applyAlignment="1">
      <alignment horizontal="center" vertical="center"/>
    </xf>
    <xf numFmtId="0" fontId="2" fillId="0" borderId="82" xfId="0" applyFont="1" applyBorder="1"/>
    <xf numFmtId="44" fontId="2" fillId="0" borderId="23" xfId="0" applyNumberFormat="1" applyFont="1" applyBorder="1"/>
    <xf numFmtId="4" fontId="2" fillId="0" borderId="81" xfId="0" applyNumberFormat="1" applyFont="1" applyBorder="1"/>
    <xf numFmtId="0" fontId="2" fillId="0" borderId="81" xfId="0" applyFont="1" applyBorder="1"/>
    <xf numFmtId="0" fontId="2" fillId="0" borderId="80" xfId="0" applyFont="1" applyBorder="1" applyAlignment="1">
      <alignment vertical="center"/>
    </xf>
    <xf numFmtId="0" fontId="2" fillId="0" borderId="83" xfId="0" applyFont="1" applyBorder="1" applyAlignment="1">
      <alignment vertical="center"/>
    </xf>
    <xf numFmtId="0" fontId="2" fillId="0" borderId="81" xfId="0" applyFont="1" applyBorder="1" applyAlignment="1"/>
    <xf numFmtId="0" fontId="2" fillId="0" borderId="0" xfId="0" applyFont="1" applyFill="1" applyBorder="1"/>
    <xf numFmtId="4" fontId="2" fillId="0" borderId="0" xfId="0" applyNumberFormat="1" applyFont="1" applyBorder="1"/>
    <xf numFmtId="0" fontId="2" fillId="0" borderId="0" xfId="0" applyFont="1" applyBorder="1" applyAlignment="1"/>
    <xf numFmtId="3" fontId="2" fillId="0" borderId="0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10" fontId="2" fillId="0" borderId="0" xfId="3" applyNumberFormat="1" applyFont="1" applyBorder="1" applyAlignment="1"/>
    <xf numFmtId="4" fontId="2" fillId="0" borderId="11" xfId="0" applyNumberFormat="1" applyFont="1" applyBorder="1"/>
    <xf numFmtId="0" fontId="2" fillId="0" borderId="11" xfId="0" applyFont="1" applyBorder="1" applyAlignment="1"/>
    <xf numFmtId="4" fontId="2" fillId="0" borderId="79" xfId="0" applyNumberFormat="1" applyFont="1" applyBorder="1" applyAlignment="1">
      <alignment vertical="center"/>
    </xf>
    <xf numFmtId="0" fontId="2" fillId="0" borderId="82" xfId="0" applyFont="1" applyBorder="1" applyAlignment="1">
      <alignment vertical="center"/>
    </xf>
    <xf numFmtId="10" fontId="2" fillId="0" borderId="11" xfId="3" applyNumberFormat="1" applyFont="1" applyBorder="1" applyAlignment="1"/>
    <xf numFmtId="4" fontId="2" fillId="0" borderId="11" xfId="0" applyNumberFormat="1" applyFont="1" applyBorder="1" applyAlignment="1">
      <alignment vertical="center"/>
    </xf>
    <xf numFmtId="4" fontId="2" fillId="0" borderId="80" xfId="0" applyNumberFormat="1" applyFont="1" applyBorder="1" applyAlignment="1">
      <alignment vertical="center"/>
    </xf>
    <xf numFmtId="10" fontId="2" fillId="0" borderId="81" xfId="3" applyNumberFormat="1" applyFont="1" applyBorder="1" applyAlignment="1"/>
    <xf numFmtId="4" fontId="2" fillId="0" borderId="81" xfId="0" applyNumberFormat="1" applyFont="1" applyBorder="1" applyAlignment="1">
      <alignment vertical="center"/>
    </xf>
    <xf numFmtId="0" fontId="2" fillId="0" borderId="23" xfId="0" applyFont="1" applyBorder="1"/>
    <xf numFmtId="0" fontId="3" fillId="0" borderId="0" xfId="0" applyFont="1" applyFill="1" applyBorder="1"/>
    <xf numFmtId="0" fontId="3" fillId="0" borderId="11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2" borderId="0" xfId="0" applyFont="1" applyFill="1" applyAlignment="1">
      <alignment horizontal="center"/>
    </xf>
    <xf numFmtId="44" fontId="27" fillId="0" borderId="0" xfId="0" applyNumberFormat="1" applyFont="1" applyAlignment="1">
      <alignment horizontal="center" vertical="center"/>
    </xf>
    <xf numFmtId="44" fontId="12" fillId="0" borderId="0" xfId="2" applyFont="1" applyAlignment="1">
      <alignment horizontal="center"/>
    </xf>
    <xf numFmtId="44" fontId="1" fillId="0" borderId="55" xfId="0" applyNumberFormat="1" applyFon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vertical="center"/>
    </xf>
    <xf numFmtId="9" fontId="0" fillId="0" borderId="0" xfId="0" applyNumberFormat="1" applyBorder="1" applyAlignment="1">
      <alignment vertical="center"/>
    </xf>
    <xf numFmtId="44" fontId="2" fillId="0" borderId="0" xfId="2" applyFont="1" applyAlignment="1">
      <alignment horizontal="center" vertical="center"/>
    </xf>
    <xf numFmtId="0" fontId="32" fillId="0" borderId="0" xfId="0" applyFont="1" applyFill="1" applyAlignment="1">
      <alignment horizontal="center"/>
    </xf>
    <xf numFmtId="44" fontId="33" fillId="0" borderId="0" xfId="2" applyFont="1" applyAlignment="1">
      <alignment horizontal="center" vertical="center"/>
    </xf>
    <xf numFmtId="164" fontId="20" fillId="2" borderId="34" xfId="1" applyNumberFormat="1" applyFont="1" applyFill="1" applyBorder="1" applyAlignment="1">
      <alignment horizontal="center"/>
    </xf>
    <xf numFmtId="164" fontId="17" fillId="0" borderId="38" xfId="1" applyNumberFormat="1" applyFont="1" applyBorder="1"/>
    <xf numFmtId="164" fontId="17" fillId="0" borderId="15" xfId="1" applyNumberFormat="1" applyFont="1" applyBorder="1"/>
    <xf numFmtId="164" fontId="17" fillId="0" borderId="34" xfId="1" applyNumberFormat="1" applyFont="1" applyBorder="1"/>
    <xf numFmtId="164" fontId="17" fillId="0" borderId="3" xfId="1" applyNumberFormat="1" applyBorder="1"/>
    <xf numFmtId="164" fontId="17" fillId="0" borderId="13" xfId="1" applyNumberFormat="1" applyBorder="1"/>
    <xf numFmtId="164" fontId="41" fillId="2" borderId="35" xfId="1" applyNumberFormat="1" applyFont="1" applyFill="1" applyBorder="1" applyAlignment="1">
      <alignment horizontal="center" vertical="center"/>
    </xf>
    <xf numFmtId="164" fontId="41" fillId="2" borderId="7" xfId="1" applyNumberFormat="1" applyFont="1" applyFill="1" applyBorder="1" applyAlignment="1">
      <alignment horizontal="center" vertical="center"/>
    </xf>
    <xf numFmtId="164" fontId="41" fillId="2" borderId="12" xfId="1" applyNumberFormat="1" applyFont="1" applyFill="1" applyBorder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44" fontId="0" fillId="6" borderId="0" xfId="2" applyFont="1" applyFill="1" applyBorder="1"/>
    <xf numFmtId="0" fontId="0" fillId="6" borderId="0" xfId="2" applyNumberFormat="1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27" fillId="7" borderId="0" xfId="0" applyFont="1" applyFill="1"/>
    <xf numFmtId="0" fontId="0" fillId="7" borderId="0" xfId="0" applyFill="1"/>
    <xf numFmtId="0" fontId="0" fillId="7" borderId="0" xfId="0" applyFill="1" applyAlignment="1">
      <alignment horizontal="center" vertical="center"/>
    </xf>
    <xf numFmtId="14" fontId="0" fillId="0" borderId="0" xfId="0" applyNumberFormat="1"/>
    <xf numFmtId="164" fontId="2" fillId="0" borderId="0" xfId="0" applyNumberFormat="1" applyFont="1" applyBorder="1" applyAlignment="1">
      <alignment vertical="center"/>
    </xf>
    <xf numFmtId="9" fontId="2" fillId="0" borderId="23" xfId="0" applyNumberFormat="1" applyFont="1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6" xfId="0" applyNumberFormat="1" applyBorder="1" applyAlignment="1">
      <alignment horizontal="center"/>
    </xf>
    <xf numFmtId="0" fontId="0" fillId="0" borderId="15" xfId="0" applyNumberFormat="1" applyFont="1" applyBorder="1" applyAlignment="1">
      <alignment horizontal="center"/>
    </xf>
    <xf numFmtId="0" fontId="69" fillId="0" borderId="0" xfId="0" applyNumberFormat="1" applyFont="1" applyAlignment="1">
      <alignment horizontal="center" vertical="center"/>
    </xf>
    <xf numFmtId="0" fontId="69" fillId="0" borderId="0" xfId="0" applyFont="1" applyBorder="1" applyAlignment="1">
      <alignment horizontal="center" vertical="center"/>
    </xf>
    <xf numFmtId="0" fontId="70" fillId="0" borderId="14" xfId="0" applyNumberFormat="1" applyFont="1" applyBorder="1" applyAlignment="1">
      <alignment horizontal="center"/>
    </xf>
    <xf numFmtId="0" fontId="70" fillId="0" borderId="14" xfId="0" applyFont="1" applyBorder="1" applyAlignment="1">
      <alignment horizontal="center"/>
    </xf>
    <xf numFmtId="0" fontId="70" fillId="0" borderId="2" xfId="0" applyFont="1" applyBorder="1" applyAlignment="1">
      <alignment horizontal="center" vertical="center"/>
    </xf>
    <xf numFmtId="0" fontId="70" fillId="0" borderId="0" xfId="0" applyFont="1" applyBorder="1" applyAlignment="1">
      <alignment horizontal="center" vertical="center"/>
    </xf>
    <xf numFmtId="44" fontId="2" fillId="0" borderId="23" xfId="0" applyNumberFormat="1" applyFont="1" applyFill="1" applyBorder="1"/>
    <xf numFmtId="0" fontId="71" fillId="0" borderId="0" xfId="0" applyFont="1" applyBorder="1"/>
    <xf numFmtId="44" fontId="71" fillId="0" borderId="0" xfId="2" applyFont="1" applyBorder="1" applyAlignment="1">
      <alignment horizontal="center" vertical="center"/>
    </xf>
    <xf numFmtId="44" fontId="71" fillId="0" borderId="0" xfId="0" applyNumberFormat="1" applyFont="1" applyBorder="1"/>
    <xf numFmtId="0" fontId="60" fillId="5" borderId="0" xfId="0" applyFont="1" applyFill="1" applyAlignment="1">
      <alignment horizontal="center" vertical="center" wrapText="1"/>
    </xf>
    <xf numFmtId="0" fontId="51" fillId="5" borderId="0" xfId="1" applyFont="1" applyFill="1" applyBorder="1" applyAlignment="1">
      <alignment vertical="center" wrapText="1"/>
    </xf>
    <xf numFmtId="0" fontId="51" fillId="5" borderId="0" xfId="1" applyFont="1" applyFill="1" applyBorder="1" applyAlignment="1">
      <alignment horizontal="center" vertical="center" wrapText="1"/>
    </xf>
    <xf numFmtId="0" fontId="62" fillId="5" borderId="0" xfId="0" applyFont="1" applyFill="1" applyBorder="1" applyAlignment="1">
      <alignment horizontal="center" vertical="center"/>
    </xf>
    <xf numFmtId="41" fontId="0" fillId="0" borderId="0" xfId="2" applyNumberFormat="1" applyFont="1" applyFill="1" applyBorder="1"/>
    <xf numFmtId="0" fontId="13" fillId="0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13" fillId="5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 wrapText="1"/>
    </xf>
    <xf numFmtId="0" fontId="72" fillId="5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 wrapText="1"/>
    </xf>
    <xf numFmtId="0" fontId="64" fillId="8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62" fillId="8" borderId="0" xfId="0" applyFont="1" applyFill="1" applyBorder="1" applyAlignment="1">
      <alignment horizontal="center" vertical="center" wrapText="1"/>
    </xf>
    <xf numFmtId="0" fontId="60" fillId="8" borderId="0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62" fillId="8" borderId="0" xfId="0" applyFont="1" applyFill="1" applyBorder="1" applyAlignment="1">
      <alignment horizontal="center" vertical="center"/>
    </xf>
    <xf numFmtId="0" fontId="62" fillId="9" borderId="0" xfId="0" applyFont="1" applyFill="1" applyBorder="1" applyAlignment="1">
      <alignment horizontal="center" vertical="center" wrapText="1"/>
    </xf>
    <xf numFmtId="0" fontId="60" fillId="9" borderId="0" xfId="0" applyFont="1" applyFill="1" applyBorder="1" applyAlignment="1">
      <alignment horizontal="center" vertical="center" wrapText="1"/>
    </xf>
    <xf numFmtId="44" fontId="0" fillId="9" borderId="0" xfId="0" applyNumberFormat="1" applyFill="1" applyBorder="1"/>
    <xf numFmtId="44" fontId="0" fillId="9" borderId="0" xfId="2" applyFont="1" applyFill="1" applyBorder="1"/>
    <xf numFmtId="0" fontId="60" fillId="9" borderId="0" xfId="0" applyFont="1" applyFill="1" applyBorder="1" applyAlignment="1">
      <alignment horizontal="center" vertical="center"/>
    </xf>
    <xf numFmtId="0" fontId="61" fillId="9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0" fontId="1" fillId="10" borderId="0" xfId="0" applyFont="1" applyFill="1" applyAlignment="1">
      <alignment horizontal="center" vertical="center" wrapText="1"/>
    </xf>
    <xf numFmtId="0" fontId="64" fillId="10" borderId="0" xfId="0" applyFont="1" applyFill="1" applyAlignment="1">
      <alignment horizontal="center" vertical="center"/>
    </xf>
    <xf numFmtId="0" fontId="60" fillId="10" borderId="0" xfId="0" applyFont="1" applyFill="1" applyBorder="1" applyAlignment="1">
      <alignment horizontal="center" vertical="center" wrapText="1"/>
    </xf>
    <xf numFmtId="0" fontId="0" fillId="10" borderId="0" xfId="0" applyFill="1" applyBorder="1" applyAlignment="1">
      <alignment horizontal="center" vertical="center"/>
    </xf>
    <xf numFmtId="0" fontId="64" fillId="10" borderId="0" xfId="0" applyFont="1" applyFill="1" applyBorder="1" applyAlignment="1">
      <alignment horizontal="center" vertical="center" wrapText="1"/>
    </xf>
    <xf numFmtId="14" fontId="71" fillId="0" borderId="0" xfId="0" applyNumberFormat="1" applyFont="1" applyAlignment="1">
      <alignment horizontal="center" vertical="center"/>
    </xf>
    <xf numFmtId="0" fontId="0" fillId="8" borderId="0" xfId="0" applyFill="1" applyAlignment="1">
      <alignment horizontal="center"/>
    </xf>
    <xf numFmtId="0" fontId="60" fillId="8" borderId="0" xfId="0" applyFont="1" applyFill="1" applyAlignment="1">
      <alignment horizontal="center" vertical="center" wrapText="1"/>
    </xf>
    <xf numFmtId="9" fontId="60" fillId="8" borderId="0" xfId="3" applyFont="1" applyFill="1" applyAlignment="1">
      <alignment horizontal="center" vertical="center" wrapText="1"/>
    </xf>
    <xf numFmtId="0" fontId="73" fillId="0" borderId="0" xfId="5"/>
    <xf numFmtId="0" fontId="12" fillId="9" borderId="0" xfId="0" applyFont="1" applyFill="1" applyBorder="1" applyAlignment="1">
      <alignment horizontal="center" vertical="center" wrapText="1"/>
    </xf>
    <xf numFmtId="0" fontId="72" fillId="9" borderId="0" xfId="0" applyFont="1" applyFill="1" applyBorder="1" applyAlignment="1">
      <alignment horizontal="center" vertical="center"/>
    </xf>
    <xf numFmtId="0" fontId="13" fillId="9" borderId="0" xfId="0" applyFont="1" applyFill="1" applyBorder="1" applyAlignment="1">
      <alignment horizontal="center" vertical="center"/>
    </xf>
    <xf numFmtId="0" fontId="31" fillId="9" borderId="0" xfId="0" applyFont="1" applyFill="1" applyBorder="1" applyAlignment="1">
      <alignment horizontal="center" vertical="center"/>
    </xf>
    <xf numFmtId="14" fontId="71" fillId="0" borderId="0" xfId="0" applyNumberFormat="1" applyFont="1" applyBorder="1" applyAlignment="1">
      <alignment horizontal="center" vertical="center"/>
    </xf>
    <xf numFmtId="0" fontId="12" fillId="10" borderId="0" xfId="0" applyFont="1" applyFill="1" applyBorder="1" applyAlignment="1">
      <alignment horizontal="center" vertical="center" wrapText="1"/>
    </xf>
    <xf numFmtId="0" fontId="4" fillId="0" borderId="0" xfId="0" applyFont="1"/>
    <xf numFmtId="14" fontId="74" fillId="0" borderId="0" xfId="0" applyNumberFormat="1" applyFont="1" applyAlignment="1">
      <alignment horizontal="center" vertical="center"/>
    </xf>
    <xf numFmtId="44" fontId="27" fillId="0" borderId="84" xfId="2" applyFont="1" applyBorder="1" applyAlignment="1">
      <alignment horizontal="center" vertical="center"/>
    </xf>
    <xf numFmtId="9" fontId="27" fillId="0" borderId="84" xfId="3" applyFont="1" applyBorder="1" applyAlignment="1">
      <alignment horizontal="center" vertical="center"/>
    </xf>
    <xf numFmtId="164" fontId="75" fillId="2" borderId="0" xfId="1" applyNumberFormat="1" applyFont="1" applyFill="1" applyBorder="1" applyAlignment="1">
      <alignment vertical="center"/>
    </xf>
    <xf numFmtId="44" fontId="71" fillId="0" borderId="0" xfId="2" applyFont="1"/>
    <xf numFmtId="0" fontId="71" fillId="0" borderId="0" xfId="0" applyFont="1" applyAlignment="1">
      <alignment horizontal="center" vertical="center"/>
    </xf>
    <xf numFmtId="44" fontId="2" fillId="9" borderId="0" xfId="2" applyFont="1" applyFill="1" applyBorder="1" applyAlignment="1">
      <alignment horizontal="center" vertical="center"/>
    </xf>
    <xf numFmtId="44" fontId="2" fillId="9" borderId="0" xfId="2" applyFont="1" applyFill="1" applyBorder="1" applyAlignment="1"/>
    <xf numFmtId="0" fontId="0" fillId="0" borderId="0" xfId="0" applyFont="1" applyBorder="1" applyAlignment="1">
      <alignment horizontal="center" vertical="center"/>
    </xf>
    <xf numFmtId="44" fontId="23" fillId="9" borderId="0" xfId="2" applyFont="1" applyFill="1" applyBorder="1"/>
    <xf numFmtId="164" fontId="71" fillId="0" borderId="0" xfId="0" applyNumberFormat="1" applyFont="1" applyBorder="1"/>
    <xf numFmtId="0" fontId="62" fillId="5" borderId="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62" fillId="5" borderId="0" xfId="0" applyFont="1" applyFill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60" fillId="8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13" fillId="9" borderId="0" xfId="0" applyFont="1" applyFill="1" applyBorder="1" applyAlignment="1">
      <alignment horizontal="center" vertical="center"/>
    </xf>
    <xf numFmtId="0" fontId="60" fillId="9" borderId="0" xfId="0" applyFont="1" applyFill="1" applyBorder="1" applyAlignment="1">
      <alignment horizontal="center" vertical="center" wrapText="1"/>
    </xf>
    <xf numFmtId="0" fontId="12" fillId="10" borderId="0" xfId="0" applyFont="1" applyFill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1" fillId="0" borderId="14" xfId="0" applyFont="1" applyBorder="1" applyAlignment="1"/>
    <xf numFmtId="0" fontId="1" fillId="0" borderId="14" xfId="0" applyFont="1" applyBorder="1" applyAlignment="1">
      <alignment horizontal="center"/>
    </xf>
    <xf numFmtId="0" fontId="14" fillId="2" borderId="14" xfId="0" applyFont="1" applyFill="1" applyBorder="1" applyAlignment="1">
      <alignment horizontal="center" vertical="center"/>
    </xf>
    <xf numFmtId="0" fontId="14" fillId="2" borderId="46" xfId="0" applyFont="1" applyFill="1" applyBorder="1" applyAlignment="1">
      <alignment horizontal="center" vertical="center"/>
    </xf>
    <xf numFmtId="0" fontId="1" fillId="0" borderId="16" xfId="0" applyFont="1" applyBorder="1" applyAlignment="1"/>
    <xf numFmtId="0" fontId="0" fillId="0" borderId="14" xfId="0" applyBorder="1" applyAlignment="1">
      <alignment horizontal="center" vertical="center"/>
    </xf>
    <xf numFmtId="164" fontId="20" fillId="2" borderId="24" xfId="1" applyNumberFormat="1" applyFont="1" applyFill="1" applyBorder="1" applyAlignment="1">
      <alignment vertical="center"/>
    </xf>
    <xf numFmtId="164" fontId="20" fillId="2" borderId="26" xfId="1" applyNumberFormat="1" applyFont="1" applyFill="1" applyBorder="1" applyAlignment="1">
      <alignment vertical="center"/>
    </xf>
    <xf numFmtId="164" fontId="20" fillId="2" borderId="24" xfId="1" applyNumberFormat="1" applyFont="1" applyFill="1" applyBorder="1" applyAlignment="1"/>
    <xf numFmtId="164" fontId="20" fillId="2" borderId="26" xfId="1" applyNumberFormat="1" applyFont="1" applyFill="1" applyBorder="1" applyAlignment="1"/>
    <xf numFmtId="164" fontId="20" fillId="2" borderId="59" xfId="1" applyNumberFormat="1" applyFont="1" applyFill="1" applyBorder="1" applyAlignment="1"/>
    <xf numFmtId="0" fontId="49" fillId="0" borderId="0" xfId="1" applyFont="1" applyAlignment="1">
      <alignment horizontal="center" vertical="center" wrapText="1"/>
    </xf>
    <xf numFmtId="44" fontId="51" fillId="0" borderId="0" xfId="2" applyFont="1" applyAlignment="1">
      <alignment horizontal="center" vertical="center" wrapText="1"/>
    </xf>
    <xf numFmtId="164" fontId="20" fillId="2" borderId="6" xfId="1" applyNumberFormat="1" applyFont="1" applyFill="1" applyBorder="1" applyAlignment="1">
      <alignment horizontal="center" vertical="center"/>
    </xf>
    <xf numFmtId="164" fontId="49" fillId="0" borderId="6" xfId="1" applyNumberFormat="1" applyFont="1" applyFill="1" applyBorder="1" applyAlignment="1">
      <alignment horizontal="center" vertical="center" wrapText="1"/>
    </xf>
    <xf numFmtId="164" fontId="49" fillId="0" borderId="0" xfId="1" applyNumberFormat="1" applyFont="1" applyFill="1" applyBorder="1" applyAlignment="1">
      <alignment horizontal="center" vertical="center" wrapText="1"/>
    </xf>
    <xf numFmtId="164" fontId="20" fillId="2" borderId="0" xfId="1" applyNumberFormat="1" applyFont="1" applyFill="1" applyBorder="1" applyAlignment="1">
      <alignment horizontal="center" vertical="center"/>
    </xf>
    <xf numFmtId="164" fontId="49" fillId="0" borderId="17" xfId="1" applyNumberFormat="1" applyFont="1" applyFill="1" applyBorder="1" applyAlignment="1">
      <alignment horizontal="center" vertical="center" wrapText="1"/>
    </xf>
    <xf numFmtId="164" fontId="49" fillId="0" borderId="19" xfId="1" applyNumberFormat="1" applyFont="1" applyFill="1" applyBorder="1" applyAlignment="1">
      <alignment horizontal="center" vertical="center" wrapText="1"/>
    </xf>
    <xf numFmtId="164" fontId="56" fillId="2" borderId="7" xfId="1" applyNumberFormat="1" applyFont="1" applyFill="1" applyBorder="1" applyAlignment="1">
      <alignment horizontal="center" vertical="center"/>
    </xf>
    <xf numFmtId="164" fontId="20" fillId="2" borderId="7" xfId="1" applyNumberFormat="1" applyFont="1" applyFill="1" applyBorder="1" applyAlignment="1">
      <alignment horizontal="center" vertical="center"/>
    </xf>
    <xf numFmtId="164" fontId="48" fillId="0" borderId="17" xfId="1" applyNumberFormat="1" applyFont="1" applyFill="1" applyBorder="1" applyAlignment="1">
      <alignment horizontal="center" vertical="center" wrapText="1"/>
    </xf>
    <xf numFmtId="164" fontId="48" fillId="0" borderId="21" xfId="1" applyNumberFormat="1" applyFont="1" applyFill="1" applyBorder="1" applyAlignment="1">
      <alignment horizontal="center" vertical="center" wrapText="1"/>
    </xf>
    <xf numFmtId="164" fontId="36" fillId="0" borderId="19" xfId="1" applyNumberFormat="1" applyFont="1" applyFill="1" applyBorder="1" applyAlignment="1">
      <alignment horizontal="center" vertical="center" wrapText="1"/>
    </xf>
    <xf numFmtId="44" fontId="17" fillId="0" borderId="0" xfId="2" applyFont="1" applyBorder="1" applyAlignment="1">
      <alignment horizontal="center" vertical="center"/>
    </xf>
    <xf numFmtId="44" fontId="17" fillId="0" borderId="6" xfId="2" applyFont="1" applyBorder="1" applyAlignment="1">
      <alignment horizontal="center" vertical="center"/>
    </xf>
    <xf numFmtId="44" fontId="17" fillId="0" borderId="7" xfId="2" applyFont="1" applyBorder="1" applyAlignment="1">
      <alignment horizontal="center" vertical="center"/>
    </xf>
    <xf numFmtId="164" fontId="36" fillId="0" borderId="17" xfId="1" applyNumberFormat="1" applyFont="1" applyFill="1" applyBorder="1" applyAlignment="1">
      <alignment horizontal="center" vertical="center" wrapText="1"/>
    </xf>
    <xf numFmtId="164" fontId="36" fillId="0" borderId="21" xfId="1" applyNumberFormat="1" applyFont="1" applyFill="1" applyBorder="1" applyAlignment="1">
      <alignment horizontal="center" vertical="center" wrapText="1"/>
    </xf>
    <xf numFmtId="164" fontId="56" fillId="2" borderId="42" xfId="1" applyNumberFormat="1" applyFont="1" applyFill="1" applyBorder="1" applyAlignment="1">
      <alignment horizontal="center" vertical="center"/>
    </xf>
    <xf numFmtId="164" fontId="56" fillId="2" borderId="12" xfId="1" applyNumberFormat="1" applyFont="1" applyFill="1" applyBorder="1" applyAlignment="1">
      <alignment horizontal="center" vertical="center"/>
    </xf>
    <xf numFmtId="164" fontId="56" fillId="2" borderId="45" xfId="1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53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5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wrapText="1"/>
    </xf>
    <xf numFmtId="0" fontId="6" fillId="0" borderId="19" xfId="0" applyFont="1" applyBorder="1" applyAlignment="1">
      <alignment horizontal="left" wrapText="1"/>
    </xf>
    <xf numFmtId="0" fontId="6" fillId="0" borderId="21" xfId="0" applyFont="1" applyBorder="1" applyAlignment="1">
      <alignment horizontal="left" wrapText="1"/>
    </xf>
    <xf numFmtId="9" fontId="6" fillId="0" borderId="18" xfId="3" applyFont="1" applyBorder="1" applyAlignment="1">
      <alignment horizontal="center" vertical="center"/>
    </xf>
    <xf numFmtId="9" fontId="6" fillId="0" borderId="20" xfId="3" applyFon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9" fontId="6" fillId="0" borderId="22" xfId="3" applyFont="1" applyBorder="1" applyAlignment="1">
      <alignment horizontal="center" vertical="center"/>
    </xf>
    <xf numFmtId="164" fontId="17" fillId="0" borderId="7" xfId="1" applyNumberForma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32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164" fontId="40" fillId="2" borderId="28" xfId="1" applyNumberFormat="1" applyFont="1" applyFill="1" applyBorder="1" applyAlignment="1"/>
    <xf numFmtId="164" fontId="40" fillId="2" borderId="14" xfId="1" applyNumberFormat="1" applyFont="1" applyFill="1" applyBorder="1" applyAlignment="1"/>
    <xf numFmtId="164" fontId="40" fillId="2" borderId="24" xfId="1" applyNumberFormat="1" applyFont="1" applyFill="1" applyBorder="1" applyAlignment="1"/>
    <xf numFmtId="164" fontId="40" fillId="2" borderId="26" xfId="1" applyNumberFormat="1" applyFont="1" applyFill="1" applyBorder="1" applyAlignment="1"/>
    <xf numFmtId="44" fontId="12" fillId="0" borderId="0" xfId="2" applyFont="1" applyAlignment="1">
      <alignment horizontal="center"/>
    </xf>
    <xf numFmtId="0" fontId="33" fillId="0" borderId="24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65" xfId="0" applyFont="1" applyBorder="1" applyAlignment="1">
      <alignment horizontal="center" vertical="center" wrapText="1"/>
    </xf>
    <xf numFmtId="0" fontId="33" fillId="0" borderId="72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 wrapText="1"/>
    </xf>
    <xf numFmtId="0" fontId="33" fillId="0" borderId="73" xfId="0" applyFont="1" applyBorder="1" applyAlignment="1">
      <alignment horizontal="center" vertical="center" wrapText="1"/>
    </xf>
    <xf numFmtId="0" fontId="33" fillId="0" borderId="68" xfId="0" applyFont="1" applyBorder="1" applyAlignment="1">
      <alignment horizontal="center" vertical="center" wrapText="1"/>
    </xf>
    <xf numFmtId="44" fontId="27" fillId="0" borderId="0" xfId="0" applyNumberFormat="1" applyFont="1" applyAlignment="1">
      <alignment horizontal="center" vertical="center"/>
    </xf>
    <xf numFmtId="0" fontId="33" fillId="0" borderId="77" xfId="0" applyFont="1" applyBorder="1" applyAlignment="1">
      <alignment horizontal="center" vertical="center" wrapText="1"/>
    </xf>
    <xf numFmtId="0" fontId="33" fillId="0" borderId="50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36" fillId="0" borderId="0" xfId="1" applyNumberFormat="1" applyFont="1" applyFill="1" applyBorder="1" applyAlignment="1">
      <alignment horizontal="center"/>
    </xf>
    <xf numFmtId="164" fontId="20" fillId="4" borderId="61" xfId="1" applyNumberFormat="1" applyFont="1" applyFill="1" applyBorder="1" applyAlignment="1">
      <alignment horizontal="center"/>
    </xf>
    <xf numFmtId="164" fontId="20" fillId="4" borderId="78" xfId="1" applyNumberFormat="1" applyFont="1" applyFill="1" applyBorder="1" applyAlignment="1">
      <alignment horizontal="center"/>
    </xf>
    <xf numFmtId="164" fontId="20" fillId="4" borderId="62" xfId="1" applyNumberFormat="1" applyFont="1" applyFill="1" applyBorder="1" applyAlignment="1">
      <alignment horizontal="center"/>
    </xf>
    <xf numFmtId="164" fontId="20" fillId="2" borderId="24" xfId="1" applyNumberFormat="1" applyFont="1" applyFill="1" applyBorder="1" applyAlignment="1">
      <alignment horizontal="center"/>
    </xf>
    <xf numFmtId="164" fontId="20" fillId="2" borderId="38" xfId="1" applyNumberFormat="1" applyFont="1" applyFill="1" applyBorder="1" applyAlignment="1">
      <alignment horizontal="center"/>
    </xf>
    <xf numFmtId="164" fontId="20" fillId="2" borderId="26" xfId="1" applyNumberFormat="1" applyFont="1" applyFill="1" applyBorder="1" applyAlignment="1">
      <alignment horizontal="center"/>
    </xf>
    <xf numFmtId="164" fontId="20" fillId="2" borderId="27" xfId="1" applyNumberFormat="1" applyFont="1" applyFill="1" applyBorder="1" applyAlignment="1">
      <alignment horizontal="center"/>
    </xf>
    <xf numFmtId="164" fontId="20" fillId="2" borderId="19" xfId="1" applyNumberFormat="1" applyFont="1" applyFill="1" applyBorder="1" applyAlignment="1">
      <alignment horizontal="left" vertical="center"/>
    </xf>
    <xf numFmtId="164" fontId="20" fillId="2" borderId="5" xfId="1" applyNumberFormat="1" applyFont="1" applyFill="1" applyBorder="1" applyAlignment="1">
      <alignment horizontal="left" vertical="center"/>
    </xf>
    <xf numFmtId="164" fontId="20" fillId="2" borderId="21" xfId="1" applyNumberFormat="1" applyFont="1" applyFill="1" applyBorder="1" applyAlignment="1">
      <alignment horizontal="left" vertical="center"/>
    </xf>
    <xf numFmtId="164" fontId="20" fillId="2" borderId="51" xfId="1" applyNumberFormat="1" applyFont="1" applyFill="1" applyBorder="1" applyAlignment="1">
      <alignment horizontal="left" vertical="center"/>
    </xf>
    <xf numFmtId="164" fontId="20" fillId="2" borderId="4" xfId="1" applyNumberFormat="1" applyFont="1" applyFill="1" applyBorder="1" applyAlignment="1">
      <alignment horizontal="center"/>
    </xf>
    <xf numFmtId="164" fontId="20" fillId="2" borderId="2" xfId="1" applyNumberFormat="1" applyFont="1" applyFill="1" applyBorder="1" applyAlignment="1">
      <alignment horizontal="center"/>
    </xf>
    <xf numFmtId="164" fontId="20" fillId="2" borderId="57" xfId="1" applyNumberFormat="1" applyFont="1" applyFill="1" applyBorder="1" applyAlignment="1">
      <alignment horizontal="center"/>
    </xf>
    <xf numFmtId="164" fontId="28" fillId="0" borderId="24" xfId="1" applyNumberFormat="1" applyFont="1" applyBorder="1" applyAlignment="1">
      <alignment horizontal="left" wrapText="1"/>
    </xf>
    <xf numFmtId="164" fontId="28" fillId="0" borderId="26" xfId="1" applyNumberFormat="1" applyFont="1" applyBorder="1" applyAlignment="1">
      <alignment horizontal="left" wrapText="1"/>
    </xf>
    <xf numFmtId="164" fontId="28" fillId="0" borderId="28" xfId="1" applyNumberFormat="1" applyFont="1" applyBorder="1" applyAlignment="1">
      <alignment horizontal="left" wrapText="1"/>
    </xf>
    <xf numFmtId="164" fontId="28" fillId="0" borderId="14" xfId="1" applyNumberFormat="1" applyFont="1" applyBorder="1" applyAlignment="1">
      <alignment horizontal="left" wrapText="1"/>
    </xf>
    <xf numFmtId="164" fontId="17" fillId="0" borderId="26" xfId="1" applyNumberFormat="1" applyBorder="1" applyAlignment="1">
      <alignment horizontal="center" vertical="center"/>
    </xf>
    <xf numFmtId="164" fontId="17" fillId="0" borderId="14" xfId="1" applyNumberFormat="1" applyBorder="1" applyAlignment="1">
      <alignment horizontal="center" vertical="center"/>
    </xf>
    <xf numFmtId="164" fontId="17" fillId="0" borderId="27" xfId="1" applyNumberFormat="1" applyBorder="1" applyAlignment="1">
      <alignment horizontal="center" vertical="center"/>
    </xf>
    <xf numFmtId="164" fontId="17" fillId="0" borderId="48" xfId="1" applyNumberFormat="1" applyBorder="1" applyAlignment="1">
      <alignment horizontal="center" vertical="center"/>
    </xf>
    <xf numFmtId="164" fontId="41" fillId="2" borderId="61" xfId="1" applyNumberFormat="1" applyFont="1" applyFill="1" applyBorder="1" applyAlignment="1"/>
    <xf numFmtId="164" fontId="41" fillId="2" borderId="78" xfId="1" applyNumberFormat="1" applyFont="1" applyFill="1" applyBorder="1" applyAlignment="1"/>
    <xf numFmtId="164" fontId="17" fillId="0" borderId="31" xfId="1" applyNumberFormat="1" applyBorder="1" applyAlignment="1">
      <alignment horizontal="center" vertical="center"/>
    </xf>
    <xf numFmtId="164" fontId="28" fillId="0" borderId="58" xfId="1" applyNumberFormat="1" applyFont="1" applyBorder="1" applyAlignment="1">
      <alignment horizontal="left"/>
    </xf>
    <xf numFmtId="164" fontId="28" fillId="0" borderId="13" xfId="1" applyNumberFormat="1" applyFont="1" applyBorder="1" applyAlignment="1">
      <alignment horizontal="left"/>
    </xf>
    <xf numFmtId="164" fontId="28" fillId="0" borderId="15" xfId="1" applyNumberFormat="1" applyFont="1" applyBorder="1" applyAlignment="1">
      <alignment horizontal="left"/>
    </xf>
    <xf numFmtId="164" fontId="40" fillId="2" borderId="65" xfId="1" applyNumberFormat="1" applyFont="1" applyFill="1" applyBorder="1" applyAlignment="1"/>
    <xf numFmtId="164" fontId="40" fillId="2" borderId="46" xfId="1" applyNumberFormat="1" applyFont="1" applyFill="1" applyBorder="1" applyAlignment="1"/>
    <xf numFmtId="164" fontId="41" fillId="2" borderId="17" xfId="1" applyNumberFormat="1" applyFont="1" applyFill="1" applyBorder="1" applyAlignment="1">
      <alignment horizontal="center" vertical="center" wrapText="1"/>
    </xf>
    <xf numFmtId="164" fontId="41" fillId="2" borderId="6" xfId="1" applyNumberFormat="1" applyFont="1" applyFill="1" applyBorder="1" applyAlignment="1">
      <alignment horizontal="center" vertical="center" wrapText="1"/>
    </xf>
    <xf numFmtId="164" fontId="41" fillId="2" borderId="50" xfId="1" applyNumberFormat="1" applyFont="1" applyFill="1" applyBorder="1" applyAlignment="1">
      <alignment horizontal="center" vertical="center" wrapText="1"/>
    </xf>
    <xf numFmtId="164" fontId="41" fillId="2" borderId="19" xfId="1" applyNumberFormat="1" applyFont="1" applyFill="1" applyBorder="1" applyAlignment="1">
      <alignment horizontal="center" vertical="center" wrapText="1"/>
    </xf>
    <xf numFmtId="164" fontId="41" fillId="2" borderId="0" xfId="1" applyNumberFormat="1" applyFont="1" applyFill="1" applyBorder="1" applyAlignment="1">
      <alignment horizontal="center" vertical="center" wrapText="1"/>
    </xf>
    <xf numFmtId="164" fontId="41" fillId="2" borderId="5" xfId="1" applyNumberFormat="1" applyFont="1" applyFill="1" applyBorder="1" applyAlignment="1">
      <alignment horizontal="center" vertical="center" wrapText="1"/>
    </xf>
    <xf numFmtId="164" fontId="41" fillId="2" borderId="21" xfId="1" applyNumberFormat="1" applyFont="1" applyFill="1" applyBorder="1" applyAlignment="1">
      <alignment horizontal="center" vertical="center" wrapText="1"/>
    </xf>
    <xf numFmtId="164" fontId="41" fillId="2" borderId="7" xfId="1" applyNumberFormat="1" applyFont="1" applyFill="1" applyBorder="1" applyAlignment="1">
      <alignment horizontal="center" vertical="center" wrapText="1"/>
    </xf>
    <xf numFmtId="164" fontId="41" fillId="2" borderId="51" xfId="1" applyNumberFormat="1" applyFont="1" applyFill="1" applyBorder="1" applyAlignment="1">
      <alignment horizontal="center" vertical="center" wrapText="1"/>
    </xf>
    <xf numFmtId="164" fontId="20" fillId="2" borderId="24" xfId="1" applyNumberFormat="1" applyFont="1" applyFill="1" applyBorder="1" applyAlignment="1">
      <alignment horizontal="left" vertical="center"/>
    </xf>
    <xf numFmtId="164" fontId="20" fillId="2" borderId="26" xfId="1" applyNumberFormat="1" applyFont="1" applyFill="1" applyBorder="1" applyAlignment="1">
      <alignment horizontal="left" vertical="center"/>
    </xf>
    <xf numFmtId="164" fontId="20" fillId="2" borderId="29" xfId="1" applyNumberFormat="1" applyFont="1" applyFill="1" applyBorder="1" applyAlignment="1">
      <alignment horizontal="left" vertical="center"/>
    </xf>
    <xf numFmtId="164" fontId="20" fillId="2" borderId="30" xfId="1" applyNumberFormat="1" applyFont="1" applyFill="1" applyBorder="1" applyAlignment="1">
      <alignment horizontal="left" vertical="center"/>
    </xf>
    <xf numFmtId="164" fontId="28" fillId="0" borderId="29" xfId="1" applyNumberFormat="1" applyFont="1" applyBorder="1" applyAlignment="1">
      <alignment horizontal="left" wrapText="1"/>
    </xf>
    <xf numFmtId="164" fontId="28" fillId="0" borderId="30" xfId="1" applyNumberFormat="1" applyFont="1" applyBorder="1" applyAlignment="1">
      <alignment horizontal="left" wrapText="1"/>
    </xf>
    <xf numFmtId="164" fontId="17" fillId="0" borderId="30" xfId="1" applyNumberFormat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left"/>
    </xf>
    <xf numFmtId="164" fontId="41" fillId="2" borderId="28" xfId="1" applyNumberFormat="1" applyFont="1" applyFill="1" applyBorder="1" applyAlignment="1">
      <alignment horizontal="center" vertical="center" wrapText="1"/>
    </xf>
    <xf numFmtId="164" fontId="41" fillId="2" borderId="14" xfId="1" applyNumberFormat="1" applyFont="1" applyFill="1" applyBorder="1" applyAlignment="1">
      <alignment horizontal="center" vertical="center" wrapText="1"/>
    </xf>
    <xf numFmtId="164" fontId="41" fillId="2" borderId="29" xfId="1" applyNumberFormat="1" applyFont="1" applyFill="1" applyBorder="1" applyAlignment="1">
      <alignment horizontal="center" vertical="center" wrapText="1"/>
    </xf>
    <xf numFmtId="164" fontId="41" fillId="2" borderId="30" xfId="1" applyNumberFormat="1" applyFont="1" applyFill="1" applyBorder="1" applyAlignment="1">
      <alignment horizontal="center" vertical="center" wrapText="1"/>
    </xf>
    <xf numFmtId="164" fontId="36" fillId="0" borderId="48" xfId="1" applyNumberFormat="1" applyFont="1" applyBorder="1" applyAlignment="1">
      <alignment horizontal="center" vertical="center"/>
    </xf>
    <xf numFmtId="164" fontId="36" fillId="0" borderId="31" xfId="1" applyNumberFormat="1" applyFont="1" applyBorder="1" applyAlignment="1">
      <alignment horizontal="center" vertical="center"/>
    </xf>
    <xf numFmtId="164" fontId="17" fillId="0" borderId="0" xfId="1" applyNumberFormat="1" applyFont="1" applyFill="1" applyBorder="1" applyAlignment="1"/>
    <xf numFmtId="164" fontId="41" fillId="2" borderId="24" xfId="1" applyNumberFormat="1" applyFont="1" applyFill="1" applyBorder="1" applyAlignment="1">
      <alignment horizontal="center" vertical="center" wrapText="1"/>
    </xf>
    <xf numFmtId="164" fontId="41" fillId="2" borderId="25" xfId="1" applyNumberFormat="1" applyFont="1" applyFill="1" applyBorder="1" applyAlignment="1">
      <alignment horizontal="center" vertical="center" wrapText="1"/>
    </xf>
    <xf numFmtId="164" fontId="41" fillId="2" borderId="32" xfId="1" applyNumberFormat="1" applyFont="1" applyFill="1" applyBorder="1" applyAlignment="1">
      <alignment horizontal="center" vertical="center" wrapText="1"/>
    </xf>
    <xf numFmtId="44" fontId="17" fillId="0" borderId="52" xfId="2" applyFont="1" applyFill="1" applyBorder="1" applyAlignment="1">
      <alignment horizontal="center" vertical="center"/>
    </xf>
    <xf numFmtId="44" fontId="17" fillId="0" borderId="54" xfId="2" applyFont="1" applyFill="1" applyBorder="1" applyAlignment="1">
      <alignment horizontal="center" vertical="center"/>
    </xf>
    <xf numFmtId="9" fontId="17" fillId="0" borderId="54" xfId="3" applyFont="1" applyFill="1" applyBorder="1" applyAlignment="1">
      <alignment horizontal="center" vertical="center"/>
    </xf>
    <xf numFmtId="44" fontId="17" fillId="0" borderId="56" xfId="2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/>
    </xf>
    <xf numFmtId="164" fontId="20" fillId="2" borderId="42" xfId="1" applyNumberFormat="1" applyFont="1" applyFill="1" applyBorder="1" applyAlignment="1">
      <alignment horizontal="center"/>
    </xf>
    <xf numFmtId="164" fontId="20" fillId="2" borderId="12" xfId="1" applyNumberFormat="1" applyFont="1" applyFill="1" applyBorder="1" applyAlignment="1">
      <alignment horizontal="center"/>
    </xf>
    <xf numFmtId="164" fontId="20" fillId="2" borderId="45" xfId="1" applyNumberFormat="1" applyFont="1" applyFill="1" applyBorder="1" applyAlignment="1">
      <alignment horizontal="center"/>
    </xf>
    <xf numFmtId="10" fontId="41" fillId="2" borderId="53" xfId="1" applyNumberFormat="1" applyFont="1" applyFill="1" applyBorder="1" applyAlignment="1">
      <alignment horizontal="center" vertical="center" wrapText="1"/>
    </xf>
    <xf numFmtId="10" fontId="41" fillId="2" borderId="55" xfId="1" applyNumberFormat="1" applyFont="1" applyFill="1" applyBorder="1" applyAlignment="1">
      <alignment horizontal="center" vertical="center" wrapText="1"/>
    </xf>
    <xf numFmtId="164" fontId="29" fillId="2" borderId="42" xfId="1" applyNumberFormat="1" applyFont="1" applyFill="1" applyBorder="1" applyAlignment="1">
      <alignment horizontal="center"/>
    </xf>
    <xf numFmtId="164" fontId="29" fillId="2" borderId="12" xfId="1" applyNumberFormat="1" applyFont="1" applyFill="1" applyBorder="1" applyAlignment="1">
      <alignment horizontal="center"/>
    </xf>
    <xf numFmtId="164" fontId="29" fillId="2" borderId="45" xfId="1" applyNumberFormat="1" applyFont="1" applyFill="1" applyBorder="1" applyAlignment="1">
      <alignment horizontal="center"/>
    </xf>
    <xf numFmtId="164" fontId="28" fillId="0" borderId="36" xfId="1" applyNumberFormat="1" applyFont="1" applyBorder="1" applyAlignment="1">
      <alignment horizontal="left"/>
    </xf>
    <xf numFmtId="164" fontId="28" fillId="0" borderId="9" xfId="1" applyNumberFormat="1" applyFont="1" applyBorder="1" applyAlignment="1">
      <alignment horizontal="left"/>
    </xf>
    <xf numFmtId="164" fontId="28" fillId="0" borderId="8" xfId="1" applyNumberFormat="1" applyFont="1" applyBorder="1" applyAlignment="1">
      <alignment horizontal="left"/>
    </xf>
    <xf numFmtId="164" fontId="28" fillId="0" borderId="74" xfId="1" applyNumberFormat="1" applyFont="1" applyBorder="1" applyAlignment="1">
      <alignment horizontal="left"/>
    </xf>
    <xf numFmtId="164" fontId="28" fillId="0" borderId="75" xfId="1" applyNumberFormat="1" applyFont="1" applyBorder="1" applyAlignment="1">
      <alignment horizontal="left"/>
    </xf>
    <xf numFmtId="44" fontId="71" fillId="0" borderId="7" xfId="2" applyFont="1" applyBorder="1" applyAlignment="1">
      <alignment horizontal="center" vertical="center"/>
    </xf>
    <xf numFmtId="0" fontId="69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4" fontId="2" fillId="0" borderId="32" xfId="0" applyNumberFormat="1" applyFont="1" applyBorder="1" applyAlignment="1">
      <alignment horizontal="center" vertical="center" wrapText="1"/>
    </xf>
    <xf numFmtId="4" fontId="2" fillId="0" borderId="35" xfId="0" applyNumberFormat="1" applyFont="1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center" vertical="center" wrapText="1"/>
    </xf>
    <xf numFmtId="4" fontId="2" fillId="0" borderId="33" xfId="0" applyNumberFormat="1" applyFont="1" applyBorder="1" applyAlignment="1">
      <alignment horizontal="center" vertical="center" wrapText="1"/>
    </xf>
    <xf numFmtId="4" fontId="2" fillId="0" borderId="41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4" fontId="2" fillId="0" borderId="34" xfId="0" applyNumberFormat="1" applyFont="1" applyBorder="1" applyAlignment="1">
      <alignment horizontal="center"/>
    </xf>
    <xf numFmtId="4" fontId="2" fillId="0" borderId="32" xfId="0" applyNumberFormat="1" applyFont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46" xfId="0" applyNumberFormat="1" applyFont="1" applyBorder="1" applyAlignment="1">
      <alignment horizontal="center" vertical="center" wrapText="1"/>
    </xf>
    <xf numFmtId="4" fontId="2" fillId="0" borderId="47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4" fontId="2" fillId="0" borderId="44" xfId="0" applyNumberFormat="1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4" fontId="68" fillId="0" borderId="44" xfId="0" applyNumberFormat="1" applyFont="1" applyBorder="1" applyAlignment="1">
      <alignment horizontal="center" vertical="center"/>
    </xf>
    <xf numFmtId="4" fontId="68" fillId="0" borderId="12" xfId="0" applyNumberFormat="1" applyFont="1" applyBorder="1" applyAlignment="1">
      <alignment horizontal="center" vertical="center"/>
    </xf>
    <xf numFmtId="4" fontId="68" fillId="0" borderId="45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57" xfId="0" applyNumberFormat="1" applyFont="1" applyBorder="1" applyAlignment="1">
      <alignment horizontal="center" vertical="center"/>
    </xf>
    <xf numFmtId="4" fontId="68" fillId="0" borderId="41" xfId="0" applyNumberFormat="1" applyFont="1" applyBorder="1" applyAlignment="1">
      <alignment horizontal="center" vertical="center"/>
    </xf>
    <xf numFmtId="4" fontId="68" fillId="0" borderId="35" xfId="0" applyNumberFormat="1" applyFont="1" applyBorder="1" applyAlignment="1">
      <alignment horizontal="center" vertical="center"/>
    </xf>
    <xf numFmtId="4" fontId="68" fillId="0" borderId="34" xfId="0" applyNumberFormat="1" applyFont="1" applyBorder="1" applyAlignment="1">
      <alignment horizontal="center" vertical="center"/>
    </xf>
    <xf numFmtId="4" fontId="68" fillId="0" borderId="32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center" vertical="center"/>
    </xf>
    <xf numFmtId="4" fontId="68" fillId="0" borderId="29" xfId="0" applyNumberFormat="1" applyFont="1" applyBorder="1" applyAlignment="1">
      <alignment horizontal="center" vertical="center"/>
    </xf>
    <xf numFmtId="4" fontId="68" fillId="0" borderId="30" xfId="0" applyNumberFormat="1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textRotation="90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40" xfId="0" applyNumberFormat="1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68" fillId="0" borderId="42" xfId="0" applyNumberFormat="1" applyFont="1" applyBorder="1" applyAlignment="1">
      <alignment horizontal="center" vertical="center"/>
    </xf>
    <xf numFmtId="4" fontId="68" fillId="0" borderId="43" xfId="0" applyNumberFormat="1" applyFont="1" applyBorder="1" applyAlignment="1">
      <alignment horizontal="center" vertical="center"/>
    </xf>
    <xf numFmtId="0" fontId="70" fillId="0" borderId="16" xfId="0" applyFont="1" applyBorder="1" applyAlignment="1">
      <alignment horizontal="left"/>
    </xf>
    <xf numFmtId="0" fontId="70" fillId="0" borderId="13" xfId="0" applyFont="1" applyBorder="1" applyAlignment="1">
      <alignment horizontal="left"/>
    </xf>
    <xf numFmtId="0" fontId="70" fillId="0" borderId="15" xfId="0" applyFont="1" applyBorder="1" applyAlignment="1">
      <alignment horizontal="left"/>
    </xf>
    <xf numFmtId="0" fontId="70" fillId="0" borderId="16" xfId="0" applyFont="1" applyBorder="1" applyAlignment="1">
      <alignment horizontal="center"/>
    </xf>
    <xf numFmtId="0" fontId="70" fillId="0" borderId="13" xfId="0" applyFont="1" applyBorder="1" applyAlignment="1">
      <alignment horizontal="center"/>
    </xf>
    <xf numFmtId="0" fontId="70" fillId="0" borderId="15" xfId="0" applyFont="1" applyBorder="1" applyAlignment="1">
      <alignment horizontal="center"/>
    </xf>
    <xf numFmtId="0" fontId="68" fillId="0" borderId="16" xfId="0" applyNumberFormat="1" applyFont="1" applyBorder="1" applyAlignment="1">
      <alignment horizontal="center"/>
    </xf>
    <xf numFmtId="0" fontId="68" fillId="0" borderId="13" xfId="0" applyNumberFormat="1" applyFont="1" applyBorder="1" applyAlignment="1">
      <alignment horizontal="center"/>
    </xf>
    <xf numFmtId="0" fontId="68" fillId="0" borderId="15" xfId="0" applyNumberFormat="1" applyFont="1" applyBorder="1" applyAlignment="1">
      <alignment horizontal="center"/>
    </xf>
    <xf numFmtId="3" fontId="70" fillId="0" borderId="16" xfId="0" applyNumberFormat="1" applyFont="1" applyBorder="1" applyAlignment="1">
      <alignment horizontal="left"/>
    </xf>
    <xf numFmtId="0" fontId="27" fillId="0" borderId="58" xfId="0" applyFont="1" applyFill="1" applyBorder="1" applyAlignment="1">
      <alignment horizontal="left"/>
    </xf>
    <xf numFmtId="0" fontId="27" fillId="0" borderId="15" xfId="0" applyFont="1" applyFill="1" applyBorder="1" applyAlignment="1">
      <alignment horizontal="left"/>
    </xf>
    <xf numFmtId="164" fontId="20" fillId="2" borderId="24" xfId="1" applyNumberFormat="1" applyFont="1" applyFill="1" applyBorder="1" applyAlignment="1">
      <alignment horizontal="center" vertical="center"/>
    </xf>
    <xf numFmtId="164" fontId="20" fillId="2" borderId="26" xfId="1" applyNumberFormat="1" applyFont="1" applyFill="1" applyBorder="1" applyAlignment="1">
      <alignment horizontal="center" vertical="center"/>
    </xf>
    <xf numFmtId="164" fontId="20" fillId="2" borderId="27" xfId="1" applyNumberFormat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20" xfId="0" applyFont="1" applyFill="1" applyBorder="1" applyAlignment="1">
      <alignment horizontal="center" vertical="center"/>
    </xf>
    <xf numFmtId="0" fontId="24" fillId="2" borderId="22" xfId="0" applyFont="1" applyFill="1" applyBorder="1" applyAlignment="1">
      <alignment horizontal="center" vertical="center"/>
    </xf>
    <xf numFmtId="0" fontId="46" fillId="2" borderId="17" xfId="0" applyFont="1" applyFill="1" applyBorder="1" applyAlignment="1">
      <alignment horizontal="center"/>
    </xf>
    <xf numFmtId="0" fontId="46" fillId="2" borderId="6" xfId="0" applyFont="1" applyFill="1" applyBorder="1" applyAlignment="1">
      <alignment horizontal="center"/>
    </xf>
    <xf numFmtId="0" fontId="46" fillId="2" borderId="18" xfId="0" applyFont="1" applyFill="1" applyBorder="1" applyAlignment="1">
      <alignment horizontal="center"/>
    </xf>
  </cellXfs>
  <cellStyles count="6">
    <cellStyle name="Hipervínculo" xfId="5" builtinId="8"/>
    <cellStyle name="Moneda" xfId="2" builtinId="4"/>
    <cellStyle name="Moneda 2" xfId="4"/>
    <cellStyle name="Normal" xfId="0" builtinId="0"/>
    <cellStyle name="Normal 2" xfId="1"/>
    <cellStyle name="Porcentaje" xfId="3" builtinId="5"/>
  </cellStyles>
  <dxfs count="0"/>
  <tableStyles count="0" defaultTableStyle="TableStyleMedium2" defaultPivotStyle="PivotStyleLight16"/>
  <colors>
    <mruColors>
      <color rgb="FF3399FF"/>
      <color rgb="FF0066FF"/>
      <color rgb="FF109DB0"/>
      <color rgb="FFCCECFF"/>
      <color rgb="FFFF9999"/>
      <color rgb="FF99FF66"/>
      <color rgb="FFCCFF66"/>
      <color rgb="FFFFFF66"/>
      <color rgb="FFFF99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Datos_personales!A1"/><Relationship Id="rId2" Type="http://schemas.openxmlformats.org/officeDocument/2006/relationships/hyperlink" Target="#Datos_Convenio!A1"/><Relationship Id="rId1" Type="http://schemas.openxmlformats.org/officeDocument/2006/relationships/hyperlink" Target="#'1'!A1"/><Relationship Id="rId5" Type="http://schemas.openxmlformats.org/officeDocument/2006/relationships/hyperlink" Target="#Incidencias!A1"/><Relationship Id="rId4" Type="http://schemas.openxmlformats.org/officeDocument/2006/relationships/hyperlink" Target="#Datos_Variables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Portada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Portada!A1"/><Relationship Id="rId1" Type="http://schemas.openxmlformats.org/officeDocument/2006/relationships/hyperlink" Target="#Conveni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Datos_Conveni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Portada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Portada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Modelo_Clase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hyperlink" Target="#'1'!A1"/><Relationship Id="rId1" Type="http://schemas.openxmlformats.org/officeDocument/2006/relationships/hyperlink" Target="#Portada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126999</xdr:colOff>
      <xdr:row>0</xdr:row>
      <xdr:rowOff>169333</xdr:rowOff>
    </xdr:from>
    <xdr:to>
      <xdr:col>16</xdr:col>
      <xdr:colOff>179916</xdr:colOff>
      <xdr:row>26</xdr:row>
      <xdr:rowOff>21167</xdr:rowOff>
    </xdr:to>
    <xdr:sp macro="" textlink="">
      <xdr:nvSpPr>
        <xdr:cNvPr id="2" name="1 Rectángulo"/>
        <xdr:cNvSpPr/>
      </xdr:nvSpPr>
      <xdr:spPr>
        <a:xfrm>
          <a:off x="1650999" y="169333"/>
          <a:ext cx="10720917" cy="4804834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7</xdr:col>
      <xdr:colOff>209550</xdr:colOff>
      <xdr:row>16</xdr:row>
      <xdr:rowOff>150283</xdr:rowOff>
    </xdr:from>
    <xdr:to>
      <xdr:col>11</xdr:col>
      <xdr:colOff>228600</xdr:colOff>
      <xdr:row>22</xdr:row>
      <xdr:rowOff>159808</xdr:rowOff>
    </xdr:to>
    <xdr:sp macro="" textlink="">
      <xdr:nvSpPr>
        <xdr:cNvPr id="4" name="3 Rectángulo redondeado">
          <a:hlinkClick xmlns:r="http://schemas.openxmlformats.org/officeDocument/2006/relationships" r:id="rId1"/>
        </xdr:cNvPr>
        <xdr:cNvSpPr/>
      </xdr:nvSpPr>
      <xdr:spPr>
        <a:xfrm>
          <a:off x="5543550" y="3198283"/>
          <a:ext cx="3067050" cy="115252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800" b="1"/>
            <a:t>CREAR NÓMINA</a:t>
          </a:r>
        </a:p>
      </xdr:txBody>
    </xdr:sp>
    <xdr:clientData/>
  </xdr:twoCellAnchor>
  <xdr:twoCellAnchor>
    <xdr:from>
      <xdr:col>7</xdr:col>
      <xdr:colOff>172508</xdr:colOff>
      <xdr:row>2</xdr:row>
      <xdr:rowOff>87842</xdr:rowOff>
    </xdr:from>
    <xdr:to>
      <xdr:col>11</xdr:col>
      <xdr:colOff>137583</xdr:colOff>
      <xdr:row>8</xdr:row>
      <xdr:rowOff>42333</xdr:rowOff>
    </xdr:to>
    <xdr:sp macro="" textlink="">
      <xdr:nvSpPr>
        <xdr:cNvPr id="6" name="5 Rectángulo redondeado"/>
        <xdr:cNvSpPr/>
      </xdr:nvSpPr>
      <xdr:spPr>
        <a:xfrm>
          <a:off x="5506508" y="468842"/>
          <a:ext cx="3013075" cy="1097491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2800" b="1"/>
            <a:t>APLEX</a:t>
          </a:r>
          <a:r>
            <a:rPr lang="es-ES" sz="2800" b="1" baseline="0"/>
            <a:t> NOMINAS</a:t>
          </a:r>
          <a:endParaRPr lang="es-ES" sz="2800" b="1"/>
        </a:p>
      </xdr:txBody>
    </xdr:sp>
    <xdr:clientData/>
  </xdr:twoCellAnchor>
  <xdr:twoCellAnchor>
    <xdr:from>
      <xdr:col>7</xdr:col>
      <xdr:colOff>160867</xdr:colOff>
      <xdr:row>9</xdr:row>
      <xdr:rowOff>91016</xdr:rowOff>
    </xdr:from>
    <xdr:to>
      <xdr:col>11</xdr:col>
      <xdr:colOff>179917</xdr:colOff>
      <xdr:row>15</xdr:row>
      <xdr:rowOff>100541</xdr:rowOff>
    </xdr:to>
    <xdr:sp macro="" textlink="">
      <xdr:nvSpPr>
        <xdr:cNvPr id="7" name="6 Rectángulo redondeado">
          <a:hlinkClick xmlns:r="http://schemas.openxmlformats.org/officeDocument/2006/relationships" r:id="rId2"/>
        </xdr:cNvPr>
        <xdr:cNvSpPr/>
      </xdr:nvSpPr>
      <xdr:spPr>
        <a:xfrm>
          <a:off x="5494867" y="1805516"/>
          <a:ext cx="3067050" cy="115252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800" b="1"/>
            <a:t>MODIFICAR DATOS CONVENIO</a:t>
          </a:r>
        </a:p>
      </xdr:txBody>
    </xdr:sp>
    <xdr:clientData/>
  </xdr:twoCellAnchor>
  <xdr:twoCellAnchor>
    <xdr:from>
      <xdr:col>2</xdr:col>
      <xdr:colOff>302682</xdr:colOff>
      <xdr:row>9</xdr:row>
      <xdr:rowOff>74083</xdr:rowOff>
    </xdr:from>
    <xdr:to>
      <xdr:col>6</xdr:col>
      <xdr:colOff>321732</xdr:colOff>
      <xdr:row>15</xdr:row>
      <xdr:rowOff>83608</xdr:rowOff>
    </xdr:to>
    <xdr:sp macro="" textlink="">
      <xdr:nvSpPr>
        <xdr:cNvPr id="9" name="8 Rectángulo redondeado">
          <a:hlinkClick xmlns:r="http://schemas.openxmlformats.org/officeDocument/2006/relationships" r:id="rId3"/>
        </xdr:cNvPr>
        <xdr:cNvSpPr/>
      </xdr:nvSpPr>
      <xdr:spPr>
        <a:xfrm>
          <a:off x="1826682" y="1788583"/>
          <a:ext cx="3067050" cy="115252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800" b="1"/>
            <a:t>MODIFICAR DATOS TRABAJADOR</a:t>
          </a:r>
        </a:p>
      </xdr:txBody>
    </xdr:sp>
    <xdr:clientData/>
  </xdr:twoCellAnchor>
  <xdr:twoCellAnchor>
    <xdr:from>
      <xdr:col>11</xdr:col>
      <xdr:colOff>726017</xdr:colOff>
      <xdr:row>9</xdr:row>
      <xdr:rowOff>74083</xdr:rowOff>
    </xdr:from>
    <xdr:to>
      <xdr:col>15</xdr:col>
      <xdr:colOff>745067</xdr:colOff>
      <xdr:row>15</xdr:row>
      <xdr:rowOff>83608</xdr:rowOff>
    </xdr:to>
    <xdr:sp macro="" textlink="">
      <xdr:nvSpPr>
        <xdr:cNvPr id="10" name="9 Rectángulo redondeado">
          <a:hlinkClick xmlns:r="http://schemas.openxmlformats.org/officeDocument/2006/relationships" r:id="rId4"/>
        </xdr:cNvPr>
        <xdr:cNvSpPr/>
      </xdr:nvSpPr>
      <xdr:spPr>
        <a:xfrm>
          <a:off x="9108017" y="1788583"/>
          <a:ext cx="3067050" cy="115252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800" b="1"/>
            <a:t>MODIFICAR DATOS VARIABLES</a:t>
          </a:r>
        </a:p>
      </xdr:txBody>
    </xdr:sp>
    <xdr:clientData/>
  </xdr:twoCellAnchor>
  <xdr:twoCellAnchor>
    <xdr:from>
      <xdr:col>2</xdr:col>
      <xdr:colOff>243417</xdr:colOff>
      <xdr:row>16</xdr:row>
      <xdr:rowOff>184150</xdr:rowOff>
    </xdr:from>
    <xdr:to>
      <xdr:col>6</xdr:col>
      <xdr:colOff>262467</xdr:colOff>
      <xdr:row>23</xdr:row>
      <xdr:rowOff>3175</xdr:rowOff>
    </xdr:to>
    <xdr:sp macro="" textlink="">
      <xdr:nvSpPr>
        <xdr:cNvPr id="12" name="11 Rectángulo redondeado">
          <a:hlinkClick xmlns:r="http://schemas.openxmlformats.org/officeDocument/2006/relationships" r:id="rId5"/>
        </xdr:cNvPr>
        <xdr:cNvSpPr/>
      </xdr:nvSpPr>
      <xdr:spPr>
        <a:xfrm>
          <a:off x="1767417" y="3232150"/>
          <a:ext cx="3067050" cy="1152525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800" b="1"/>
            <a:t>INCIDENCIAS</a:t>
          </a:r>
          <a:r>
            <a:rPr lang="es-ES" sz="1800" b="1" baseline="0"/>
            <a:t> DE BAJA TEMPORAL</a:t>
          </a:r>
          <a:endParaRPr lang="es-ES" sz="18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0</xdr:row>
      <xdr:rowOff>0</xdr:rowOff>
    </xdr:from>
    <xdr:to>
      <xdr:col>1</xdr:col>
      <xdr:colOff>571500</xdr:colOff>
      <xdr:row>1</xdr:row>
      <xdr:rowOff>19050</xdr:rowOff>
    </xdr:to>
    <xdr:sp macro="" textlink="">
      <xdr:nvSpPr>
        <xdr:cNvPr id="2" name="1 Flecha izquierda">
          <a:hlinkClick xmlns:r="http://schemas.openxmlformats.org/officeDocument/2006/relationships" r:id="rId1"/>
        </xdr:cNvPr>
        <xdr:cNvSpPr/>
      </xdr:nvSpPr>
      <xdr:spPr>
        <a:xfrm>
          <a:off x="742950" y="0"/>
          <a:ext cx="885825" cy="628650"/>
        </a:xfrm>
        <a:prstGeom prst="lef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66675</xdr:rowOff>
    </xdr:from>
    <xdr:to>
      <xdr:col>1</xdr:col>
      <xdr:colOff>1657350</xdr:colOff>
      <xdr:row>0</xdr:row>
      <xdr:rowOff>419100</xdr:rowOff>
    </xdr:to>
    <xdr:sp macro="" textlink="">
      <xdr:nvSpPr>
        <xdr:cNvPr id="2" name="1 Rectángulo redondeado">
          <a:hlinkClick xmlns:r="http://schemas.openxmlformats.org/officeDocument/2006/relationships" r:id="rId1"/>
        </xdr:cNvPr>
        <xdr:cNvSpPr/>
      </xdr:nvSpPr>
      <xdr:spPr>
        <a:xfrm>
          <a:off x="66675" y="66675"/>
          <a:ext cx="2647950" cy="3524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DATOS DEL CONVENIO</a:t>
          </a:r>
        </a:p>
      </xdr:txBody>
    </xdr:sp>
    <xdr:clientData/>
  </xdr:twoCellAnchor>
  <xdr:twoCellAnchor>
    <xdr:from>
      <xdr:col>3</xdr:col>
      <xdr:colOff>200025</xdr:colOff>
      <xdr:row>0</xdr:row>
      <xdr:rowOff>57150</xdr:rowOff>
    </xdr:from>
    <xdr:to>
      <xdr:col>4</xdr:col>
      <xdr:colOff>381000</xdr:colOff>
      <xdr:row>1</xdr:row>
      <xdr:rowOff>104775</xdr:rowOff>
    </xdr:to>
    <xdr:sp macro="" textlink="">
      <xdr:nvSpPr>
        <xdr:cNvPr id="3" name="2 Flecha izquierda">
          <a:hlinkClick xmlns:r="http://schemas.openxmlformats.org/officeDocument/2006/relationships" r:id="rId2"/>
        </xdr:cNvPr>
        <xdr:cNvSpPr/>
      </xdr:nvSpPr>
      <xdr:spPr>
        <a:xfrm>
          <a:off x="3095625" y="57150"/>
          <a:ext cx="733425" cy="533400"/>
        </a:xfrm>
        <a:prstGeom prst="lef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361950</xdr:colOff>
      <xdr:row>0</xdr:row>
      <xdr:rowOff>123825</xdr:rowOff>
    </xdr:from>
    <xdr:to>
      <xdr:col>15</xdr:col>
      <xdr:colOff>390525</xdr:colOff>
      <xdr:row>3</xdr:row>
      <xdr:rowOff>76200</xdr:rowOff>
    </xdr:to>
    <xdr:sp macro="" textlink="">
      <xdr:nvSpPr>
        <xdr:cNvPr id="2" name="1 Flecha izquierda">
          <a:hlinkClick xmlns:r="http://schemas.openxmlformats.org/officeDocument/2006/relationships" r:id="rId1"/>
        </xdr:cNvPr>
        <xdr:cNvSpPr/>
      </xdr:nvSpPr>
      <xdr:spPr>
        <a:xfrm>
          <a:off x="10772775" y="123825"/>
          <a:ext cx="790575" cy="638175"/>
        </a:xfrm>
        <a:prstGeom prst="lef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0</xdr:row>
      <xdr:rowOff>0</xdr:rowOff>
    </xdr:from>
    <xdr:to>
      <xdr:col>1</xdr:col>
      <xdr:colOff>590550</xdr:colOff>
      <xdr:row>1</xdr:row>
      <xdr:rowOff>180975</xdr:rowOff>
    </xdr:to>
    <xdr:sp macro="" textlink="">
      <xdr:nvSpPr>
        <xdr:cNvPr id="2" name="1 Flecha izquierda">
          <a:hlinkClick xmlns:r="http://schemas.openxmlformats.org/officeDocument/2006/relationships" r:id="rId1"/>
        </xdr:cNvPr>
        <xdr:cNvSpPr/>
      </xdr:nvSpPr>
      <xdr:spPr>
        <a:xfrm>
          <a:off x="676275" y="0"/>
          <a:ext cx="971550" cy="638175"/>
        </a:xfrm>
        <a:prstGeom prst="lef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0</xdr:row>
      <xdr:rowOff>1</xdr:rowOff>
    </xdr:from>
    <xdr:to>
      <xdr:col>1</xdr:col>
      <xdr:colOff>571500</xdr:colOff>
      <xdr:row>1</xdr:row>
      <xdr:rowOff>38101</xdr:rowOff>
    </xdr:to>
    <xdr:sp macro="" textlink="">
      <xdr:nvSpPr>
        <xdr:cNvPr id="2" name="1 Flecha izquierda">
          <a:hlinkClick xmlns:r="http://schemas.openxmlformats.org/officeDocument/2006/relationships" r:id="rId1"/>
        </xdr:cNvPr>
        <xdr:cNvSpPr/>
      </xdr:nvSpPr>
      <xdr:spPr>
        <a:xfrm>
          <a:off x="723900" y="1"/>
          <a:ext cx="904875" cy="590550"/>
        </a:xfrm>
        <a:prstGeom prst="lef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704850</xdr:colOff>
      <xdr:row>7</xdr:row>
      <xdr:rowOff>152400</xdr:rowOff>
    </xdr:from>
    <xdr:to>
      <xdr:col>12</xdr:col>
      <xdr:colOff>114300</xdr:colOff>
      <xdr:row>12</xdr:row>
      <xdr:rowOff>180975</xdr:rowOff>
    </xdr:to>
    <xdr:sp macro="" textlink="">
      <xdr:nvSpPr>
        <xdr:cNvPr id="2" name="1 Rectángulo redondeado">
          <a:hlinkClick xmlns:r="http://schemas.openxmlformats.org/officeDocument/2006/relationships" r:id="rId1"/>
        </xdr:cNvPr>
        <xdr:cNvSpPr/>
      </xdr:nvSpPr>
      <xdr:spPr>
        <a:xfrm>
          <a:off x="7839075" y="1533525"/>
          <a:ext cx="2457450" cy="1028700"/>
        </a:xfrm>
        <a:prstGeom prst="round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2400" b="1"/>
            <a:t>VER</a:t>
          </a:r>
          <a:r>
            <a:rPr lang="es-ES" sz="2400" b="1" baseline="0"/>
            <a:t> NÓMINA</a:t>
          </a:r>
          <a:endParaRPr lang="es-ES" sz="24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76200</xdr:colOff>
      <xdr:row>2</xdr:row>
      <xdr:rowOff>9525</xdr:rowOff>
    </xdr:from>
    <xdr:to>
      <xdr:col>26</xdr:col>
      <xdr:colOff>609600</xdr:colOff>
      <xdr:row>8</xdr:row>
      <xdr:rowOff>66675</xdr:rowOff>
    </xdr:to>
    <xdr:sp macro="" textlink="">
      <xdr:nvSpPr>
        <xdr:cNvPr id="2" name="1 Flecha izquierda">
          <a:hlinkClick xmlns:r="http://schemas.openxmlformats.org/officeDocument/2006/relationships" r:id="rId1"/>
        </xdr:cNvPr>
        <xdr:cNvSpPr/>
      </xdr:nvSpPr>
      <xdr:spPr>
        <a:xfrm>
          <a:off x="12382500" y="257175"/>
          <a:ext cx="1457325" cy="1066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 PÁGINA PRINCIPAL</a:t>
          </a:r>
        </a:p>
      </xdr:txBody>
    </xdr:sp>
    <xdr:clientData/>
  </xdr:twoCellAnchor>
  <xdr:twoCellAnchor>
    <xdr:from>
      <xdr:col>24</xdr:col>
      <xdr:colOff>38100</xdr:colOff>
      <xdr:row>10</xdr:row>
      <xdr:rowOff>76200</xdr:rowOff>
    </xdr:from>
    <xdr:to>
      <xdr:col>26</xdr:col>
      <xdr:colOff>742950</xdr:colOff>
      <xdr:row>17</xdr:row>
      <xdr:rowOff>0</xdr:rowOff>
    </xdr:to>
    <xdr:sp macro="" textlink="">
      <xdr:nvSpPr>
        <xdr:cNvPr id="3" name="2 Flecha izquierda">
          <a:hlinkClick xmlns:r="http://schemas.openxmlformats.org/officeDocument/2006/relationships" r:id="rId2"/>
        </xdr:cNvPr>
        <xdr:cNvSpPr/>
      </xdr:nvSpPr>
      <xdr:spPr>
        <a:xfrm>
          <a:off x="12639675" y="1724025"/>
          <a:ext cx="1333500" cy="1038225"/>
        </a:xfrm>
        <a:prstGeom prst="leftArrow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CREAR NUEVA NÓMINA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abSelected="1" zoomScale="90" zoomScaleNormal="90" workbookViewId="0">
      <selection activeCell="N41" sqref="N41"/>
    </sheetView>
  </sheetViews>
  <sheetFormatPr baseColWidth="10" defaultRowHeight="15"/>
  <sheetData>
    <row r="1" spans="1:1">
      <c r="A1" s="493"/>
    </row>
  </sheetData>
  <pageMargins left="0.7" right="0.7" top="0.75" bottom="0.75" header="0.3" footer="0.3"/>
  <pageSetup paperSize="9" scale="6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pane ySplit="1" topLeftCell="A23" activePane="bottomLeft" state="frozen"/>
      <selection pane="bottomLeft" activeCell="C17" sqref="C17"/>
    </sheetView>
  </sheetViews>
  <sheetFormatPr baseColWidth="10" defaultRowHeight="15"/>
  <cols>
    <col min="2" max="2" width="13.5703125" customWidth="1"/>
    <col min="3" max="3" width="14.7109375" bestFit="1" customWidth="1"/>
    <col min="5" max="5" width="12.5703125" style="17" bestFit="1" customWidth="1"/>
    <col min="6" max="6" width="12" bestFit="1" customWidth="1"/>
    <col min="9" max="9" width="15.42578125" customWidth="1"/>
    <col min="10" max="10" width="13.42578125" customWidth="1"/>
  </cols>
  <sheetData>
    <row r="1" spans="1:14" s="17" customFormat="1" ht="15.75" thickBot="1">
      <c r="A1" s="17" t="str">
        <f>'1'!G11</f>
        <v>Felipe González López</v>
      </c>
      <c r="D1" s="442"/>
    </row>
    <row r="2" spans="1:14" ht="36" customHeight="1" thickBot="1">
      <c r="A2" s="556" t="s">
        <v>345</v>
      </c>
      <c r="B2" s="556"/>
      <c r="C2" s="556"/>
      <c r="D2" s="556"/>
      <c r="E2" s="556"/>
      <c r="F2" s="556"/>
      <c r="G2" s="556"/>
      <c r="K2" s="284" t="s">
        <v>328</v>
      </c>
      <c r="L2" s="285" t="s">
        <v>329</v>
      </c>
      <c r="M2" s="286" t="s">
        <v>327</v>
      </c>
    </row>
    <row r="3" spans="1:14" ht="15" customHeight="1">
      <c r="A3" s="559" t="s">
        <v>316</v>
      </c>
      <c r="B3" s="559"/>
      <c r="C3" s="90">
        <f>LOOKUP(A1,Datos_personales!B3:B52,Incidencias!L3:L52)/D3</f>
        <v>0</v>
      </c>
      <c r="D3" s="108">
        <v>30</v>
      </c>
      <c r="E3" s="108"/>
      <c r="I3" s="560" t="s">
        <v>315</v>
      </c>
      <c r="J3" s="563" t="s">
        <v>320</v>
      </c>
      <c r="K3" s="299" t="s">
        <v>322</v>
      </c>
      <c r="L3" s="300" t="s">
        <v>167</v>
      </c>
      <c r="M3" s="566">
        <v>0.6</v>
      </c>
      <c r="N3" s="568"/>
    </row>
    <row r="4" spans="1:14">
      <c r="A4" t="s">
        <v>319</v>
      </c>
      <c r="B4" s="348">
        <f>LOOKUP(A1,Datos_personales!B3:B52,Incidencias!K3:K52)</f>
        <v>0</v>
      </c>
      <c r="C4" t="s">
        <v>557</v>
      </c>
      <c r="D4" s="349">
        <f>LOOKUP(A1,Datos_personales!B3:B52,Incidencias!I3:I52)</f>
        <v>0</v>
      </c>
      <c r="E4" s="17" t="s">
        <v>558</v>
      </c>
      <c r="F4" s="349">
        <f>LOOKUP(A1,Datos_personales!B3:B52,Incidencias!J3:J52)</f>
        <v>0</v>
      </c>
      <c r="I4" s="561"/>
      <c r="J4" s="564"/>
      <c r="K4" s="282" t="s">
        <v>323</v>
      </c>
      <c r="L4" s="279" t="s">
        <v>324</v>
      </c>
      <c r="M4" s="567"/>
      <c r="N4" s="569"/>
    </row>
    <row r="5" spans="1:14" ht="15.75" thickBot="1">
      <c r="B5" s="349">
        <f>D4</f>
        <v>0</v>
      </c>
      <c r="C5" s="349">
        <f>B5+3</f>
        <v>3</v>
      </c>
      <c r="D5" s="349">
        <f>B5+15</f>
        <v>15</v>
      </c>
      <c r="E5" s="349">
        <f>B5+19</f>
        <v>19</v>
      </c>
      <c r="I5" s="561"/>
      <c r="J5" s="565"/>
      <c r="K5" s="283" t="s">
        <v>321</v>
      </c>
      <c r="L5" s="301" t="s">
        <v>324</v>
      </c>
      <c r="M5" s="281">
        <v>0.75</v>
      </c>
      <c r="N5" s="569"/>
    </row>
    <row r="6" spans="1:14" ht="46.5" thickBot="1">
      <c r="C6" s="316">
        <v>0</v>
      </c>
      <c r="D6" s="287">
        <f>IF(D5&lt;F4,D5-C5,F4-C5)</f>
        <v>-3</v>
      </c>
      <c r="E6" s="287">
        <f>IF(E5&lt;=F4,E5-D5+1,F4-D5+1)</f>
        <v>-14</v>
      </c>
      <c r="F6" s="287">
        <f>IF(E5&lt;F4,F4-E5,0)</f>
        <v>0</v>
      </c>
      <c r="G6" s="288" t="s">
        <v>334</v>
      </c>
      <c r="I6" s="562"/>
      <c r="J6" s="302" t="s">
        <v>325</v>
      </c>
      <c r="K6" s="303" t="s">
        <v>326</v>
      </c>
      <c r="L6" s="304" t="s">
        <v>324</v>
      </c>
      <c r="M6" s="305">
        <v>0.75</v>
      </c>
    </row>
    <row r="7" spans="1:14" ht="15.75" thickBot="1">
      <c r="C7" s="89"/>
      <c r="D7" s="292">
        <f>M3*C3*D6</f>
        <v>0</v>
      </c>
      <c r="E7" s="292">
        <f>IF(E6&lt;0,0,E6*C3*M3)</f>
        <v>0</v>
      </c>
      <c r="F7" s="350">
        <f>M6*F6*C3</f>
        <v>0</v>
      </c>
      <c r="G7" s="289">
        <f>SUM(C7:F7)</f>
        <v>0</v>
      </c>
      <c r="I7" s="280" t="s">
        <v>330</v>
      </c>
      <c r="J7" s="23"/>
      <c r="K7" s="282" t="s">
        <v>326</v>
      </c>
      <c r="L7" s="12"/>
      <c r="M7" s="278">
        <v>1</v>
      </c>
    </row>
    <row r="8" spans="1:14" ht="15.75">
      <c r="A8" s="555" t="s">
        <v>335</v>
      </c>
      <c r="B8" s="555"/>
      <c r="C8" s="555"/>
      <c r="D8" s="555"/>
      <c r="E8" s="555"/>
      <c r="F8" s="555"/>
      <c r="I8" s="280" t="s">
        <v>331</v>
      </c>
      <c r="J8" s="23"/>
      <c r="K8" s="282" t="s">
        <v>326</v>
      </c>
      <c r="L8" s="12"/>
      <c r="M8" s="278">
        <v>1</v>
      </c>
    </row>
    <row r="9" spans="1:14">
      <c r="A9" s="42" t="s">
        <v>317</v>
      </c>
      <c r="B9" t="s">
        <v>347</v>
      </c>
      <c r="F9" s="88">
        <f>(LOOKUP(A1,Datos_personales!B3:B52,Incidencias!L3:L52)/30)*(B4)</f>
        <v>0</v>
      </c>
      <c r="I9" s="280" t="s">
        <v>332</v>
      </c>
      <c r="J9" s="23"/>
      <c r="K9" s="282" t="s">
        <v>326</v>
      </c>
      <c r="L9" s="12"/>
      <c r="M9" s="278">
        <v>1</v>
      </c>
    </row>
    <row r="10" spans="1:14">
      <c r="B10" t="s">
        <v>336</v>
      </c>
      <c r="F10" s="90">
        <f>LOOKUP(A1,Datos_personales!B3:B52,Datos_Convenio!J3:J52)+(LOOKUP(A1,Datos_personales!B3:B52,Datos_Convenio!S3:S52)+(Devengos!D3*('Prestaciones de la SS'!D3-'Prestaciones de la SS'!B4)/'Prestaciones de la SS'!D3)+(Devengos!D6*('Prestaciones de la SS'!D3-'Prestaciones de la SS'!B4)/'Prestaciones de la SS'!D3))+((Devengos!D16*(30-'Prestaciones de la SS'!B4)/30))</f>
        <v>2436.6530000000002</v>
      </c>
      <c r="I10" s="570" t="s">
        <v>333</v>
      </c>
      <c r="J10" s="571"/>
      <c r="K10" s="574" t="s">
        <v>326</v>
      </c>
      <c r="L10" s="12"/>
      <c r="M10" s="567">
        <v>1</v>
      </c>
    </row>
    <row r="11" spans="1:14" ht="15.75" thickBot="1">
      <c r="B11" t="s">
        <v>337</v>
      </c>
      <c r="F11" s="90">
        <f>F9+F10</f>
        <v>2436.6530000000002</v>
      </c>
      <c r="I11" s="572"/>
      <c r="J11" s="573"/>
      <c r="K11" s="575"/>
      <c r="L11" s="277"/>
      <c r="M11" s="576"/>
    </row>
    <row r="12" spans="1:14">
      <c r="A12" s="42" t="s">
        <v>318</v>
      </c>
      <c r="B12" t="s">
        <v>338</v>
      </c>
      <c r="C12" s="108" t="s">
        <v>339</v>
      </c>
      <c r="D12" s="291">
        <f>(LOOKUP(A1,Datos_personales!B3:B52,Incidencias!M3:M52)-LOOKUP(A1,Datos_personales!B3:B52,Incidencias!O3:O52))/'Prestaciones de la SS'!D3</f>
        <v>0</v>
      </c>
      <c r="E12" s="291">
        <f>SUM(D12:D13)</f>
        <v>0</v>
      </c>
    </row>
    <row r="13" spans="1:14">
      <c r="C13" s="108" t="s">
        <v>340</v>
      </c>
      <c r="D13" s="292">
        <f>LOOKUP(A1,Datos_personales!B3:B52,Incidencias!N3:N52)/360</f>
        <v>0</v>
      </c>
      <c r="E13" s="292"/>
      <c r="F13" s="88">
        <f>E12*B4</f>
        <v>0</v>
      </c>
    </row>
    <row r="14" spans="1:14">
      <c r="B14" t="s">
        <v>341</v>
      </c>
      <c r="F14" s="90">
        <f ca="1">F10+Devengos!D8+Devengos!F8</f>
        <v>2866.3450000000003</v>
      </c>
    </row>
    <row r="15" spans="1:14">
      <c r="B15" t="s">
        <v>337</v>
      </c>
      <c r="F15" s="90">
        <f ca="1">SUM(F13,F14)</f>
        <v>2866.3450000000003</v>
      </c>
    </row>
    <row r="16" spans="1:14" ht="36" customHeight="1" thickBot="1">
      <c r="A16" s="556" t="s">
        <v>344</v>
      </c>
      <c r="B16" s="556"/>
      <c r="C16" s="556"/>
      <c r="D16" s="556"/>
      <c r="E16" s="556"/>
      <c r="F16" s="556"/>
      <c r="G16" s="556"/>
    </row>
    <row r="17" spans="1:7" ht="36">
      <c r="A17" s="557" t="s">
        <v>316</v>
      </c>
      <c r="B17" s="557"/>
      <c r="C17" s="291">
        <f>(LOOKUP(A1,Datos_personales!B3:B52,Incidencias!T3:T52)-LOOKUP(A1,Datos_personales!B3:B52,Incidencias!V3:V52))/30</f>
        <v>0</v>
      </c>
      <c r="D17" s="291">
        <f>LOOKUP(A1,Datos_personales!B3:B52,Incidencias!U3:U52)/360</f>
        <v>0</v>
      </c>
      <c r="E17" s="423">
        <f>SUM(C17:D17)</f>
        <v>0</v>
      </c>
      <c r="F17" s="291"/>
      <c r="G17" s="288" t="s">
        <v>334</v>
      </c>
    </row>
    <row r="18" spans="1:7" ht="15.75" thickBot="1">
      <c r="A18" s="17" t="s">
        <v>319</v>
      </c>
      <c r="B18" s="414">
        <f>F18-D18</f>
        <v>0</v>
      </c>
      <c r="C18" s="17" t="s">
        <v>557</v>
      </c>
      <c r="D18" s="349">
        <f>LOOKUP('Prestaciones de la SS'!A1,Datos_personales!B3:B52,Incidencias!Q3:Q52)</f>
        <v>0</v>
      </c>
      <c r="E18" s="17" t="s">
        <v>558</v>
      </c>
      <c r="F18" s="349">
        <f>LOOKUP(A1,Datos_personales!B3:B52,Incidencias!R3:R52)</f>
        <v>0</v>
      </c>
      <c r="G18" s="419">
        <f>(E17+F17)*B18*M6</f>
        <v>0</v>
      </c>
    </row>
    <row r="19" spans="1:7">
      <c r="A19" s="17"/>
      <c r="B19" s="17"/>
      <c r="C19" s="89"/>
      <c r="D19" s="292"/>
      <c r="E19" s="292"/>
      <c r="F19" s="350"/>
    </row>
    <row r="20" spans="1:7" ht="15.75">
      <c r="A20" s="555" t="s">
        <v>335</v>
      </c>
      <c r="B20" s="555"/>
      <c r="C20" s="555"/>
      <c r="D20" s="555"/>
      <c r="E20" s="555"/>
      <c r="F20" s="555"/>
      <c r="G20" s="17"/>
    </row>
    <row r="21" spans="1:7">
      <c r="A21" s="42" t="s">
        <v>317</v>
      </c>
      <c r="B21" s="17" t="s">
        <v>347</v>
      </c>
      <c r="C21" s="17"/>
      <c r="D21" s="17"/>
      <c r="F21" s="88">
        <f>(LOOKUP(A1,Datos_personales!B3:B52,Incidencias!S3:S52)/30)*B18</f>
        <v>0</v>
      </c>
      <c r="G21" s="17"/>
    </row>
    <row r="22" spans="1:7" s="17" customFormat="1">
      <c r="A22" s="42"/>
      <c r="D22" s="108" t="s">
        <v>579</v>
      </c>
      <c r="E22" s="108" t="s">
        <v>580</v>
      </c>
      <c r="F22" s="291"/>
      <c r="G22" s="90"/>
    </row>
    <row r="23" spans="1:7">
      <c r="A23" s="17"/>
      <c r="B23" s="17" t="s">
        <v>336</v>
      </c>
      <c r="C23" s="17"/>
      <c r="D23" s="291">
        <f>LOOKUP(A1,Datos_personales!B3:B52,Datos_Convenio!J3:J52)</f>
        <v>1727.88</v>
      </c>
      <c r="E23" s="291">
        <f>LOOKUP(A1,Datos_personales!B3:B52,Datos_Convenio!S3:S52)</f>
        <v>215.98500000000001</v>
      </c>
      <c r="F23" s="90">
        <f>SUM(D23:E23)</f>
        <v>1943.8650000000002</v>
      </c>
      <c r="G23" s="17"/>
    </row>
    <row r="24" spans="1:7">
      <c r="A24" s="17"/>
      <c r="B24" s="17" t="s">
        <v>337</v>
      </c>
      <c r="C24" s="17"/>
      <c r="D24" s="17"/>
      <c r="F24" s="90">
        <f>F21+F23</f>
        <v>1943.8650000000002</v>
      </c>
      <c r="G24" s="17"/>
    </row>
    <row r="25" spans="1:7">
      <c r="A25" s="42" t="s">
        <v>318</v>
      </c>
      <c r="B25" s="17" t="s">
        <v>338</v>
      </c>
      <c r="C25" s="108" t="s">
        <v>339</v>
      </c>
      <c r="D25" s="291">
        <f>F21</f>
        <v>0</v>
      </c>
      <c r="E25" s="291"/>
      <c r="F25" s="291"/>
      <c r="G25" s="17"/>
    </row>
    <row r="26" spans="1:7">
      <c r="A26" s="17"/>
      <c r="B26" s="17"/>
      <c r="C26" s="108" t="s">
        <v>340</v>
      </c>
      <c r="D26" s="292">
        <f>(LOOKUP(A1,Datos_personales!B3:B52,Incidencias!U3:U52))/360</f>
        <v>0</v>
      </c>
      <c r="E26" s="292"/>
      <c r="F26" s="88">
        <f>SUM(D25:D26)</f>
        <v>0</v>
      </c>
      <c r="G26" s="17"/>
    </row>
    <row r="27" spans="1:7" s="17" customFormat="1">
      <c r="C27" s="108"/>
      <c r="D27" s="292" t="s">
        <v>598</v>
      </c>
      <c r="E27" s="292" t="s">
        <v>599</v>
      </c>
      <c r="F27" s="88"/>
    </row>
    <row r="28" spans="1:7">
      <c r="A28" s="17"/>
      <c r="B28" s="17" t="s">
        <v>341</v>
      </c>
      <c r="C28" s="17"/>
      <c r="D28" s="291">
        <f>SUM(D23:E23)</f>
        <v>1943.8650000000002</v>
      </c>
      <c r="E28" s="291">
        <f ca="1">(LOOKUP(A1,Datos_personales!B3:B52,Datos_Variables!N3:N52)*LOOKUP(A1,Datos_personales!B3:B52,Datos_Convenio!K3:K52))/30</f>
        <v>361.69200000000001</v>
      </c>
      <c r="F28" s="90">
        <f ca="1">SUM(D28:E28)</f>
        <v>2305.5570000000002</v>
      </c>
      <c r="G28" s="17"/>
    </row>
    <row r="29" spans="1:7">
      <c r="A29" s="17"/>
      <c r="B29" s="17" t="s">
        <v>337</v>
      </c>
      <c r="C29" s="17"/>
      <c r="D29" s="17"/>
      <c r="F29" s="90">
        <f ca="1">SUM(F26,F28)</f>
        <v>2305.5570000000002</v>
      </c>
      <c r="G29" s="17"/>
    </row>
    <row r="30" spans="1:7" ht="19.5" thickBot="1">
      <c r="A30" s="558" t="s">
        <v>331</v>
      </c>
      <c r="B30" s="558"/>
      <c r="C30" s="558"/>
      <c r="D30" s="558"/>
      <c r="E30" s="558"/>
      <c r="F30" s="558"/>
      <c r="G30" s="558"/>
    </row>
    <row r="31" spans="1:7" ht="36">
      <c r="A31" s="557" t="s">
        <v>316</v>
      </c>
      <c r="B31" s="557"/>
      <c r="C31" s="296">
        <f>(LOOKUP(A1,Datos_personales!B3:B52,Incidencias!G3:G52)/30)</f>
        <v>0</v>
      </c>
      <c r="D31" s="108"/>
      <c r="E31" s="108">
        <f>30-B32+1</f>
        <v>30</v>
      </c>
      <c r="F31" s="17"/>
      <c r="G31" s="288" t="s">
        <v>334</v>
      </c>
    </row>
    <row r="32" spans="1:7" ht="15.75" thickBot="1">
      <c r="A32" s="17" t="s">
        <v>319</v>
      </c>
      <c r="B32" s="348">
        <f>F32-D32+1</f>
        <v>1</v>
      </c>
      <c r="C32" s="17" t="s">
        <v>557</v>
      </c>
      <c r="D32" s="349">
        <f>LOOKUP(A1,Datos_personales!B3:B52,Incidencias!D3:D52)</f>
        <v>0</v>
      </c>
      <c r="E32" s="17" t="s">
        <v>558</v>
      </c>
      <c r="F32" s="349">
        <f>LOOKUP(A1,Datos_personales!B3:B52,Incidencias!E3:E52)</f>
        <v>0</v>
      </c>
      <c r="G32" s="298">
        <f>C31*B32</f>
        <v>0</v>
      </c>
    </row>
    <row r="33" spans="1:9" ht="15.75">
      <c r="A33" s="555" t="s">
        <v>335</v>
      </c>
      <c r="B33" s="555"/>
      <c r="C33" s="555"/>
      <c r="D33" s="555"/>
      <c r="E33" s="555"/>
      <c r="F33" s="555"/>
      <c r="G33" s="555"/>
      <c r="I33" s="17" t="s">
        <v>581</v>
      </c>
    </row>
    <row r="34" spans="1:9">
      <c r="A34" s="42" t="s">
        <v>317</v>
      </c>
      <c r="B34" s="17" t="s">
        <v>346</v>
      </c>
      <c r="C34" s="17"/>
      <c r="D34" s="108"/>
      <c r="E34" s="108"/>
      <c r="F34" s="291"/>
      <c r="G34" s="90">
        <f>C31*(B32-1)</f>
        <v>0</v>
      </c>
    </row>
    <row r="35" spans="1:9" s="17" customFormat="1">
      <c r="A35" s="42"/>
      <c r="D35" s="108" t="s">
        <v>579</v>
      </c>
      <c r="E35" s="108" t="s">
        <v>580</v>
      </c>
      <c r="F35" s="291"/>
      <c r="G35" s="90"/>
    </row>
    <row r="36" spans="1:9">
      <c r="A36" s="17"/>
      <c r="B36" s="17" t="s">
        <v>336</v>
      </c>
      <c r="C36" s="17"/>
      <c r="D36" s="291">
        <f>LOOKUP(A1,Datos_personales!B3:B52,Datos_Convenio!J3:J52)</f>
        <v>1727.88</v>
      </c>
      <c r="E36" s="291">
        <f>LOOKUP(A1,Datos_personales!B3:B52,Datos_Convenio!S3:S52)</f>
        <v>215.98500000000001</v>
      </c>
      <c r="F36" s="90"/>
      <c r="G36" s="88">
        <f>SUM(D36:E36)</f>
        <v>1943.8650000000002</v>
      </c>
    </row>
    <row r="37" spans="1:9">
      <c r="A37" s="17"/>
      <c r="B37" s="17" t="s">
        <v>337</v>
      </c>
      <c r="C37" s="17"/>
      <c r="D37" s="17"/>
      <c r="F37" s="90"/>
      <c r="G37" s="297">
        <f>SUM(G34,G36)</f>
        <v>1943.8650000000002</v>
      </c>
    </row>
    <row r="38" spans="1:9">
      <c r="A38" s="42" t="s">
        <v>318</v>
      </c>
      <c r="B38" s="17" t="s">
        <v>338</v>
      </c>
      <c r="C38" s="108"/>
      <c r="D38" s="291"/>
      <c r="E38" s="291"/>
      <c r="F38" s="291"/>
      <c r="G38" s="292">
        <f>G34</f>
        <v>0</v>
      </c>
    </row>
    <row r="39" spans="1:9">
      <c r="A39" s="17"/>
      <c r="B39" s="17" t="s">
        <v>341</v>
      </c>
      <c r="C39" s="108"/>
      <c r="E39" s="292"/>
      <c r="F39" s="88"/>
      <c r="G39" s="292">
        <f>G36</f>
        <v>1943.8650000000002</v>
      </c>
    </row>
    <row r="40" spans="1:9">
      <c r="A40" s="17"/>
      <c r="B40" s="17" t="s">
        <v>337</v>
      </c>
      <c r="C40" s="17"/>
      <c r="F40" s="90"/>
      <c r="G40" s="297">
        <f>SUM(G38:G39)</f>
        <v>1943.8650000000002</v>
      </c>
    </row>
    <row r="41" spans="1:9">
      <c r="A41" s="17"/>
      <c r="C41" s="17"/>
      <c r="D41" s="17"/>
      <c r="F41" s="90"/>
      <c r="G41" s="17"/>
    </row>
    <row r="42" spans="1:9">
      <c r="G42" s="17"/>
    </row>
    <row r="43" spans="1:9">
      <c r="G43" s="17"/>
    </row>
    <row r="44" spans="1:9">
      <c r="G44" s="17"/>
    </row>
  </sheetData>
  <mergeCells count="16">
    <mergeCell ref="M3:M4"/>
    <mergeCell ref="N3:N5"/>
    <mergeCell ref="I10:J11"/>
    <mergeCell ref="K10:K11"/>
    <mergeCell ref="M10:M11"/>
    <mergeCell ref="A3:B3"/>
    <mergeCell ref="I3:I6"/>
    <mergeCell ref="J3:J5"/>
    <mergeCell ref="A2:G2"/>
    <mergeCell ref="A8:F8"/>
    <mergeCell ref="A33:G33"/>
    <mergeCell ref="A16:G16"/>
    <mergeCell ref="A17:B17"/>
    <mergeCell ref="A20:F20"/>
    <mergeCell ref="A30:G30"/>
    <mergeCell ref="A31:B3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5"/>
  <sheetViews>
    <sheetView topLeftCell="A74" zoomScaleNormal="100" workbookViewId="0">
      <selection activeCell="F78" sqref="F78"/>
    </sheetView>
  </sheetViews>
  <sheetFormatPr baseColWidth="10" defaultRowHeight="15"/>
  <cols>
    <col min="1" max="1" width="4.7109375" customWidth="1"/>
    <col min="2" max="2" width="5.7109375" customWidth="1"/>
    <col min="4" max="4" width="16.140625" bestFit="1" customWidth="1"/>
    <col min="5" max="5" width="13.28515625" customWidth="1"/>
    <col min="6" max="6" width="14.42578125" bestFit="1" customWidth="1"/>
    <col min="7" max="7" width="15.7109375" style="17" bestFit="1" customWidth="1"/>
    <col min="8" max="8" width="11.7109375" bestFit="1" customWidth="1"/>
    <col min="9" max="10" width="11.7109375" style="17" customWidth="1"/>
    <col min="11" max="11" width="11.7109375" bestFit="1" customWidth="1"/>
    <col min="12" max="12" width="11.85546875" customWidth="1"/>
    <col min="13" max="13" width="8.7109375" customWidth="1"/>
  </cols>
  <sheetData>
    <row r="1" spans="1:13" s="17" customFormat="1">
      <c r="A1" s="341"/>
      <c r="B1" s="341"/>
      <c r="C1" s="341" t="str">
        <f>'1'!G11</f>
        <v>Felipe González López</v>
      </c>
      <c r="D1" s="341"/>
    </row>
    <row r="2" spans="1:13" s="17" customFormat="1" ht="21">
      <c r="A2" s="579" t="s">
        <v>155</v>
      </c>
      <c r="B2" s="579"/>
      <c r="C2" s="579"/>
      <c r="D2" s="579"/>
      <c r="E2" s="579"/>
      <c r="F2" s="579"/>
      <c r="G2" s="424"/>
      <c r="I2" s="415" t="s">
        <v>577</v>
      </c>
      <c r="J2" s="415" t="s">
        <v>578</v>
      </c>
    </row>
    <row r="3" spans="1:13" ht="22.5">
      <c r="A3" s="106" t="s">
        <v>136</v>
      </c>
      <c r="C3" s="105"/>
      <c r="E3" s="90"/>
      <c r="F3" s="104">
        <f ca="1">IF(IF(H3="SI",I3,IF(H4="SI",I4,IF(H5="SI",I5,F4)))&lt;L5,L5,IF(IF(H3="SI",I3,IF(H4="SI",I4,IF(H5="SI",I5,F4)))&gt;M5,M5,IF(H3="SI",I3,IF(H4="SI",I4,IF(H5="SI",I5,F4)))))</f>
        <v>2733.3230000000003</v>
      </c>
      <c r="G3" s="425" t="s">
        <v>74</v>
      </c>
      <c r="H3" s="333" t="str">
        <f>LOOKUP(C1,Datos_personales!B3:B52,Incidencias!C3:C52)</f>
        <v>NO</v>
      </c>
      <c r="I3" s="435">
        <f>'Prestaciones de la SS'!G37</f>
        <v>1943.8650000000002</v>
      </c>
      <c r="J3" s="435">
        <f>'Prestaciones de la SS'!G40</f>
        <v>1943.8650000000002</v>
      </c>
      <c r="K3" s="230" t="s">
        <v>150</v>
      </c>
      <c r="L3" s="118">
        <f>LOOKUP(C1,Datos_personales!B3:B52,Datos_Convenio!E3:E52)</f>
        <v>3</v>
      </c>
      <c r="M3" s="118"/>
    </row>
    <row r="4" spans="1:13">
      <c r="A4" s="17"/>
      <c r="B4" s="17" t="s">
        <v>137</v>
      </c>
      <c r="E4" s="90"/>
      <c r="F4" s="88">
        <f ca="1">SUM(F5:F19)</f>
        <v>2733.3230000000003</v>
      </c>
      <c r="G4" s="425" t="s">
        <v>575</v>
      </c>
      <c r="H4" s="333" t="str">
        <f>LOOKUP(C1,Datos_personales!B3:B52,Incidencias!H3:H52)</f>
        <v>NO</v>
      </c>
      <c r="I4" s="435">
        <f>'Prestaciones de la SS'!F11</f>
        <v>2436.6530000000002</v>
      </c>
      <c r="J4" s="435">
        <f ca="1">'Prestaciones de la SS'!F15</f>
        <v>2866.3450000000003</v>
      </c>
      <c r="K4" s="118"/>
      <c r="L4" s="118" t="s">
        <v>151</v>
      </c>
      <c r="M4" s="118" t="s">
        <v>152</v>
      </c>
    </row>
    <row r="5" spans="1:13" s="17" customFormat="1">
      <c r="C5" s="17" t="s">
        <v>20</v>
      </c>
      <c r="D5"/>
      <c r="E5"/>
      <c r="F5" s="186">
        <f>'2'!K2</f>
        <v>1727.88</v>
      </c>
      <c r="G5" s="425" t="s">
        <v>576</v>
      </c>
      <c r="H5" s="333" t="str">
        <f>LOOKUP(C1,Datos_personales!B3:B52,Incidencias!P3:P52)</f>
        <v>NO</v>
      </c>
      <c r="I5" s="435">
        <f>'Prestaciones de la SS'!F24</f>
        <v>1943.8650000000002</v>
      </c>
      <c r="J5" s="435">
        <f ca="1">'Prestaciones de la SS'!F29</f>
        <v>2305.5570000000002</v>
      </c>
      <c r="K5" s="118" t="s">
        <v>149</v>
      </c>
      <c r="L5" s="119">
        <f>IF(L3=1,Datos_Auxiliares!D3,IF(L3=2,Datos_Auxiliares!D4,Datos_Auxiliares!D6))</f>
        <v>753</v>
      </c>
      <c r="M5" s="119">
        <f>IF(L3=1,Datos_Auxiliares!E3,IF(L3=2,Datos_Auxiliares!E4,Datos_Auxiliares!E6))</f>
        <v>3597</v>
      </c>
    </row>
    <row r="6" spans="1:13" s="17" customFormat="1">
      <c r="C6" s="17" t="s">
        <v>260</v>
      </c>
      <c r="F6" s="186">
        <f>Devengos!B3</f>
        <v>214.78800000000001</v>
      </c>
      <c r="G6" s="186"/>
      <c r="K6" s="118"/>
    </row>
    <row r="7" spans="1:13" s="17" customFormat="1">
      <c r="C7" s="17" t="s">
        <v>270</v>
      </c>
      <c r="D7"/>
      <c r="E7"/>
      <c r="F7" s="186">
        <f ca="1">Devengos!B4</f>
        <v>254.67</v>
      </c>
      <c r="G7" s="186"/>
      <c r="K7" s="118">
        <f>MONTH(Datos_personales!B1)</f>
        <v>7</v>
      </c>
    </row>
    <row r="8" spans="1:13" s="17" customFormat="1">
      <c r="C8" s="17" t="s">
        <v>592</v>
      </c>
      <c r="F8" s="186">
        <f>Devengos!B6</f>
        <v>240</v>
      </c>
      <c r="G8" s="186"/>
      <c r="K8" s="118"/>
    </row>
    <row r="9" spans="1:13">
      <c r="C9" s="17" t="s">
        <v>266</v>
      </c>
      <c r="F9" s="186">
        <f>IF(K7=6,E10,IF(K7=12,E11,E12))</f>
        <v>215.98500000000001</v>
      </c>
      <c r="G9" s="186"/>
    </row>
    <row r="10" spans="1:13" s="17" customFormat="1">
      <c r="D10" s="17" t="s">
        <v>545</v>
      </c>
      <c r="E10" s="186">
        <f>LOOKUP(C1,Datos_personales!B3:B52,Datos_Convenio!R3:R52)</f>
        <v>1295.9100000000001</v>
      </c>
    </row>
    <row r="11" spans="1:13" s="17" customFormat="1">
      <c r="D11" s="17" t="s">
        <v>546</v>
      </c>
      <c r="E11" s="186">
        <f>LOOKUP(C1,Datos_personales!B3:B53,Datos_Convenio!R3:R53)</f>
        <v>1295.9100000000001</v>
      </c>
    </row>
    <row r="12" spans="1:13" s="17" customFormat="1">
      <c r="D12" s="17" t="s">
        <v>547</v>
      </c>
      <c r="E12" s="186">
        <f>Devengos!D9</f>
        <v>215.98500000000001</v>
      </c>
    </row>
    <row r="13" spans="1:13" s="17" customFormat="1">
      <c r="C13" s="17" t="s">
        <v>18</v>
      </c>
      <c r="F13" s="186">
        <f>SUM(E14:E15)</f>
        <v>0</v>
      </c>
      <c r="G13" s="186"/>
    </row>
    <row r="14" spans="1:13" s="17" customFormat="1">
      <c r="D14" s="185" t="s">
        <v>218</v>
      </c>
      <c r="E14" s="89">
        <f>IF(Devengos!F11&lt;1994,((0.05*Devengos!D11)/12),(0.1*Devengos!D11)/12)</f>
        <v>0</v>
      </c>
      <c r="F14" s="89"/>
      <c r="G14" s="89"/>
    </row>
    <row r="15" spans="1:13" s="17" customFormat="1">
      <c r="D15" s="185" t="s">
        <v>219</v>
      </c>
      <c r="E15" s="89">
        <f>(0.2*Devengos!D12)/12</f>
        <v>0</v>
      </c>
      <c r="F15" s="89"/>
      <c r="G15" s="89"/>
    </row>
    <row r="16" spans="1:13" s="17" customFormat="1">
      <c r="C16" s="17" t="s">
        <v>288</v>
      </c>
      <c r="F16" s="186">
        <f>Devengos!F15</f>
        <v>80</v>
      </c>
      <c r="G16" s="186"/>
    </row>
    <row r="17" spans="1:19">
      <c r="C17" s="17" t="s">
        <v>289</v>
      </c>
      <c r="F17" s="186">
        <f>Devengos!F24</f>
        <v>0</v>
      </c>
      <c r="G17" s="186"/>
    </row>
    <row r="18" spans="1:19" s="17" customFormat="1">
      <c r="C18" s="17" t="s">
        <v>220</v>
      </c>
      <c r="F18" s="186">
        <f ca="1">Devengos!F22</f>
        <v>0</v>
      </c>
      <c r="G18" s="186">
        <f>Devengos!D23</f>
        <v>0</v>
      </c>
    </row>
    <row r="19" spans="1:19" s="17" customFormat="1">
      <c r="C19" s="17" t="s">
        <v>221</v>
      </c>
      <c r="F19" s="186">
        <f ca="1">Devengos!F17</f>
        <v>0</v>
      </c>
      <c r="G19" s="186"/>
    </row>
    <row r="20" spans="1:19" s="17" customFormat="1">
      <c r="F20" s="186"/>
      <c r="G20" s="186"/>
    </row>
    <row r="21" spans="1:19" ht="18.75">
      <c r="A21" s="106" t="s">
        <v>153</v>
      </c>
      <c r="B21" s="17"/>
      <c r="C21" s="105"/>
      <c r="D21" s="17"/>
      <c r="E21" s="17"/>
      <c r="F21" s="104">
        <f ca="1">IF(IF(H3="SI",J3,IF(H5="SI",J4,IF(H5="SI",J5,F22)))&lt;L5,L5,IF(IF(H3="SI",J3,IF(H4="SI",J4,IF(H4="SI",J5,F22)))&gt;M5,M5,IF(H3="SI",J3,IF(H4="SI",J4,IF(H5="SI",J5,F22)))))</f>
        <v>3163.0150000000003</v>
      </c>
      <c r="G21" s="104"/>
    </row>
    <row r="22" spans="1:19">
      <c r="A22" s="17"/>
      <c r="B22" s="17" t="s">
        <v>137</v>
      </c>
      <c r="C22" s="17"/>
      <c r="D22" s="17"/>
      <c r="E22" s="17"/>
      <c r="F22" s="88">
        <f ca="1">SUM(F23:F24)</f>
        <v>3163.0150000000003</v>
      </c>
      <c r="G22" s="88"/>
    </row>
    <row r="23" spans="1:19" s="17" customFormat="1">
      <c r="C23" s="17" t="s">
        <v>222</v>
      </c>
      <c r="F23" s="89">
        <f ca="1">F3</f>
        <v>2733.3230000000003</v>
      </c>
      <c r="G23" s="89"/>
    </row>
    <row r="24" spans="1:19" s="17" customFormat="1">
      <c r="C24" s="17" t="s">
        <v>13</v>
      </c>
      <c r="F24" s="89">
        <f ca="1">SUM(E25:E26)</f>
        <v>429.69200000000001</v>
      </c>
      <c r="G24" s="89"/>
    </row>
    <row r="25" spans="1:19" s="17" customFormat="1">
      <c r="D25" s="17" t="s">
        <v>208</v>
      </c>
      <c r="E25" s="89">
        <f ca="1">Devengos!D8</f>
        <v>361.69200000000001</v>
      </c>
      <c r="F25" s="89"/>
      <c r="G25" s="89"/>
    </row>
    <row r="26" spans="1:19" s="17" customFormat="1">
      <c r="D26" s="17" t="s">
        <v>209</v>
      </c>
      <c r="E26" s="89">
        <f ca="1">Devengos!F8</f>
        <v>68</v>
      </c>
      <c r="F26" s="89"/>
      <c r="G26" s="89"/>
    </row>
    <row r="27" spans="1:19" ht="15.75" customHeight="1">
      <c r="A27" s="578" t="s">
        <v>154</v>
      </c>
      <c r="B27" s="578"/>
      <c r="C27" s="578"/>
      <c r="D27" s="578"/>
      <c r="E27" s="578"/>
      <c r="F27" s="585">
        <f ca="1">F21</f>
        <v>3163.0150000000003</v>
      </c>
      <c r="G27" s="418"/>
    </row>
    <row r="28" spans="1:19" ht="15.75">
      <c r="A28" s="578"/>
      <c r="B28" s="578"/>
      <c r="C28" s="578"/>
      <c r="D28" s="578"/>
      <c r="E28" s="578"/>
      <c r="F28" s="585"/>
      <c r="G28" s="418"/>
    </row>
    <row r="29" spans="1:19" ht="15.75">
      <c r="A29" s="106" t="s">
        <v>210</v>
      </c>
      <c r="F29" s="104">
        <f ca="1">F24</f>
        <v>429.69200000000001</v>
      </c>
      <c r="G29" s="104"/>
    </row>
    <row r="30" spans="1:19" s="17" customFormat="1" ht="15.75">
      <c r="A30" s="106" t="s">
        <v>215</v>
      </c>
      <c r="F30" s="104"/>
      <c r="G30" s="104"/>
    </row>
    <row r="31" spans="1:19" ht="21.75" thickBot="1">
      <c r="A31" s="579" t="s">
        <v>156</v>
      </c>
      <c r="B31" s="579"/>
      <c r="C31" s="579"/>
      <c r="D31" s="579"/>
      <c r="E31" s="579"/>
      <c r="F31" s="579"/>
      <c r="G31" s="416"/>
    </row>
    <row r="32" spans="1:19" ht="15.75">
      <c r="A32" s="580" t="s">
        <v>157</v>
      </c>
      <c r="B32" s="580"/>
      <c r="C32" s="580"/>
      <c r="D32" s="580"/>
      <c r="F32" s="90">
        <f ca="1">F3</f>
        <v>2733.3230000000003</v>
      </c>
      <c r="G32" s="90">
        <f ca="1">F21</f>
        <v>3163.0150000000003</v>
      </c>
      <c r="I32" s="90"/>
      <c r="J32" s="90"/>
      <c r="K32" s="17"/>
      <c r="L32" s="586" t="s">
        <v>159</v>
      </c>
      <c r="M32" s="594" t="s">
        <v>160</v>
      </c>
      <c r="N32" s="595"/>
      <c r="O32" s="589" t="s">
        <v>161</v>
      </c>
      <c r="P32" s="589" t="s">
        <v>162</v>
      </c>
      <c r="Q32" s="591" t="s">
        <v>163</v>
      </c>
      <c r="R32" s="591" t="s">
        <v>206</v>
      </c>
      <c r="S32" s="591" t="s">
        <v>207</v>
      </c>
    </row>
    <row r="33" spans="1:19">
      <c r="A33" s="42" t="s">
        <v>136</v>
      </c>
      <c r="B33" s="17"/>
      <c r="C33" s="17"/>
      <c r="D33" s="17"/>
      <c r="F33" s="17"/>
      <c r="H33" s="17"/>
      <c r="K33" s="17"/>
      <c r="L33" s="587"/>
      <c r="M33" s="596"/>
      <c r="N33" s="597"/>
      <c r="O33" s="590"/>
      <c r="P33" s="590"/>
      <c r="Q33" s="592"/>
      <c r="R33" s="592"/>
      <c r="S33" s="592"/>
    </row>
    <row r="34" spans="1:19" ht="15" customHeight="1" thickBot="1">
      <c r="A34" s="17"/>
      <c r="B34" s="17" t="s">
        <v>158</v>
      </c>
      <c r="C34" s="17"/>
      <c r="F34" s="116">
        <f ca="1">F32*L35</f>
        <v>0</v>
      </c>
      <c r="G34" s="116"/>
      <c r="K34" s="17"/>
      <c r="L34" s="588"/>
      <c r="M34" s="107" t="s">
        <v>165</v>
      </c>
      <c r="N34" s="107" t="s">
        <v>166</v>
      </c>
      <c r="O34" s="590"/>
      <c r="P34" s="590"/>
      <c r="Q34" s="592"/>
      <c r="R34" s="592"/>
      <c r="S34" s="592"/>
    </row>
    <row r="35" spans="1:19" ht="15.75" thickBot="1">
      <c r="A35" s="17"/>
      <c r="B35" s="17" t="s">
        <v>164</v>
      </c>
      <c r="C35" s="17"/>
      <c r="F35" s="116">
        <f ca="1">F32*L36</f>
        <v>7.3799721000000016</v>
      </c>
      <c r="G35" s="116"/>
      <c r="K35" s="110" t="s">
        <v>168</v>
      </c>
      <c r="L35" s="111">
        <f ca="1">IF(L38&gt;65,Bases_Cotización!D24,Datos_Auxiliares!D18)</f>
        <v>0</v>
      </c>
      <c r="M35" s="188">
        <f>IF(M38="a",Datos_Auxiliares!D31,IF(M38="b",Datos_Auxiliares!D32,IF(M38="d",Datos_Auxiliares!D33,IF(M38="f",Datos_Auxiliares!D34,IF(M38="g",Datos_Auxiliares!D35,IF(M38="h",Datos_Auxiliares!D36,"-"))))))</f>
        <v>6.4999999999999997E-3</v>
      </c>
      <c r="N35" s="188">
        <f>IF(N38="a",Datos_Auxiliares!E31,IF(N38="b",Datos_Auxiliares!E32,IF(N38="d",Datos_Auxiliares!E33,IF(N38="f",Datos_Auxiliares!E34,IF(N38="g",Datos_Auxiliares!E35,IF(N38="h",Datos_Auxiliares!E36,"-"))))))</f>
        <v>3.5000000000000001E-3</v>
      </c>
      <c r="O35" s="112">
        <f>IF(O38="indefinido",Datos_Auxiliares!D23,Datos_Auxiliares!D24)</f>
        <v>5.5E-2</v>
      </c>
      <c r="P35" s="112">
        <f>Datos_Auxiliares!D27</f>
        <v>2E-3</v>
      </c>
      <c r="Q35" s="112">
        <f>Datos_Auxiliares!D29</f>
        <v>6.0000000000000001E-3</v>
      </c>
      <c r="R35" s="112">
        <f>Datos_Auxiliares!D20</f>
        <v>0.12</v>
      </c>
      <c r="S35" s="112">
        <f>Datos_Auxiliares!D21</f>
        <v>0.23599999999999999</v>
      </c>
    </row>
    <row r="36" spans="1:19" ht="15.75" thickBot="1">
      <c r="A36" s="42" t="s">
        <v>153</v>
      </c>
      <c r="B36" s="17"/>
      <c r="C36" s="17"/>
      <c r="D36" s="17"/>
      <c r="F36" s="17"/>
      <c r="K36" s="113" t="s">
        <v>169</v>
      </c>
      <c r="L36" s="111">
        <f ca="1">IF(L38&gt;65,Datos_Auxiliares!E19,Datos_Auxiliares!E18)</f>
        <v>2.7000000000000001E-3</v>
      </c>
      <c r="M36" s="114" t="s">
        <v>128</v>
      </c>
      <c r="N36" s="114" t="s">
        <v>128</v>
      </c>
      <c r="O36" s="114">
        <f>IF(O38="INDEFINIDO",Datos_Auxiliares!E23,Datos_Auxiliares!E24)</f>
        <v>1.55E-2</v>
      </c>
      <c r="P36" s="114">
        <f>Datos_Auxiliares!E27</f>
        <v>0</v>
      </c>
      <c r="Q36" s="114">
        <f>Datos_Auxiliares!E29</f>
        <v>1E-3</v>
      </c>
      <c r="R36" s="114">
        <f>Datos_Auxiliares!E20</f>
        <v>0.02</v>
      </c>
      <c r="S36" s="114">
        <f>Datos_Auxiliares!E21</f>
        <v>4.7E-2</v>
      </c>
    </row>
    <row r="37" spans="1:19" s="17" customFormat="1">
      <c r="A37" s="42"/>
      <c r="D37" s="292" t="s">
        <v>342</v>
      </c>
      <c r="E37" s="292" t="s">
        <v>343</v>
      </c>
      <c r="K37" s="293"/>
      <c r="L37" s="294"/>
      <c r="M37" s="294"/>
      <c r="N37" s="294"/>
      <c r="O37" s="294"/>
      <c r="P37" s="294"/>
      <c r="Q37" s="294"/>
      <c r="R37" s="294"/>
      <c r="S37" s="294"/>
    </row>
    <row r="38" spans="1:19">
      <c r="A38" s="115" t="s">
        <v>167</v>
      </c>
      <c r="B38" s="115"/>
      <c r="C38" s="108" t="s">
        <v>165</v>
      </c>
      <c r="D38" s="109">
        <f ca="1">'Prestaciones de la SS'!F14*Bases_Cotización!M35</f>
        <v>18.631242499999999</v>
      </c>
      <c r="E38" s="109">
        <f>'Prestaciones de la SS'!D12*Bases_Cotización!M35</f>
        <v>0</v>
      </c>
      <c r="F38" s="593">
        <f ca="1">SUM(D38:E39)</f>
        <v>28.663450000000001</v>
      </c>
      <c r="G38" s="417"/>
      <c r="L38" s="238">
        <f ca="1">'2'!C3</f>
        <v>66</v>
      </c>
      <c r="M38" s="238" t="str">
        <f>'1'!G8</f>
        <v>a</v>
      </c>
      <c r="N38" s="238" t="str">
        <f>'1'!G8</f>
        <v>a</v>
      </c>
      <c r="O38" s="238" t="str">
        <f>'1'!G21</f>
        <v>INDEFINIDO</v>
      </c>
    </row>
    <row r="39" spans="1:19">
      <c r="A39" s="115"/>
      <c r="B39" s="115"/>
      <c r="C39" s="108" t="s">
        <v>166</v>
      </c>
      <c r="D39" s="109">
        <f ca="1">'Prestaciones de la SS'!F14*Bases_Cotización!N35</f>
        <v>10.032207500000002</v>
      </c>
      <c r="E39" s="109">
        <f>'Prestaciones de la SS'!D12*Bases_Cotización!N35</f>
        <v>0</v>
      </c>
      <c r="F39" s="593"/>
      <c r="G39" s="417"/>
    </row>
    <row r="40" spans="1:19">
      <c r="A40" s="42" t="s">
        <v>170</v>
      </c>
      <c r="B40" s="17"/>
      <c r="C40" s="17"/>
      <c r="D40" s="17"/>
      <c r="F40" s="17"/>
      <c r="H40" s="17"/>
      <c r="K40" s="17"/>
      <c r="L40" s="17"/>
      <c r="M40" s="17"/>
      <c r="N40" s="17"/>
      <c r="O40" s="17"/>
    </row>
    <row r="41" spans="1:19">
      <c r="A41" s="17"/>
      <c r="B41" s="17" t="s">
        <v>158</v>
      </c>
      <c r="C41" s="17"/>
      <c r="F41" s="116">
        <f ca="1">G32*O35</f>
        <v>173.96582500000002</v>
      </c>
      <c r="G41" s="116"/>
      <c r="H41" s="17"/>
      <c r="K41" s="17"/>
      <c r="L41" s="17"/>
      <c r="M41" s="17"/>
      <c r="N41" s="17"/>
      <c r="O41" s="17"/>
    </row>
    <row r="42" spans="1:19">
      <c r="A42" s="17"/>
      <c r="B42" s="17" t="s">
        <v>164</v>
      </c>
      <c r="C42" s="17"/>
      <c r="F42" s="116">
        <f ca="1">G32*O36</f>
        <v>49.026732500000001</v>
      </c>
      <c r="G42" s="116"/>
      <c r="H42" s="17"/>
      <c r="K42" s="17"/>
      <c r="L42" s="17"/>
      <c r="M42" s="17"/>
      <c r="N42" s="17"/>
      <c r="O42" s="17"/>
    </row>
    <row r="43" spans="1:19">
      <c r="A43" s="42" t="s">
        <v>171</v>
      </c>
      <c r="B43" s="17"/>
      <c r="C43" s="17"/>
      <c r="D43" s="17"/>
      <c r="F43" s="17"/>
      <c r="H43" s="17"/>
      <c r="K43" s="17"/>
      <c r="L43" s="17"/>
      <c r="M43" s="17"/>
      <c r="N43" s="17"/>
      <c r="O43" s="17"/>
    </row>
    <row r="44" spans="1:19">
      <c r="A44" s="17"/>
      <c r="B44" s="17" t="s">
        <v>158</v>
      </c>
      <c r="C44" s="17"/>
      <c r="F44" s="116">
        <f ca="1">G32*P35</f>
        <v>6.3260300000000012</v>
      </c>
      <c r="G44" s="116"/>
      <c r="H44" s="17"/>
      <c r="K44" s="17"/>
      <c r="L44" s="17"/>
      <c r="M44" s="17"/>
      <c r="N44" s="17"/>
      <c r="O44" s="17"/>
    </row>
    <row r="45" spans="1:19" s="17" customFormat="1">
      <c r="A45" s="42" t="s">
        <v>172</v>
      </c>
      <c r="E45"/>
    </row>
    <row r="46" spans="1:19" s="17" customFormat="1">
      <c r="B46" s="17" t="s">
        <v>158</v>
      </c>
      <c r="D46"/>
      <c r="E46"/>
      <c r="F46" s="116">
        <f ca="1">G32*Q35</f>
        <v>18.978090000000002</v>
      </c>
      <c r="G46" s="116"/>
    </row>
    <row r="47" spans="1:19" s="17" customFormat="1">
      <c r="B47" s="17" t="s">
        <v>164</v>
      </c>
      <c r="D47"/>
      <c r="E47"/>
      <c r="F47" s="116">
        <f ca="1">G32*Q36</f>
        <v>3.1630150000000006</v>
      </c>
      <c r="G47" s="116"/>
    </row>
    <row r="48" spans="1:19">
      <c r="A48" s="42" t="s">
        <v>212</v>
      </c>
      <c r="B48" s="17"/>
      <c r="C48" s="17"/>
      <c r="D48" s="17"/>
      <c r="E48" s="17"/>
      <c r="F48" s="17"/>
      <c r="O48" s="17"/>
    </row>
    <row r="49" spans="1:19">
      <c r="A49" s="17"/>
      <c r="B49" s="17" t="s">
        <v>158</v>
      </c>
      <c r="C49" s="17"/>
      <c r="D49" s="17"/>
      <c r="E49" s="17"/>
      <c r="F49" s="116">
        <f ca="1">E25*R35</f>
        <v>43.403039999999997</v>
      </c>
      <c r="G49" s="116"/>
      <c r="O49" s="17"/>
    </row>
    <row r="50" spans="1:19">
      <c r="A50" s="17"/>
      <c r="B50" s="17" t="s">
        <v>164</v>
      </c>
      <c r="C50" s="17"/>
      <c r="D50" s="17"/>
      <c r="E50" s="17"/>
      <c r="F50" s="116">
        <f ca="1">E25*R36</f>
        <v>7.2338400000000007</v>
      </c>
      <c r="G50" s="116"/>
      <c r="H50" s="17"/>
      <c r="K50" s="17"/>
      <c r="L50" s="17"/>
      <c r="M50" s="17"/>
      <c r="N50" s="17"/>
      <c r="O50" s="17"/>
    </row>
    <row r="51" spans="1:19" s="17" customFormat="1">
      <c r="A51" s="42" t="s">
        <v>211</v>
      </c>
    </row>
    <row r="52" spans="1:19" s="17" customFormat="1">
      <c r="B52" s="17" t="s">
        <v>158</v>
      </c>
      <c r="F52" s="116">
        <f ca="1">E26*S35</f>
        <v>16.047999999999998</v>
      </c>
      <c r="G52" s="116"/>
    </row>
    <row r="53" spans="1:19" s="17" customFormat="1">
      <c r="B53" s="17" t="s">
        <v>164</v>
      </c>
      <c r="F53" s="116">
        <f ca="1">E26*S36</f>
        <v>3.1960000000000002</v>
      </c>
      <c r="G53" s="116"/>
    </row>
    <row r="54" spans="1:19" ht="21">
      <c r="A54" s="579" t="s">
        <v>173</v>
      </c>
      <c r="B54" s="579"/>
      <c r="C54" s="579"/>
      <c r="D54" s="579"/>
      <c r="E54" s="579"/>
      <c r="F54" s="579"/>
      <c r="G54" s="579"/>
      <c r="H54" s="579"/>
      <c r="I54" s="579"/>
      <c r="J54" s="579"/>
      <c r="K54" s="579"/>
    </row>
    <row r="55" spans="1:19" ht="15.75" thickBot="1">
      <c r="A55" s="151" t="s">
        <v>200</v>
      </c>
      <c r="B55" s="121"/>
      <c r="C55" s="121"/>
      <c r="D55" s="120"/>
      <c r="E55" s="120"/>
      <c r="F55" s="120"/>
      <c r="G55" s="120"/>
      <c r="H55" s="120"/>
      <c r="I55" s="120"/>
      <c r="J55" s="120"/>
      <c r="K55" s="120"/>
      <c r="L55" s="122"/>
      <c r="M55" s="120"/>
      <c r="N55" s="120"/>
      <c r="O55" s="120"/>
      <c r="P55" s="120"/>
      <c r="Q55" s="120"/>
      <c r="R55" s="120"/>
      <c r="S55" s="120"/>
    </row>
    <row r="56" spans="1:19" ht="15.75" thickBot="1">
      <c r="A56" s="120"/>
      <c r="B56" s="121"/>
      <c r="C56" s="121"/>
      <c r="D56" s="120"/>
      <c r="E56" s="120"/>
      <c r="F56" s="120"/>
      <c r="G56" s="120"/>
      <c r="H56" s="598"/>
      <c r="I56" s="598"/>
      <c r="J56" s="598"/>
      <c r="K56" s="598"/>
      <c r="L56" s="598"/>
      <c r="M56" s="120"/>
      <c r="N56" s="599" t="s">
        <v>175</v>
      </c>
      <c r="O56" s="600"/>
      <c r="P56" s="600"/>
      <c r="Q56" s="600"/>
      <c r="R56" s="601"/>
      <c r="S56" s="120"/>
    </row>
    <row r="57" spans="1:19">
      <c r="A57" s="120"/>
      <c r="B57" s="583" t="s">
        <v>176</v>
      </c>
      <c r="C57" s="584"/>
      <c r="D57" s="123">
        <f>'2'!H2</f>
        <v>24190.32</v>
      </c>
      <c r="E57" s="120"/>
      <c r="F57" s="120"/>
      <c r="G57" s="120"/>
      <c r="H57" s="602" t="s">
        <v>177</v>
      </c>
      <c r="I57" s="603"/>
      <c r="J57" s="603"/>
      <c r="K57" s="604"/>
      <c r="L57" s="605"/>
      <c r="M57" s="120"/>
      <c r="N57" s="606" t="s">
        <v>178</v>
      </c>
      <c r="O57" s="607"/>
      <c r="P57" s="610" t="s">
        <v>179</v>
      </c>
      <c r="Q57" s="611"/>
      <c r="R57" s="612"/>
      <c r="S57" s="120"/>
    </row>
    <row r="58" spans="1:19" ht="15.75" thickBot="1">
      <c r="A58" s="120"/>
      <c r="B58" s="581" t="s">
        <v>180</v>
      </c>
      <c r="C58" s="582"/>
      <c r="D58" s="124"/>
      <c r="E58" s="120"/>
      <c r="F58" s="120"/>
      <c r="G58" s="120"/>
      <c r="H58" s="155" t="s">
        <v>8</v>
      </c>
      <c r="I58" s="426"/>
      <c r="J58" s="426"/>
      <c r="K58" s="156" t="s">
        <v>181</v>
      </c>
      <c r="L58" s="157" t="s">
        <v>182</v>
      </c>
      <c r="M58" s="120"/>
      <c r="N58" s="608"/>
      <c r="O58" s="609"/>
      <c r="P58" s="165">
        <v>0</v>
      </c>
      <c r="Q58" s="165">
        <v>1</v>
      </c>
      <c r="R58" s="157" t="s">
        <v>183</v>
      </c>
      <c r="S58" s="120"/>
    </row>
    <row r="59" spans="1:19" ht="15.75" thickBot="1">
      <c r="A59" s="120"/>
      <c r="B59" s="621" t="s">
        <v>185</v>
      </c>
      <c r="C59" s="622"/>
      <c r="D59" s="128">
        <f>SUM(D57:D58)</f>
        <v>24190.32</v>
      </c>
      <c r="E59" s="120"/>
      <c r="F59" s="120"/>
      <c r="G59" s="120"/>
      <c r="H59" s="125">
        <v>0</v>
      </c>
      <c r="I59" s="427"/>
      <c r="J59" s="427"/>
      <c r="K59" s="126">
        <v>17707.2</v>
      </c>
      <c r="L59" s="127">
        <f>24%+0.75%</f>
        <v>0.2475</v>
      </c>
      <c r="M59" s="120"/>
      <c r="N59" s="613" t="s">
        <v>184</v>
      </c>
      <c r="O59" s="614"/>
      <c r="P59" s="617" t="s">
        <v>128</v>
      </c>
      <c r="Q59" s="617">
        <v>13662</v>
      </c>
      <c r="R59" s="619">
        <v>15617</v>
      </c>
      <c r="S59" s="120"/>
    </row>
    <row r="60" spans="1:19">
      <c r="A60" s="120"/>
      <c r="E60" s="120"/>
      <c r="F60" s="120"/>
      <c r="G60" s="120"/>
      <c r="H60" s="129">
        <v>17707.2</v>
      </c>
      <c r="I60" s="428"/>
      <c r="J60" s="428"/>
      <c r="K60" s="130">
        <v>33007.199999999997</v>
      </c>
      <c r="L60" s="131">
        <f>28%+2%</f>
        <v>0.30000000000000004</v>
      </c>
      <c r="M60" s="120"/>
      <c r="N60" s="615"/>
      <c r="O60" s="616"/>
      <c r="P60" s="618"/>
      <c r="Q60" s="618"/>
      <c r="R60" s="620"/>
      <c r="S60" s="120"/>
    </row>
    <row r="61" spans="1:19" ht="15.75" thickBot="1">
      <c r="A61" s="120"/>
      <c r="B61" s="121"/>
      <c r="C61" s="121"/>
      <c r="D61" s="120"/>
      <c r="E61" s="120"/>
      <c r="F61" s="120"/>
      <c r="G61" s="120"/>
      <c r="H61" s="129">
        <v>33007.199999999997</v>
      </c>
      <c r="I61" s="428"/>
      <c r="J61" s="428"/>
      <c r="K61" s="130">
        <v>53407.199999999997</v>
      </c>
      <c r="L61" s="131">
        <f>37%+3%</f>
        <v>0.4</v>
      </c>
      <c r="M61" s="120"/>
      <c r="N61" s="615" t="s">
        <v>186</v>
      </c>
      <c r="O61" s="616"/>
      <c r="P61" s="618">
        <v>13335</v>
      </c>
      <c r="Q61" s="618">
        <v>14774</v>
      </c>
      <c r="R61" s="620">
        <v>16952</v>
      </c>
      <c r="S61" s="120"/>
    </row>
    <row r="62" spans="1:19">
      <c r="A62" s="120"/>
      <c r="B62" s="583" t="s">
        <v>187</v>
      </c>
      <c r="C62" s="584"/>
      <c r="D62" s="123">
        <f ca="1">5151+'2'!D2</f>
        <v>6069</v>
      </c>
      <c r="E62" s="120"/>
      <c r="F62" s="120"/>
      <c r="G62" s="120"/>
      <c r="H62" s="129">
        <v>53407.199999999997</v>
      </c>
      <c r="I62" s="428"/>
      <c r="J62" s="428"/>
      <c r="K62" s="130">
        <v>120000.2</v>
      </c>
      <c r="L62" s="131">
        <f>43%+4%</f>
        <v>0.47</v>
      </c>
      <c r="M62" s="132"/>
      <c r="N62" s="615"/>
      <c r="O62" s="616"/>
      <c r="P62" s="618"/>
      <c r="Q62" s="618"/>
      <c r="R62" s="620"/>
      <c r="S62" s="120"/>
    </row>
    <row r="63" spans="1:19">
      <c r="A63" s="120"/>
      <c r="B63" s="581" t="s">
        <v>103</v>
      </c>
      <c r="C63" s="582"/>
      <c r="D63" s="133">
        <f ca="1">'2'!D7</f>
        <v>0</v>
      </c>
      <c r="E63" s="120"/>
      <c r="F63" s="120"/>
      <c r="G63" s="120"/>
      <c r="H63" s="129">
        <v>120000.2</v>
      </c>
      <c r="I63" s="428"/>
      <c r="J63" s="428"/>
      <c r="K63" s="130">
        <v>175000.2</v>
      </c>
      <c r="L63" s="131">
        <f>44%+5%</f>
        <v>0.49</v>
      </c>
      <c r="M63" s="120"/>
      <c r="N63" s="615" t="s">
        <v>188</v>
      </c>
      <c r="O63" s="616"/>
      <c r="P63" s="618">
        <v>11162</v>
      </c>
      <c r="Q63" s="618">
        <v>11888</v>
      </c>
      <c r="R63" s="620">
        <v>12519</v>
      </c>
      <c r="S63" s="120"/>
    </row>
    <row r="64" spans="1:19" ht="15.75" thickBot="1">
      <c r="A64" s="120"/>
      <c r="B64" s="581" t="s">
        <v>189</v>
      </c>
      <c r="C64" s="582"/>
      <c r="D64" s="133">
        <f ca="1">'2'!D18</f>
        <v>0</v>
      </c>
      <c r="E64" s="120"/>
      <c r="F64" s="120"/>
      <c r="G64" s="120"/>
      <c r="H64" s="129">
        <v>175000.2</v>
      </c>
      <c r="I64" s="428"/>
      <c r="J64" s="428"/>
      <c r="K64" s="130">
        <v>300000.2</v>
      </c>
      <c r="L64" s="131">
        <f>45%+6%</f>
        <v>0.51</v>
      </c>
      <c r="M64" s="120"/>
      <c r="N64" s="642"/>
      <c r="O64" s="643"/>
      <c r="P64" s="644"/>
      <c r="Q64" s="644"/>
      <c r="R64" s="623"/>
      <c r="S64" s="120"/>
    </row>
    <row r="65" spans="1:19" ht="15.75" thickBot="1">
      <c r="A65" s="120"/>
      <c r="B65" s="627" t="s">
        <v>190</v>
      </c>
      <c r="C65" s="628"/>
      <c r="D65" s="152">
        <f ca="1">'2'!D27</f>
        <v>3246</v>
      </c>
      <c r="E65" s="120"/>
      <c r="F65" s="120"/>
      <c r="G65" s="120"/>
      <c r="H65" s="134">
        <v>300000.2</v>
      </c>
      <c r="I65" s="429"/>
      <c r="J65" s="429"/>
      <c r="K65" s="135"/>
      <c r="L65" s="136">
        <f>45%+7%</f>
        <v>0.52</v>
      </c>
      <c r="M65" s="120"/>
      <c r="N65" s="120"/>
      <c r="O65" s="120"/>
      <c r="P65" s="120"/>
      <c r="Q65" s="120"/>
      <c r="R65" s="120"/>
      <c r="S65" s="120"/>
    </row>
    <row r="66" spans="1:19" ht="15" customHeight="1">
      <c r="A66" s="120"/>
      <c r="B66" s="646" t="s">
        <v>191</v>
      </c>
      <c r="C66" s="647"/>
      <c r="D66" s="650">
        <f ca="1">SUM(D62:D65)</f>
        <v>9315</v>
      </c>
      <c r="E66" s="120"/>
      <c r="F66" s="120"/>
      <c r="G66" s="120"/>
      <c r="H66" s="629" t="s">
        <v>201</v>
      </c>
      <c r="I66" s="630"/>
      <c r="J66" s="630"/>
      <c r="K66" s="631"/>
      <c r="L66" s="137"/>
      <c r="M66" s="120"/>
      <c r="N66" s="120"/>
      <c r="O66" s="120"/>
      <c r="P66" s="120"/>
      <c r="Q66" s="120"/>
      <c r="R66" s="120"/>
      <c r="S66" s="120"/>
    </row>
    <row r="67" spans="1:19" ht="15.75" thickBot="1">
      <c r="A67" s="120"/>
      <c r="B67" s="648"/>
      <c r="C67" s="649"/>
      <c r="D67" s="651"/>
      <c r="E67" s="120"/>
      <c r="F67" s="120"/>
      <c r="G67" s="120"/>
      <c r="H67" s="632"/>
      <c r="I67" s="633"/>
      <c r="J67" s="633"/>
      <c r="K67" s="634"/>
      <c r="L67" s="137"/>
      <c r="M67" s="120"/>
      <c r="N67" s="120"/>
      <c r="O67" s="120"/>
      <c r="P67" s="120"/>
      <c r="Q67" s="120"/>
      <c r="R67" s="120"/>
      <c r="S67" s="120"/>
    </row>
    <row r="68" spans="1:19" ht="15.75" thickBot="1">
      <c r="A68" s="120"/>
      <c r="B68" s="138"/>
      <c r="C68" s="138"/>
      <c r="D68" s="139"/>
      <c r="E68" s="120"/>
      <c r="F68" s="120"/>
      <c r="G68" s="120"/>
      <c r="H68" s="635"/>
      <c r="I68" s="636"/>
      <c r="J68" s="636"/>
      <c r="K68" s="637"/>
      <c r="L68" s="120"/>
      <c r="M68" s="120"/>
      <c r="N68" s="120"/>
      <c r="O68" s="120"/>
      <c r="P68" s="120"/>
      <c r="Q68" s="120"/>
      <c r="R68" s="120"/>
      <c r="S68" s="120"/>
    </row>
    <row r="69" spans="1:19" ht="15.75" thickBot="1">
      <c r="A69" s="120"/>
      <c r="B69" s="140"/>
      <c r="C69" s="140"/>
      <c r="D69" s="140"/>
      <c r="E69" s="120"/>
      <c r="F69" s="120"/>
      <c r="G69" s="120"/>
      <c r="H69" s="141">
        <f t="shared" ref="H69:H74" ca="1" si="0">F70-F71</f>
        <v>9315</v>
      </c>
      <c r="I69" s="430"/>
      <c r="J69" s="430"/>
      <c r="K69" s="142">
        <f t="shared" ref="K69:K75" ca="1" si="1">H69*L59</f>
        <v>2305.4625000000001</v>
      </c>
      <c r="L69" s="120"/>
      <c r="M69" s="120"/>
      <c r="N69" s="638" t="s">
        <v>138</v>
      </c>
      <c r="O69" s="639"/>
      <c r="P69" s="639"/>
      <c r="Q69" s="639"/>
      <c r="R69" s="166" t="s">
        <v>139</v>
      </c>
      <c r="S69" s="167" t="s">
        <v>140</v>
      </c>
    </row>
    <row r="70" spans="1:19" ht="15.75" thickBot="1">
      <c r="A70" s="120"/>
      <c r="B70" s="583" t="s">
        <v>193</v>
      </c>
      <c r="C70" s="584"/>
      <c r="D70" s="123">
        <f>D57</f>
        <v>24190.32</v>
      </c>
      <c r="E70" s="120"/>
      <c r="F70" s="178">
        <f t="shared" ref="F70:F76" ca="1" si="2">IF((D$66-H59)&lt;0,0,(D$66-H59))</f>
        <v>9315</v>
      </c>
      <c r="G70" s="178"/>
      <c r="H70" s="143">
        <f t="shared" ca="1" si="0"/>
        <v>0</v>
      </c>
      <c r="I70" s="431"/>
      <c r="J70" s="431"/>
      <c r="K70" s="144">
        <f t="shared" ca="1" si="1"/>
        <v>0</v>
      </c>
      <c r="L70" s="120"/>
      <c r="M70" s="120"/>
      <c r="N70" s="640"/>
      <c r="O70" s="641"/>
      <c r="P70" s="641"/>
      <c r="Q70" s="641"/>
      <c r="R70" s="156" t="s">
        <v>141</v>
      </c>
      <c r="S70" s="168" t="s">
        <v>141</v>
      </c>
    </row>
    <row r="71" spans="1:19">
      <c r="A71" s="120"/>
      <c r="B71" s="581" t="s">
        <v>194</v>
      </c>
      <c r="C71" s="582"/>
      <c r="D71" s="133">
        <f>(2652)</f>
        <v>2652</v>
      </c>
      <c r="E71" s="120"/>
      <c r="F71" s="178">
        <f t="shared" ca="1" si="2"/>
        <v>0</v>
      </c>
      <c r="G71" s="178"/>
      <c r="H71" s="143">
        <f t="shared" ca="1" si="0"/>
        <v>0</v>
      </c>
      <c r="I71" s="431"/>
      <c r="J71" s="431"/>
      <c r="K71" s="144">
        <f t="shared" ca="1" si="1"/>
        <v>0</v>
      </c>
      <c r="L71" s="120"/>
      <c r="M71" s="145">
        <v>1</v>
      </c>
      <c r="N71" s="672" t="s">
        <v>142</v>
      </c>
      <c r="O71" s="673"/>
      <c r="P71" s="673"/>
      <c r="Q71" s="673"/>
      <c r="R71" s="91">
        <v>1045.2</v>
      </c>
      <c r="S71" s="92">
        <v>3596.98</v>
      </c>
    </row>
    <row r="72" spans="1:19">
      <c r="A72" s="120"/>
      <c r="B72" s="581" t="s">
        <v>195</v>
      </c>
      <c r="C72" s="582"/>
      <c r="D72" s="144">
        <f>D70*0.0635</f>
        <v>1536.0853199999999</v>
      </c>
      <c r="E72" s="120"/>
      <c r="F72" s="178">
        <f t="shared" ca="1" si="2"/>
        <v>0</v>
      </c>
      <c r="G72" s="178"/>
      <c r="H72" s="143">
        <f t="shared" ca="1" si="0"/>
        <v>0</v>
      </c>
      <c r="I72" s="431"/>
      <c r="J72" s="431"/>
      <c r="K72" s="144">
        <f t="shared" ca="1" si="1"/>
        <v>0</v>
      </c>
      <c r="L72" s="120"/>
      <c r="M72" s="145">
        <v>2</v>
      </c>
      <c r="N72" s="93" t="s">
        <v>143</v>
      </c>
      <c r="O72" s="94"/>
      <c r="P72" s="94"/>
      <c r="Q72" s="94"/>
      <c r="R72" s="95">
        <v>867</v>
      </c>
      <c r="S72" s="96">
        <v>3596.98</v>
      </c>
    </row>
    <row r="73" spans="1:19">
      <c r="A73" s="120"/>
      <c r="B73" s="581" t="s">
        <v>236</v>
      </c>
      <c r="C73" s="582"/>
      <c r="D73" s="144">
        <f ca="1">IF('2'!C3&gt;65,2652,0)</f>
        <v>2652</v>
      </c>
      <c r="E73" s="120"/>
      <c r="F73" s="178">
        <f t="shared" ca="1" si="2"/>
        <v>0</v>
      </c>
      <c r="G73" s="178"/>
      <c r="H73" s="143">
        <f t="shared" ca="1" si="0"/>
        <v>0</v>
      </c>
      <c r="I73" s="431"/>
      <c r="J73" s="431"/>
      <c r="K73" s="144">
        <f t="shared" ca="1" si="1"/>
        <v>0</v>
      </c>
      <c r="L73" s="120"/>
      <c r="M73" s="145">
        <v>3</v>
      </c>
      <c r="N73" s="624" t="s">
        <v>144</v>
      </c>
      <c r="O73" s="625"/>
      <c r="P73" s="625"/>
      <c r="Q73" s="626"/>
      <c r="R73" s="95">
        <v>754.2</v>
      </c>
      <c r="S73" s="96">
        <v>3596.98</v>
      </c>
    </row>
    <row r="74" spans="1:19">
      <c r="A74" s="120"/>
      <c r="B74" s="581" t="s">
        <v>122</v>
      </c>
      <c r="C74" s="582"/>
      <c r="D74" s="133">
        <f ca="1">'2'!D41</f>
        <v>5562</v>
      </c>
      <c r="E74" s="120"/>
      <c r="F74" s="178">
        <f t="shared" ca="1" si="2"/>
        <v>0</v>
      </c>
      <c r="G74" s="178"/>
      <c r="H74" s="143">
        <f t="shared" ca="1" si="0"/>
        <v>0</v>
      </c>
      <c r="I74" s="431"/>
      <c r="J74" s="431"/>
      <c r="K74" s="144">
        <f t="shared" ca="1" si="1"/>
        <v>0</v>
      </c>
      <c r="L74" s="122"/>
      <c r="M74" s="145">
        <v>4</v>
      </c>
      <c r="N74" s="624" t="s">
        <v>145</v>
      </c>
      <c r="O74" s="625"/>
      <c r="P74" s="625"/>
      <c r="Q74" s="626"/>
      <c r="R74" s="95">
        <v>748.2</v>
      </c>
      <c r="S74" s="96">
        <v>3596.98</v>
      </c>
    </row>
    <row r="75" spans="1:19" ht="15" customHeight="1">
      <c r="A75" s="120"/>
      <c r="B75" s="646" t="s">
        <v>196</v>
      </c>
      <c r="C75" s="647"/>
      <c r="D75" s="620">
        <f ca="1">SUM(D71:D74)</f>
        <v>12402.08532</v>
      </c>
      <c r="E75" s="120"/>
      <c r="F75" s="178">
        <f t="shared" ca="1" si="2"/>
        <v>0</v>
      </c>
      <c r="G75" s="178"/>
      <c r="H75" s="143">
        <f ca="1">F76</f>
        <v>0</v>
      </c>
      <c r="I75" s="431"/>
      <c r="J75" s="431"/>
      <c r="K75" s="144">
        <f t="shared" ca="1" si="1"/>
        <v>0</v>
      </c>
      <c r="L75" s="120"/>
      <c r="M75" s="145">
        <v>5</v>
      </c>
      <c r="N75" s="624" t="s">
        <v>146</v>
      </c>
      <c r="O75" s="625"/>
      <c r="P75" s="625"/>
      <c r="Q75" s="626"/>
      <c r="R75" s="95">
        <v>748.2</v>
      </c>
      <c r="S75" s="96">
        <v>3596.98</v>
      </c>
    </row>
    <row r="76" spans="1:19" ht="15.75" customHeight="1" thickBot="1">
      <c r="A76" s="120"/>
      <c r="B76" s="646"/>
      <c r="C76" s="647"/>
      <c r="D76" s="620"/>
      <c r="E76" s="120"/>
      <c r="F76" s="178">
        <f t="shared" ca="1" si="2"/>
        <v>0</v>
      </c>
      <c r="G76" s="178"/>
      <c r="H76" s="153" t="s">
        <v>4</v>
      </c>
      <c r="I76" s="432"/>
      <c r="J76" s="432"/>
      <c r="K76" s="154">
        <f ca="1">SUM(K69:K75)</f>
        <v>2305.4625000000001</v>
      </c>
      <c r="L76" s="120"/>
      <c r="M76" s="145">
        <v>6</v>
      </c>
      <c r="N76" s="624" t="s">
        <v>97</v>
      </c>
      <c r="O76" s="625"/>
      <c r="P76" s="625"/>
      <c r="Q76" s="626"/>
      <c r="R76" s="95">
        <v>748.2</v>
      </c>
      <c r="S76" s="96">
        <v>3596.98</v>
      </c>
    </row>
    <row r="77" spans="1:19" ht="15.75" thickBot="1">
      <c r="A77" s="120"/>
      <c r="B77" s="646" t="s">
        <v>197</v>
      </c>
      <c r="C77" s="647"/>
      <c r="D77" s="650">
        <f ca="1">D59-D75</f>
        <v>11788.23468</v>
      </c>
      <c r="E77" s="120"/>
      <c r="F77" s="117"/>
      <c r="G77" s="117"/>
      <c r="L77" s="120"/>
      <c r="M77" s="145">
        <v>7</v>
      </c>
      <c r="N77" s="669" t="s">
        <v>147</v>
      </c>
      <c r="O77" s="670"/>
      <c r="P77" s="670"/>
      <c r="Q77" s="671"/>
      <c r="R77" s="146">
        <v>748.2</v>
      </c>
      <c r="S77" s="98">
        <v>3596.98</v>
      </c>
    </row>
    <row r="78" spans="1:19" ht="15.75" customHeight="1" thickBot="1">
      <c r="A78" s="120"/>
      <c r="B78" s="648"/>
      <c r="C78" s="649"/>
      <c r="D78" s="651"/>
      <c r="E78" s="120"/>
      <c r="F78" s="178"/>
      <c r="G78" s="178"/>
      <c r="H78" s="629" t="s">
        <v>192</v>
      </c>
      <c r="I78" s="630"/>
      <c r="J78" s="630"/>
      <c r="K78" s="631"/>
      <c r="L78" s="120"/>
      <c r="M78" s="120"/>
      <c r="N78" s="666" t="s">
        <v>87</v>
      </c>
      <c r="O78" s="667"/>
      <c r="P78" s="667"/>
      <c r="Q78" s="668"/>
      <c r="R78" s="147">
        <f>'1'!G14</f>
        <v>3</v>
      </c>
      <c r="S78" s="120"/>
    </row>
    <row r="79" spans="1:19">
      <c r="A79" s="120"/>
      <c r="B79" s="121"/>
      <c r="C79" s="121"/>
      <c r="D79" s="120"/>
      <c r="E79" s="120"/>
      <c r="F79" s="178">
        <v>5</v>
      </c>
      <c r="G79" s="178"/>
      <c r="H79" s="632"/>
      <c r="I79" s="633"/>
      <c r="J79" s="633"/>
      <c r="K79" s="634"/>
      <c r="L79" s="120"/>
      <c r="M79" s="120"/>
      <c r="N79" s="148"/>
      <c r="O79" s="148"/>
      <c r="P79" s="148"/>
      <c r="Q79" s="148"/>
      <c r="R79" s="103"/>
      <c r="S79" s="103"/>
    </row>
    <row r="80" spans="1:19" ht="15.75" thickBot="1">
      <c r="A80" s="120"/>
      <c r="B80" s="577" t="s">
        <v>307</v>
      </c>
      <c r="C80" s="577"/>
      <c r="D80" s="120">
        <f ca="1">Bases_Cotización!F5+Bases_Cotización!F6+Bases_Cotización!F9+Bases_Cotización!F24</f>
        <v>2588.3450000000003</v>
      </c>
      <c r="E80" s="120"/>
      <c r="F80" s="178">
        <v>4</v>
      </c>
      <c r="G80" s="178"/>
      <c r="H80" s="635"/>
      <c r="I80" s="636"/>
      <c r="J80" s="636"/>
      <c r="K80" s="637"/>
      <c r="L80" s="120"/>
      <c r="M80" s="120"/>
      <c r="N80" s="160"/>
      <c r="O80" s="160"/>
      <c r="P80" s="160"/>
      <c r="Q80" s="160"/>
      <c r="R80" s="160"/>
      <c r="S80" s="160"/>
    </row>
    <row r="81" spans="1:19" ht="15.75" customHeight="1">
      <c r="A81" s="120"/>
      <c r="B81" s="653" t="s">
        <v>198</v>
      </c>
      <c r="C81" s="654"/>
      <c r="D81" s="656">
        <f ca="1">D59*L90</f>
        <v>725.70959999999991</v>
      </c>
      <c r="E81" s="120"/>
      <c r="F81" s="178"/>
      <c r="G81" s="178"/>
      <c r="H81" s="141">
        <f t="shared" ref="H81:H86" ca="1" si="3">F82-F83</f>
        <v>11788.23468</v>
      </c>
      <c r="I81" s="430"/>
      <c r="J81" s="430"/>
      <c r="K81" s="142">
        <f ca="1">H81*L59</f>
        <v>2917.5880832999997</v>
      </c>
      <c r="L81" s="120"/>
      <c r="M81" s="120"/>
      <c r="N81" s="160"/>
      <c r="O81" s="160"/>
      <c r="P81" s="160"/>
      <c r="Q81" s="160"/>
      <c r="R81" s="164"/>
      <c r="S81" s="164"/>
    </row>
    <row r="82" spans="1:19" ht="15.75" thickBot="1">
      <c r="A82" s="120"/>
      <c r="B82" s="648"/>
      <c r="C82" s="655"/>
      <c r="D82" s="657"/>
      <c r="E82" s="120"/>
      <c r="F82" s="178">
        <f t="shared" ref="F82:F88" ca="1" si="4">IF((D$77-H59)&lt;0,0,(D$77-H59))</f>
        <v>11788.23468</v>
      </c>
      <c r="G82" s="178"/>
      <c r="H82" s="143">
        <f t="shared" ca="1" si="3"/>
        <v>0</v>
      </c>
      <c r="I82" s="431"/>
      <c r="J82" s="431"/>
      <c r="K82" s="144">
        <f t="shared" ref="K82:K87" ca="1" si="5">H82*L60</f>
        <v>0</v>
      </c>
      <c r="L82" s="120"/>
      <c r="M82" s="120"/>
      <c r="N82" s="174"/>
      <c r="O82" s="174"/>
      <c r="P82" s="174"/>
      <c r="Q82" s="174"/>
      <c r="R82" s="172"/>
      <c r="S82" s="173"/>
    </row>
    <row r="83" spans="1:19">
      <c r="A83" s="120"/>
      <c r="B83" s="653" t="s">
        <v>199</v>
      </c>
      <c r="C83" s="654"/>
      <c r="D83" s="658">
        <f ca="1">(D81-0)/D59</f>
        <v>2.9999999999999995E-2</v>
      </c>
      <c r="E83" s="120"/>
      <c r="F83" s="178">
        <f t="shared" ca="1" si="4"/>
        <v>0</v>
      </c>
      <c r="G83" s="178"/>
      <c r="H83" s="143">
        <f t="shared" ca="1" si="3"/>
        <v>0</v>
      </c>
      <c r="I83" s="431"/>
      <c r="J83" s="431"/>
      <c r="K83" s="144">
        <f t="shared" ca="1" si="5"/>
        <v>0</v>
      </c>
      <c r="L83" s="149"/>
      <c r="M83" s="120"/>
      <c r="N83" s="171"/>
      <c r="O83" s="171"/>
      <c r="P83" s="171"/>
      <c r="Q83" s="171"/>
      <c r="R83" s="169"/>
      <c r="S83" s="169"/>
    </row>
    <row r="84" spans="1:19" ht="15.75" thickBot="1">
      <c r="A84" s="120"/>
      <c r="B84" s="648"/>
      <c r="C84" s="655"/>
      <c r="D84" s="658"/>
      <c r="E84" s="120"/>
      <c r="F84" s="178">
        <f t="shared" ca="1" si="4"/>
        <v>0</v>
      </c>
      <c r="G84" s="178"/>
      <c r="H84" s="143">
        <f t="shared" ca="1" si="3"/>
        <v>0</v>
      </c>
      <c r="I84" s="431"/>
      <c r="J84" s="431"/>
      <c r="K84" s="144">
        <f t="shared" ca="1" si="5"/>
        <v>0</v>
      </c>
      <c r="L84" s="122"/>
      <c r="M84" s="120"/>
      <c r="N84" s="171"/>
      <c r="O84" s="171"/>
      <c r="P84" s="171"/>
      <c r="Q84" s="171"/>
      <c r="R84" s="169"/>
      <c r="S84" s="169"/>
    </row>
    <row r="85" spans="1:19">
      <c r="A85" s="120"/>
      <c r="B85" s="653" t="s">
        <v>203</v>
      </c>
      <c r="C85" s="654"/>
      <c r="D85" s="657">
        <f ca="1">D80*Bases_Cotización!D83</f>
        <v>77.650349999999989</v>
      </c>
      <c r="E85" s="120"/>
      <c r="F85" s="178">
        <f t="shared" ca="1" si="4"/>
        <v>0</v>
      </c>
      <c r="G85" s="178"/>
      <c r="H85" s="143">
        <f t="shared" ca="1" si="3"/>
        <v>0</v>
      </c>
      <c r="I85" s="431"/>
      <c r="J85" s="431"/>
      <c r="K85" s="144">
        <f t="shared" ca="1" si="5"/>
        <v>0</v>
      </c>
      <c r="L85" s="122"/>
      <c r="M85" s="120"/>
      <c r="N85" s="171"/>
      <c r="O85" s="171"/>
      <c r="P85" s="171"/>
      <c r="Q85" s="171"/>
      <c r="R85" s="170"/>
      <c r="S85" s="170"/>
    </row>
    <row r="86" spans="1:19" ht="15.75" thickBot="1">
      <c r="A86" s="120"/>
      <c r="B86" s="648"/>
      <c r="C86" s="655"/>
      <c r="D86" s="659"/>
      <c r="E86" s="120"/>
      <c r="F86" s="178">
        <f t="shared" ca="1" si="4"/>
        <v>0</v>
      </c>
      <c r="G86" s="178"/>
      <c r="H86" s="143">
        <f t="shared" ca="1" si="3"/>
        <v>0</v>
      </c>
      <c r="I86" s="431"/>
      <c r="J86" s="431"/>
      <c r="K86" s="144">
        <f t="shared" ca="1" si="5"/>
        <v>0</v>
      </c>
      <c r="L86" s="122"/>
      <c r="M86" s="120"/>
      <c r="N86" s="120"/>
      <c r="O86" s="120"/>
      <c r="P86" s="120"/>
      <c r="Q86" s="120"/>
      <c r="R86" s="120"/>
      <c r="S86" s="120"/>
    </row>
    <row r="87" spans="1:19" ht="15.75" thickBot="1">
      <c r="A87" s="120"/>
      <c r="B87" s="652"/>
      <c r="C87" s="652"/>
      <c r="D87" s="162"/>
      <c r="E87" s="120"/>
      <c r="F87" s="178">
        <f t="shared" ca="1" si="4"/>
        <v>0</v>
      </c>
      <c r="G87" s="178"/>
      <c r="H87" s="143">
        <f ca="1">F88</f>
        <v>0</v>
      </c>
      <c r="I87" s="431"/>
      <c r="J87" s="431"/>
      <c r="K87" s="144">
        <f t="shared" ca="1" si="5"/>
        <v>0</v>
      </c>
      <c r="L87" s="122"/>
      <c r="M87" s="120"/>
      <c r="N87" s="120"/>
      <c r="O87" s="120"/>
      <c r="P87" s="120"/>
      <c r="Q87" s="120"/>
      <c r="R87" s="120"/>
      <c r="S87" s="120"/>
    </row>
    <row r="88" spans="1:19" ht="15.75" thickBot="1">
      <c r="A88" s="120"/>
      <c r="B88" s="652"/>
      <c r="C88" s="652"/>
      <c r="D88" s="162"/>
      <c r="E88" s="120"/>
      <c r="F88" s="178">
        <f t="shared" ca="1" si="4"/>
        <v>0</v>
      </c>
      <c r="G88" s="178"/>
      <c r="H88" s="153" t="s">
        <v>4</v>
      </c>
      <c r="I88" s="432"/>
      <c r="J88" s="432"/>
      <c r="K88" s="154">
        <f ca="1">SUM(K81:K87)</f>
        <v>2917.5880832999997</v>
      </c>
      <c r="L88" s="664" t="s">
        <v>202</v>
      </c>
      <c r="M88" s="120"/>
    </row>
    <row r="89" spans="1:19" ht="15.75" thickBot="1">
      <c r="A89" s="120"/>
      <c r="B89" s="652"/>
      <c r="C89" s="652"/>
      <c r="D89" s="163"/>
      <c r="E89" s="120"/>
      <c r="F89" s="178">
        <f ca="1">D72+K90</f>
        <v>2148.2109032999997</v>
      </c>
      <c r="G89" s="178"/>
      <c r="H89" s="661" t="s">
        <v>174</v>
      </c>
      <c r="I89" s="662"/>
      <c r="J89" s="662"/>
      <c r="K89" s="663"/>
      <c r="L89" s="665"/>
      <c r="M89" s="120"/>
    </row>
    <row r="90" spans="1:19" ht="15.75" thickBot="1">
      <c r="A90" s="120"/>
      <c r="B90" s="660"/>
      <c r="C90" s="660"/>
      <c r="D90" s="161"/>
      <c r="E90" s="120"/>
      <c r="F90" s="179">
        <f ca="1">F89/D59</f>
        <v>8.8804567417876235E-2</v>
      </c>
      <c r="G90" s="179"/>
      <c r="H90" s="153" t="s">
        <v>213</v>
      </c>
      <c r="I90" s="433"/>
      <c r="J90" s="433"/>
      <c r="K90" s="320">
        <f ca="1">K88-K76</f>
        <v>612.12558329999956</v>
      </c>
      <c r="L90" s="159">
        <f ca="1">IF(D59&lt;22000,(((D59-13335)*0.43)/D59),ROUND((K90/D59),2))</f>
        <v>0.03</v>
      </c>
      <c r="M90" s="120"/>
    </row>
    <row r="91" spans="1:19" ht="15.75" thickBot="1">
      <c r="A91" s="120"/>
      <c r="B91" s="645"/>
      <c r="C91" s="645"/>
      <c r="D91" s="162"/>
      <c r="E91" s="120"/>
      <c r="F91" s="120"/>
      <c r="G91" s="120"/>
      <c r="H91" s="180" t="s">
        <v>4</v>
      </c>
      <c r="I91" s="434"/>
      <c r="J91" s="434"/>
      <c r="K91" s="158">
        <f ca="1">IF(D59&lt;22000,(0+(D59-Q61))*0.43,K90)</f>
        <v>612.12558329999956</v>
      </c>
      <c r="L91" s="120"/>
      <c r="M91" s="120"/>
      <c r="N91" s="120"/>
      <c r="O91" s="120"/>
      <c r="P91" s="120"/>
      <c r="Q91" s="120"/>
      <c r="R91" s="120"/>
      <c r="S91" s="120"/>
    </row>
    <row r="93" spans="1:19" s="177" customFormat="1">
      <c r="A93" s="150"/>
      <c r="B93" s="175"/>
      <c r="C93" s="175"/>
      <c r="D93" s="175"/>
      <c r="E93" s="175"/>
      <c r="F93" s="175"/>
      <c r="G93" s="175"/>
      <c r="H93" s="176"/>
      <c r="I93" s="176"/>
      <c r="J93" s="176"/>
      <c r="K93" s="176"/>
      <c r="L93" s="176"/>
      <c r="M93" s="176"/>
      <c r="N93" s="176"/>
      <c r="O93" s="176"/>
      <c r="P93" s="176"/>
      <c r="Q93" s="176"/>
      <c r="R93" s="176"/>
      <c r="S93" s="176"/>
    </row>
    <row r="94" spans="1:19" s="177" customFormat="1">
      <c r="A94" s="150"/>
      <c r="B94" s="175"/>
      <c r="C94" s="175"/>
      <c r="D94" s="175"/>
      <c r="E94" s="175"/>
      <c r="F94" s="175"/>
      <c r="G94" s="175"/>
      <c r="H94" s="176"/>
      <c r="I94" s="176"/>
      <c r="J94" s="176"/>
      <c r="K94" s="176"/>
      <c r="L94" s="176"/>
      <c r="M94" s="176"/>
      <c r="N94" s="176"/>
      <c r="O94" s="176"/>
      <c r="P94" s="176"/>
      <c r="Q94" s="176"/>
      <c r="R94" s="176"/>
      <c r="S94" s="176"/>
    </row>
    <row r="95" spans="1:19" s="177" customFormat="1">
      <c r="A95" s="150"/>
      <c r="B95" s="175"/>
      <c r="C95" s="175"/>
      <c r="D95" s="175"/>
      <c r="E95" s="175"/>
      <c r="F95" s="175"/>
      <c r="G95" s="175"/>
      <c r="H95" s="176"/>
      <c r="I95" s="176"/>
      <c r="J95" s="176"/>
      <c r="K95" s="176"/>
      <c r="L95" s="176"/>
      <c r="M95" s="176"/>
      <c r="N95" s="176"/>
      <c r="O95" s="176"/>
      <c r="P95" s="176"/>
      <c r="Q95" s="176"/>
      <c r="R95" s="176"/>
      <c r="S95" s="176"/>
    </row>
  </sheetData>
  <mergeCells count="73">
    <mergeCell ref="B85:C86"/>
    <mergeCell ref="D85:D86"/>
    <mergeCell ref="R32:R34"/>
    <mergeCell ref="S32:S34"/>
    <mergeCell ref="B90:C90"/>
    <mergeCell ref="H89:K89"/>
    <mergeCell ref="L88:L89"/>
    <mergeCell ref="H78:K80"/>
    <mergeCell ref="N78:Q78"/>
    <mergeCell ref="N75:Q75"/>
    <mergeCell ref="N76:Q76"/>
    <mergeCell ref="N77:Q77"/>
    <mergeCell ref="N71:Q71"/>
    <mergeCell ref="B73:C73"/>
    <mergeCell ref="N73:Q73"/>
    <mergeCell ref="B74:C74"/>
    <mergeCell ref="B91:C91"/>
    <mergeCell ref="B66:C67"/>
    <mergeCell ref="D66:D67"/>
    <mergeCell ref="B75:C76"/>
    <mergeCell ref="B77:C78"/>
    <mergeCell ref="D75:D76"/>
    <mergeCell ref="B88:C88"/>
    <mergeCell ref="B89:C89"/>
    <mergeCell ref="B87:C87"/>
    <mergeCell ref="B81:C82"/>
    <mergeCell ref="D81:D82"/>
    <mergeCell ref="B83:C84"/>
    <mergeCell ref="D83:D84"/>
    <mergeCell ref="D77:D78"/>
    <mergeCell ref="B71:C71"/>
    <mergeCell ref="B72:C72"/>
    <mergeCell ref="N74:Q74"/>
    <mergeCell ref="B64:C64"/>
    <mergeCell ref="B65:C65"/>
    <mergeCell ref="H66:K68"/>
    <mergeCell ref="N69:Q70"/>
    <mergeCell ref="B70:C70"/>
    <mergeCell ref="N63:O64"/>
    <mergeCell ref="P63:P64"/>
    <mergeCell ref="Q63:Q64"/>
    <mergeCell ref="R63:R64"/>
    <mergeCell ref="N61:O62"/>
    <mergeCell ref="P61:P62"/>
    <mergeCell ref="Q61:Q62"/>
    <mergeCell ref="R61:R62"/>
    <mergeCell ref="N59:O60"/>
    <mergeCell ref="P59:P60"/>
    <mergeCell ref="Q59:Q60"/>
    <mergeCell ref="R59:R60"/>
    <mergeCell ref="B59:C59"/>
    <mergeCell ref="H56:L56"/>
    <mergeCell ref="N56:R56"/>
    <mergeCell ref="B57:C57"/>
    <mergeCell ref="H57:L57"/>
    <mergeCell ref="N57:O58"/>
    <mergeCell ref="P57:R57"/>
    <mergeCell ref="B58:C58"/>
    <mergeCell ref="L32:L34"/>
    <mergeCell ref="A54:K54"/>
    <mergeCell ref="O32:O34"/>
    <mergeCell ref="P32:P34"/>
    <mergeCell ref="Q32:Q34"/>
    <mergeCell ref="F38:F39"/>
    <mergeCell ref="M32:N33"/>
    <mergeCell ref="B80:C80"/>
    <mergeCell ref="A27:E28"/>
    <mergeCell ref="A2:F2"/>
    <mergeCell ref="A31:F31"/>
    <mergeCell ref="A32:D32"/>
    <mergeCell ref="B63:C63"/>
    <mergeCell ref="B62:C62"/>
    <mergeCell ref="F27:F28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105"/>
  <sheetViews>
    <sheetView showGridLines="0" topLeftCell="A61" zoomScale="80" zoomScaleNormal="80" zoomScaleSheetLayoutView="50" workbookViewId="0">
      <selection activeCell="N107" sqref="N107"/>
    </sheetView>
  </sheetViews>
  <sheetFormatPr baseColWidth="10" defaultColWidth="11.42578125" defaultRowHeight="15"/>
  <cols>
    <col min="1" max="1" width="2.5703125" style="17" customWidth="1"/>
    <col min="2" max="2" width="1.7109375" style="17" customWidth="1"/>
    <col min="3" max="3" width="6.28515625" style="17" customWidth="1"/>
    <col min="4" max="4" width="3.28515625" style="17" customWidth="1"/>
    <col min="5" max="5" width="12.7109375" style="17" customWidth="1"/>
    <col min="6" max="6" width="12.28515625" style="17" customWidth="1"/>
    <col min="7" max="7" width="15" style="17" customWidth="1"/>
    <col min="8" max="8" width="6" style="17" customWidth="1"/>
    <col min="9" max="9" width="11.42578125" style="17"/>
    <col min="10" max="10" width="14.42578125" style="17" customWidth="1"/>
    <col min="11" max="11" width="7.42578125" style="17" customWidth="1"/>
    <col min="12" max="12" width="7.28515625" style="17" customWidth="1"/>
    <col min="13" max="13" width="8.140625" style="17" customWidth="1"/>
    <col min="14" max="14" width="10.42578125" style="17" bestFit="1" customWidth="1"/>
    <col min="15" max="15" width="8" style="17" customWidth="1"/>
    <col min="16" max="16" width="7.140625" style="17" customWidth="1"/>
    <col min="17" max="17" width="5.140625" style="17" customWidth="1"/>
    <col min="18" max="18" width="13.28515625" style="17" customWidth="1"/>
    <col min="19" max="19" width="9" style="17" customWidth="1"/>
    <col min="20" max="20" width="1.7109375" style="17" customWidth="1"/>
    <col min="21" max="21" width="15.7109375" style="17" bestFit="1" customWidth="1"/>
    <col min="22" max="22" width="1.85546875" style="17" customWidth="1"/>
    <col min="23" max="23" width="3.7109375" style="17" customWidth="1"/>
    <col min="24" max="24" width="4.42578125" style="17" customWidth="1"/>
    <col min="25" max="25" width="4.28515625" style="17" customWidth="1"/>
    <col min="26" max="26" width="5.140625" style="17" customWidth="1"/>
    <col min="27" max="27" width="13.42578125" style="17" bestFit="1" customWidth="1"/>
    <col min="28" max="16384" width="11.42578125" style="17"/>
  </cols>
  <sheetData>
    <row r="1" spans="2:22" ht="15.75" thickBot="1"/>
    <row r="2" spans="2:22" ht="3.75" customHeight="1"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1"/>
    </row>
    <row r="3" spans="2:22">
      <c r="B3" s="22"/>
      <c r="C3" s="23" t="s">
        <v>26</v>
      </c>
      <c r="D3" s="23"/>
      <c r="E3" s="23"/>
      <c r="F3" s="23"/>
      <c r="G3" s="23"/>
      <c r="H3" s="23"/>
      <c r="I3" s="23"/>
      <c r="J3" s="23"/>
      <c r="K3" s="23"/>
      <c r="L3" s="23" t="s">
        <v>39</v>
      </c>
      <c r="M3" s="23"/>
      <c r="N3" s="23"/>
      <c r="O3" s="23"/>
      <c r="P3" s="23"/>
      <c r="Q3" s="23"/>
      <c r="R3" s="23"/>
      <c r="S3" s="23"/>
      <c r="T3" s="23"/>
      <c r="U3" s="23"/>
      <c r="V3" s="24"/>
    </row>
    <row r="4" spans="2:22">
      <c r="B4" s="22"/>
      <c r="C4" s="760" t="str">
        <f>'1'!G4</f>
        <v>Mi Empresa</v>
      </c>
      <c r="D4" s="761"/>
      <c r="E4" s="761"/>
      <c r="F4" s="761"/>
      <c r="G4" s="761"/>
      <c r="H4" s="761"/>
      <c r="I4" s="761"/>
      <c r="J4" s="762"/>
      <c r="K4" s="23"/>
      <c r="L4" s="760" t="str">
        <f>'1'!G11</f>
        <v>Felipe González López</v>
      </c>
      <c r="M4" s="761"/>
      <c r="N4" s="761"/>
      <c r="O4" s="761"/>
      <c r="P4" s="761"/>
      <c r="Q4" s="761"/>
      <c r="R4" s="761"/>
      <c r="S4" s="761"/>
      <c r="T4" s="761"/>
      <c r="U4" s="762"/>
      <c r="V4" s="24"/>
    </row>
    <row r="5" spans="2:22" ht="4.5" customHeight="1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</row>
    <row r="6" spans="2:22">
      <c r="B6" s="22"/>
      <c r="C6" s="23" t="s">
        <v>25</v>
      </c>
      <c r="D6" s="23"/>
      <c r="E6" s="23"/>
      <c r="F6" s="23"/>
      <c r="G6" s="23"/>
      <c r="H6" s="23"/>
      <c r="I6" s="23"/>
      <c r="J6" s="23"/>
      <c r="K6" s="23"/>
      <c r="L6" s="23" t="s">
        <v>34</v>
      </c>
      <c r="M6" s="23"/>
      <c r="N6" s="23"/>
      <c r="O6" s="23"/>
      <c r="Q6" s="23" t="s">
        <v>40</v>
      </c>
      <c r="R6" s="23"/>
      <c r="S6" s="23"/>
      <c r="T6" s="23"/>
      <c r="U6" s="23"/>
      <c r="V6" s="24"/>
    </row>
    <row r="7" spans="2:22">
      <c r="B7" s="22"/>
      <c r="C7" s="760" t="str">
        <f>'1'!G5</f>
        <v xml:space="preserve">C/ Locura Temporal 17 </v>
      </c>
      <c r="D7" s="761"/>
      <c r="E7" s="761"/>
      <c r="F7" s="761"/>
      <c r="G7" s="761"/>
      <c r="H7" s="761"/>
      <c r="I7" s="761"/>
      <c r="J7" s="762"/>
      <c r="K7" s="23"/>
      <c r="L7" s="769">
        <f>'1'!G12</f>
        <v>87060147</v>
      </c>
      <c r="M7" s="761"/>
      <c r="N7" s="761"/>
      <c r="O7" s="762"/>
      <c r="P7" s="23"/>
      <c r="Q7" s="760">
        <f>'1'!G13</f>
        <v>60096575824</v>
      </c>
      <c r="R7" s="761"/>
      <c r="S7" s="761"/>
      <c r="T7" s="762"/>
      <c r="U7" s="23"/>
      <c r="V7" s="24"/>
    </row>
    <row r="8" spans="2:22">
      <c r="B8" s="22"/>
      <c r="C8" s="23" t="s">
        <v>24</v>
      </c>
      <c r="D8" s="23"/>
      <c r="E8" s="23"/>
      <c r="F8" s="23"/>
      <c r="G8" s="23" t="s">
        <v>23</v>
      </c>
      <c r="H8" s="23"/>
      <c r="I8" s="23"/>
      <c r="J8" s="23"/>
      <c r="K8" s="23"/>
      <c r="L8" s="23" t="s">
        <v>41</v>
      </c>
      <c r="M8" s="23"/>
      <c r="N8" s="23"/>
      <c r="O8" s="23"/>
      <c r="P8" s="23"/>
      <c r="Q8" s="23"/>
      <c r="R8" s="23"/>
      <c r="S8" s="23" t="s">
        <v>42</v>
      </c>
      <c r="T8" s="23"/>
      <c r="U8" s="23" t="s">
        <v>43</v>
      </c>
      <c r="V8" s="24"/>
    </row>
    <row r="9" spans="2:22">
      <c r="B9" s="22"/>
      <c r="C9" s="760" t="str">
        <f>'1'!G6</f>
        <v>A/28123453</v>
      </c>
      <c r="D9" s="761"/>
      <c r="E9" s="762"/>
      <c r="F9" s="23"/>
      <c r="G9" s="763" t="str">
        <f>'1'!G7</f>
        <v>28/1234567/42</v>
      </c>
      <c r="H9" s="764"/>
      <c r="I9" s="764"/>
      <c r="J9" s="765"/>
      <c r="K9" s="23"/>
      <c r="L9" s="766" t="str">
        <f>IF(S9=Datos_Auxiliares!B3,Datos_Auxiliares!C3,IF(S9=Datos_Auxiliares!B4,Datos_Auxiliares!C4,IF(S9=Datos_Auxiliares!B5,Datos_Auxiliares!C5,IF(S9=Datos_Auxiliares!B6,Datos_Auxiliares!C6,IF(S9=Datos_Auxiliares!B7,Datos_Auxiliares!C7,IF(S9=Datos_Auxiliares!B8,Datos_Auxiliares!C8,IF(S9=Datos_Auxiliares!B9,Datos_Auxiliares!C9,IF(S9=Datos_Auxiliares!B11,Datos_Auxiliares!C11,IF(S9=Datos_Auxiliares!B12,Datos_Auxiliares!C12,IF(S9=Datos_Auxiliares!B13,Datos_Auxiliares!C13,IF(S9=Datos_Auxiliares!B14,Datos_Auxiliares!C14)))))))))))</f>
        <v>Jefes administrativos y de taller</v>
      </c>
      <c r="M9" s="767"/>
      <c r="N9" s="767"/>
      <c r="O9" s="767"/>
      <c r="P9" s="767"/>
      <c r="Q9" s="768"/>
      <c r="R9" s="23"/>
      <c r="S9" s="451">
        <f>'1'!G14</f>
        <v>3</v>
      </c>
      <c r="T9" s="23"/>
      <c r="U9" s="452"/>
      <c r="V9" s="24"/>
    </row>
    <row r="10" spans="2:22" ht="15.75" thickBot="1">
      <c r="B10" s="25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7"/>
    </row>
    <row r="11" spans="2:22" ht="15.75" thickBot="1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</row>
    <row r="12" spans="2:22" ht="6.75" customHeight="1">
      <c r="B12" s="373"/>
      <c r="C12" s="374"/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5"/>
    </row>
    <row r="13" spans="2:22" ht="20.100000000000001" customHeight="1">
      <c r="B13" s="376"/>
      <c r="C13" s="413" t="s">
        <v>44</v>
      </c>
      <c r="D13" s="372"/>
      <c r="E13" s="372"/>
      <c r="F13" s="372"/>
      <c r="G13" s="372" t="s">
        <v>45</v>
      </c>
      <c r="H13" s="449">
        <f>'1'!B20</f>
        <v>1</v>
      </c>
      <c r="I13" s="372" t="s">
        <v>22</v>
      </c>
      <c r="J13" s="450">
        <f>'1'!D20</f>
        <v>30</v>
      </c>
      <c r="K13" s="3" t="s">
        <v>8</v>
      </c>
      <c r="L13" s="675" t="str">
        <f>'1'!C20</f>
        <v>JUNIO</v>
      </c>
      <c r="M13" s="675"/>
      <c r="N13" s="675"/>
      <c r="O13" s="372" t="s">
        <v>8</v>
      </c>
      <c r="P13" s="450">
        <f>YEAR(Datos_personales!A1)</f>
        <v>2010</v>
      </c>
      <c r="Q13" s="3"/>
      <c r="R13" s="740" t="s">
        <v>46</v>
      </c>
      <c r="S13" s="740"/>
      <c r="T13" s="333"/>
      <c r="U13" s="450">
        <f>LOOKUP(L4,Datos_personales!B3:B52,Datos_Convenio!K3:K52)</f>
        <v>30</v>
      </c>
      <c r="V13" s="377"/>
    </row>
    <row r="14" spans="2:22" ht="7.5" customHeight="1" thickBot="1">
      <c r="B14" s="25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7"/>
    </row>
    <row r="15" spans="2:22" ht="15.75" thickBot="1"/>
    <row r="16" spans="2:22" ht="7.5" customHeight="1"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1"/>
    </row>
    <row r="17" spans="2:22">
      <c r="B17" s="22"/>
      <c r="C17" s="29" t="s">
        <v>21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4"/>
    </row>
    <row r="18" spans="2:22" ht="6.7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4"/>
    </row>
    <row r="19" spans="2:22">
      <c r="B19" s="22"/>
      <c r="C19" s="29" t="s">
        <v>47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30" t="s">
        <v>48</v>
      </c>
      <c r="V19" s="24"/>
    </row>
    <row r="20" spans="2:22">
      <c r="B20" s="22"/>
      <c r="C20" s="23"/>
      <c r="D20" s="29" t="s">
        <v>49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4"/>
    </row>
    <row r="21" spans="2:22" ht="5.25" customHeight="1" thickBo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4"/>
    </row>
    <row r="22" spans="2:22" ht="15.75" thickBot="1">
      <c r="B22" s="22"/>
      <c r="C22" s="23"/>
      <c r="D22" s="23"/>
      <c r="E22" s="372" t="s">
        <v>50</v>
      </c>
      <c r="F22" s="740" t="s">
        <v>51</v>
      </c>
      <c r="G22" s="740"/>
      <c r="H22" s="740"/>
      <c r="I22" s="740"/>
      <c r="J22" s="740"/>
      <c r="K22" s="740"/>
      <c r="L22" s="740"/>
      <c r="M22" s="740"/>
      <c r="N22" s="740"/>
      <c r="O22" s="740"/>
      <c r="P22" s="740"/>
      <c r="Q22" s="740"/>
      <c r="R22" s="740"/>
      <c r="S22" s="740"/>
      <c r="T22" s="740"/>
      <c r="U22" s="378">
        <f>'2'!K2</f>
        <v>1727.88</v>
      </c>
      <c r="V22" s="24"/>
    </row>
    <row r="23" spans="2:22" ht="5.25" customHeight="1" thickBot="1">
      <c r="B23" s="22"/>
      <c r="C23" s="23"/>
      <c r="D23" s="23"/>
      <c r="E23" s="372"/>
      <c r="F23" s="372"/>
      <c r="G23" s="372"/>
      <c r="H23" s="372"/>
      <c r="I23" s="372"/>
      <c r="J23" s="372"/>
      <c r="K23" s="372"/>
      <c r="L23" s="372"/>
      <c r="M23" s="372"/>
      <c r="N23" s="372"/>
      <c r="O23" s="372"/>
      <c r="P23" s="372"/>
      <c r="Q23" s="372"/>
      <c r="R23" s="372"/>
      <c r="S23" s="372"/>
      <c r="T23" s="372"/>
      <c r="U23" s="379"/>
      <c r="V23" s="24"/>
    </row>
    <row r="24" spans="2:22" ht="15.75" thickBot="1">
      <c r="B24" s="22"/>
      <c r="C24" s="23"/>
      <c r="D24" s="748" t="s">
        <v>52</v>
      </c>
      <c r="E24" s="749" t="s">
        <v>53</v>
      </c>
      <c r="F24" s="750"/>
      <c r="G24" s="749" t="s">
        <v>54</v>
      </c>
      <c r="H24" s="741"/>
      <c r="I24" s="741" t="s">
        <v>55</v>
      </c>
      <c r="J24" s="741"/>
      <c r="K24" s="741"/>
      <c r="L24" s="741"/>
      <c r="M24" s="741"/>
      <c r="N24" s="741"/>
      <c r="O24" s="741"/>
      <c r="P24" s="741"/>
      <c r="Q24" s="741"/>
      <c r="R24" s="741"/>
      <c r="S24" s="742"/>
      <c r="T24" s="372"/>
      <c r="U24" s="372"/>
      <c r="V24" s="24"/>
    </row>
    <row r="25" spans="2:22" ht="15.75" thickBot="1">
      <c r="B25" s="22"/>
      <c r="C25" s="23"/>
      <c r="D25" s="748"/>
      <c r="E25" s="745"/>
      <c r="F25" s="746"/>
      <c r="G25" s="734">
        <f>Devengos!D3</f>
        <v>172.78800000000001</v>
      </c>
      <c r="H25" s="735"/>
      <c r="I25" s="735">
        <f>Devengos!F3</f>
        <v>42</v>
      </c>
      <c r="J25" s="735"/>
      <c r="K25" s="743"/>
      <c r="L25" s="743"/>
      <c r="M25" s="743"/>
      <c r="N25" s="743"/>
      <c r="O25" s="743"/>
      <c r="P25" s="743"/>
      <c r="Q25" s="743"/>
      <c r="R25" s="743"/>
      <c r="S25" s="744"/>
      <c r="T25" s="372"/>
      <c r="U25" s="378">
        <f>G25+I25+K25+M25+O25+R25</f>
        <v>214.78800000000001</v>
      </c>
      <c r="V25" s="24"/>
    </row>
    <row r="26" spans="2:22" ht="15.75" thickBot="1">
      <c r="B26" s="22"/>
      <c r="C26" s="23"/>
      <c r="D26" s="748"/>
      <c r="E26" s="745" t="s">
        <v>56</v>
      </c>
      <c r="F26" s="746"/>
      <c r="G26" s="747" t="s">
        <v>57</v>
      </c>
      <c r="H26" s="733"/>
      <c r="I26" s="733"/>
      <c r="J26" s="733"/>
      <c r="K26" s="733" t="s">
        <v>58</v>
      </c>
      <c r="L26" s="733"/>
      <c r="M26" s="733" t="s">
        <v>59</v>
      </c>
      <c r="N26" s="733"/>
      <c r="O26" s="733" t="s">
        <v>549</v>
      </c>
      <c r="P26" s="733"/>
      <c r="Q26" s="733"/>
      <c r="R26" s="733"/>
      <c r="S26" s="739"/>
      <c r="T26" s="372"/>
      <c r="U26" s="372"/>
      <c r="V26" s="24"/>
    </row>
    <row r="27" spans="2:22" ht="15.75" thickBot="1">
      <c r="B27" s="22"/>
      <c r="C27" s="23"/>
      <c r="D27" s="748"/>
      <c r="E27" s="745"/>
      <c r="F27" s="746"/>
      <c r="G27" s="734">
        <f>Devengos!D4</f>
        <v>0</v>
      </c>
      <c r="H27" s="735"/>
      <c r="I27" s="735"/>
      <c r="J27" s="735"/>
      <c r="K27" s="735">
        <f>Devengos!F4</f>
        <v>120</v>
      </c>
      <c r="L27" s="735"/>
      <c r="M27" s="735">
        <f ca="1">Devengos!F5</f>
        <v>59.669999999999995</v>
      </c>
      <c r="N27" s="735"/>
      <c r="O27" s="735">
        <f>Devengos!D5</f>
        <v>75</v>
      </c>
      <c r="P27" s="735"/>
      <c r="Q27" s="735"/>
      <c r="R27" s="731"/>
      <c r="S27" s="732"/>
      <c r="T27" s="372"/>
      <c r="U27" s="378">
        <f ca="1">G27+K27+M27+O27+R27</f>
        <v>254.67</v>
      </c>
      <c r="V27" s="24"/>
    </row>
    <row r="28" spans="2:22" ht="15.75" thickBot="1">
      <c r="B28" s="22"/>
      <c r="C28" s="23"/>
      <c r="D28" s="748"/>
      <c r="E28" s="705" t="s">
        <v>60</v>
      </c>
      <c r="F28" s="711"/>
      <c r="G28" s="747" t="s">
        <v>61</v>
      </c>
      <c r="H28" s="733"/>
      <c r="I28" s="733" t="s">
        <v>308</v>
      </c>
      <c r="J28" s="733"/>
      <c r="K28" s="733" t="s">
        <v>310</v>
      </c>
      <c r="L28" s="733"/>
      <c r="M28" s="733" t="s">
        <v>550</v>
      </c>
      <c r="N28" s="733"/>
      <c r="O28" s="736" t="s">
        <v>551</v>
      </c>
      <c r="P28" s="737"/>
      <c r="Q28" s="737"/>
      <c r="R28" s="738"/>
      <c r="S28" s="380"/>
      <c r="T28" s="372"/>
      <c r="U28" s="372"/>
      <c r="V28" s="24"/>
    </row>
    <row r="29" spans="2:22" ht="15.75" thickBot="1">
      <c r="B29" s="22"/>
      <c r="C29" s="23"/>
      <c r="D29" s="748"/>
      <c r="E29" s="705"/>
      <c r="F29" s="711"/>
      <c r="G29" s="734">
        <f>Devengos!D6*LOOKUP(Modelo_Clase!L4,Datos_personales!B3:B52,Datos_Convenio!K3:K52)/30</f>
        <v>240</v>
      </c>
      <c r="H29" s="735"/>
      <c r="I29" s="730">
        <f>Devengos!D7</f>
        <v>0</v>
      </c>
      <c r="J29" s="729"/>
      <c r="K29" s="730">
        <f>Devengos!F6</f>
        <v>0</v>
      </c>
      <c r="L29" s="729"/>
      <c r="M29" s="730">
        <f ca="1">Devengos!F8</f>
        <v>68</v>
      </c>
      <c r="N29" s="728"/>
      <c r="O29" s="735">
        <f ca="1">Devengos!D8</f>
        <v>361.69200000000001</v>
      </c>
      <c r="P29" s="735"/>
      <c r="Q29" s="735"/>
      <c r="R29" s="735"/>
      <c r="S29" s="381"/>
      <c r="T29" s="372"/>
      <c r="U29" s="378">
        <f ca="1">G29+I29+K29+M29+O29</f>
        <v>669.69200000000001</v>
      </c>
      <c r="V29" s="24"/>
    </row>
    <row r="30" spans="2:22" ht="15.75" thickBot="1">
      <c r="B30" s="22"/>
      <c r="C30" s="23"/>
      <c r="D30" s="748"/>
      <c r="E30" s="751" t="s">
        <v>62</v>
      </c>
      <c r="F30" s="752"/>
      <c r="G30" s="755" t="s">
        <v>19</v>
      </c>
      <c r="H30" s="724"/>
      <c r="I30" s="724"/>
      <c r="J30" s="724"/>
      <c r="K30" s="724"/>
      <c r="L30" s="725"/>
      <c r="M30" s="723" t="s">
        <v>63</v>
      </c>
      <c r="N30" s="724"/>
      <c r="O30" s="724"/>
      <c r="P30" s="724"/>
      <c r="Q30" s="725"/>
      <c r="R30" s="723"/>
      <c r="S30" s="726"/>
      <c r="T30" s="372"/>
      <c r="U30" s="372"/>
      <c r="V30" s="24"/>
    </row>
    <row r="31" spans="2:22" ht="15.75" thickBot="1">
      <c r="B31" s="22"/>
      <c r="C31" s="23"/>
      <c r="D31" s="748"/>
      <c r="E31" s="753"/>
      <c r="F31" s="754"/>
      <c r="G31" s="727">
        <v>0</v>
      </c>
      <c r="H31" s="728"/>
      <c r="I31" s="728"/>
      <c r="J31" s="728"/>
      <c r="K31" s="728"/>
      <c r="L31" s="729"/>
      <c r="M31" s="730"/>
      <c r="N31" s="728"/>
      <c r="O31" s="728"/>
      <c r="P31" s="728"/>
      <c r="Q31" s="729"/>
      <c r="R31" s="731"/>
      <c r="S31" s="732"/>
      <c r="T31" s="372"/>
      <c r="U31" s="378">
        <f>G31+M31+R31</f>
        <v>0</v>
      </c>
      <c r="V31" s="24"/>
    </row>
    <row r="32" spans="2:22" ht="15.75" thickBot="1">
      <c r="B32" s="22"/>
      <c r="C32" s="23"/>
      <c r="D32" s="748"/>
      <c r="E32" s="756" t="s">
        <v>64</v>
      </c>
      <c r="F32" s="757"/>
      <c r="G32" s="758">
        <f>Bases_Cotización!E15</f>
        <v>0</v>
      </c>
      <c r="H32" s="716"/>
      <c r="I32" s="716"/>
      <c r="J32" s="716"/>
      <c r="K32" s="716"/>
      <c r="L32" s="759"/>
      <c r="M32" s="713" t="s">
        <v>65</v>
      </c>
      <c r="N32" s="714"/>
      <c r="O32" s="715">
        <f>Bases_Cotización!E14</f>
        <v>0</v>
      </c>
      <c r="P32" s="716"/>
      <c r="Q32" s="716"/>
      <c r="R32" s="716"/>
      <c r="S32" s="717"/>
      <c r="T32" s="372"/>
      <c r="U32" s="378">
        <f>G32+O32</f>
        <v>0</v>
      </c>
      <c r="V32" s="24"/>
    </row>
    <row r="33" spans="2:22">
      <c r="B33" s="22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4"/>
    </row>
    <row r="34" spans="2:22">
      <c r="B34" s="22"/>
      <c r="C34" s="23"/>
      <c r="D34" s="29" t="s">
        <v>66</v>
      </c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4"/>
    </row>
    <row r="35" spans="2:22" ht="15.75" thickBot="1">
      <c r="B35" s="22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4"/>
    </row>
    <row r="36" spans="2:22" ht="15.75" thickBot="1">
      <c r="B36" s="22"/>
      <c r="C36" s="23"/>
      <c r="D36" s="23"/>
      <c r="E36" s="718" t="s">
        <v>67</v>
      </c>
      <c r="F36" s="719"/>
      <c r="G36" s="719"/>
      <c r="H36" s="720"/>
      <c r="I36" s="721" t="s">
        <v>68</v>
      </c>
      <c r="J36" s="719"/>
      <c r="K36" s="719"/>
      <c r="L36" s="720"/>
      <c r="M36" s="721" t="s">
        <v>69</v>
      </c>
      <c r="N36" s="719"/>
      <c r="O36" s="719"/>
      <c r="P36" s="720"/>
      <c r="Q36" s="721" t="s">
        <v>70</v>
      </c>
      <c r="R36" s="719"/>
      <c r="S36" s="722"/>
      <c r="T36" s="23"/>
      <c r="U36" s="23"/>
      <c r="V36" s="24"/>
    </row>
    <row r="37" spans="2:22" ht="15.75" thickBot="1">
      <c r="B37" s="22"/>
      <c r="C37" s="23"/>
      <c r="D37" s="23"/>
      <c r="E37" s="692"/>
      <c r="F37" s="693"/>
      <c r="G37" s="693"/>
      <c r="H37" s="694"/>
      <c r="I37" s="695"/>
      <c r="J37" s="693"/>
      <c r="K37" s="693"/>
      <c r="L37" s="694"/>
      <c r="M37" s="695"/>
      <c r="N37" s="693"/>
      <c r="O37" s="693"/>
      <c r="P37" s="694"/>
      <c r="Q37" s="695"/>
      <c r="R37" s="693"/>
      <c r="S37" s="696"/>
      <c r="T37" s="23"/>
      <c r="U37" s="31">
        <f>E37+I37+M37+Q37</f>
        <v>0</v>
      </c>
      <c r="V37" s="24"/>
    </row>
    <row r="38" spans="2:22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4"/>
    </row>
    <row r="39" spans="2:22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4"/>
    </row>
    <row r="40" spans="2:22">
      <c r="B40" s="22"/>
      <c r="C40" s="29" t="s">
        <v>71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4"/>
    </row>
    <row r="41" spans="2:22" ht="15.75" thickBo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674">
        <f ca="1">Devengos!F22</f>
        <v>0</v>
      </c>
      <c r="P41" s="674"/>
      <c r="Q41" s="456"/>
      <c r="R41" s="457">
        <f ca="1">Devengos!F17</f>
        <v>0</v>
      </c>
      <c r="S41" s="456"/>
      <c r="T41" s="456"/>
      <c r="U41" s="458">
        <f ca="1">G43+J43+O41+R41</f>
        <v>80</v>
      </c>
      <c r="V41" s="24"/>
    </row>
    <row r="42" spans="2:22" ht="15.75" customHeight="1" thickBot="1">
      <c r="B42" s="22"/>
      <c r="C42" s="23"/>
      <c r="D42" s="23"/>
      <c r="E42" s="678" t="s">
        <v>17</v>
      </c>
      <c r="F42" s="697"/>
      <c r="G42" s="686" t="s">
        <v>288</v>
      </c>
      <c r="H42" s="699"/>
      <c r="I42" s="699"/>
      <c r="J42" s="699" t="s">
        <v>72</v>
      </c>
      <c r="K42" s="699"/>
      <c r="L42" s="699"/>
      <c r="M42" s="699"/>
      <c r="N42" s="699" t="s">
        <v>552</v>
      </c>
      <c r="O42" s="699"/>
      <c r="P42" s="699"/>
      <c r="Q42" s="699" t="s">
        <v>553</v>
      </c>
      <c r="R42" s="699"/>
      <c r="S42" s="700"/>
      <c r="T42" s="23"/>
      <c r="U42" s="23"/>
      <c r="V42" s="24"/>
    </row>
    <row r="43" spans="2:22" ht="15.75" thickBot="1">
      <c r="B43" s="22"/>
      <c r="C43" s="23"/>
      <c r="D43" s="23"/>
      <c r="E43" s="681"/>
      <c r="F43" s="698"/>
      <c r="G43" s="701">
        <f>(Devengos!F15*U13)/30</f>
        <v>80</v>
      </c>
      <c r="H43" s="702"/>
      <c r="I43" s="702"/>
      <c r="J43" s="702">
        <f>Devengos!B25</f>
        <v>0</v>
      </c>
      <c r="K43" s="702"/>
      <c r="L43" s="702"/>
      <c r="M43" s="702"/>
      <c r="N43" s="702">
        <f>Devengos!D23</f>
        <v>0</v>
      </c>
      <c r="O43" s="702"/>
      <c r="P43" s="702"/>
      <c r="Q43" s="702">
        <f>Devengos!F20</f>
        <v>0</v>
      </c>
      <c r="R43" s="702"/>
      <c r="S43" s="703"/>
      <c r="T43" s="23"/>
      <c r="U43" s="31">
        <f>G43+J43+N43+Q43</f>
        <v>80</v>
      </c>
      <c r="V43" s="24"/>
    </row>
    <row r="44" spans="2:22">
      <c r="B44" s="22"/>
      <c r="C44" s="23"/>
      <c r="D44" s="23"/>
      <c r="E44" s="704" t="s">
        <v>73</v>
      </c>
      <c r="F44" s="700"/>
      <c r="G44" s="685" t="s">
        <v>74</v>
      </c>
      <c r="H44" s="685"/>
      <c r="I44" s="686"/>
      <c r="J44" s="684" t="s">
        <v>75</v>
      </c>
      <c r="K44" s="685"/>
      <c r="L44" s="686"/>
      <c r="M44" s="382" t="s">
        <v>76</v>
      </c>
      <c r="N44" s="684" t="s">
        <v>77</v>
      </c>
      <c r="O44" s="685"/>
      <c r="P44" s="686"/>
      <c r="Q44" s="382" t="s">
        <v>76</v>
      </c>
      <c r="R44" s="684"/>
      <c r="S44" s="687"/>
      <c r="T44" s="23"/>
      <c r="U44" s="23"/>
      <c r="V44" s="24"/>
    </row>
    <row r="45" spans="2:22" ht="15.75" thickBot="1">
      <c r="B45" s="22"/>
      <c r="C45" s="23"/>
      <c r="D45" s="23"/>
      <c r="E45" s="705"/>
      <c r="F45" s="706"/>
      <c r="G45" s="709" t="s">
        <v>78</v>
      </c>
      <c r="H45" s="709"/>
      <c r="I45" s="710"/>
      <c r="J45" s="711" t="s">
        <v>78</v>
      </c>
      <c r="K45" s="709"/>
      <c r="L45" s="709"/>
      <c r="M45" s="710"/>
      <c r="N45" s="711" t="s">
        <v>78</v>
      </c>
      <c r="O45" s="709"/>
      <c r="P45" s="709"/>
      <c r="Q45" s="710"/>
      <c r="R45" s="711"/>
      <c r="S45" s="712"/>
      <c r="T45" s="23"/>
      <c r="U45" s="23"/>
      <c r="V45" s="24"/>
    </row>
    <row r="46" spans="2:22" ht="15.75" thickBot="1">
      <c r="B46" s="22"/>
      <c r="C46" s="23"/>
      <c r="D46" s="23"/>
      <c r="E46" s="707"/>
      <c r="F46" s="708"/>
      <c r="G46" s="689"/>
      <c r="H46" s="689"/>
      <c r="I46" s="690"/>
      <c r="J46" s="688">
        <f>'Prestaciones de la SS'!G7</f>
        <v>0</v>
      </c>
      <c r="K46" s="689"/>
      <c r="L46" s="689"/>
      <c r="M46" s="690"/>
      <c r="N46" s="688"/>
      <c r="O46" s="689"/>
      <c r="P46" s="689"/>
      <c r="Q46" s="690"/>
      <c r="R46" s="688"/>
      <c r="S46" s="691"/>
      <c r="T46" s="23"/>
      <c r="U46" s="31">
        <f>G46+J46+N46+R46</f>
        <v>0</v>
      </c>
      <c r="V46" s="24"/>
    </row>
    <row r="47" spans="2:22" ht="15.75" customHeight="1" thickBot="1">
      <c r="B47" s="22"/>
      <c r="C47" s="23"/>
      <c r="D47" s="23"/>
      <c r="E47" s="678" t="s">
        <v>79</v>
      </c>
      <c r="F47" s="679"/>
      <c r="G47" s="679"/>
      <c r="H47" s="679"/>
      <c r="I47" s="680"/>
      <c r="J47" s="684" t="s">
        <v>80</v>
      </c>
      <c r="K47" s="685"/>
      <c r="L47" s="685"/>
      <c r="M47" s="686"/>
      <c r="N47" s="684"/>
      <c r="O47" s="685"/>
      <c r="P47" s="685"/>
      <c r="Q47" s="686"/>
      <c r="R47" s="684"/>
      <c r="S47" s="687"/>
      <c r="T47" s="23"/>
      <c r="U47" s="23"/>
      <c r="V47" s="24"/>
    </row>
    <row r="48" spans="2:22" ht="15.75" thickBot="1">
      <c r="B48" s="22"/>
      <c r="C48" s="23"/>
      <c r="D48" s="23"/>
      <c r="E48" s="681"/>
      <c r="F48" s="682"/>
      <c r="G48" s="682"/>
      <c r="H48" s="682"/>
      <c r="I48" s="683"/>
      <c r="J48" s="688"/>
      <c r="K48" s="689"/>
      <c r="L48" s="689"/>
      <c r="M48" s="690"/>
      <c r="N48" s="688"/>
      <c r="O48" s="689"/>
      <c r="P48" s="689"/>
      <c r="Q48" s="690"/>
      <c r="R48" s="688"/>
      <c r="S48" s="691"/>
      <c r="T48" s="23"/>
      <c r="U48" s="31">
        <f>J48+N48+R48</f>
        <v>0</v>
      </c>
      <c r="V48" s="24"/>
    </row>
    <row r="49" spans="2:42"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4"/>
    </row>
    <row r="50" spans="2:42" ht="15.75" thickBot="1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4"/>
    </row>
    <row r="51" spans="2:42" s="37" customFormat="1" ht="19.5" thickBo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677" t="s">
        <v>81</v>
      </c>
      <c r="N51" s="677"/>
      <c r="O51" s="677"/>
      <c r="P51" s="677"/>
      <c r="Q51" s="677"/>
      <c r="R51" s="677"/>
      <c r="S51" s="34" t="s">
        <v>82</v>
      </c>
      <c r="T51" s="34"/>
      <c r="U51" s="35">
        <f ca="1">U22+U25+U27+U29+U31+U32+U37+U43+U46+U48</f>
        <v>2947.03</v>
      </c>
      <c r="V51" s="36"/>
      <c r="AA51" s="511">
        <f ca="1">Devengos!F2+Devengos!F15+Devengos!F17+Devengos!F22+Devengos!F24+U22</f>
        <v>2733.3230000000003</v>
      </c>
    </row>
    <row r="52" spans="2:4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4"/>
    </row>
    <row r="53" spans="2:42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4"/>
    </row>
    <row r="54" spans="2:42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4"/>
    </row>
    <row r="55" spans="2:42">
      <c r="B55" s="22"/>
      <c r="C55" s="29" t="s">
        <v>16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4"/>
    </row>
    <row r="56" spans="2:42" ht="6.75" customHeight="1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4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2:42" ht="18">
      <c r="B57" s="22"/>
      <c r="C57" s="29"/>
      <c r="D57" s="383" t="s">
        <v>562</v>
      </c>
      <c r="E57" s="383"/>
      <c r="F57" s="383"/>
      <c r="G57" s="383"/>
      <c r="H57" s="383"/>
      <c r="I57" s="383"/>
      <c r="J57" s="383"/>
      <c r="K57" s="383"/>
      <c r="L57" s="383"/>
      <c r="M57" s="370"/>
      <c r="N57" s="370"/>
      <c r="O57" s="370"/>
      <c r="P57" s="370"/>
      <c r="Q57" s="370"/>
      <c r="R57" s="370"/>
      <c r="S57" s="370"/>
      <c r="T57" s="370"/>
      <c r="U57" s="384"/>
      <c r="V57" s="371"/>
      <c r="AB57" s="2"/>
      <c r="AC57" s="15"/>
      <c r="AD57" s="14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13"/>
      <c r="AP57" s="2"/>
    </row>
    <row r="58" spans="2:42" ht="15.75" thickBot="1">
      <c r="B58" s="22"/>
      <c r="C58" s="23"/>
      <c r="D58" s="383"/>
      <c r="E58" s="370"/>
      <c r="F58" s="370"/>
      <c r="G58" s="370"/>
      <c r="H58" s="370"/>
      <c r="I58" s="370"/>
      <c r="J58" s="370"/>
      <c r="K58" s="370"/>
      <c r="L58" s="370"/>
      <c r="M58" s="372" t="s">
        <v>15</v>
      </c>
      <c r="N58" s="370"/>
      <c r="O58" s="370"/>
      <c r="P58" s="370"/>
      <c r="Q58" s="370"/>
      <c r="R58" s="370"/>
      <c r="S58" s="370"/>
      <c r="T58" s="370"/>
      <c r="U58" s="370"/>
      <c r="V58" s="371"/>
      <c r="AB58" s="2"/>
      <c r="AC58" s="10"/>
      <c r="AD58" s="10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2:42" ht="15.75" thickBot="1">
      <c r="B59" s="22"/>
      <c r="C59" s="23"/>
      <c r="D59" s="370"/>
      <c r="E59" s="370" t="s">
        <v>559</v>
      </c>
      <c r="F59" s="370"/>
      <c r="G59" s="385"/>
      <c r="H59" s="385"/>
      <c r="I59" s="385"/>
      <c r="J59" s="385"/>
      <c r="K59" s="385"/>
      <c r="L59" s="386"/>
      <c r="M59" s="387">
        <f ca="1">Bases_Cotización!L36</f>
        <v>2.7000000000000001E-3</v>
      </c>
      <c r="N59" s="388"/>
      <c r="O59" s="385"/>
      <c r="P59" s="385"/>
      <c r="Q59" s="385"/>
      <c r="R59" s="385"/>
      <c r="S59" s="385"/>
      <c r="T59" s="370"/>
      <c r="U59" s="389">
        <f ca="1">Bases_Cotización!F35</f>
        <v>7.3799721000000016</v>
      </c>
      <c r="V59" s="371"/>
      <c r="AB59" s="2"/>
      <c r="AC59" s="10"/>
      <c r="AD59" s="10"/>
      <c r="AE59" s="2"/>
      <c r="AF59" s="2"/>
      <c r="AG59" s="2"/>
      <c r="AH59" s="2"/>
      <c r="AI59" s="2"/>
      <c r="AJ59" s="346"/>
      <c r="AK59" s="346"/>
      <c r="AL59" s="2"/>
      <c r="AM59" s="2"/>
      <c r="AN59" s="2"/>
      <c r="AO59" s="2"/>
      <c r="AP59" s="2"/>
    </row>
    <row r="60" spans="2:42" ht="18" customHeight="1" thickBot="1">
      <c r="B60" s="22"/>
      <c r="C60" s="23"/>
      <c r="D60" s="370"/>
      <c r="E60" s="370" t="s">
        <v>14</v>
      </c>
      <c r="F60" s="370"/>
      <c r="G60" s="390"/>
      <c r="H60" s="391"/>
      <c r="I60" s="391"/>
      <c r="J60" s="391"/>
      <c r="K60" s="369"/>
      <c r="L60" s="392"/>
      <c r="M60" s="387">
        <f>Bases_Cotización!O36</f>
        <v>1.55E-2</v>
      </c>
      <c r="N60" s="393"/>
      <c r="O60" s="394"/>
      <c r="P60" s="394"/>
      <c r="Q60" s="394"/>
      <c r="R60" s="394"/>
      <c r="S60" s="391"/>
      <c r="T60" s="370"/>
      <c r="U60" s="389">
        <f ca="1">Bases_Cotización!F42</f>
        <v>49.026732500000001</v>
      </c>
      <c r="V60" s="371"/>
      <c r="AB60" s="2"/>
      <c r="AC60" s="2"/>
      <c r="AD60" s="2"/>
      <c r="AE60" s="2"/>
      <c r="AF60" s="2"/>
      <c r="AG60" s="2"/>
      <c r="AH60" s="2"/>
      <c r="AI60" s="2"/>
      <c r="AJ60" s="420"/>
      <c r="AK60" s="346"/>
      <c r="AL60" s="2"/>
      <c r="AM60" s="2"/>
      <c r="AN60" s="8"/>
      <c r="AO60" s="8"/>
      <c r="AP60" s="2"/>
    </row>
    <row r="61" spans="2:42" ht="18" customHeight="1" thickBot="1">
      <c r="B61" s="22"/>
      <c r="C61" s="23"/>
      <c r="D61" s="370"/>
      <c r="E61" s="370" t="s">
        <v>560</v>
      </c>
      <c r="F61" s="370"/>
      <c r="G61" s="390"/>
      <c r="H61" s="391"/>
      <c r="I61" s="391"/>
      <c r="J61" s="391"/>
      <c r="K61" s="369"/>
      <c r="L61" s="392"/>
      <c r="M61" s="387">
        <f>Bases_Cotización!Q36</f>
        <v>1E-3</v>
      </c>
      <c r="N61" s="393"/>
      <c r="O61" s="394"/>
      <c r="P61" s="394"/>
      <c r="Q61" s="394"/>
      <c r="R61" s="394"/>
      <c r="S61" s="391"/>
      <c r="T61" s="370"/>
      <c r="U61" s="389">
        <f ca="1">Bases_Cotización!F47</f>
        <v>3.1630150000000006</v>
      </c>
      <c r="V61" s="371"/>
      <c r="AB61" s="2"/>
      <c r="AC61" s="2"/>
      <c r="AD61" s="2"/>
      <c r="AE61" s="2"/>
      <c r="AF61" s="2"/>
      <c r="AG61" s="2"/>
      <c r="AH61" s="2"/>
      <c r="AI61" s="2"/>
      <c r="AJ61" s="421"/>
      <c r="AK61" s="2"/>
      <c r="AL61" s="2"/>
      <c r="AM61" s="2"/>
      <c r="AN61" s="8"/>
      <c r="AO61" s="8"/>
      <c r="AP61" s="2"/>
    </row>
    <row r="62" spans="2:42" ht="18" customHeight="1">
      <c r="B62" s="22"/>
      <c r="C62" s="23"/>
      <c r="D62" s="370"/>
      <c r="E62" s="395" t="s">
        <v>13</v>
      </c>
      <c r="F62" s="370"/>
      <c r="G62" s="396"/>
      <c r="H62" s="370"/>
      <c r="I62" s="397"/>
      <c r="J62" s="397"/>
      <c r="K62" s="398"/>
      <c r="L62" s="399"/>
      <c r="M62" s="372"/>
      <c r="N62" s="3"/>
      <c r="O62" s="400"/>
      <c r="P62" s="400"/>
      <c r="Q62" s="399"/>
      <c r="R62" s="399"/>
      <c r="S62" s="370"/>
      <c r="T62" s="370"/>
      <c r="U62" s="370"/>
      <c r="V62" s="371"/>
      <c r="AB62" s="2"/>
      <c r="AC62" s="2"/>
      <c r="AD62" s="2"/>
      <c r="AE62" s="2"/>
      <c r="AF62" s="2"/>
      <c r="AG62" s="2"/>
      <c r="AH62" s="2"/>
      <c r="AI62" s="2"/>
      <c r="AJ62" s="421"/>
      <c r="AK62" s="2"/>
      <c r="AL62" s="2"/>
      <c r="AM62" s="2"/>
      <c r="AN62" s="8"/>
      <c r="AO62" s="8"/>
      <c r="AP62" s="2"/>
    </row>
    <row r="63" spans="2:42" ht="3" customHeight="1" thickBot="1">
      <c r="B63" s="22"/>
      <c r="C63" s="23"/>
      <c r="D63" s="370"/>
      <c r="E63" s="370"/>
      <c r="F63" s="370"/>
      <c r="G63" s="396"/>
      <c r="H63" s="370"/>
      <c r="I63" s="397"/>
      <c r="J63" s="397"/>
      <c r="K63" s="3"/>
      <c r="L63" s="3"/>
      <c r="M63" s="372"/>
      <c r="N63" s="3"/>
      <c r="O63" s="400"/>
      <c r="P63" s="400"/>
      <c r="Q63" s="399"/>
      <c r="R63" s="399"/>
      <c r="S63" s="370"/>
      <c r="T63" s="370"/>
      <c r="U63" s="370"/>
      <c r="V63" s="371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8"/>
      <c r="AO63" s="8"/>
      <c r="AP63" s="2"/>
    </row>
    <row r="64" spans="2:42" ht="18" customHeight="1" thickBot="1">
      <c r="B64" s="22"/>
      <c r="C64" s="23"/>
      <c r="D64" s="370"/>
      <c r="E64" s="370"/>
      <c r="F64" s="370" t="s">
        <v>209</v>
      </c>
      <c r="G64" s="401"/>
      <c r="H64" s="385"/>
      <c r="I64" s="402"/>
      <c r="J64" s="402"/>
      <c r="K64" s="385"/>
      <c r="L64" s="403"/>
      <c r="M64" s="387">
        <f>Bases_Cotización!S36</f>
        <v>4.7E-2</v>
      </c>
      <c r="N64" s="404"/>
      <c r="O64" s="405"/>
      <c r="P64" s="405"/>
      <c r="Q64" s="406"/>
      <c r="R64" s="406"/>
      <c r="S64" s="385"/>
      <c r="T64" s="370"/>
      <c r="U64" s="389">
        <f ca="1">Bases_Cotización!F53</f>
        <v>3.1960000000000002</v>
      </c>
      <c r="V64" s="371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8"/>
      <c r="AO64" s="8"/>
      <c r="AP64" s="2"/>
    </row>
    <row r="65" spans="2:42" ht="18" customHeight="1" thickBot="1">
      <c r="B65" s="22"/>
      <c r="C65" s="23"/>
      <c r="D65" s="370"/>
      <c r="E65" s="370"/>
      <c r="F65" s="370" t="s">
        <v>12</v>
      </c>
      <c r="G65" s="391"/>
      <c r="H65" s="391"/>
      <c r="I65" s="394"/>
      <c r="J65" s="394"/>
      <c r="K65" s="391"/>
      <c r="L65" s="407"/>
      <c r="M65" s="387">
        <f>Bases_Cotización!R36</f>
        <v>0.02</v>
      </c>
      <c r="N65" s="393"/>
      <c r="O65" s="408"/>
      <c r="P65" s="408"/>
      <c r="Q65" s="409"/>
      <c r="R65" s="409"/>
      <c r="S65" s="391"/>
      <c r="T65" s="370"/>
      <c r="U65" s="389">
        <f ca="1">Bases_Cotización!F50</f>
        <v>7.2338400000000007</v>
      </c>
      <c r="V65" s="371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8"/>
      <c r="AO65" s="8"/>
      <c r="AP65" s="2"/>
    </row>
    <row r="66" spans="2:42" ht="18" customHeight="1" thickBot="1">
      <c r="B66" s="22"/>
      <c r="C66" s="23"/>
      <c r="D66" s="383" t="s">
        <v>561</v>
      </c>
      <c r="E66" s="370"/>
      <c r="F66" s="370"/>
      <c r="G66" s="370"/>
      <c r="H66" s="370"/>
      <c r="I66" s="402"/>
      <c r="J66" s="402"/>
      <c r="K66" s="402"/>
      <c r="L66" s="406"/>
      <c r="M66" s="444">
        <f ca="1">IF(Bases_Cotización!D83&lt;0,0,Bases_Cotización!D83)</f>
        <v>2.9999999999999995E-2</v>
      </c>
      <c r="N66" s="368"/>
      <c r="O66" s="405"/>
      <c r="P66" s="405"/>
      <c r="Q66" s="406"/>
      <c r="R66" s="406"/>
      <c r="S66" s="385"/>
      <c r="T66" s="370"/>
      <c r="U66" s="455">
        <f ca="1">AA51*M66</f>
        <v>81.999690000000001</v>
      </c>
      <c r="V66" s="371"/>
      <c r="AB66" s="2"/>
      <c r="AC66" s="2"/>
      <c r="AD66" s="2"/>
      <c r="AE66" s="2"/>
      <c r="AF66" s="11"/>
      <c r="AG66" s="2"/>
      <c r="AH66" s="2"/>
      <c r="AI66" s="2"/>
      <c r="AJ66" s="2"/>
      <c r="AK66" s="2"/>
      <c r="AL66" s="2"/>
      <c r="AM66" s="2"/>
      <c r="AN66" s="8"/>
      <c r="AO66" s="8"/>
      <c r="AP66" s="2"/>
    </row>
    <row r="67" spans="2:42" ht="15.75" thickBot="1">
      <c r="B67" s="22"/>
      <c r="C67" s="23"/>
      <c r="D67" s="383" t="s">
        <v>11</v>
      </c>
      <c r="E67" s="370"/>
      <c r="F67" s="385"/>
      <c r="G67" s="385"/>
      <c r="H67" s="385"/>
      <c r="I67" s="385"/>
      <c r="J67" s="385"/>
      <c r="K67" s="385"/>
      <c r="L67" s="385"/>
      <c r="M67" s="385"/>
      <c r="N67" s="385"/>
      <c r="O67" s="385"/>
      <c r="P67" s="385"/>
      <c r="Q67" s="385"/>
      <c r="R67" s="385"/>
      <c r="S67" s="385"/>
      <c r="T67" s="370"/>
      <c r="U67" s="410">
        <v>0</v>
      </c>
      <c r="V67" s="371"/>
      <c r="AB67" s="2"/>
      <c r="AC67" s="10"/>
      <c r="AD67" s="10"/>
      <c r="AE67" s="10"/>
      <c r="AF67" s="2"/>
      <c r="AG67" s="2"/>
      <c r="AH67" s="2"/>
      <c r="AI67" s="2"/>
      <c r="AJ67" s="422"/>
      <c r="AK67" s="2"/>
      <c r="AL67" s="2"/>
      <c r="AM67" s="2"/>
      <c r="AN67" s="8"/>
      <c r="AO67" s="8"/>
      <c r="AP67" s="2"/>
    </row>
    <row r="68" spans="2:42" ht="15.75" thickBot="1">
      <c r="B68" s="22"/>
      <c r="C68" s="23"/>
      <c r="D68" s="383" t="s">
        <v>10</v>
      </c>
      <c r="E68" s="370"/>
      <c r="F68" s="370"/>
      <c r="G68" s="370"/>
      <c r="H68" s="391"/>
      <c r="I68" s="391"/>
      <c r="J68" s="391"/>
      <c r="K68" s="391"/>
      <c r="L68" s="391"/>
      <c r="M68" s="391"/>
      <c r="N68" s="391"/>
      <c r="O68" s="391"/>
      <c r="P68" s="391"/>
      <c r="Q68" s="391"/>
      <c r="R68" s="391"/>
      <c r="S68" s="391"/>
      <c r="T68" s="370"/>
      <c r="U68" s="410">
        <v>0</v>
      </c>
      <c r="V68" s="371"/>
      <c r="AB68" s="2"/>
      <c r="AC68" s="10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8"/>
      <c r="AO68" s="8"/>
      <c r="AP68" s="2"/>
    </row>
    <row r="69" spans="2:42" ht="20.100000000000001" customHeight="1" thickBot="1">
      <c r="B69" s="22"/>
      <c r="C69" s="23"/>
      <c r="D69" s="411" t="s">
        <v>9</v>
      </c>
      <c r="E69" s="370"/>
      <c r="F69" s="370"/>
      <c r="G69" s="385"/>
      <c r="H69" s="385"/>
      <c r="I69" s="412"/>
      <c r="J69" s="412"/>
      <c r="K69" s="412"/>
      <c r="L69" s="412"/>
      <c r="M69" s="412"/>
      <c r="N69" s="412"/>
      <c r="O69" s="412"/>
      <c r="P69" s="412"/>
      <c r="Q69" s="385"/>
      <c r="R69" s="385"/>
      <c r="S69" s="385"/>
      <c r="T69" s="370"/>
      <c r="U69" s="410">
        <v>0</v>
      </c>
      <c r="V69" s="371"/>
      <c r="AB69" s="2"/>
      <c r="AC69" s="10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8"/>
      <c r="AO69" s="8"/>
      <c r="AP69" s="2"/>
    </row>
    <row r="70" spans="2:42" ht="15.75" thickBot="1">
      <c r="B70" s="22"/>
      <c r="C70" s="29"/>
      <c r="D70" s="23"/>
      <c r="E70" s="23"/>
      <c r="F70" s="23"/>
      <c r="G70" s="23"/>
      <c r="H70" s="23"/>
      <c r="I70" s="351"/>
      <c r="J70" s="351"/>
      <c r="K70" s="351"/>
      <c r="L70" s="351"/>
      <c r="M70" s="351"/>
      <c r="N70" s="351"/>
      <c r="O70" s="351"/>
      <c r="P70" s="351"/>
      <c r="Q70" s="23"/>
      <c r="R70" s="32"/>
      <c r="S70" s="23"/>
      <c r="T70" s="23"/>
      <c r="U70" s="23"/>
      <c r="V70" s="24"/>
      <c r="AB70" s="2"/>
      <c r="AC70" s="10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8"/>
      <c r="AO70" s="8"/>
      <c r="AP70" s="2"/>
    </row>
    <row r="71" spans="2:42" ht="19.5" thickBot="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18" t="s">
        <v>564</v>
      </c>
      <c r="N71" s="18"/>
      <c r="O71" s="18"/>
      <c r="P71" s="355"/>
      <c r="Q71" s="355"/>
      <c r="R71" s="355"/>
      <c r="S71" s="356"/>
      <c r="T71" s="357"/>
      <c r="U71" s="35">
        <f ca="1">U59+U60+U61+U64+U65+U66+U67+U68+U69</f>
        <v>151.99924959999998</v>
      </c>
      <c r="V71" s="24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8"/>
      <c r="AO71" s="8"/>
      <c r="AP71" s="2"/>
    </row>
    <row r="72" spans="2:42" ht="21.75" thickBot="1">
      <c r="B72" s="22"/>
      <c r="C72" s="23"/>
      <c r="D72" s="23"/>
      <c r="E72" s="23"/>
      <c r="F72" s="23"/>
      <c r="G72" s="23"/>
      <c r="H72" s="361" t="s">
        <v>563</v>
      </c>
      <c r="I72" s="23"/>
      <c r="J72" s="359"/>
      <c r="K72" s="359"/>
      <c r="L72" s="359"/>
      <c r="M72" s="360"/>
      <c r="N72" s="360"/>
      <c r="O72" s="352"/>
      <c r="P72" s="23"/>
      <c r="Q72" s="23"/>
      <c r="R72" s="23"/>
      <c r="S72" s="23"/>
      <c r="T72" s="23"/>
      <c r="U72" s="35">
        <f ca="1">U51-U71</f>
        <v>2795.0307504000002</v>
      </c>
      <c r="V72" s="24"/>
      <c r="AB72" s="2"/>
      <c r="AC72" s="2"/>
      <c r="AD72" s="2"/>
      <c r="AE72" s="2"/>
      <c r="AF72" s="9"/>
      <c r="AG72" s="9"/>
      <c r="AH72" s="9"/>
      <c r="AI72" s="9"/>
      <c r="AJ72" s="2"/>
      <c r="AK72" s="2"/>
      <c r="AL72" s="2"/>
      <c r="AM72" s="2"/>
      <c r="AN72" s="2"/>
      <c r="AO72" s="8"/>
      <c r="AP72" s="2"/>
    </row>
    <row r="73" spans="2:42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358"/>
      <c r="Q73" s="358"/>
      <c r="R73" s="358"/>
      <c r="S73" s="358"/>
      <c r="T73" s="358"/>
      <c r="U73" s="23"/>
      <c r="V73" s="24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8"/>
      <c r="AO73" s="8"/>
      <c r="AP73" s="2"/>
    </row>
    <row r="74" spans="2:42" ht="20.100000000000001" customHeight="1">
      <c r="B74" s="22"/>
      <c r="C74" s="29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4"/>
      <c r="AB74" s="2"/>
      <c r="AC74" s="2"/>
      <c r="AD74" s="2"/>
      <c r="AE74" s="9"/>
      <c r="AF74" s="2"/>
      <c r="AG74" s="2"/>
      <c r="AH74" s="2"/>
      <c r="AI74" s="2"/>
      <c r="AJ74" s="2"/>
      <c r="AK74" s="2"/>
      <c r="AL74" s="2"/>
      <c r="AM74" s="2"/>
      <c r="AN74" s="8"/>
      <c r="AO74" s="8"/>
      <c r="AP74" s="2"/>
    </row>
    <row r="75" spans="2:42">
      <c r="B75" s="22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4"/>
      <c r="AB75" s="2"/>
      <c r="AC75" s="4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268"/>
      <c r="AO75" s="2"/>
      <c r="AP75" s="2"/>
    </row>
    <row r="76" spans="2:42">
      <c r="B76" s="22"/>
      <c r="C76" s="23"/>
      <c r="D76" s="23"/>
      <c r="E76" s="23"/>
      <c r="F76" s="23"/>
      <c r="G76" s="23"/>
      <c r="H76" s="23"/>
      <c r="I76" s="23"/>
      <c r="J76" s="676" t="s">
        <v>83</v>
      </c>
      <c r="K76" s="676"/>
      <c r="L76" s="453">
        <f>J13</f>
        <v>30</v>
      </c>
      <c r="M76" s="39" t="s">
        <v>8</v>
      </c>
      <c r="N76" s="453" t="str">
        <f>L13</f>
        <v>JUNIO</v>
      </c>
      <c r="O76" s="454">
        <f>P13</f>
        <v>2010</v>
      </c>
      <c r="P76" s="23"/>
      <c r="Q76" s="23"/>
      <c r="R76" s="23"/>
      <c r="S76" s="23"/>
      <c r="T76" s="23"/>
      <c r="U76" s="23"/>
      <c r="V76" s="24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2:42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4"/>
    </row>
    <row r="78" spans="2:42">
      <c r="B78" s="22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4"/>
    </row>
    <row r="79" spans="2:42">
      <c r="B79" s="22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4"/>
    </row>
    <row r="80" spans="2:42" s="42" customFormat="1">
      <c r="B80" s="40"/>
      <c r="C80" s="29"/>
      <c r="D80" s="29"/>
      <c r="E80" s="29" t="s">
        <v>84</v>
      </c>
      <c r="F80" s="29"/>
      <c r="G80" s="29"/>
      <c r="H80" s="29"/>
      <c r="I80" s="29"/>
      <c r="J80" s="29"/>
      <c r="K80" s="29"/>
      <c r="L80" s="29"/>
      <c r="M80" s="29"/>
      <c r="N80" s="29" t="s">
        <v>85</v>
      </c>
      <c r="O80" s="29"/>
      <c r="P80" s="29"/>
      <c r="Q80" s="29"/>
      <c r="R80" s="29"/>
      <c r="S80" s="29"/>
      <c r="T80" s="29"/>
      <c r="U80" s="29"/>
      <c r="V80" s="41"/>
    </row>
    <row r="81" spans="2:22"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4"/>
    </row>
    <row r="82" spans="2:22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4"/>
    </row>
    <row r="83" spans="2:22">
      <c r="B83" s="22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4"/>
    </row>
    <row r="84" spans="2:22">
      <c r="B84" s="22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4"/>
    </row>
    <row r="85" spans="2:22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4"/>
    </row>
    <row r="86" spans="2:22" ht="15.75" thickBot="1"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7"/>
    </row>
    <row r="87" spans="2:22" ht="15.75" thickBot="1"/>
    <row r="88" spans="2:22">
      <c r="B88" s="363"/>
      <c r="C88" s="364"/>
      <c r="D88" s="364"/>
      <c r="E88" s="364"/>
      <c r="F88" s="364"/>
      <c r="G88" s="364"/>
      <c r="H88" s="364"/>
      <c r="I88" s="364"/>
      <c r="J88" s="364"/>
      <c r="K88" s="364"/>
      <c r="L88" s="364"/>
      <c r="M88" s="364"/>
      <c r="N88" s="364"/>
      <c r="O88" s="364"/>
      <c r="P88" s="364"/>
      <c r="Q88" s="20"/>
      <c r="R88" s="20"/>
      <c r="S88" s="20"/>
      <c r="T88" s="20"/>
      <c r="U88" s="20"/>
      <c r="V88" s="21"/>
    </row>
    <row r="89" spans="2:22" ht="15.75">
      <c r="B89" s="365"/>
      <c r="C89" s="9" t="s">
        <v>565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2"/>
      <c r="Q89" s="23"/>
      <c r="R89" s="23"/>
      <c r="S89" s="23"/>
      <c r="T89" s="23"/>
      <c r="U89" s="23"/>
      <c r="V89" s="24"/>
    </row>
    <row r="90" spans="2:22" ht="15.75">
      <c r="B90" s="365"/>
      <c r="C90" s="6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2"/>
      <c r="Q90" s="23"/>
      <c r="R90" s="23"/>
      <c r="S90" s="23"/>
      <c r="T90" s="23"/>
      <c r="U90" s="23"/>
      <c r="V90" s="24"/>
    </row>
    <row r="91" spans="2:22">
      <c r="B91" s="365"/>
      <c r="C91" s="4" t="s">
        <v>7</v>
      </c>
      <c r="D91" s="3"/>
      <c r="E91" s="3"/>
      <c r="F91" s="3"/>
      <c r="G91" s="3"/>
      <c r="H91" s="368"/>
      <c r="I91" s="368"/>
      <c r="J91" s="368"/>
      <c r="K91" s="368"/>
      <c r="L91" s="368"/>
      <c r="M91" s="368"/>
      <c r="N91" s="368"/>
      <c r="O91" s="7"/>
      <c r="P91" s="7"/>
      <c r="Q91" s="352"/>
      <c r="R91" s="352"/>
      <c r="S91" s="352"/>
      <c r="T91" s="352"/>
      <c r="U91" s="362"/>
      <c r="V91" s="24"/>
    </row>
    <row r="92" spans="2:22">
      <c r="B92" s="365"/>
      <c r="C92" s="3" t="s">
        <v>6</v>
      </c>
      <c r="D92" s="3"/>
      <c r="E92" s="3"/>
      <c r="F92" s="368"/>
      <c r="G92" s="368"/>
      <c r="H92" s="368"/>
      <c r="I92" s="368"/>
      <c r="J92" s="368"/>
      <c r="K92" s="368"/>
      <c r="L92" s="368"/>
      <c r="M92" s="368"/>
      <c r="N92" s="352"/>
      <c r="O92" s="7"/>
      <c r="P92" s="7"/>
      <c r="Q92" s="352"/>
      <c r="R92" s="352"/>
      <c r="S92" s="352"/>
      <c r="T92" s="352"/>
      <c r="U92" s="268">
        <f ca="1">Bases_Cotización!F5+U25+U27+U29</f>
        <v>2867.03</v>
      </c>
      <c r="V92" s="24"/>
    </row>
    <row r="93" spans="2:22">
      <c r="B93" s="365"/>
      <c r="C93" s="3" t="s">
        <v>5</v>
      </c>
      <c r="D93" s="3"/>
      <c r="E93" s="3"/>
      <c r="F93" s="3"/>
      <c r="G93" s="369"/>
      <c r="H93" s="369"/>
      <c r="I93" s="369"/>
      <c r="J93" s="369"/>
      <c r="K93" s="369"/>
      <c r="L93" s="369"/>
      <c r="M93" s="369"/>
      <c r="N93" s="353"/>
      <c r="O93" s="354"/>
      <c r="P93" s="354"/>
      <c r="Q93" s="353"/>
      <c r="R93" s="353"/>
      <c r="S93" s="353"/>
      <c r="T93" s="353"/>
      <c r="U93" s="268">
        <f>Devengos!D9</f>
        <v>215.98500000000001</v>
      </c>
      <c r="V93" s="24"/>
    </row>
    <row r="94" spans="2:22">
      <c r="B94" s="365"/>
      <c r="C94" s="3"/>
      <c r="D94" s="3"/>
      <c r="F94" s="3"/>
      <c r="G94" s="3"/>
      <c r="H94" s="3"/>
      <c r="I94" s="3"/>
      <c r="J94" s="4" t="s">
        <v>4</v>
      </c>
      <c r="K94" s="3"/>
      <c r="L94" s="3"/>
      <c r="M94" s="3"/>
      <c r="O94" s="2"/>
      <c r="P94" s="2"/>
      <c r="Q94" s="23"/>
      <c r="R94" s="23"/>
      <c r="S94" s="23"/>
      <c r="T94" s="23"/>
      <c r="U94" s="90">
        <f ca="1">SUM(U91:U93)</f>
        <v>3083.0150000000003</v>
      </c>
      <c r="V94" s="24"/>
    </row>
    <row r="95" spans="2:22">
      <c r="B95" s="365"/>
      <c r="C95" s="4" t="s">
        <v>3</v>
      </c>
      <c r="D95" s="3"/>
      <c r="E95" s="3"/>
      <c r="F95" s="3"/>
      <c r="G95" s="3"/>
      <c r="H95" s="3"/>
      <c r="I95" s="3"/>
      <c r="J95" s="3"/>
      <c r="U95" s="2"/>
      <c r="V95" s="24"/>
    </row>
    <row r="96" spans="2:22">
      <c r="B96" s="365"/>
      <c r="C96" s="3" t="s">
        <v>2</v>
      </c>
      <c r="D96" s="3"/>
      <c r="E96" s="3"/>
      <c r="F96" s="3"/>
      <c r="G96" s="3"/>
      <c r="H96" s="368"/>
      <c r="I96" s="368"/>
      <c r="J96" s="368"/>
      <c r="K96" s="368"/>
      <c r="L96" s="368"/>
      <c r="M96" s="368"/>
      <c r="N96" s="352"/>
      <c r="O96" s="7"/>
      <c r="P96" s="7"/>
      <c r="Q96" s="352"/>
      <c r="R96" s="352"/>
      <c r="S96" s="352"/>
      <c r="T96" s="352"/>
      <c r="U96" s="268">
        <f ca="1">Bases_Cotización!F21</f>
        <v>3163.0150000000003</v>
      </c>
      <c r="V96" s="24"/>
    </row>
    <row r="97" spans="2:22">
      <c r="B97" s="365"/>
      <c r="C97" s="4" t="s">
        <v>1</v>
      </c>
      <c r="D97" s="3"/>
      <c r="E97" s="3"/>
      <c r="F97" s="3"/>
      <c r="G97" s="3"/>
      <c r="H97" s="369"/>
      <c r="I97" s="369"/>
      <c r="J97" s="369"/>
      <c r="K97" s="369"/>
      <c r="L97" s="369"/>
      <c r="M97" s="369"/>
      <c r="N97" s="353"/>
      <c r="O97" s="354"/>
      <c r="P97" s="354"/>
      <c r="Q97" s="353"/>
      <c r="R97" s="353"/>
      <c r="S97" s="353"/>
      <c r="T97" s="353"/>
      <c r="U97" s="268">
        <f ca="1">Bases_Cotización!F29</f>
        <v>429.69200000000001</v>
      </c>
      <c r="V97" s="24"/>
    </row>
    <row r="98" spans="2:22">
      <c r="B98" s="365"/>
      <c r="C98" s="4" t="s">
        <v>0</v>
      </c>
      <c r="D98" s="3"/>
      <c r="E98" s="3"/>
      <c r="F98" s="3"/>
      <c r="G98" s="368"/>
      <c r="H98" s="368"/>
      <c r="I98" s="368"/>
      <c r="J98" s="368"/>
      <c r="K98" s="368"/>
      <c r="L98" s="368"/>
      <c r="M98" s="368"/>
      <c r="N98" s="352"/>
      <c r="O98" s="7"/>
      <c r="P98" s="7"/>
      <c r="Q98" s="352"/>
      <c r="R98" s="352"/>
      <c r="S98" s="352"/>
      <c r="T98" s="352"/>
      <c r="U98" s="443">
        <f ca="1">AA51</f>
        <v>2733.3230000000003</v>
      </c>
      <c r="V98" s="24"/>
    </row>
    <row r="99" spans="2:22" ht="15.75" thickBot="1">
      <c r="B99" s="366"/>
      <c r="C99" s="367"/>
      <c r="D99" s="367"/>
      <c r="E99" s="367"/>
      <c r="F99" s="367"/>
      <c r="G99" s="367"/>
      <c r="H99" s="367"/>
      <c r="I99" s="367"/>
      <c r="J99" s="367"/>
      <c r="K99" s="367"/>
      <c r="L99" s="367"/>
      <c r="M99" s="367"/>
      <c r="N99" s="367"/>
      <c r="O99" s="367"/>
      <c r="P99" s="367"/>
      <c r="Q99" s="26"/>
      <c r="R99" s="26"/>
      <c r="S99" s="26"/>
      <c r="T99" s="26"/>
      <c r="U99" s="26"/>
      <c r="V99" s="27"/>
    </row>
    <row r="100" spans="2:22">
      <c r="F100" s="345"/>
      <c r="G100" s="343"/>
      <c r="H100" s="344"/>
      <c r="I100" s="344"/>
      <c r="J100" s="344"/>
      <c r="K100" s="344"/>
      <c r="L100" s="344"/>
      <c r="M100" s="344"/>
      <c r="N100" s="344"/>
      <c r="O100" s="344"/>
      <c r="P100" s="23"/>
    </row>
    <row r="101" spans="2:22">
      <c r="F101" s="345"/>
      <c r="G101" s="344"/>
      <c r="H101" s="344"/>
      <c r="I101" s="344"/>
      <c r="J101" s="344"/>
      <c r="K101" s="344"/>
      <c r="L101" s="344"/>
      <c r="M101" s="344"/>
      <c r="N101" s="344"/>
      <c r="O101" s="344"/>
      <c r="P101" s="23"/>
    </row>
    <row r="102" spans="2:22">
      <c r="F102" s="345"/>
      <c r="G102" s="345"/>
      <c r="H102" s="345"/>
      <c r="I102" s="345"/>
      <c r="J102" s="345"/>
      <c r="K102" s="345"/>
      <c r="L102" s="345"/>
      <c r="M102" s="345"/>
      <c r="N102" s="345"/>
      <c r="O102" s="345"/>
    </row>
    <row r="103" spans="2:22">
      <c r="F103" s="345"/>
      <c r="G103" s="345"/>
      <c r="H103" s="345"/>
      <c r="I103" s="345"/>
      <c r="J103" s="345"/>
      <c r="K103" s="345"/>
      <c r="L103" s="345"/>
      <c r="M103" s="345"/>
      <c r="N103" s="345"/>
      <c r="O103" s="345"/>
    </row>
    <row r="104" spans="2:22">
      <c r="F104" s="345"/>
      <c r="G104" s="345"/>
      <c r="H104" s="345"/>
      <c r="I104" s="345"/>
      <c r="J104" s="345"/>
      <c r="K104" s="345"/>
      <c r="L104" s="345"/>
      <c r="M104" s="345"/>
    </row>
    <row r="105" spans="2:22">
      <c r="F105" s="345"/>
      <c r="G105" s="345"/>
      <c r="H105" s="345"/>
      <c r="I105" s="345"/>
      <c r="J105" s="345"/>
      <c r="K105" s="345"/>
      <c r="L105" s="345"/>
      <c r="M105" s="345"/>
    </row>
  </sheetData>
  <mergeCells count="98">
    <mergeCell ref="C9:E9"/>
    <mergeCell ref="G9:J9"/>
    <mergeCell ref="L9:Q9"/>
    <mergeCell ref="C4:J4"/>
    <mergeCell ref="L4:U4"/>
    <mergeCell ref="C7:J7"/>
    <mergeCell ref="L7:O7"/>
    <mergeCell ref="Q7:T7"/>
    <mergeCell ref="D24:D32"/>
    <mergeCell ref="E24:F25"/>
    <mergeCell ref="G24:H24"/>
    <mergeCell ref="I24:J24"/>
    <mergeCell ref="K24:L24"/>
    <mergeCell ref="G25:H25"/>
    <mergeCell ref="I25:J25"/>
    <mergeCell ref="K25:L25"/>
    <mergeCell ref="E28:F29"/>
    <mergeCell ref="G28:H28"/>
    <mergeCell ref="I28:J28"/>
    <mergeCell ref="K28:L28"/>
    <mergeCell ref="E30:F31"/>
    <mergeCell ref="G30:L30"/>
    <mergeCell ref="E32:F32"/>
    <mergeCell ref="G32:L32"/>
    <mergeCell ref="R26:S26"/>
    <mergeCell ref="G27:J27"/>
    <mergeCell ref="K27:L27"/>
    <mergeCell ref="R13:S13"/>
    <mergeCell ref="F22:T22"/>
    <mergeCell ref="M24:N24"/>
    <mergeCell ref="O24:Q24"/>
    <mergeCell ref="R24:S24"/>
    <mergeCell ref="M25:N25"/>
    <mergeCell ref="O25:Q25"/>
    <mergeCell ref="R25:S25"/>
    <mergeCell ref="E26:F27"/>
    <mergeCell ref="G26:J26"/>
    <mergeCell ref="K26:L26"/>
    <mergeCell ref="M26:N26"/>
    <mergeCell ref="O26:Q26"/>
    <mergeCell ref="M28:N28"/>
    <mergeCell ref="G29:H29"/>
    <mergeCell ref="I29:J29"/>
    <mergeCell ref="M27:N27"/>
    <mergeCell ref="O27:Q27"/>
    <mergeCell ref="K29:L29"/>
    <mergeCell ref="M29:N29"/>
    <mergeCell ref="O29:R29"/>
    <mergeCell ref="O28:R28"/>
    <mergeCell ref="R27:S27"/>
    <mergeCell ref="M30:Q30"/>
    <mergeCell ref="R30:S30"/>
    <mergeCell ref="G31:L31"/>
    <mergeCell ref="M31:Q31"/>
    <mergeCell ref="R31:S31"/>
    <mergeCell ref="M32:N32"/>
    <mergeCell ref="O32:S32"/>
    <mergeCell ref="E36:H36"/>
    <mergeCell ref="I36:L36"/>
    <mergeCell ref="M36:P36"/>
    <mergeCell ref="Q36:S36"/>
    <mergeCell ref="E44:F46"/>
    <mergeCell ref="G44:I44"/>
    <mergeCell ref="J44:L44"/>
    <mergeCell ref="N44:P44"/>
    <mergeCell ref="R44:S44"/>
    <mergeCell ref="G45:I45"/>
    <mergeCell ref="J45:M45"/>
    <mergeCell ref="N45:Q45"/>
    <mergeCell ref="R45:S45"/>
    <mergeCell ref="G46:I46"/>
    <mergeCell ref="J46:M46"/>
    <mergeCell ref="N46:Q46"/>
    <mergeCell ref="R46:S46"/>
    <mergeCell ref="G42:I42"/>
    <mergeCell ref="J42:M42"/>
    <mergeCell ref="N42:P42"/>
    <mergeCell ref="Q42:S42"/>
    <mergeCell ref="G43:I43"/>
    <mergeCell ref="J43:M43"/>
    <mergeCell ref="N43:P43"/>
    <mergeCell ref="Q43:S43"/>
    <mergeCell ref="O41:P41"/>
    <mergeCell ref="L13:N13"/>
    <mergeCell ref="J76:K76"/>
    <mergeCell ref="M51:R51"/>
    <mergeCell ref="E47:I48"/>
    <mergeCell ref="J47:M47"/>
    <mergeCell ref="N47:Q47"/>
    <mergeCell ref="R47:S47"/>
    <mergeCell ref="J48:M48"/>
    <mergeCell ref="N48:Q48"/>
    <mergeCell ref="R48:S48"/>
    <mergeCell ref="E37:H37"/>
    <mergeCell ref="I37:L37"/>
    <mergeCell ref="M37:P37"/>
    <mergeCell ref="Q37:S37"/>
    <mergeCell ref="E42:F43"/>
  </mergeCells>
  <pageMargins left="0.7" right="0.7" top="0.75" bottom="0.75" header="0.3" footer="0.3"/>
  <pageSetup paperSize="9" scale="4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workbookViewId="0">
      <selection activeCell="B1" sqref="B1:C14"/>
    </sheetView>
  </sheetViews>
  <sheetFormatPr baseColWidth="10" defaultRowHeight="15"/>
  <cols>
    <col min="3" max="3" width="46.7109375" bestFit="1" customWidth="1"/>
    <col min="8" max="8" width="40.28515625" customWidth="1"/>
    <col min="9" max="9" width="14" customWidth="1"/>
  </cols>
  <sheetData>
    <row r="1" spans="2:10">
      <c r="B1" s="775" t="s">
        <v>86</v>
      </c>
      <c r="C1" s="777" t="s">
        <v>87</v>
      </c>
      <c r="D1" s="99" t="s">
        <v>139</v>
      </c>
      <c r="E1" s="100" t="s">
        <v>140</v>
      </c>
      <c r="H1" s="772" t="s">
        <v>242</v>
      </c>
      <c r="I1" s="773"/>
      <c r="J1" s="774"/>
    </row>
    <row r="2" spans="2:10" ht="15.75" thickBot="1">
      <c r="B2" s="776"/>
      <c r="C2" s="778"/>
      <c r="D2" s="101" t="s">
        <v>141</v>
      </c>
      <c r="E2" s="102" t="s">
        <v>141</v>
      </c>
      <c r="H2" s="250" t="s">
        <v>243</v>
      </c>
      <c r="I2" s="194"/>
      <c r="J2" s="193">
        <v>5151</v>
      </c>
    </row>
    <row r="3" spans="2:10">
      <c r="B3" s="44">
        <v>1</v>
      </c>
      <c r="C3" s="24" t="s">
        <v>88</v>
      </c>
      <c r="D3" s="91">
        <v>1051.5</v>
      </c>
      <c r="E3" s="92">
        <v>3597</v>
      </c>
      <c r="H3" s="250" t="s">
        <v>244</v>
      </c>
      <c r="I3" s="194">
        <v>918</v>
      </c>
      <c r="J3" s="193">
        <f>J2+I3</f>
        <v>6069</v>
      </c>
    </row>
    <row r="4" spans="2:10" ht="15.75" thickBot="1">
      <c r="B4" s="44">
        <v>2</v>
      </c>
      <c r="C4" s="24" t="s">
        <v>89</v>
      </c>
      <c r="D4" s="95">
        <v>872.1</v>
      </c>
      <c r="E4" s="96">
        <v>3597</v>
      </c>
      <c r="H4" s="250" t="s">
        <v>245</v>
      </c>
      <c r="I4" s="195">
        <v>2040</v>
      </c>
      <c r="J4" s="196">
        <f>J2+I4</f>
        <v>7191</v>
      </c>
    </row>
    <row r="5" spans="2:10">
      <c r="B5" s="44">
        <v>3</v>
      </c>
      <c r="C5" s="24" t="s">
        <v>90</v>
      </c>
      <c r="D5" s="95">
        <v>758.7</v>
      </c>
      <c r="E5" s="96">
        <v>3597</v>
      </c>
      <c r="H5" s="772" t="s">
        <v>246</v>
      </c>
      <c r="I5" s="773"/>
      <c r="J5" s="774"/>
    </row>
    <row r="6" spans="2:10">
      <c r="B6" s="44">
        <v>4</v>
      </c>
      <c r="C6" s="24" t="s">
        <v>606</v>
      </c>
      <c r="D6" s="95">
        <v>753</v>
      </c>
      <c r="E6" s="96">
        <v>3597</v>
      </c>
      <c r="H6" s="250" t="s">
        <v>247</v>
      </c>
      <c r="I6" s="194">
        <v>1836</v>
      </c>
      <c r="J6" s="193">
        <f>I6</f>
        <v>1836</v>
      </c>
    </row>
    <row r="7" spans="2:10">
      <c r="B7" s="44">
        <v>5</v>
      </c>
      <c r="C7" s="24" t="s">
        <v>91</v>
      </c>
      <c r="D7" s="95">
        <v>753</v>
      </c>
      <c r="E7" s="96">
        <v>3597</v>
      </c>
      <c r="H7" s="250" t="s">
        <v>248</v>
      </c>
      <c r="I7" s="194">
        <v>2040</v>
      </c>
      <c r="J7" s="193">
        <f>J6+I7</f>
        <v>3876</v>
      </c>
    </row>
    <row r="8" spans="2:10" ht="15.75" thickBot="1">
      <c r="B8" s="44">
        <v>6</v>
      </c>
      <c r="C8" s="24" t="s">
        <v>97</v>
      </c>
      <c r="D8" s="95">
        <v>753</v>
      </c>
      <c r="E8" s="96">
        <v>3597</v>
      </c>
      <c r="H8" s="250" t="s">
        <v>249</v>
      </c>
      <c r="I8" s="195">
        <v>3672</v>
      </c>
      <c r="J8" s="196">
        <f>J7+I8</f>
        <v>7548</v>
      </c>
    </row>
    <row r="9" spans="2:10" ht="15.75" thickBot="1">
      <c r="B9" s="44">
        <v>7</v>
      </c>
      <c r="C9" s="24" t="s">
        <v>92</v>
      </c>
      <c r="D9" s="97">
        <v>753</v>
      </c>
      <c r="E9" s="98">
        <v>3597</v>
      </c>
      <c r="H9" s="250" t="s">
        <v>250</v>
      </c>
      <c r="I9" s="194">
        <v>4182</v>
      </c>
      <c r="J9" s="193"/>
    </row>
    <row r="10" spans="2:10" s="17" customFormat="1" ht="15.75" thickBot="1">
      <c r="B10" s="44"/>
      <c r="C10" s="24"/>
      <c r="D10" s="101" t="s">
        <v>148</v>
      </c>
      <c r="E10" s="102" t="s">
        <v>148</v>
      </c>
      <c r="H10" s="250" t="s">
        <v>251</v>
      </c>
      <c r="I10" s="194"/>
      <c r="J10" s="193">
        <v>2244</v>
      </c>
    </row>
    <row r="11" spans="2:10">
      <c r="B11" s="44">
        <v>8</v>
      </c>
      <c r="C11" s="24" t="s">
        <v>93</v>
      </c>
      <c r="D11" s="91">
        <v>25.1</v>
      </c>
      <c r="E11" s="91">
        <v>119.9</v>
      </c>
      <c r="H11" s="772" t="s">
        <v>252</v>
      </c>
      <c r="I11" s="773"/>
      <c r="J11" s="774"/>
    </row>
    <row r="12" spans="2:10">
      <c r="B12" s="44">
        <v>9</v>
      </c>
      <c r="C12" s="24" t="s">
        <v>94</v>
      </c>
      <c r="D12" s="91">
        <v>25.1</v>
      </c>
      <c r="E12" s="91">
        <v>119.9</v>
      </c>
      <c r="H12" s="250" t="s">
        <v>253</v>
      </c>
      <c r="I12" s="194">
        <v>918</v>
      </c>
      <c r="J12" s="193"/>
    </row>
    <row r="13" spans="2:10" ht="15.75" thickBot="1">
      <c r="B13" s="44">
        <v>10</v>
      </c>
      <c r="C13" s="24" t="s">
        <v>95</v>
      </c>
      <c r="D13" s="91">
        <v>25.1</v>
      </c>
      <c r="E13" s="91">
        <v>119.9</v>
      </c>
      <c r="H13" s="250" t="s">
        <v>254</v>
      </c>
      <c r="I13" s="194">
        <v>2040</v>
      </c>
      <c r="J13" s="193"/>
    </row>
    <row r="14" spans="2:10" ht="15.75" thickBot="1">
      <c r="B14" s="45">
        <v>11</v>
      </c>
      <c r="C14" s="27" t="s">
        <v>96</v>
      </c>
      <c r="D14" s="91">
        <v>25.1</v>
      </c>
      <c r="E14" s="91">
        <v>119.9</v>
      </c>
      <c r="G14" s="17"/>
      <c r="H14" s="772" t="s">
        <v>255</v>
      </c>
      <c r="I14" s="773"/>
      <c r="J14" s="774"/>
    </row>
    <row r="15" spans="2:10" ht="15.75" thickBot="1">
      <c r="H15" s="770" t="s">
        <v>256</v>
      </c>
      <c r="I15" s="771"/>
      <c r="J15" s="193">
        <v>3246</v>
      </c>
    </row>
    <row r="16" spans="2:10" ht="15.75">
      <c r="B16" s="779" t="s">
        <v>224</v>
      </c>
      <c r="C16" s="780"/>
      <c r="D16" s="780"/>
      <c r="E16" s="781"/>
      <c r="G16" s="17"/>
      <c r="H16" s="770" t="s">
        <v>240</v>
      </c>
      <c r="I16" s="771"/>
      <c r="J16" s="193">
        <v>2316</v>
      </c>
    </row>
    <row r="17" spans="2:10">
      <c r="B17" s="239" t="s">
        <v>4</v>
      </c>
      <c r="C17" s="240" t="s">
        <v>225</v>
      </c>
      <c r="D17" s="241" t="s">
        <v>227</v>
      </c>
      <c r="E17" s="242" t="s">
        <v>226</v>
      </c>
      <c r="H17" s="770" t="s">
        <v>257</v>
      </c>
      <c r="I17" s="771"/>
      <c r="J17" s="193">
        <v>7242</v>
      </c>
    </row>
    <row r="18" spans="2:10">
      <c r="B18" s="243">
        <f>SUM(D18:E18)</f>
        <v>0.28299999999999997</v>
      </c>
      <c r="C18" s="189" t="s">
        <v>228</v>
      </c>
      <c r="D18" s="244">
        <v>0.23599999999999999</v>
      </c>
      <c r="E18" s="245">
        <v>4.7E-2</v>
      </c>
      <c r="H18" s="770" t="s">
        <v>240</v>
      </c>
      <c r="I18" s="771"/>
      <c r="J18" s="193">
        <v>2316</v>
      </c>
    </row>
    <row r="19" spans="2:10" s="17" customFormat="1" ht="24.75" customHeight="1">
      <c r="B19" s="243">
        <f>SUM(D19:E19)</f>
        <v>1.6E-2</v>
      </c>
      <c r="C19" s="190" t="s">
        <v>231</v>
      </c>
      <c r="D19" s="244">
        <v>1.3299999999999999E-2</v>
      </c>
      <c r="E19" s="245">
        <v>2.7000000000000001E-3</v>
      </c>
      <c r="H19" s="770" t="s">
        <v>258</v>
      </c>
      <c r="I19" s="771"/>
      <c r="J19" s="193">
        <v>2316</v>
      </c>
    </row>
    <row r="20" spans="2:10">
      <c r="B20" s="243">
        <f>SUM(D20:E20)</f>
        <v>0.13999999999999999</v>
      </c>
      <c r="C20" s="189" t="s">
        <v>229</v>
      </c>
      <c r="D20" s="244">
        <v>0.12</v>
      </c>
      <c r="E20" s="245">
        <v>0.02</v>
      </c>
      <c r="H20" s="770" t="s">
        <v>240</v>
      </c>
      <c r="I20" s="771"/>
      <c r="J20" s="193">
        <v>2316</v>
      </c>
    </row>
    <row r="21" spans="2:10" ht="15" customHeight="1">
      <c r="B21" s="243">
        <f>SUM(D21:E21)</f>
        <v>0.28299999999999997</v>
      </c>
      <c r="C21" s="189" t="s">
        <v>230</v>
      </c>
      <c r="D21" s="244">
        <v>0.23599999999999999</v>
      </c>
      <c r="E21" s="245">
        <v>4.7E-2</v>
      </c>
      <c r="H21" s="770" t="s">
        <v>259</v>
      </c>
      <c r="I21" s="771"/>
      <c r="J21" s="193">
        <v>7038</v>
      </c>
    </row>
    <row r="22" spans="2:10" ht="15.75" thickBot="1">
      <c r="B22" s="239" t="s">
        <v>4</v>
      </c>
      <c r="C22" s="240" t="s">
        <v>161</v>
      </c>
      <c r="D22" s="241" t="s">
        <v>227</v>
      </c>
      <c r="E22" s="242" t="s">
        <v>226</v>
      </c>
      <c r="H22" s="770" t="s">
        <v>240</v>
      </c>
      <c r="I22" s="771"/>
      <c r="J22" s="193">
        <v>2316</v>
      </c>
    </row>
    <row r="23" spans="2:10">
      <c r="B23" s="243">
        <f>SUM(D23:E23)</f>
        <v>7.0500000000000007E-2</v>
      </c>
      <c r="C23" s="189" t="s">
        <v>232</v>
      </c>
      <c r="D23" s="244">
        <v>5.5E-2</v>
      </c>
      <c r="E23" s="245">
        <v>1.55E-2</v>
      </c>
      <c r="H23" s="772" t="s">
        <v>122</v>
      </c>
      <c r="I23" s="773"/>
      <c r="J23" s="774"/>
    </row>
    <row r="24" spans="2:10">
      <c r="B24" s="243">
        <f>SUM(D24:E24)</f>
        <v>8.3000000000000004E-2</v>
      </c>
      <c r="C24" s="190" t="s">
        <v>233</v>
      </c>
      <c r="D24" s="244">
        <v>6.7000000000000004E-2</v>
      </c>
      <c r="E24" s="245">
        <v>1.6E-2</v>
      </c>
      <c r="H24" s="250" t="s">
        <v>125</v>
      </c>
      <c r="I24" s="28"/>
      <c r="J24" s="197">
        <v>600</v>
      </c>
    </row>
    <row r="25" spans="2:10">
      <c r="B25" s="243">
        <f>SUM(D25:E25)</f>
        <v>8.3000000000000004E-2</v>
      </c>
      <c r="C25" s="189" t="s">
        <v>234</v>
      </c>
      <c r="D25" s="244">
        <v>6.7000000000000004E-2</v>
      </c>
      <c r="E25" s="245">
        <v>1.6E-2</v>
      </c>
      <c r="H25" s="250" t="s">
        <v>126</v>
      </c>
      <c r="I25" s="28"/>
      <c r="J25" s="197">
        <v>600</v>
      </c>
    </row>
    <row r="26" spans="2:10" ht="15.75" thickBot="1">
      <c r="B26" s="239" t="s">
        <v>4</v>
      </c>
      <c r="C26" s="240" t="s">
        <v>235</v>
      </c>
      <c r="D26" s="241" t="s">
        <v>227</v>
      </c>
      <c r="E26" s="242" t="s">
        <v>226</v>
      </c>
      <c r="H26" s="251" t="s">
        <v>127</v>
      </c>
      <c r="I26" s="192"/>
      <c r="J26" s="198">
        <v>1200</v>
      </c>
    </row>
    <row r="27" spans="2:10">
      <c r="B27" s="243">
        <f>SUM(D27:E27)</f>
        <v>2E-3</v>
      </c>
      <c r="C27" s="189" t="s">
        <v>235</v>
      </c>
      <c r="D27" s="244">
        <v>2E-3</v>
      </c>
      <c r="E27" s="245">
        <v>0</v>
      </c>
    </row>
    <row r="28" spans="2:10">
      <c r="B28" s="239" t="s">
        <v>4</v>
      </c>
      <c r="C28" s="240" t="s">
        <v>163</v>
      </c>
      <c r="D28" s="241" t="s">
        <v>227</v>
      </c>
      <c r="E28" s="242" t="s">
        <v>226</v>
      </c>
    </row>
    <row r="29" spans="2:10" ht="15.75" thickBot="1">
      <c r="B29" s="246">
        <f>SUM(D29:E29)</f>
        <v>7.0000000000000001E-3</v>
      </c>
      <c r="C29" s="247" t="s">
        <v>163</v>
      </c>
      <c r="D29" s="248">
        <v>6.0000000000000001E-3</v>
      </c>
      <c r="E29" s="249">
        <v>1E-3</v>
      </c>
    </row>
    <row r="30" spans="2:10">
      <c r="B30" s="260" t="s">
        <v>292</v>
      </c>
      <c r="C30" s="261" t="s">
        <v>160</v>
      </c>
      <c r="D30" s="262" t="s">
        <v>165</v>
      </c>
      <c r="E30" s="263" t="s">
        <v>166</v>
      </c>
    </row>
    <row r="31" spans="2:10">
      <c r="B31" s="264" t="s">
        <v>181</v>
      </c>
      <c r="C31" s="189" t="s">
        <v>298</v>
      </c>
      <c r="D31" s="244">
        <v>6.4999999999999997E-3</v>
      </c>
      <c r="E31" s="245">
        <v>3.5000000000000001E-3</v>
      </c>
    </row>
    <row r="32" spans="2:10">
      <c r="B32" s="264" t="s">
        <v>293</v>
      </c>
      <c r="C32" s="189" t="s">
        <v>299</v>
      </c>
      <c r="D32" s="244">
        <v>0.01</v>
      </c>
      <c r="E32" s="245">
        <v>0.01</v>
      </c>
    </row>
    <row r="33" spans="2:5" ht="36.75">
      <c r="B33" s="264" t="s">
        <v>294</v>
      </c>
      <c r="C33" s="190" t="s">
        <v>300</v>
      </c>
      <c r="D33" s="244">
        <v>3.3500000000000002E-2</v>
      </c>
      <c r="E33" s="245">
        <v>3.3500000000000002E-2</v>
      </c>
    </row>
    <row r="34" spans="2:5" ht="36.75">
      <c r="B34" s="264" t="s">
        <v>295</v>
      </c>
      <c r="C34" s="190" t="s">
        <v>301</v>
      </c>
      <c r="D34" s="244">
        <v>3.3500000000000002E-2</v>
      </c>
      <c r="E34" s="245">
        <v>3.3500000000000002E-2</v>
      </c>
    </row>
    <row r="35" spans="2:5" ht="36.75">
      <c r="B35" s="264" t="s">
        <v>296</v>
      </c>
      <c r="C35" s="190" t="s">
        <v>302</v>
      </c>
      <c r="D35" s="244">
        <v>2.1000000000000001E-2</v>
      </c>
      <c r="E35" s="245">
        <v>1.4999999999999999E-2</v>
      </c>
    </row>
    <row r="36" spans="2:5" ht="25.5" thickBot="1">
      <c r="B36" s="265" t="s">
        <v>297</v>
      </c>
      <c r="C36" s="266" t="s">
        <v>303</v>
      </c>
      <c r="D36" s="248">
        <v>1.4E-2</v>
      </c>
      <c r="E36" s="249">
        <v>2.1999999999999999E-2</v>
      </c>
    </row>
  </sheetData>
  <mergeCells count="16">
    <mergeCell ref="B1:B2"/>
    <mergeCell ref="C1:C2"/>
    <mergeCell ref="B16:E16"/>
    <mergeCell ref="H1:J1"/>
    <mergeCell ref="H5:J5"/>
    <mergeCell ref="H11:J11"/>
    <mergeCell ref="H14:J14"/>
    <mergeCell ref="H15:I15"/>
    <mergeCell ref="H16:I16"/>
    <mergeCell ref="H22:I22"/>
    <mergeCell ref="H23:J23"/>
    <mergeCell ref="H17:I17"/>
    <mergeCell ref="H18:I18"/>
    <mergeCell ref="H19:I19"/>
    <mergeCell ref="H20:I20"/>
    <mergeCell ref="H21:I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5"/>
  <sheetViews>
    <sheetView showGridLines="0" zoomScaleNormal="100" zoomScaleSheetLayoutView="90" workbookViewId="0">
      <pane xSplit="2" ySplit="2" topLeftCell="N3" activePane="bottomRight" state="frozen"/>
      <selection pane="topRight" activeCell="C1" sqref="C1"/>
      <selection pane="bottomLeft" activeCell="A3" sqref="A3"/>
      <selection pane="bottomRight" activeCell="AB8" sqref="AB8"/>
    </sheetView>
  </sheetViews>
  <sheetFormatPr baseColWidth="10" defaultColWidth="11.42578125" defaultRowHeight="15"/>
  <cols>
    <col min="1" max="1" width="15.85546875" style="17" bestFit="1" customWidth="1"/>
    <col min="2" max="2" width="25.7109375" style="17" bestFit="1" customWidth="1"/>
    <col min="3" max="3" width="4.85546875" style="17" bestFit="1" customWidth="1"/>
    <col min="4" max="4" width="13.28515625" style="17" customWidth="1"/>
    <col min="5" max="5" width="2.28515625" style="17" bestFit="1" customWidth="1"/>
    <col min="6" max="6" width="14.7109375" style="17" bestFit="1" customWidth="1"/>
    <col min="7" max="7" width="0.85546875" style="177" customWidth="1"/>
    <col min="8" max="8" width="25.28515625" style="17" bestFit="1" customWidth="1"/>
    <col min="9" max="9" width="2" style="17" bestFit="1" customWidth="1"/>
    <col min="10" max="10" width="11.85546875" style="17" bestFit="1" customWidth="1"/>
    <col min="11" max="11" width="18.5703125" style="17" bestFit="1" customWidth="1"/>
    <col min="12" max="12" width="22" style="17" bestFit="1" customWidth="1"/>
    <col min="13" max="13" width="12.7109375" style="17" bestFit="1" customWidth="1"/>
    <col min="14" max="14" width="11.140625" style="17" bestFit="1" customWidth="1"/>
    <col min="15" max="17" width="24.7109375" style="17" hidden="1" customWidth="1"/>
    <col min="18" max="18" width="19.28515625" style="17" hidden="1" customWidth="1"/>
    <col min="19" max="19" width="14.7109375" style="17" bestFit="1" customWidth="1"/>
    <col min="20" max="20" width="13.42578125" style="17" bestFit="1" customWidth="1"/>
    <col min="21" max="21" width="14.7109375" style="17" bestFit="1" customWidth="1"/>
    <col min="22" max="22" width="13.42578125" style="17" bestFit="1" customWidth="1"/>
    <col min="23" max="16384" width="11.42578125" style="17"/>
  </cols>
  <sheetData>
    <row r="1" spans="1:28" s="1" customFormat="1" ht="48" customHeight="1">
      <c r="A1" s="489">
        <v>40360</v>
      </c>
      <c r="B1" s="489">
        <v>40390</v>
      </c>
      <c r="C1" s="513" t="s">
        <v>32</v>
      </c>
      <c r="D1" s="513"/>
      <c r="E1" s="513"/>
      <c r="F1" s="513"/>
      <c r="G1" s="464"/>
      <c r="H1" s="465" t="s">
        <v>603</v>
      </c>
      <c r="I1" s="466"/>
      <c r="J1" s="514" t="s">
        <v>103</v>
      </c>
      <c r="K1" s="514"/>
      <c r="L1" s="514"/>
      <c r="M1" s="514"/>
      <c r="N1" s="514"/>
      <c r="O1" s="514" t="s">
        <v>189</v>
      </c>
      <c r="P1" s="514"/>
      <c r="Q1" s="514"/>
      <c r="R1" s="514"/>
      <c r="S1" s="514" t="s">
        <v>190</v>
      </c>
      <c r="T1" s="514"/>
      <c r="U1" s="514"/>
      <c r="V1" s="514"/>
      <c r="W1" s="514" t="s">
        <v>122</v>
      </c>
      <c r="X1" s="514"/>
      <c r="Y1" s="514"/>
      <c r="Z1" s="514"/>
      <c r="AA1" s="514"/>
    </row>
    <row r="2" spans="1:28" s="306" customFormat="1" ht="50.1" customHeight="1">
      <c r="A2" s="468" t="s">
        <v>571</v>
      </c>
      <c r="B2" s="469" t="s">
        <v>572</v>
      </c>
      <c r="C2" s="462" t="s">
        <v>100</v>
      </c>
      <c r="D2" s="512" t="s">
        <v>34</v>
      </c>
      <c r="E2" s="512"/>
      <c r="F2" s="339" t="s">
        <v>378</v>
      </c>
      <c r="G2" s="329"/>
      <c r="H2" s="515" t="s">
        <v>602</v>
      </c>
      <c r="I2" s="515"/>
      <c r="J2" s="459" t="s">
        <v>350</v>
      </c>
      <c r="K2" s="460" t="s">
        <v>104</v>
      </c>
      <c r="L2" s="460" t="s">
        <v>106</v>
      </c>
      <c r="M2" s="460" t="s">
        <v>107</v>
      </c>
      <c r="N2" s="460" t="s">
        <v>349</v>
      </c>
      <c r="O2" s="460" t="s">
        <v>111</v>
      </c>
      <c r="P2" s="460" t="s">
        <v>113</v>
      </c>
      <c r="Q2" s="460" t="s">
        <v>114</v>
      </c>
      <c r="R2" s="460" t="s">
        <v>115</v>
      </c>
      <c r="S2" s="460" t="s">
        <v>117</v>
      </c>
      <c r="T2" s="460" t="s">
        <v>119</v>
      </c>
      <c r="U2" s="460" t="s">
        <v>120</v>
      </c>
      <c r="V2" s="460" t="s">
        <v>121</v>
      </c>
      <c r="W2" s="461" t="s">
        <v>123</v>
      </c>
      <c r="X2" s="461" t="s">
        <v>124</v>
      </c>
      <c r="Y2" s="461" t="s">
        <v>125</v>
      </c>
      <c r="Z2" s="461" t="s">
        <v>126</v>
      </c>
      <c r="AA2" s="461" t="s">
        <v>127</v>
      </c>
      <c r="AB2" s="311"/>
    </row>
    <row r="3" spans="1:28">
      <c r="A3" s="17" t="s">
        <v>461</v>
      </c>
      <c r="B3" s="17" t="s">
        <v>379</v>
      </c>
      <c r="C3" s="331">
        <v>35</v>
      </c>
      <c r="D3" s="463">
        <v>36143268</v>
      </c>
      <c r="E3" s="331" t="s">
        <v>339</v>
      </c>
      <c r="F3" s="38" t="s">
        <v>540</v>
      </c>
      <c r="G3" s="38"/>
      <c r="H3" s="439" t="str">
        <f>IF(I3=1,"SOLTERO, VIUDO, DIVORCIADO…",IF(I3=2,"CON CONYUGE &lt; 1500€","CON CONYUGE &gt;1500€"))</f>
        <v>CON CONYUGE &lt; 1500€</v>
      </c>
      <c r="I3" s="440">
        <v>2</v>
      </c>
      <c r="J3" s="441">
        <v>1</v>
      </c>
      <c r="K3" s="441">
        <v>1</v>
      </c>
      <c r="L3" s="441">
        <v>0</v>
      </c>
      <c r="M3" s="441">
        <v>1</v>
      </c>
      <c r="N3" s="441" t="str">
        <f>IF(OR(I3=1,I3=2),"SI","NO")</f>
        <v>SI</v>
      </c>
      <c r="O3" s="441">
        <f ca="1">RANDBETWEEN(0,1)</f>
        <v>1</v>
      </c>
      <c r="P3" s="441">
        <f t="shared" ref="P3:Q14" ca="1" si="0">RANDBETWEEN(0,1)</f>
        <v>1</v>
      </c>
      <c r="Q3" s="441">
        <f t="shared" ca="1" si="0"/>
        <v>0</v>
      </c>
      <c r="R3" s="441" t="str">
        <f>N3</f>
        <v>SI</v>
      </c>
      <c r="S3" s="441">
        <v>0</v>
      </c>
      <c r="T3" s="441">
        <v>0</v>
      </c>
      <c r="U3" s="441">
        <v>0</v>
      </c>
      <c r="V3" s="441">
        <v>0</v>
      </c>
      <c r="W3" s="441" t="s">
        <v>109</v>
      </c>
      <c r="X3" s="441" t="s">
        <v>109</v>
      </c>
      <c r="Y3" s="441" t="s">
        <v>109</v>
      </c>
      <c r="Z3" s="441" t="s">
        <v>109</v>
      </c>
      <c r="AA3" s="441" t="s">
        <v>109</v>
      </c>
    </row>
    <row r="4" spans="1:28">
      <c r="A4" s="17" t="s">
        <v>466</v>
      </c>
      <c r="B4" s="17" t="s">
        <v>411</v>
      </c>
      <c r="C4" s="331">
        <v>24</v>
      </c>
      <c r="D4" s="463">
        <v>99562137</v>
      </c>
      <c r="E4" s="38" t="s">
        <v>339</v>
      </c>
      <c r="F4" s="38" t="s">
        <v>554</v>
      </c>
      <c r="G4" s="38"/>
      <c r="H4" s="439" t="str">
        <f>IF(I4=1,"SOLTERO, VIUDO, DIVORCIADO…",IF(I4=2,"CON CONYUGE &lt; 1500€","CON CONYUGE &gt;1500€"))</f>
        <v>CON CONYUGE &lt; 1500€</v>
      </c>
      <c r="I4" s="440">
        <v>2</v>
      </c>
      <c r="J4" s="441">
        <v>0</v>
      </c>
      <c r="K4" s="441">
        <f ca="1">RANDBETWEEN(0,J4)</f>
        <v>0</v>
      </c>
      <c r="L4" s="441">
        <v>0</v>
      </c>
      <c r="M4" s="441">
        <f t="shared" ref="M4:M14" ca="1" si="1">RANDBETWEEN(0,SUM(K4:L4))</f>
        <v>0</v>
      </c>
      <c r="N4" s="441" t="str">
        <f t="shared" ref="N4:N14" si="2">IF(OR(I4=1,I4=2),"SI","NO")</f>
        <v>SI</v>
      </c>
      <c r="O4" s="441">
        <f t="shared" ref="O4:Q24" ca="1" si="3">RANDBETWEEN(0,1)</f>
        <v>0</v>
      </c>
      <c r="P4" s="441">
        <f t="shared" ca="1" si="0"/>
        <v>1</v>
      </c>
      <c r="Q4" s="441">
        <f t="shared" ca="1" si="0"/>
        <v>0</v>
      </c>
      <c r="R4" s="441" t="str">
        <f t="shared" ref="R4:R46" si="4">N4</f>
        <v>SI</v>
      </c>
      <c r="S4" s="441">
        <v>0</v>
      </c>
      <c r="T4" s="441">
        <v>0</v>
      </c>
      <c r="U4" s="441">
        <v>0</v>
      </c>
      <c r="V4" s="441">
        <v>0</v>
      </c>
      <c r="W4" s="441" t="str">
        <f t="shared" ref="W4:W21" ca="1" si="5">IF(RANDBETWEEN(0,1)=1,"SI","NO")</f>
        <v>NO</v>
      </c>
      <c r="X4" s="441" t="s">
        <v>109</v>
      </c>
      <c r="Y4" s="441" t="s">
        <v>109</v>
      </c>
      <c r="Z4" s="441" t="str">
        <f t="shared" ref="Z4:Z46" si="6">IF(J4&gt;2,"SI","NO")</f>
        <v>NO</v>
      </c>
      <c r="AA4" s="441" t="s">
        <v>109</v>
      </c>
    </row>
    <row r="5" spans="1:28">
      <c r="A5" s="17" t="s">
        <v>467</v>
      </c>
      <c r="B5" s="17" t="s">
        <v>428</v>
      </c>
      <c r="C5" s="331">
        <v>46</v>
      </c>
      <c r="D5" s="463">
        <v>61993217</v>
      </c>
      <c r="E5" s="38" t="s">
        <v>451</v>
      </c>
      <c r="F5" s="38" t="s">
        <v>568</v>
      </c>
      <c r="G5" s="38"/>
      <c r="H5" s="439" t="str">
        <f t="shared" ref="H5:H52" si="7">IF(I5=1,"SOLTERO, VIUDO, DIVORCIADO…",IF(I5=2,"CON CONYUGE &lt; 1500€","CON CONYUGE &gt;1500€"))</f>
        <v>CON CONYUGE &lt; 1500€</v>
      </c>
      <c r="I5" s="440">
        <v>2</v>
      </c>
      <c r="J5" s="441">
        <v>2</v>
      </c>
      <c r="K5" s="441">
        <v>2</v>
      </c>
      <c r="L5" s="441">
        <v>0</v>
      </c>
      <c r="M5" s="441">
        <v>0</v>
      </c>
      <c r="N5" s="441" t="str">
        <f t="shared" si="2"/>
        <v>SI</v>
      </c>
      <c r="O5" s="441">
        <f t="shared" ca="1" si="3"/>
        <v>1</v>
      </c>
      <c r="P5" s="441">
        <f t="shared" ca="1" si="0"/>
        <v>1</v>
      </c>
      <c r="Q5" s="441">
        <f t="shared" ca="1" si="0"/>
        <v>0</v>
      </c>
      <c r="R5" s="441" t="str">
        <f t="shared" si="4"/>
        <v>SI</v>
      </c>
      <c r="S5" s="441">
        <v>0</v>
      </c>
      <c r="T5" s="441">
        <v>0</v>
      </c>
      <c r="U5" s="441">
        <v>0</v>
      </c>
      <c r="V5" s="441">
        <v>0</v>
      </c>
      <c r="W5" s="441" t="s">
        <v>109</v>
      </c>
      <c r="X5" s="441" t="s">
        <v>109</v>
      </c>
      <c r="Y5" s="441" t="s">
        <v>109</v>
      </c>
      <c r="Z5" s="441" t="str">
        <f t="shared" si="6"/>
        <v>NO</v>
      </c>
      <c r="AA5" s="441" t="s">
        <v>109</v>
      </c>
    </row>
    <row r="6" spans="1:28">
      <c r="A6" s="17" t="s">
        <v>468</v>
      </c>
      <c r="B6" s="17" t="s">
        <v>380</v>
      </c>
      <c r="C6" s="331">
        <v>35</v>
      </c>
      <c r="D6" s="463">
        <v>72333683</v>
      </c>
      <c r="E6" s="331" t="s">
        <v>390</v>
      </c>
      <c r="F6" s="38" t="s">
        <v>537</v>
      </c>
      <c r="G6" s="38"/>
      <c r="H6" s="439" t="str">
        <f t="shared" si="7"/>
        <v>SOLTERO, VIUDO, DIVORCIADO…</v>
      </c>
      <c r="I6" s="440">
        <v>1</v>
      </c>
      <c r="J6" s="441">
        <v>0</v>
      </c>
      <c r="K6" s="441">
        <v>0</v>
      </c>
      <c r="L6" s="441">
        <v>0</v>
      </c>
      <c r="M6" s="441">
        <v>0</v>
      </c>
      <c r="N6" s="441" t="str">
        <f t="shared" si="2"/>
        <v>SI</v>
      </c>
      <c r="O6" s="441">
        <v>0</v>
      </c>
      <c r="P6" s="441">
        <v>0</v>
      </c>
      <c r="Q6" s="441">
        <v>0</v>
      </c>
      <c r="R6" s="441" t="str">
        <f t="shared" si="4"/>
        <v>SI</v>
      </c>
      <c r="S6" s="441">
        <v>0</v>
      </c>
      <c r="T6" s="441">
        <v>0</v>
      </c>
      <c r="U6" s="441">
        <v>0</v>
      </c>
      <c r="V6" s="441">
        <v>0</v>
      </c>
      <c r="W6" s="441" t="str">
        <f t="shared" ca="1" si="5"/>
        <v>NO</v>
      </c>
      <c r="X6" s="441" t="s">
        <v>109</v>
      </c>
      <c r="Y6" s="441" t="s">
        <v>109</v>
      </c>
      <c r="Z6" s="441" t="s">
        <v>133</v>
      </c>
      <c r="AA6" s="441" t="s">
        <v>109</v>
      </c>
    </row>
    <row r="7" spans="1:28">
      <c r="A7" s="17" t="s">
        <v>469</v>
      </c>
      <c r="B7" s="17" t="s">
        <v>402</v>
      </c>
      <c r="C7" s="331">
        <v>27</v>
      </c>
      <c r="D7" s="463">
        <v>81637796</v>
      </c>
      <c r="E7" s="38" t="s">
        <v>391</v>
      </c>
      <c r="F7" s="38" t="s">
        <v>569</v>
      </c>
      <c r="G7" s="38"/>
      <c r="H7" s="439" t="str">
        <f t="shared" si="7"/>
        <v>CON CONYUGE &lt; 1500€</v>
      </c>
      <c r="I7" s="440">
        <v>2</v>
      </c>
      <c r="J7" s="441">
        <v>2</v>
      </c>
      <c r="K7" s="441">
        <v>2</v>
      </c>
      <c r="L7" s="441">
        <v>0</v>
      </c>
      <c r="M7" s="441">
        <v>1</v>
      </c>
      <c r="N7" s="441" t="str">
        <f t="shared" si="2"/>
        <v>SI</v>
      </c>
      <c r="O7" s="441">
        <f t="shared" ca="1" si="3"/>
        <v>1</v>
      </c>
      <c r="P7" s="441">
        <f t="shared" ca="1" si="0"/>
        <v>1</v>
      </c>
      <c r="Q7" s="441">
        <f t="shared" ca="1" si="0"/>
        <v>1</v>
      </c>
      <c r="R7" s="441" t="str">
        <f t="shared" si="4"/>
        <v>SI</v>
      </c>
      <c r="S7" s="441">
        <v>0</v>
      </c>
      <c r="T7" s="441">
        <v>0</v>
      </c>
      <c r="U7" s="441">
        <v>0</v>
      </c>
      <c r="V7" s="441">
        <v>0</v>
      </c>
      <c r="W7" s="441" t="s">
        <v>109</v>
      </c>
      <c r="X7" s="441" t="s">
        <v>109</v>
      </c>
      <c r="Y7" s="441" t="s">
        <v>109</v>
      </c>
      <c r="Z7" s="441" t="str">
        <f t="shared" si="6"/>
        <v>NO</v>
      </c>
      <c r="AA7" s="441" t="s">
        <v>109</v>
      </c>
    </row>
    <row r="8" spans="1:28">
      <c r="A8" s="17" t="s">
        <v>470</v>
      </c>
      <c r="B8" s="17" t="s">
        <v>413</v>
      </c>
      <c r="C8" s="331">
        <f t="shared" ref="C8:C21" ca="1" si="8">RANDBETWEEN(18,70)</f>
        <v>70</v>
      </c>
      <c r="D8" s="463">
        <v>37102621</v>
      </c>
      <c r="E8" s="38" t="s">
        <v>442</v>
      </c>
      <c r="F8" s="38" t="s">
        <v>586</v>
      </c>
      <c r="G8" s="38"/>
      <c r="H8" s="439" t="str">
        <f t="shared" ca="1" si="7"/>
        <v>SOLTERO, VIUDO, DIVORCIADO…</v>
      </c>
      <c r="I8" s="440">
        <f t="shared" ref="I8:I13" ca="1" si="9">RANDBETWEEN(1,3)</f>
        <v>1</v>
      </c>
      <c r="J8" s="441">
        <f t="shared" ref="J8:J45" ca="1" si="10">RANDBETWEEN(SUM(K8:L8),4)</f>
        <v>1</v>
      </c>
      <c r="K8" s="441">
        <f t="shared" ref="K8:K45" ca="1" si="11">RANDBETWEEN(0,2)</f>
        <v>1</v>
      </c>
      <c r="L8" s="441">
        <v>0</v>
      </c>
      <c r="M8" s="441">
        <f t="shared" ca="1" si="1"/>
        <v>1</v>
      </c>
      <c r="N8" s="441" t="str">
        <f t="shared" ca="1" si="2"/>
        <v>SI</v>
      </c>
      <c r="O8" s="441">
        <f t="shared" ca="1" si="3"/>
        <v>0</v>
      </c>
      <c r="P8" s="441">
        <f t="shared" ca="1" si="0"/>
        <v>1</v>
      </c>
      <c r="Q8" s="441">
        <f t="shared" ca="1" si="0"/>
        <v>0</v>
      </c>
      <c r="R8" s="441" t="str">
        <f t="shared" ca="1" si="4"/>
        <v>SI</v>
      </c>
      <c r="S8" s="441">
        <v>0</v>
      </c>
      <c r="T8" s="441">
        <v>0</v>
      </c>
      <c r="U8" s="441">
        <v>0</v>
      </c>
      <c r="V8" s="441">
        <v>0</v>
      </c>
      <c r="W8" s="441" t="str">
        <f t="shared" ca="1" si="5"/>
        <v>SI</v>
      </c>
      <c r="X8" s="441" t="str">
        <f t="shared" ref="X8:X21" ca="1" si="12">IF(W8="NO",IF(RANDBETWEEN(0,1)=1,"SI","NO"),"NO")</f>
        <v>NO</v>
      </c>
      <c r="Y8" s="441" t="s">
        <v>109</v>
      </c>
      <c r="Z8" s="441" t="str">
        <f t="shared" ca="1" si="6"/>
        <v>NO</v>
      </c>
      <c r="AA8" s="441" t="s">
        <v>109</v>
      </c>
    </row>
    <row r="9" spans="1:28">
      <c r="A9" s="17" t="s">
        <v>471</v>
      </c>
      <c r="B9" s="17" t="s">
        <v>381</v>
      </c>
      <c r="C9" s="331">
        <v>45</v>
      </c>
      <c r="D9" s="463">
        <v>36143268</v>
      </c>
      <c r="E9" s="331" t="s">
        <v>339</v>
      </c>
      <c r="F9" s="38" t="s">
        <v>585</v>
      </c>
      <c r="G9" s="38"/>
      <c r="H9" s="439" t="str">
        <f t="shared" ca="1" si="7"/>
        <v>SOLTERO, VIUDO, DIVORCIADO…</v>
      </c>
      <c r="I9" s="440">
        <f t="shared" ca="1" si="9"/>
        <v>1</v>
      </c>
      <c r="J9" s="441">
        <v>0</v>
      </c>
      <c r="K9" s="441">
        <v>0</v>
      </c>
      <c r="L9" s="441">
        <v>0</v>
      </c>
      <c r="M9" s="441">
        <v>0</v>
      </c>
      <c r="N9" s="441" t="s">
        <v>133</v>
      </c>
      <c r="O9" s="441">
        <f t="shared" ca="1" si="3"/>
        <v>1</v>
      </c>
      <c r="P9" s="441">
        <f t="shared" ca="1" si="0"/>
        <v>0</v>
      </c>
      <c r="Q9" s="441">
        <f t="shared" ca="1" si="0"/>
        <v>1</v>
      </c>
      <c r="R9" s="441" t="str">
        <f t="shared" si="4"/>
        <v>SI</v>
      </c>
      <c r="S9" s="441">
        <v>0</v>
      </c>
      <c r="T9" s="441">
        <v>0</v>
      </c>
      <c r="U9" s="441">
        <v>0</v>
      </c>
      <c r="V9" s="441">
        <v>0</v>
      </c>
      <c r="W9" s="441" t="s">
        <v>109</v>
      </c>
      <c r="X9" s="441" t="s">
        <v>109</v>
      </c>
      <c r="Y9" s="441" t="s">
        <v>109</v>
      </c>
      <c r="Z9" s="441" t="str">
        <f t="shared" si="6"/>
        <v>NO</v>
      </c>
      <c r="AA9" s="441" t="s">
        <v>109</v>
      </c>
    </row>
    <row r="10" spans="1:28">
      <c r="A10" s="17" t="s">
        <v>472</v>
      </c>
      <c r="B10" s="17" t="s">
        <v>414</v>
      </c>
      <c r="C10" s="331">
        <f t="shared" ca="1" si="8"/>
        <v>33</v>
      </c>
      <c r="D10" s="463">
        <v>56940173</v>
      </c>
      <c r="E10" s="38" t="s">
        <v>450</v>
      </c>
      <c r="F10" s="38" t="s">
        <v>587</v>
      </c>
      <c r="G10" s="38"/>
      <c r="H10" s="439" t="str">
        <f t="shared" ca="1" si="7"/>
        <v>CON CONYUGE &gt;1500€</v>
      </c>
      <c r="I10" s="440">
        <f t="shared" ca="1" si="9"/>
        <v>3</v>
      </c>
      <c r="J10" s="441">
        <f t="shared" ca="1" si="10"/>
        <v>4</v>
      </c>
      <c r="K10" s="441">
        <v>0</v>
      </c>
      <c r="L10" s="441">
        <v>0</v>
      </c>
      <c r="M10" s="441">
        <f t="shared" ca="1" si="1"/>
        <v>0</v>
      </c>
      <c r="N10" s="441" t="str">
        <f t="shared" ca="1" si="2"/>
        <v>NO</v>
      </c>
      <c r="O10" s="441">
        <f t="shared" ca="1" si="3"/>
        <v>0</v>
      </c>
      <c r="P10" s="441">
        <f t="shared" ca="1" si="0"/>
        <v>1</v>
      </c>
      <c r="Q10" s="441">
        <f t="shared" ca="1" si="0"/>
        <v>1</v>
      </c>
      <c r="R10" s="441" t="str">
        <f t="shared" ca="1" si="4"/>
        <v>NO</v>
      </c>
      <c r="S10" s="441">
        <v>0</v>
      </c>
      <c r="T10" s="441">
        <v>0</v>
      </c>
      <c r="U10" s="441">
        <v>0</v>
      </c>
      <c r="V10" s="441">
        <v>0</v>
      </c>
      <c r="W10" s="441" t="str">
        <f t="shared" ca="1" si="5"/>
        <v>NO</v>
      </c>
      <c r="X10" s="441" t="str">
        <f t="shared" ca="1" si="12"/>
        <v>SI</v>
      </c>
      <c r="Y10" s="441" t="s">
        <v>109</v>
      </c>
      <c r="Z10" s="441" t="str">
        <f t="shared" ca="1" si="6"/>
        <v>SI</v>
      </c>
      <c r="AA10" s="441" t="s">
        <v>109</v>
      </c>
    </row>
    <row r="11" spans="1:28">
      <c r="A11" s="17" t="s">
        <v>473</v>
      </c>
      <c r="B11" s="17" t="s">
        <v>432</v>
      </c>
      <c r="C11" s="331">
        <v>45</v>
      </c>
      <c r="D11" s="463">
        <v>59190743</v>
      </c>
      <c r="E11" s="38" t="s">
        <v>390</v>
      </c>
      <c r="F11" s="38">
        <v>94280807111</v>
      </c>
      <c r="G11" s="38"/>
      <c r="H11" s="439" t="str">
        <f t="shared" ca="1" si="7"/>
        <v>SOLTERO, VIUDO, DIVORCIADO…</v>
      </c>
      <c r="I11" s="440">
        <f t="shared" ca="1" si="9"/>
        <v>1</v>
      </c>
      <c r="J11" s="441">
        <f t="shared" ca="1" si="10"/>
        <v>4</v>
      </c>
      <c r="K11" s="441">
        <f t="shared" ca="1" si="11"/>
        <v>0</v>
      </c>
      <c r="L11" s="441">
        <v>0</v>
      </c>
      <c r="M11" s="441">
        <f t="shared" ca="1" si="1"/>
        <v>0</v>
      </c>
      <c r="N11" s="441" t="str">
        <f t="shared" ca="1" si="2"/>
        <v>SI</v>
      </c>
      <c r="O11" s="441">
        <f t="shared" ca="1" si="3"/>
        <v>0</v>
      </c>
      <c r="P11" s="441">
        <f t="shared" ca="1" si="0"/>
        <v>0</v>
      </c>
      <c r="Q11" s="441">
        <f t="shared" ca="1" si="0"/>
        <v>1</v>
      </c>
      <c r="R11" s="441" t="str">
        <f t="shared" ca="1" si="4"/>
        <v>SI</v>
      </c>
      <c r="S11" s="441">
        <v>0</v>
      </c>
      <c r="T11" s="441">
        <v>0</v>
      </c>
      <c r="U11" s="441">
        <v>0</v>
      </c>
      <c r="V11" s="441">
        <v>0</v>
      </c>
      <c r="W11" s="441" t="str">
        <f t="shared" ca="1" si="5"/>
        <v>NO</v>
      </c>
      <c r="X11" s="441" t="str">
        <f t="shared" ca="1" si="12"/>
        <v>SI</v>
      </c>
      <c r="Y11" s="441" t="s">
        <v>109</v>
      </c>
      <c r="Z11" s="441" t="str">
        <f t="shared" ca="1" si="6"/>
        <v>SI</v>
      </c>
      <c r="AA11" s="441" t="s">
        <v>109</v>
      </c>
    </row>
    <row r="12" spans="1:28">
      <c r="A12" s="17" t="s">
        <v>474</v>
      </c>
      <c r="B12" s="17" t="s">
        <v>421</v>
      </c>
      <c r="C12" s="331">
        <v>46</v>
      </c>
      <c r="D12" s="463">
        <v>15668158</v>
      </c>
      <c r="E12" s="38" t="s">
        <v>443</v>
      </c>
      <c r="F12" s="38" t="s">
        <v>591</v>
      </c>
      <c r="G12" s="38"/>
      <c r="H12" s="439" t="str">
        <f t="shared" si="7"/>
        <v>CON CONYUGE &lt; 1500€</v>
      </c>
      <c r="I12" s="440">
        <v>2</v>
      </c>
      <c r="J12" s="441">
        <v>3</v>
      </c>
      <c r="K12" s="441">
        <v>3</v>
      </c>
      <c r="L12" s="441">
        <v>0</v>
      </c>
      <c r="M12" s="441">
        <v>0</v>
      </c>
      <c r="N12" s="441" t="str">
        <f t="shared" si="2"/>
        <v>SI</v>
      </c>
      <c r="O12" s="441">
        <f t="shared" ca="1" si="3"/>
        <v>0</v>
      </c>
      <c r="P12" s="441">
        <f t="shared" ca="1" si="0"/>
        <v>1</v>
      </c>
      <c r="Q12" s="441">
        <f t="shared" ca="1" si="0"/>
        <v>0</v>
      </c>
      <c r="R12" s="441" t="str">
        <f t="shared" si="4"/>
        <v>SI</v>
      </c>
      <c r="S12" s="441">
        <v>0</v>
      </c>
      <c r="T12" s="441">
        <v>0</v>
      </c>
      <c r="U12" s="441">
        <v>0</v>
      </c>
      <c r="V12" s="441">
        <v>0</v>
      </c>
      <c r="W12" s="441" t="s">
        <v>109</v>
      </c>
      <c r="X12" s="441" t="s">
        <v>109</v>
      </c>
      <c r="Y12" s="441" t="s">
        <v>109</v>
      </c>
      <c r="Z12" s="441" t="str">
        <f t="shared" si="6"/>
        <v>SI</v>
      </c>
      <c r="AA12" s="441" t="s">
        <v>109</v>
      </c>
    </row>
    <row r="13" spans="1:28">
      <c r="A13" s="17" t="s">
        <v>475</v>
      </c>
      <c r="B13" s="17" t="s">
        <v>438</v>
      </c>
      <c r="C13" s="331">
        <v>30</v>
      </c>
      <c r="D13" s="463">
        <v>83266266</v>
      </c>
      <c r="E13" s="38" t="s">
        <v>449</v>
      </c>
      <c r="F13" s="38">
        <v>64037170191</v>
      </c>
      <c r="G13" s="38"/>
      <c r="H13" s="439" t="str">
        <f t="shared" ca="1" si="7"/>
        <v>CON CONYUGE &lt; 1500€</v>
      </c>
      <c r="I13" s="440">
        <f t="shared" ca="1" si="9"/>
        <v>2</v>
      </c>
      <c r="J13" s="441">
        <f t="shared" ca="1" si="10"/>
        <v>4</v>
      </c>
      <c r="K13" s="441">
        <f t="shared" ca="1" si="11"/>
        <v>1</v>
      </c>
      <c r="L13" s="441">
        <v>0</v>
      </c>
      <c r="M13" s="441">
        <f t="shared" ca="1" si="1"/>
        <v>1</v>
      </c>
      <c r="N13" s="441" t="str">
        <f t="shared" ca="1" si="2"/>
        <v>SI</v>
      </c>
      <c r="O13" s="441">
        <f t="shared" ca="1" si="3"/>
        <v>1</v>
      </c>
      <c r="P13" s="441">
        <f t="shared" ca="1" si="0"/>
        <v>1</v>
      </c>
      <c r="Q13" s="441">
        <f t="shared" ca="1" si="0"/>
        <v>1</v>
      </c>
      <c r="R13" s="441" t="str">
        <f t="shared" ca="1" si="4"/>
        <v>SI</v>
      </c>
      <c r="S13" s="441">
        <v>0</v>
      </c>
      <c r="T13" s="441">
        <v>0</v>
      </c>
      <c r="U13" s="441">
        <v>0</v>
      </c>
      <c r="V13" s="441">
        <v>0</v>
      </c>
      <c r="W13" s="441" t="str">
        <f t="shared" ca="1" si="5"/>
        <v>SI</v>
      </c>
      <c r="X13" s="441" t="str">
        <f t="shared" ca="1" si="12"/>
        <v>NO</v>
      </c>
      <c r="Y13" s="441" t="s">
        <v>109</v>
      </c>
      <c r="Z13" s="441" t="str">
        <f t="shared" ca="1" si="6"/>
        <v>SI</v>
      </c>
      <c r="AA13" s="441" t="s">
        <v>109</v>
      </c>
    </row>
    <row r="14" spans="1:28">
      <c r="A14" s="17" t="s">
        <v>476</v>
      </c>
      <c r="B14" s="17" t="s">
        <v>436</v>
      </c>
      <c r="C14" s="331">
        <f t="shared" ca="1" si="8"/>
        <v>62</v>
      </c>
      <c r="D14" s="463">
        <v>94579872</v>
      </c>
      <c r="E14" s="38" t="s">
        <v>441</v>
      </c>
      <c r="F14" s="38">
        <v>94286877628</v>
      </c>
      <c r="G14" s="38"/>
      <c r="H14" s="439" t="str">
        <f t="shared" ca="1" si="7"/>
        <v>CON CONYUGE &lt; 1500€</v>
      </c>
      <c r="I14" s="440">
        <f t="shared" ref="I14:I52" ca="1" si="13">RANDBETWEEN(1,3)</f>
        <v>2</v>
      </c>
      <c r="J14" s="441">
        <f t="shared" ca="1" si="10"/>
        <v>3</v>
      </c>
      <c r="K14" s="441">
        <f t="shared" ca="1" si="11"/>
        <v>0</v>
      </c>
      <c r="L14" s="441">
        <v>0</v>
      </c>
      <c r="M14" s="441">
        <f t="shared" ca="1" si="1"/>
        <v>0</v>
      </c>
      <c r="N14" s="441" t="str">
        <f t="shared" ca="1" si="2"/>
        <v>SI</v>
      </c>
      <c r="O14" s="441">
        <f t="shared" ca="1" si="3"/>
        <v>0</v>
      </c>
      <c r="P14" s="441">
        <f t="shared" ca="1" si="0"/>
        <v>1</v>
      </c>
      <c r="Q14" s="441">
        <f t="shared" ca="1" si="0"/>
        <v>0</v>
      </c>
      <c r="R14" s="441" t="str">
        <f t="shared" ca="1" si="4"/>
        <v>SI</v>
      </c>
      <c r="S14" s="441">
        <v>0</v>
      </c>
      <c r="T14" s="441">
        <v>0</v>
      </c>
      <c r="U14" s="441">
        <v>0</v>
      </c>
      <c r="V14" s="441">
        <v>0</v>
      </c>
      <c r="W14" s="441" t="str">
        <f t="shared" ca="1" si="5"/>
        <v>NO</v>
      </c>
      <c r="X14" s="441" t="str">
        <f t="shared" ca="1" si="12"/>
        <v>SI</v>
      </c>
      <c r="Y14" s="441" t="s">
        <v>109</v>
      </c>
      <c r="Z14" s="441" t="str">
        <f t="shared" ca="1" si="6"/>
        <v>SI</v>
      </c>
      <c r="AA14" s="441" t="s">
        <v>109</v>
      </c>
    </row>
    <row r="15" spans="1:28">
      <c r="A15" s="17" t="s">
        <v>477</v>
      </c>
      <c r="B15" s="17" t="s">
        <v>431</v>
      </c>
      <c r="C15" s="331">
        <f t="shared" ca="1" si="8"/>
        <v>61</v>
      </c>
      <c r="D15" s="463">
        <v>63668963</v>
      </c>
      <c r="E15" s="38" t="s">
        <v>397</v>
      </c>
      <c r="F15" s="38">
        <v>76787387677</v>
      </c>
      <c r="G15" s="38"/>
      <c r="H15" s="439" t="str">
        <f t="shared" ca="1" si="7"/>
        <v>CON CONYUGE &gt;1500€</v>
      </c>
      <c r="I15" s="440">
        <f t="shared" ca="1" si="13"/>
        <v>3</v>
      </c>
      <c r="J15" s="441">
        <f t="shared" ca="1" si="10"/>
        <v>2</v>
      </c>
      <c r="K15" s="441">
        <f t="shared" ca="1" si="11"/>
        <v>0</v>
      </c>
      <c r="L15" s="441">
        <v>0</v>
      </c>
      <c r="M15" s="441">
        <f t="shared" ref="M15:M52" ca="1" si="14">RANDBETWEEN(0,SUM(K15:L15))</f>
        <v>0</v>
      </c>
      <c r="N15" s="441" t="str">
        <f t="shared" ref="N15:N52" ca="1" si="15">IF(OR(I15=1,I15=2),"SI","NO")</f>
        <v>NO</v>
      </c>
      <c r="O15" s="441">
        <f t="shared" ca="1" si="3"/>
        <v>1</v>
      </c>
      <c r="P15" s="441">
        <f t="shared" ca="1" si="3"/>
        <v>1</v>
      </c>
      <c r="Q15" s="441">
        <f t="shared" ca="1" si="3"/>
        <v>1</v>
      </c>
      <c r="R15" s="441" t="str">
        <f t="shared" ca="1" si="4"/>
        <v>NO</v>
      </c>
      <c r="S15" s="441">
        <v>0</v>
      </c>
      <c r="T15" s="441">
        <v>0</v>
      </c>
      <c r="U15" s="441">
        <v>0</v>
      </c>
      <c r="V15" s="441">
        <v>0</v>
      </c>
      <c r="W15" s="441" t="str">
        <f t="shared" ca="1" si="5"/>
        <v>SI</v>
      </c>
      <c r="X15" s="441" t="str">
        <f t="shared" ca="1" si="12"/>
        <v>NO</v>
      </c>
      <c r="Y15" s="441" t="s">
        <v>109</v>
      </c>
      <c r="Z15" s="441" t="str">
        <f t="shared" ca="1" si="6"/>
        <v>NO</v>
      </c>
      <c r="AA15" s="441" t="s">
        <v>109</v>
      </c>
    </row>
    <row r="16" spans="1:28">
      <c r="A16" s="17" t="s">
        <v>478</v>
      </c>
      <c r="B16" s="17" t="s">
        <v>430</v>
      </c>
      <c r="C16" s="331">
        <f t="shared" ca="1" si="8"/>
        <v>66</v>
      </c>
      <c r="D16" s="463">
        <v>87060147</v>
      </c>
      <c r="E16" s="38" t="s">
        <v>394</v>
      </c>
      <c r="F16" s="38">
        <v>60096575824</v>
      </c>
      <c r="G16" s="38"/>
      <c r="H16" s="439" t="str">
        <f t="shared" ca="1" si="7"/>
        <v>SOLTERO, VIUDO, DIVORCIADO…</v>
      </c>
      <c r="I16" s="440">
        <f t="shared" ca="1" si="13"/>
        <v>1</v>
      </c>
      <c r="J16" s="441">
        <f t="shared" ca="1" si="10"/>
        <v>0</v>
      </c>
      <c r="K16" s="441">
        <f t="shared" ca="1" si="11"/>
        <v>0</v>
      </c>
      <c r="L16" s="441">
        <v>0</v>
      </c>
      <c r="M16" s="441">
        <f t="shared" ca="1" si="14"/>
        <v>0</v>
      </c>
      <c r="N16" s="441" t="str">
        <f t="shared" ca="1" si="15"/>
        <v>SI</v>
      </c>
      <c r="O16" s="441">
        <f t="shared" ca="1" si="3"/>
        <v>1</v>
      </c>
      <c r="P16" s="441">
        <f t="shared" ca="1" si="3"/>
        <v>1</v>
      </c>
      <c r="Q16" s="441">
        <f t="shared" ca="1" si="3"/>
        <v>0</v>
      </c>
      <c r="R16" s="441" t="str">
        <f t="shared" ca="1" si="4"/>
        <v>SI</v>
      </c>
      <c r="S16" s="441">
        <v>0</v>
      </c>
      <c r="T16" s="441">
        <v>0</v>
      </c>
      <c r="U16" s="441">
        <v>0</v>
      </c>
      <c r="V16" s="441">
        <v>0</v>
      </c>
      <c r="W16" s="441" t="str">
        <f t="shared" ca="1" si="5"/>
        <v>SI</v>
      </c>
      <c r="X16" s="441" t="str">
        <f t="shared" ca="1" si="12"/>
        <v>NO</v>
      </c>
      <c r="Y16" s="441" t="s">
        <v>109</v>
      </c>
      <c r="Z16" s="441" t="str">
        <f t="shared" ca="1" si="6"/>
        <v>NO</v>
      </c>
      <c r="AA16" s="441" t="s">
        <v>109</v>
      </c>
    </row>
    <row r="17" spans="1:27">
      <c r="A17" s="17" t="s">
        <v>479</v>
      </c>
      <c r="B17" s="17" t="s">
        <v>383</v>
      </c>
      <c r="C17" s="331">
        <f t="shared" ca="1" si="8"/>
        <v>18</v>
      </c>
      <c r="D17" s="463">
        <v>26854321</v>
      </c>
      <c r="E17" s="331" t="s">
        <v>393</v>
      </c>
      <c r="F17" s="38" t="s">
        <v>398</v>
      </c>
      <c r="G17" s="38"/>
      <c r="H17" s="439" t="str">
        <f t="shared" ca="1" si="7"/>
        <v>CON CONYUGE &gt;1500€</v>
      </c>
      <c r="I17" s="440">
        <f t="shared" ca="1" si="13"/>
        <v>3</v>
      </c>
      <c r="J17" s="441">
        <f t="shared" ca="1" si="10"/>
        <v>4</v>
      </c>
      <c r="K17" s="441">
        <f t="shared" ca="1" si="11"/>
        <v>1</v>
      </c>
      <c r="L17" s="441">
        <v>0</v>
      </c>
      <c r="M17" s="441">
        <f t="shared" ca="1" si="14"/>
        <v>0</v>
      </c>
      <c r="N17" s="441" t="str">
        <f t="shared" ca="1" si="15"/>
        <v>NO</v>
      </c>
      <c r="O17" s="441">
        <f t="shared" ca="1" si="3"/>
        <v>0</v>
      </c>
      <c r="P17" s="441">
        <f t="shared" ca="1" si="3"/>
        <v>0</v>
      </c>
      <c r="Q17" s="441">
        <f t="shared" ca="1" si="3"/>
        <v>1</v>
      </c>
      <c r="R17" s="441" t="str">
        <f t="shared" ca="1" si="4"/>
        <v>NO</v>
      </c>
      <c r="S17" s="441">
        <v>0</v>
      </c>
      <c r="T17" s="441">
        <v>0</v>
      </c>
      <c r="U17" s="441">
        <v>0</v>
      </c>
      <c r="V17" s="441">
        <v>0</v>
      </c>
      <c r="W17" s="441" t="str">
        <f t="shared" ca="1" si="5"/>
        <v>NO</v>
      </c>
      <c r="X17" s="441" t="str">
        <f t="shared" ca="1" si="12"/>
        <v>NO</v>
      </c>
      <c r="Y17" s="441" t="s">
        <v>109</v>
      </c>
      <c r="Z17" s="441" t="str">
        <f t="shared" ca="1" si="6"/>
        <v>SI</v>
      </c>
      <c r="AA17" s="441" t="s">
        <v>109</v>
      </c>
    </row>
    <row r="18" spans="1:27">
      <c r="A18" s="17" t="s">
        <v>480</v>
      </c>
      <c r="B18" s="17" t="s">
        <v>405</v>
      </c>
      <c r="C18" s="331">
        <v>40</v>
      </c>
      <c r="D18" s="463">
        <v>86596720</v>
      </c>
      <c r="E18" s="38" t="s">
        <v>393</v>
      </c>
      <c r="F18" s="38">
        <v>32590861854</v>
      </c>
      <c r="G18" s="38"/>
      <c r="H18" s="439" t="str">
        <f t="shared" ca="1" si="7"/>
        <v>CON CONYUGE &gt;1500€</v>
      </c>
      <c r="I18" s="440">
        <f t="shared" ca="1" si="13"/>
        <v>3</v>
      </c>
      <c r="J18" s="441">
        <f t="shared" ca="1" si="10"/>
        <v>3</v>
      </c>
      <c r="K18" s="441">
        <f t="shared" ca="1" si="11"/>
        <v>0</v>
      </c>
      <c r="L18" s="441">
        <v>0</v>
      </c>
      <c r="M18" s="441">
        <f t="shared" ca="1" si="14"/>
        <v>0</v>
      </c>
      <c r="N18" s="441" t="str">
        <f t="shared" ca="1" si="15"/>
        <v>NO</v>
      </c>
      <c r="O18" s="441">
        <f t="shared" ca="1" si="3"/>
        <v>0</v>
      </c>
      <c r="P18" s="441">
        <f t="shared" ca="1" si="3"/>
        <v>0</v>
      </c>
      <c r="Q18" s="441">
        <f t="shared" ca="1" si="3"/>
        <v>0</v>
      </c>
      <c r="R18" s="441" t="str">
        <f t="shared" ca="1" si="4"/>
        <v>NO</v>
      </c>
      <c r="S18" s="441">
        <v>0</v>
      </c>
      <c r="T18" s="441">
        <v>0</v>
      </c>
      <c r="U18" s="441">
        <v>0</v>
      </c>
      <c r="V18" s="441">
        <v>0</v>
      </c>
      <c r="W18" s="441" t="str">
        <f t="shared" ca="1" si="5"/>
        <v>SI</v>
      </c>
      <c r="X18" s="441" t="str">
        <f t="shared" ca="1" si="12"/>
        <v>NO</v>
      </c>
      <c r="Y18" s="441" t="s">
        <v>109</v>
      </c>
      <c r="Z18" s="441" t="str">
        <f t="shared" ca="1" si="6"/>
        <v>SI</v>
      </c>
      <c r="AA18" s="441" t="s">
        <v>109</v>
      </c>
    </row>
    <row r="19" spans="1:27">
      <c r="A19" s="17" t="s">
        <v>481</v>
      </c>
      <c r="B19" s="17" t="s">
        <v>425</v>
      </c>
      <c r="C19" s="331">
        <f t="shared" ca="1" si="8"/>
        <v>50</v>
      </c>
      <c r="D19" s="463">
        <v>85712420</v>
      </c>
      <c r="E19" s="38" t="s">
        <v>397</v>
      </c>
      <c r="F19" s="38">
        <v>11614562413</v>
      </c>
      <c r="G19" s="38"/>
      <c r="H19" s="439" t="str">
        <f t="shared" ca="1" si="7"/>
        <v>SOLTERO, VIUDO, DIVORCIADO…</v>
      </c>
      <c r="I19" s="440">
        <f t="shared" ca="1" si="13"/>
        <v>1</v>
      </c>
      <c r="J19" s="441">
        <f t="shared" ca="1" si="10"/>
        <v>1</v>
      </c>
      <c r="K19" s="441">
        <f t="shared" ca="1" si="11"/>
        <v>1</v>
      </c>
      <c r="L19" s="441">
        <v>0</v>
      </c>
      <c r="M19" s="441">
        <f t="shared" ca="1" si="14"/>
        <v>1</v>
      </c>
      <c r="N19" s="441" t="str">
        <f t="shared" ca="1" si="15"/>
        <v>SI</v>
      </c>
      <c r="O19" s="441">
        <f t="shared" ca="1" si="3"/>
        <v>0</v>
      </c>
      <c r="P19" s="441">
        <f t="shared" ca="1" si="3"/>
        <v>1</v>
      </c>
      <c r="Q19" s="441">
        <f t="shared" ca="1" si="3"/>
        <v>1</v>
      </c>
      <c r="R19" s="441" t="str">
        <f t="shared" ca="1" si="4"/>
        <v>SI</v>
      </c>
      <c r="S19" s="441">
        <v>0</v>
      </c>
      <c r="T19" s="441">
        <v>0</v>
      </c>
      <c r="U19" s="441">
        <v>0</v>
      </c>
      <c r="V19" s="441">
        <v>0</v>
      </c>
      <c r="W19" s="441" t="str">
        <f t="shared" ca="1" si="5"/>
        <v>SI</v>
      </c>
      <c r="X19" s="441" t="str">
        <f t="shared" ca="1" si="12"/>
        <v>NO</v>
      </c>
      <c r="Y19" s="441" t="s">
        <v>109</v>
      </c>
      <c r="Z19" s="441" t="str">
        <f t="shared" ca="1" si="6"/>
        <v>NO</v>
      </c>
      <c r="AA19" s="441" t="s">
        <v>109</v>
      </c>
    </row>
    <row r="20" spans="1:27">
      <c r="A20" s="17" t="s">
        <v>482</v>
      </c>
      <c r="B20" s="17" t="s">
        <v>434</v>
      </c>
      <c r="C20" s="331">
        <f t="shared" ca="1" si="8"/>
        <v>67</v>
      </c>
      <c r="D20" s="463">
        <v>95146773</v>
      </c>
      <c r="E20" s="38" t="s">
        <v>443</v>
      </c>
      <c r="F20" s="38">
        <v>54614257056</v>
      </c>
      <c r="G20" s="38"/>
      <c r="H20" s="439" t="str">
        <f t="shared" ca="1" si="7"/>
        <v>CON CONYUGE &gt;1500€</v>
      </c>
      <c r="I20" s="440">
        <f t="shared" ca="1" si="13"/>
        <v>3</v>
      </c>
      <c r="J20" s="441">
        <f t="shared" ca="1" si="10"/>
        <v>1</v>
      </c>
      <c r="K20" s="441">
        <f t="shared" ca="1" si="11"/>
        <v>1</v>
      </c>
      <c r="L20" s="441">
        <v>0</v>
      </c>
      <c r="M20" s="441">
        <f t="shared" ca="1" si="14"/>
        <v>0</v>
      </c>
      <c r="N20" s="441" t="str">
        <f t="shared" ca="1" si="15"/>
        <v>NO</v>
      </c>
      <c r="O20" s="441">
        <f t="shared" ca="1" si="3"/>
        <v>0</v>
      </c>
      <c r="P20" s="441">
        <f t="shared" ca="1" si="3"/>
        <v>0</v>
      </c>
      <c r="Q20" s="441">
        <f t="shared" ca="1" si="3"/>
        <v>1</v>
      </c>
      <c r="R20" s="441" t="str">
        <f t="shared" ca="1" si="4"/>
        <v>NO</v>
      </c>
      <c r="S20" s="441">
        <v>0</v>
      </c>
      <c r="T20" s="441">
        <v>0</v>
      </c>
      <c r="U20" s="441">
        <v>0</v>
      </c>
      <c r="V20" s="441">
        <v>0</v>
      </c>
      <c r="W20" s="441" t="str">
        <f t="shared" ca="1" si="5"/>
        <v>NO</v>
      </c>
      <c r="X20" s="441" t="str">
        <f t="shared" ca="1" si="12"/>
        <v>NO</v>
      </c>
      <c r="Y20" s="441" t="s">
        <v>109</v>
      </c>
      <c r="Z20" s="441" t="str">
        <f t="shared" ca="1" si="6"/>
        <v>NO</v>
      </c>
      <c r="AA20" s="441" t="s">
        <v>109</v>
      </c>
    </row>
    <row r="21" spans="1:27">
      <c r="A21" s="17" t="s">
        <v>483</v>
      </c>
      <c r="B21" s="17" t="s">
        <v>406</v>
      </c>
      <c r="C21" s="331">
        <f t="shared" ca="1" si="8"/>
        <v>56</v>
      </c>
      <c r="D21" s="463">
        <v>51434095</v>
      </c>
      <c r="E21" s="38" t="s">
        <v>445</v>
      </c>
      <c r="F21" s="38">
        <v>37694001829</v>
      </c>
      <c r="G21" s="38"/>
      <c r="H21" s="439" t="str">
        <f t="shared" ca="1" si="7"/>
        <v>SOLTERO, VIUDO, DIVORCIADO…</v>
      </c>
      <c r="I21" s="440">
        <f t="shared" ca="1" si="13"/>
        <v>1</v>
      </c>
      <c r="J21" s="441">
        <f t="shared" ca="1" si="10"/>
        <v>3</v>
      </c>
      <c r="K21" s="441">
        <f t="shared" ca="1" si="11"/>
        <v>1</v>
      </c>
      <c r="L21" s="441">
        <v>0</v>
      </c>
      <c r="M21" s="441">
        <f t="shared" ca="1" si="14"/>
        <v>0</v>
      </c>
      <c r="N21" s="441" t="str">
        <f t="shared" ca="1" si="15"/>
        <v>SI</v>
      </c>
      <c r="O21" s="441">
        <f t="shared" ca="1" si="3"/>
        <v>0</v>
      </c>
      <c r="P21" s="441">
        <f t="shared" ca="1" si="3"/>
        <v>1</v>
      </c>
      <c r="Q21" s="441">
        <f t="shared" ca="1" si="3"/>
        <v>0</v>
      </c>
      <c r="R21" s="441" t="str">
        <f t="shared" ca="1" si="4"/>
        <v>SI</v>
      </c>
      <c r="S21" s="441">
        <v>0</v>
      </c>
      <c r="T21" s="441">
        <v>0</v>
      </c>
      <c r="U21" s="441">
        <v>0</v>
      </c>
      <c r="V21" s="441">
        <v>0</v>
      </c>
      <c r="W21" s="441" t="str">
        <f t="shared" ca="1" si="5"/>
        <v>SI</v>
      </c>
      <c r="X21" s="441" t="str">
        <f t="shared" ca="1" si="12"/>
        <v>NO</v>
      </c>
      <c r="Y21" s="441" t="s">
        <v>109</v>
      </c>
      <c r="Z21" s="441" t="str">
        <f t="shared" ca="1" si="6"/>
        <v>SI</v>
      </c>
      <c r="AA21" s="441" t="s">
        <v>109</v>
      </c>
    </row>
    <row r="22" spans="1:27">
      <c r="A22" s="17" t="s">
        <v>484</v>
      </c>
      <c r="B22" s="17" t="s">
        <v>386</v>
      </c>
      <c r="C22" s="331">
        <v>30</v>
      </c>
      <c r="D22" s="463">
        <v>7625432</v>
      </c>
      <c r="E22" s="331" t="s">
        <v>396</v>
      </c>
      <c r="F22" s="38" t="s">
        <v>597</v>
      </c>
      <c r="G22" s="38"/>
      <c r="H22" s="439" t="str">
        <f t="shared" si="7"/>
        <v>CON CONYUGE &lt; 1500€</v>
      </c>
      <c r="I22" s="440">
        <v>2</v>
      </c>
      <c r="J22" s="441">
        <v>2</v>
      </c>
      <c r="K22" s="441">
        <v>2</v>
      </c>
      <c r="L22" s="441">
        <v>0</v>
      </c>
      <c r="M22" s="441">
        <v>0</v>
      </c>
      <c r="N22" s="441" t="str">
        <f t="shared" si="15"/>
        <v>SI</v>
      </c>
      <c r="O22" s="441">
        <f t="shared" ca="1" si="3"/>
        <v>0</v>
      </c>
      <c r="P22" s="441">
        <f t="shared" ca="1" si="3"/>
        <v>1</v>
      </c>
      <c r="Q22" s="441">
        <f t="shared" ca="1" si="3"/>
        <v>0</v>
      </c>
      <c r="R22" s="441" t="str">
        <f t="shared" si="4"/>
        <v>SI</v>
      </c>
      <c r="S22" s="441">
        <v>0</v>
      </c>
      <c r="T22" s="441">
        <v>0</v>
      </c>
      <c r="U22" s="441">
        <v>0</v>
      </c>
      <c r="V22" s="441">
        <v>0</v>
      </c>
      <c r="W22" s="441" t="s">
        <v>109</v>
      </c>
      <c r="X22" s="441" t="s">
        <v>109</v>
      </c>
      <c r="Y22" s="441" t="s">
        <v>109</v>
      </c>
      <c r="Z22" s="441" t="s">
        <v>109</v>
      </c>
      <c r="AA22" s="441" t="s">
        <v>109</v>
      </c>
    </row>
    <row r="23" spans="1:27">
      <c r="A23" s="17" t="s">
        <v>485</v>
      </c>
      <c r="B23" s="17" t="s">
        <v>408</v>
      </c>
      <c r="C23" s="331">
        <v>48</v>
      </c>
      <c r="D23" s="463">
        <v>16000779</v>
      </c>
      <c r="E23" s="38" t="s">
        <v>446</v>
      </c>
      <c r="F23" s="38" t="s">
        <v>596</v>
      </c>
      <c r="G23" s="38"/>
      <c r="H23" s="439" t="str">
        <f t="shared" si="7"/>
        <v>CON CONYUGE &lt; 1500€</v>
      </c>
      <c r="I23" s="440">
        <v>2</v>
      </c>
      <c r="J23" s="441">
        <v>1</v>
      </c>
      <c r="K23" s="441">
        <v>1</v>
      </c>
      <c r="L23" s="441">
        <v>0</v>
      </c>
      <c r="M23" s="441">
        <v>0</v>
      </c>
      <c r="N23" s="441" t="str">
        <f t="shared" si="15"/>
        <v>SI</v>
      </c>
      <c r="O23" s="441">
        <f t="shared" ca="1" si="3"/>
        <v>0</v>
      </c>
      <c r="P23" s="441">
        <f t="shared" ca="1" si="3"/>
        <v>1</v>
      </c>
      <c r="Q23" s="441">
        <f t="shared" ca="1" si="3"/>
        <v>0</v>
      </c>
      <c r="R23" s="441" t="str">
        <f t="shared" si="4"/>
        <v>SI</v>
      </c>
      <c r="S23" s="441">
        <v>0</v>
      </c>
      <c r="T23" s="441">
        <v>0</v>
      </c>
      <c r="U23" s="441">
        <v>0</v>
      </c>
      <c r="V23" s="441">
        <v>0</v>
      </c>
      <c r="W23" s="441" t="s">
        <v>109</v>
      </c>
      <c r="X23" s="441" t="s">
        <v>109</v>
      </c>
      <c r="Y23" s="441" t="s">
        <v>109</v>
      </c>
      <c r="Z23" s="441" t="s">
        <v>109</v>
      </c>
      <c r="AA23" s="441" t="s">
        <v>109</v>
      </c>
    </row>
    <row r="24" spans="1:27">
      <c r="A24" s="17" t="s">
        <v>486</v>
      </c>
      <c r="B24" s="17" t="s">
        <v>420</v>
      </c>
      <c r="C24" s="331">
        <f t="shared" ref="C24:C44" ca="1" si="16">RANDBETWEEN(18,70)</f>
        <v>55</v>
      </c>
      <c r="D24" s="463">
        <v>61549037</v>
      </c>
      <c r="E24" s="38" t="s">
        <v>450</v>
      </c>
      <c r="F24" s="38">
        <v>82600198141</v>
      </c>
      <c r="G24" s="38"/>
      <c r="H24" s="439" t="str">
        <f t="shared" ca="1" si="7"/>
        <v>CON CONYUGE &lt; 1500€</v>
      </c>
      <c r="I24" s="440">
        <f t="shared" ca="1" si="13"/>
        <v>2</v>
      </c>
      <c r="J24" s="441">
        <f t="shared" ca="1" si="10"/>
        <v>1</v>
      </c>
      <c r="K24" s="441">
        <v>1</v>
      </c>
      <c r="L24" s="441">
        <v>0</v>
      </c>
      <c r="M24" s="441">
        <f t="shared" ca="1" si="14"/>
        <v>1</v>
      </c>
      <c r="N24" s="441" t="str">
        <f t="shared" ca="1" si="15"/>
        <v>SI</v>
      </c>
      <c r="O24" s="441">
        <f t="shared" ca="1" si="3"/>
        <v>1</v>
      </c>
      <c r="P24" s="441">
        <f t="shared" ca="1" si="3"/>
        <v>0</v>
      </c>
      <c r="Q24" s="441">
        <f t="shared" ca="1" si="3"/>
        <v>1</v>
      </c>
      <c r="R24" s="441" t="str">
        <f t="shared" ca="1" si="4"/>
        <v>SI</v>
      </c>
      <c r="S24" s="441">
        <v>0</v>
      </c>
      <c r="T24" s="441">
        <v>0</v>
      </c>
      <c r="U24" s="441">
        <v>0</v>
      </c>
      <c r="V24" s="441">
        <v>0</v>
      </c>
      <c r="W24" s="441" t="s">
        <v>109</v>
      </c>
      <c r="X24" s="441" t="s">
        <v>109</v>
      </c>
      <c r="Y24" s="441" t="s">
        <v>109</v>
      </c>
      <c r="Z24" s="441" t="str">
        <f t="shared" ca="1" si="6"/>
        <v>NO</v>
      </c>
      <c r="AA24" s="441" t="s">
        <v>109</v>
      </c>
    </row>
    <row r="25" spans="1:27">
      <c r="A25" s="17" t="s">
        <v>487</v>
      </c>
      <c r="B25" s="17" t="s">
        <v>593</v>
      </c>
      <c r="C25" s="331">
        <v>47</v>
      </c>
      <c r="D25" s="463">
        <v>36428321</v>
      </c>
      <c r="E25" s="331" t="s">
        <v>391</v>
      </c>
      <c r="F25" s="38" t="s">
        <v>594</v>
      </c>
      <c r="G25" s="38"/>
      <c r="H25" s="439" t="str">
        <f t="shared" si="7"/>
        <v>SOLTERO, VIUDO, DIVORCIADO…</v>
      </c>
      <c r="I25" s="440">
        <v>1</v>
      </c>
      <c r="J25" s="441">
        <v>0</v>
      </c>
      <c r="K25" s="441">
        <v>0</v>
      </c>
      <c r="L25" s="441">
        <v>0</v>
      </c>
      <c r="M25" s="441">
        <v>0</v>
      </c>
      <c r="N25" s="441" t="s">
        <v>133</v>
      </c>
      <c r="O25" s="441">
        <f t="shared" ref="O25:Q52" ca="1" si="17">RANDBETWEEN(0,1)</f>
        <v>0</v>
      </c>
      <c r="P25" s="441">
        <f t="shared" ca="1" si="17"/>
        <v>1</v>
      </c>
      <c r="Q25" s="441">
        <f t="shared" ca="1" si="17"/>
        <v>1</v>
      </c>
      <c r="R25" s="441" t="str">
        <f t="shared" si="4"/>
        <v>SI</v>
      </c>
      <c r="S25" s="441">
        <v>0</v>
      </c>
      <c r="T25" s="441">
        <v>0</v>
      </c>
      <c r="U25" s="441">
        <v>0</v>
      </c>
      <c r="V25" s="441">
        <v>0</v>
      </c>
      <c r="W25" s="441" t="s">
        <v>109</v>
      </c>
      <c r="X25" s="441" t="s">
        <v>109</v>
      </c>
      <c r="Y25" s="441" t="s">
        <v>109</v>
      </c>
      <c r="Z25" s="441" t="str">
        <f t="shared" si="6"/>
        <v>NO</v>
      </c>
      <c r="AA25" s="441" t="s">
        <v>109</v>
      </c>
    </row>
    <row r="26" spans="1:27">
      <c r="A26" s="17" t="s">
        <v>488</v>
      </c>
      <c r="B26" s="17" t="s">
        <v>412</v>
      </c>
      <c r="C26" s="331">
        <f t="shared" ca="1" si="16"/>
        <v>43</v>
      </c>
      <c r="D26" s="463">
        <v>30563495</v>
      </c>
      <c r="E26" s="38" t="s">
        <v>391</v>
      </c>
      <c r="F26" s="38">
        <v>64689463049</v>
      </c>
      <c r="G26" s="38"/>
      <c r="H26" s="439" t="str">
        <f t="shared" ca="1" si="7"/>
        <v>SOLTERO, VIUDO, DIVORCIADO…</v>
      </c>
      <c r="I26" s="440">
        <f t="shared" ca="1" si="13"/>
        <v>1</v>
      </c>
      <c r="J26" s="441">
        <f t="shared" ca="1" si="10"/>
        <v>3</v>
      </c>
      <c r="K26" s="441">
        <f t="shared" ca="1" si="11"/>
        <v>1</v>
      </c>
      <c r="L26" s="441">
        <v>0</v>
      </c>
      <c r="M26" s="441">
        <f t="shared" ca="1" si="14"/>
        <v>0</v>
      </c>
      <c r="N26" s="441" t="str">
        <f t="shared" ca="1" si="15"/>
        <v>SI</v>
      </c>
      <c r="O26" s="441">
        <f t="shared" ca="1" si="17"/>
        <v>0</v>
      </c>
      <c r="P26" s="441">
        <f t="shared" ca="1" si="17"/>
        <v>1</v>
      </c>
      <c r="Q26" s="441">
        <f t="shared" ca="1" si="17"/>
        <v>1</v>
      </c>
      <c r="R26" s="441" t="str">
        <f t="shared" ca="1" si="4"/>
        <v>SI</v>
      </c>
      <c r="S26" s="441">
        <v>0</v>
      </c>
      <c r="T26" s="441">
        <v>0</v>
      </c>
      <c r="U26" s="441">
        <v>0</v>
      </c>
      <c r="V26" s="441">
        <v>0</v>
      </c>
      <c r="W26" s="441" t="s">
        <v>109</v>
      </c>
      <c r="X26" s="441" t="s">
        <v>109</v>
      </c>
      <c r="Y26" s="441" t="s">
        <v>109</v>
      </c>
      <c r="Z26" s="441" t="str">
        <f t="shared" ca="1" si="6"/>
        <v>SI</v>
      </c>
      <c r="AA26" s="441" t="s">
        <v>109</v>
      </c>
    </row>
    <row r="27" spans="1:27">
      <c r="A27" s="17" t="s">
        <v>489</v>
      </c>
      <c r="B27" s="17" t="s">
        <v>385</v>
      </c>
      <c r="C27" s="331">
        <f t="shared" ca="1" si="16"/>
        <v>31</v>
      </c>
      <c r="D27" s="463">
        <v>29321245</v>
      </c>
      <c r="E27" s="331" t="s">
        <v>393</v>
      </c>
      <c r="F27" s="38" t="s">
        <v>399</v>
      </c>
      <c r="G27" s="38"/>
      <c r="H27" s="439" t="str">
        <f t="shared" ca="1" si="7"/>
        <v>SOLTERO, VIUDO, DIVORCIADO…</v>
      </c>
      <c r="I27" s="440">
        <f t="shared" ca="1" si="13"/>
        <v>1</v>
      </c>
      <c r="J27" s="441">
        <f t="shared" ca="1" si="10"/>
        <v>3</v>
      </c>
      <c r="K27" s="441">
        <f t="shared" ca="1" si="11"/>
        <v>1</v>
      </c>
      <c r="L27" s="441">
        <v>0</v>
      </c>
      <c r="M27" s="441">
        <f t="shared" ca="1" si="14"/>
        <v>1</v>
      </c>
      <c r="N27" s="441" t="str">
        <f t="shared" ca="1" si="15"/>
        <v>SI</v>
      </c>
      <c r="O27" s="441">
        <f t="shared" ca="1" si="17"/>
        <v>1</v>
      </c>
      <c r="P27" s="441">
        <f t="shared" ca="1" si="17"/>
        <v>0</v>
      </c>
      <c r="Q27" s="441">
        <f t="shared" ca="1" si="17"/>
        <v>0</v>
      </c>
      <c r="R27" s="441" t="str">
        <f t="shared" ca="1" si="4"/>
        <v>SI</v>
      </c>
      <c r="S27" s="441">
        <v>0</v>
      </c>
      <c r="T27" s="441">
        <v>0</v>
      </c>
      <c r="U27" s="441">
        <v>0</v>
      </c>
      <c r="V27" s="441">
        <v>0</v>
      </c>
      <c r="W27" s="441" t="s">
        <v>109</v>
      </c>
      <c r="X27" s="441" t="s">
        <v>109</v>
      </c>
      <c r="Y27" s="441" t="s">
        <v>109</v>
      </c>
      <c r="Z27" s="441" t="str">
        <f t="shared" ca="1" si="6"/>
        <v>SI</v>
      </c>
      <c r="AA27" s="441" t="s">
        <v>109</v>
      </c>
    </row>
    <row r="28" spans="1:27">
      <c r="A28" s="17" t="s">
        <v>490</v>
      </c>
      <c r="B28" s="17" t="s">
        <v>404</v>
      </c>
      <c r="C28" s="331">
        <f t="shared" ca="1" si="16"/>
        <v>44</v>
      </c>
      <c r="D28" s="463">
        <v>62261199</v>
      </c>
      <c r="E28" s="38" t="s">
        <v>444</v>
      </c>
      <c r="F28" s="38">
        <v>42602449602</v>
      </c>
      <c r="G28" s="38"/>
      <c r="H28" s="439" t="str">
        <f t="shared" ca="1" si="7"/>
        <v>CON CONYUGE &gt;1500€</v>
      </c>
      <c r="I28" s="440">
        <f t="shared" ca="1" si="13"/>
        <v>3</v>
      </c>
      <c r="J28" s="441">
        <f t="shared" ca="1" si="10"/>
        <v>1</v>
      </c>
      <c r="K28" s="441">
        <f t="shared" ca="1" si="11"/>
        <v>1</v>
      </c>
      <c r="L28" s="441">
        <v>0</v>
      </c>
      <c r="M28" s="441">
        <f t="shared" ca="1" si="14"/>
        <v>0</v>
      </c>
      <c r="N28" s="441" t="str">
        <f t="shared" ca="1" si="15"/>
        <v>NO</v>
      </c>
      <c r="O28" s="441">
        <f t="shared" ca="1" si="17"/>
        <v>1</v>
      </c>
      <c r="P28" s="441">
        <f t="shared" ca="1" si="17"/>
        <v>0</v>
      </c>
      <c r="Q28" s="441">
        <f t="shared" ca="1" si="17"/>
        <v>1</v>
      </c>
      <c r="R28" s="441" t="str">
        <f t="shared" ca="1" si="4"/>
        <v>NO</v>
      </c>
      <c r="S28" s="441">
        <v>0</v>
      </c>
      <c r="T28" s="441">
        <v>0</v>
      </c>
      <c r="U28" s="441">
        <v>0</v>
      </c>
      <c r="V28" s="441">
        <v>0</v>
      </c>
      <c r="W28" s="441" t="s">
        <v>109</v>
      </c>
      <c r="X28" s="441" t="s">
        <v>109</v>
      </c>
      <c r="Y28" s="441" t="s">
        <v>109</v>
      </c>
      <c r="Z28" s="441" t="str">
        <f t="shared" ca="1" si="6"/>
        <v>NO</v>
      </c>
      <c r="AA28" s="441" t="s">
        <v>109</v>
      </c>
    </row>
    <row r="29" spans="1:27">
      <c r="A29" s="17" t="s">
        <v>491</v>
      </c>
      <c r="B29" s="17" t="s">
        <v>429</v>
      </c>
      <c r="C29" s="331">
        <f t="shared" ca="1" si="16"/>
        <v>36</v>
      </c>
      <c r="D29" s="463">
        <v>15492961</v>
      </c>
      <c r="E29" s="38" t="s">
        <v>445</v>
      </c>
      <c r="F29" s="38">
        <v>10536838319</v>
      </c>
      <c r="G29" s="38"/>
      <c r="H29" s="439" t="str">
        <f t="shared" ca="1" si="7"/>
        <v>CON CONYUGE &gt;1500€</v>
      </c>
      <c r="I29" s="440">
        <f t="shared" ca="1" si="13"/>
        <v>3</v>
      </c>
      <c r="J29" s="441">
        <f t="shared" ca="1" si="10"/>
        <v>2</v>
      </c>
      <c r="K29" s="441">
        <f t="shared" ca="1" si="11"/>
        <v>0</v>
      </c>
      <c r="L29" s="441">
        <v>0</v>
      </c>
      <c r="M29" s="441">
        <f t="shared" ca="1" si="14"/>
        <v>0</v>
      </c>
      <c r="N29" s="441" t="str">
        <f t="shared" ca="1" si="15"/>
        <v>NO</v>
      </c>
      <c r="O29" s="441">
        <f t="shared" ca="1" si="17"/>
        <v>1</v>
      </c>
      <c r="P29" s="441">
        <f t="shared" ca="1" si="17"/>
        <v>0</v>
      </c>
      <c r="Q29" s="441">
        <f t="shared" ca="1" si="17"/>
        <v>0</v>
      </c>
      <c r="R29" s="441" t="str">
        <f t="shared" ca="1" si="4"/>
        <v>NO</v>
      </c>
      <c r="S29" s="441">
        <v>0</v>
      </c>
      <c r="T29" s="441">
        <v>0</v>
      </c>
      <c r="U29" s="441">
        <v>0</v>
      </c>
      <c r="V29" s="441">
        <v>0</v>
      </c>
      <c r="W29" s="441" t="s">
        <v>109</v>
      </c>
      <c r="X29" s="441" t="s">
        <v>109</v>
      </c>
      <c r="Y29" s="441" t="s">
        <v>109</v>
      </c>
      <c r="Z29" s="441" t="str">
        <f t="shared" ca="1" si="6"/>
        <v>NO</v>
      </c>
      <c r="AA29" s="441" t="s">
        <v>109</v>
      </c>
    </row>
    <row r="30" spans="1:27">
      <c r="A30" s="17" t="s">
        <v>492</v>
      </c>
      <c r="B30" s="17" t="s">
        <v>403</v>
      </c>
      <c r="C30" s="331">
        <v>28</v>
      </c>
      <c r="D30" s="463">
        <v>28019202</v>
      </c>
      <c r="E30" s="38" t="s">
        <v>443</v>
      </c>
      <c r="F30" s="38" t="s">
        <v>570</v>
      </c>
      <c r="G30" s="38"/>
      <c r="H30" s="439" t="str">
        <f t="shared" si="7"/>
        <v>CON CONYUGE &lt; 1500€</v>
      </c>
      <c r="I30" s="440">
        <v>2</v>
      </c>
      <c r="J30" s="441">
        <v>0</v>
      </c>
      <c r="K30" s="441">
        <v>0</v>
      </c>
      <c r="L30" s="441">
        <v>0</v>
      </c>
      <c r="M30" s="441">
        <v>0</v>
      </c>
      <c r="N30" s="441" t="str">
        <f t="shared" si="15"/>
        <v>SI</v>
      </c>
      <c r="O30" s="441">
        <f t="shared" ca="1" si="17"/>
        <v>1</v>
      </c>
      <c r="P30" s="441">
        <f t="shared" ca="1" si="17"/>
        <v>1</v>
      </c>
      <c r="Q30" s="441">
        <f t="shared" ca="1" si="17"/>
        <v>0</v>
      </c>
      <c r="R30" s="441" t="str">
        <f t="shared" si="4"/>
        <v>SI</v>
      </c>
      <c r="S30" s="441">
        <v>0</v>
      </c>
      <c r="T30" s="441">
        <v>0</v>
      </c>
      <c r="U30" s="441">
        <v>0</v>
      </c>
      <c r="V30" s="441">
        <v>0</v>
      </c>
      <c r="W30" s="441" t="s">
        <v>109</v>
      </c>
      <c r="X30" s="441" t="s">
        <v>109</v>
      </c>
      <c r="Y30" s="441" t="s">
        <v>109</v>
      </c>
      <c r="Z30" s="441" t="str">
        <f t="shared" si="6"/>
        <v>NO</v>
      </c>
      <c r="AA30" s="441" t="s">
        <v>109</v>
      </c>
    </row>
    <row r="31" spans="1:27">
      <c r="A31" s="17" t="s">
        <v>493</v>
      </c>
      <c r="B31" s="17" t="s">
        <v>382</v>
      </c>
      <c r="C31" s="331">
        <v>35</v>
      </c>
      <c r="D31" s="463">
        <v>21824342</v>
      </c>
      <c r="E31" s="331" t="s">
        <v>340</v>
      </c>
      <c r="F31" s="38" t="s">
        <v>595</v>
      </c>
      <c r="G31" s="38"/>
      <c r="H31" s="439" t="str">
        <f t="shared" si="7"/>
        <v>CON CONYUGE &lt; 1500€</v>
      </c>
      <c r="I31" s="440">
        <v>2</v>
      </c>
      <c r="J31" s="441">
        <v>0</v>
      </c>
      <c r="K31" s="441">
        <v>0</v>
      </c>
      <c r="L31" s="441">
        <v>0</v>
      </c>
      <c r="M31" s="441">
        <f t="shared" ca="1" si="14"/>
        <v>0</v>
      </c>
      <c r="N31" s="441" t="str">
        <f t="shared" si="15"/>
        <v>SI</v>
      </c>
      <c r="O31" s="441">
        <f t="shared" ca="1" si="17"/>
        <v>1</v>
      </c>
      <c r="P31" s="441">
        <f t="shared" ca="1" si="17"/>
        <v>1</v>
      </c>
      <c r="Q31" s="441">
        <f t="shared" ca="1" si="17"/>
        <v>1</v>
      </c>
      <c r="R31" s="441" t="str">
        <f t="shared" si="4"/>
        <v>SI</v>
      </c>
      <c r="S31" s="441">
        <v>0</v>
      </c>
      <c r="T31" s="441">
        <v>0</v>
      </c>
      <c r="U31" s="441">
        <v>0</v>
      </c>
      <c r="V31" s="441">
        <v>0</v>
      </c>
      <c r="W31" s="441" t="s">
        <v>109</v>
      </c>
      <c r="X31" s="441" t="s">
        <v>109</v>
      </c>
      <c r="Y31" s="441" t="s">
        <v>109</v>
      </c>
      <c r="Z31" s="441" t="str">
        <f t="shared" si="6"/>
        <v>NO</v>
      </c>
      <c r="AA31" s="441" t="s">
        <v>109</v>
      </c>
    </row>
    <row r="32" spans="1:27">
      <c r="A32" s="17" t="s">
        <v>494</v>
      </c>
      <c r="B32" s="17" t="s">
        <v>437</v>
      </c>
      <c r="C32" s="331">
        <f t="shared" ca="1" si="16"/>
        <v>35</v>
      </c>
      <c r="D32" s="463">
        <v>94709113</v>
      </c>
      <c r="E32" s="38" t="s">
        <v>444</v>
      </c>
      <c r="F32" s="38">
        <v>67360544915</v>
      </c>
      <c r="G32" s="38"/>
      <c r="H32" s="439" t="str">
        <f t="shared" ca="1" si="7"/>
        <v>SOLTERO, VIUDO, DIVORCIADO…</v>
      </c>
      <c r="I32" s="440">
        <f t="shared" ca="1" si="13"/>
        <v>1</v>
      </c>
      <c r="J32" s="441">
        <f t="shared" ca="1" si="10"/>
        <v>4</v>
      </c>
      <c r="K32" s="441">
        <f t="shared" ca="1" si="11"/>
        <v>1</v>
      </c>
      <c r="L32" s="441">
        <v>0</v>
      </c>
      <c r="M32" s="441">
        <f t="shared" ca="1" si="14"/>
        <v>0</v>
      </c>
      <c r="N32" s="441" t="str">
        <f t="shared" ca="1" si="15"/>
        <v>SI</v>
      </c>
      <c r="O32" s="441">
        <f t="shared" ca="1" si="17"/>
        <v>1</v>
      </c>
      <c r="P32" s="441">
        <f t="shared" ca="1" si="17"/>
        <v>0</v>
      </c>
      <c r="Q32" s="441">
        <f t="shared" ca="1" si="17"/>
        <v>0</v>
      </c>
      <c r="R32" s="441" t="str">
        <f t="shared" ca="1" si="4"/>
        <v>SI</v>
      </c>
      <c r="S32" s="441">
        <v>0</v>
      </c>
      <c r="T32" s="441">
        <v>0</v>
      </c>
      <c r="U32" s="441">
        <v>0</v>
      </c>
      <c r="V32" s="441">
        <v>0</v>
      </c>
      <c r="W32" s="441" t="s">
        <v>109</v>
      </c>
      <c r="X32" s="441" t="s">
        <v>109</v>
      </c>
      <c r="Y32" s="441" t="s">
        <v>109</v>
      </c>
      <c r="Z32" s="441" t="str">
        <f t="shared" ca="1" si="6"/>
        <v>SI</v>
      </c>
      <c r="AA32" s="441" t="s">
        <v>109</v>
      </c>
    </row>
    <row r="33" spans="1:27">
      <c r="A33" s="17" t="s">
        <v>495</v>
      </c>
      <c r="B33" s="17" t="s">
        <v>423</v>
      </c>
      <c r="C33" s="331">
        <f t="shared" ca="1" si="16"/>
        <v>21</v>
      </c>
      <c r="D33" s="463">
        <v>99854406</v>
      </c>
      <c r="E33" s="38" t="s">
        <v>390</v>
      </c>
      <c r="F33" s="38">
        <v>86432083967</v>
      </c>
      <c r="G33" s="38"/>
      <c r="H33" s="439" t="str">
        <f t="shared" ca="1" si="7"/>
        <v>CON CONYUGE &gt;1500€</v>
      </c>
      <c r="I33" s="440">
        <f t="shared" ca="1" si="13"/>
        <v>3</v>
      </c>
      <c r="J33" s="441">
        <f t="shared" ca="1" si="10"/>
        <v>3</v>
      </c>
      <c r="K33" s="441">
        <f t="shared" ca="1" si="11"/>
        <v>1</v>
      </c>
      <c r="L33" s="441">
        <v>0</v>
      </c>
      <c r="M33" s="441">
        <f t="shared" ca="1" si="14"/>
        <v>1</v>
      </c>
      <c r="N33" s="441" t="str">
        <f t="shared" ca="1" si="15"/>
        <v>NO</v>
      </c>
      <c r="O33" s="441">
        <f t="shared" ca="1" si="17"/>
        <v>0</v>
      </c>
      <c r="P33" s="441">
        <f t="shared" ca="1" si="17"/>
        <v>1</v>
      </c>
      <c r="Q33" s="441">
        <f t="shared" ca="1" si="17"/>
        <v>0</v>
      </c>
      <c r="R33" s="441" t="str">
        <f t="shared" ca="1" si="4"/>
        <v>NO</v>
      </c>
      <c r="S33" s="441">
        <v>0</v>
      </c>
      <c r="T33" s="441">
        <v>0</v>
      </c>
      <c r="U33" s="441">
        <v>0</v>
      </c>
      <c r="V33" s="441">
        <v>0</v>
      </c>
      <c r="W33" s="441" t="s">
        <v>109</v>
      </c>
      <c r="X33" s="441" t="s">
        <v>109</v>
      </c>
      <c r="Y33" s="441" t="s">
        <v>109</v>
      </c>
      <c r="Z33" s="441" t="str">
        <f t="shared" ca="1" si="6"/>
        <v>SI</v>
      </c>
      <c r="AA33" s="441" t="s">
        <v>109</v>
      </c>
    </row>
    <row r="34" spans="1:27">
      <c r="A34" s="17" t="s">
        <v>496</v>
      </c>
      <c r="B34" s="17" t="s">
        <v>409</v>
      </c>
      <c r="C34" s="331">
        <f t="shared" ca="1" si="16"/>
        <v>45</v>
      </c>
      <c r="D34" s="463">
        <v>57778575</v>
      </c>
      <c r="E34" s="38" t="s">
        <v>447</v>
      </c>
      <c r="F34" s="38">
        <v>52679655437</v>
      </c>
      <c r="G34" s="38"/>
      <c r="H34" s="439" t="str">
        <f t="shared" ca="1" si="7"/>
        <v>SOLTERO, VIUDO, DIVORCIADO…</v>
      </c>
      <c r="I34" s="440">
        <f t="shared" ca="1" si="13"/>
        <v>1</v>
      </c>
      <c r="J34" s="441">
        <f t="shared" ca="1" si="10"/>
        <v>4</v>
      </c>
      <c r="K34" s="441">
        <f t="shared" ca="1" si="11"/>
        <v>1</v>
      </c>
      <c r="L34" s="441">
        <v>0</v>
      </c>
      <c r="M34" s="441">
        <f t="shared" ca="1" si="14"/>
        <v>1</v>
      </c>
      <c r="N34" s="441" t="str">
        <f t="shared" ca="1" si="15"/>
        <v>SI</v>
      </c>
      <c r="O34" s="441">
        <f t="shared" ca="1" si="17"/>
        <v>0</v>
      </c>
      <c r="P34" s="441">
        <f t="shared" ca="1" si="17"/>
        <v>1</v>
      </c>
      <c r="Q34" s="441">
        <f t="shared" ca="1" si="17"/>
        <v>0</v>
      </c>
      <c r="R34" s="441" t="str">
        <f t="shared" ca="1" si="4"/>
        <v>SI</v>
      </c>
      <c r="S34" s="441">
        <v>0</v>
      </c>
      <c r="T34" s="441">
        <v>0</v>
      </c>
      <c r="U34" s="441">
        <v>0</v>
      </c>
      <c r="V34" s="441">
        <v>0</v>
      </c>
      <c r="W34" s="441" t="s">
        <v>109</v>
      </c>
      <c r="X34" s="441" t="s">
        <v>109</v>
      </c>
      <c r="Y34" s="441" t="s">
        <v>109</v>
      </c>
      <c r="Z34" s="441" t="str">
        <f t="shared" ca="1" si="6"/>
        <v>SI</v>
      </c>
      <c r="AA34" s="441" t="s">
        <v>109</v>
      </c>
    </row>
    <row r="35" spans="1:27">
      <c r="A35" s="17" t="s">
        <v>497</v>
      </c>
      <c r="B35" s="17" t="s">
        <v>407</v>
      </c>
      <c r="C35" s="331">
        <f t="shared" ca="1" si="16"/>
        <v>39</v>
      </c>
      <c r="D35" s="463">
        <v>56279295</v>
      </c>
      <c r="E35" s="38" t="s">
        <v>340</v>
      </c>
      <c r="F35" s="38">
        <v>76828620080</v>
      </c>
      <c r="G35" s="38"/>
      <c r="H35" s="439" t="str">
        <f t="shared" ca="1" si="7"/>
        <v>CON CONYUGE &lt; 1500€</v>
      </c>
      <c r="I35" s="440">
        <f t="shared" ca="1" si="13"/>
        <v>2</v>
      </c>
      <c r="J35" s="441">
        <f t="shared" ca="1" si="10"/>
        <v>4</v>
      </c>
      <c r="K35" s="441">
        <f t="shared" ca="1" si="11"/>
        <v>2</v>
      </c>
      <c r="L35" s="441">
        <v>0</v>
      </c>
      <c r="M35" s="441">
        <f t="shared" ca="1" si="14"/>
        <v>1</v>
      </c>
      <c r="N35" s="441" t="str">
        <f t="shared" ca="1" si="15"/>
        <v>SI</v>
      </c>
      <c r="O35" s="441">
        <f t="shared" ca="1" si="17"/>
        <v>0</v>
      </c>
      <c r="P35" s="441">
        <f t="shared" ca="1" si="17"/>
        <v>0</v>
      </c>
      <c r="Q35" s="441">
        <f t="shared" ca="1" si="17"/>
        <v>0</v>
      </c>
      <c r="R35" s="441" t="str">
        <f t="shared" ca="1" si="4"/>
        <v>SI</v>
      </c>
      <c r="S35" s="441">
        <v>0</v>
      </c>
      <c r="T35" s="441">
        <v>0</v>
      </c>
      <c r="U35" s="441">
        <v>0</v>
      </c>
      <c r="V35" s="441">
        <v>0</v>
      </c>
      <c r="W35" s="441" t="s">
        <v>109</v>
      </c>
      <c r="X35" s="441" t="s">
        <v>109</v>
      </c>
      <c r="Y35" s="441" t="s">
        <v>109</v>
      </c>
      <c r="Z35" s="441" t="str">
        <f t="shared" ca="1" si="6"/>
        <v>SI</v>
      </c>
      <c r="AA35" s="441" t="s">
        <v>109</v>
      </c>
    </row>
    <row r="36" spans="1:27">
      <c r="A36" s="17" t="s">
        <v>498</v>
      </c>
      <c r="B36" s="17" t="s">
        <v>416</v>
      </c>
      <c r="C36" s="331">
        <f t="shared" ca="1" si="16"/>
        <v>35</v>
      </c>
      <c r="D36" s="463">
        <v>49929181</v>
      </c>
      <c r="E36" s="38" t="s">
        <v>392</v>
      </c>
      <c r="F36" s="38">
        <v>31579631886</v>
      </c>
      <c r="G36" s="38"/>
      <c r="H36" s="439" t="str">
        <f t="shared" ca="1" si="7"/>
        <v>CON CONYUGE &gt;1500€</v>
      </c>
      <c r="I36" s="440">
        <f t="shared" ca="1" si="13"/>
        <v>3</v>
      </c>
      <c r="J36" s="441">
        <f t="shared" ca="1" si="10"/>
        <v>4</v>
      </c>
      <c r="K36" s="441">
        <f t="shared" ca="1" si="11"/>
        <v>2</v>
      </c>
      <c r="L36" s="441">
        <v>0</v>
      </c>
      <c r="M36" s="441">
        <f t="shared" ca="1" si="14"/>
        <v>1</v>
      </c>
      <c r="N36" s="441" t="str">
        <f t="shared" ca="1" si="15"/>
        <v>NO</v>
      </c>
      <c r="O36" s="441">
        <f t="shared" ca="1" si="17"/>
        <v>1</v>
      </c>
      <c r="P36" s="441">
        <f t="shared" ca="1" si="17"/>
        <v>0</v>
      </c>
      <c r="Q36" s="441">
        <f t="shared" ca="1" si="17"/>
        <v>1</v>
      </c>
      <c r="R36" s="441" t="str">
        <f t="shared" ca="1" si="4"/>
        <v>NO</v>
      </c>
      <c r="S36" s="441">
        <v>0</v>
      </c>
      <c r="T36" s="441">
        <v>0</v>
      </c>
      <c r="U36" s="441">
        <v>0</v>
      </c>
      <c r="V36" s="441">
        <v>0</v>
      </c>
      <c r="W36" s="441" t="s">
        <v>109</v>
      </c>
      <c r="X36" s="441" t="s">
        <v>109</v>
      </c>
      <c r="Y36" s="441" t="s">
        <v>109</v>
      </c>
      <c r="Z36" s="441" t="str">
        <f t="shared" ca="1" si="6"/>
        <v>SI</v>
      </c>
      <c r="AA36" s="441" t="s">
        <v>109</v>
      </c>
    </row>
    <row r="37" spans="1:27">
      <c r="A37" s="17" t="s">
        <v>499</v>
      </c>
      <c r="B37" s="17" t="s">
        <v>439</v>
      </c>
      <c r="C37" s="331">
        <f t="shared" ca="1" si="16"/>
        <v>18</v>
      </c>
      <c r="D37" s="463">
        <v>11243667</v>
      </c>
      <c r="E37" s="38" t="s">
        <v>393</v>
      </c>
      <c r="F37" s="38">
        <v>15289385338</v>
      </c>
      <c r="G37" s="38"/>
      <c r="H37" s="439" t="str">
        <f t="shared" ca="1" si="7"/>
        <v>CON CONYUGE &gt;1500€</v>
      </c>
      <c r="I37" s="440">
        <f t="shared" ca="1" si="13"/>
        <v>3</v>
      </c>
      <c r="J37" s="441">
        <f t="shared" ca="1" si="10"/>
        <v>2</v>
      </c>
      <c r="K37" s="441">
        <f t="shared" ca="1" si="11"/>
        <v>1</v>
      </c>
      <c r="L37" s="441">
        <v>0</v>
      </c>
      <c r="M37" s="441">
        <f t="shared" ca="1" si="14"/>
        <v>0</v>
      </c>
      <c r="N37" s="441" t="str">
        <f t="shared" ca="1" si="15"/>
        <v>NO</v>
      </c>
      <c r="O37" s="441">
        <f t="shared" ca="1" si="17"/>
        <v>1</v>
      </c>
      <c r="P37" s="441">
        <f t="shared" ca="1" si="17"/>
        <v>0</v>
      </c>
      <c r="Q37" s="441">
        <f t="shared" ca="1" si="17"/>
        <v>0</v>
      </c>
      <c r="R37" s="441" t="str">
        <f t="shared" ca="1" si="4"/>
        <v>NO</v>
      </c>
      <c r="S37" s="441">
        <v>0</v>
      </c>
      <c r="T37" s="441">
        <v>0</v>
      </c>
      <c r="U37" s="441">
        <v>0</v>
      </c>
      <c r="V37" s="441">
        <v>0</v>
      </c>
      <c r="W37" s="441" t="s">
        <v>109</v>
      </c>
      <c r="X37" s="441" t="s">
        <v>109</v>
      </c>
      <c r="Y37" s="441" t="s">
        <v>109</v>
      </c>
      <c r="Z37" s="441" t="str">
        <f t="shared" ca="1" si="6"/>
        <v>NO</v>
      </c>
      <c r="AA37" s="441" t="s">
        <v>109</v>
      </c>
    </row>
    <row r="38" spans="1:27">
      <c r="A38" s="17" t="s">
        <v>500</v>
      </c>
      <c r="B38" s="17" t="s">
        <v>387</v>
      </c>
      <c r="C38" s="331">
        <f t="shared" ca="1" si="16"/>
        <v>50</v>
      </c>
      <c r="D38" s="463">
        <v>83424326</v>
      </c>
      <c r="E38" s="331" t="s">
        <v>397</v>
      </c>
      <c r="F38" s="335" t="s">
        <v>400</v>
      </c>
      <c r="G38" s="335"/>
      <c r="H38" s="439" t="str">
        <f t="shared" ca="1" si="7"/>
        <v>SOLTERO, VIUDO, DIVORCIADO…</v>
      </c>
      <c r="I38" s="440">
        <f t="shared" ca="1" si="13"/>
        <v>1</v>
      </c>
      <c r="J38" s="441">
        <f t="shared" ca="1" si="10"/>
        <v>1</v>
      </c>
      <c r="K38" s="441">
        <f t="shared" ca="1" si="11"/>
        <v>1</v>
      </c>
      <c r="L38" s="441">
        <v>0</v>
      </c>
      <c r="M38" s="441">
        <f t="shared" ca="1" si="14"/>
        <v>1</v>
      </c>
      <c r="N38" s="441" t="str">
        <f t="shared" ca="1" si="15"/>
        <v>SI</v>
      </c>
      <c r="O38" s="441">
        <f t="shared" ca="1" si="17"/>
        <v>1</v>
      </c>
      <c r="P38" s="441">
        <f t="shared" ca="1" si="17"/>
        <v>1</v>
      </c>
      <c r="Q38" s="441">
        <f t="shared" ca="1" si="17"/>
        <v>0</v>
      </c>
      <c r="R38" s="441" t="str">
        <f t="shared" ca="1" si="4"/>
        <v>SI</v>
      </c>
      <c r="S38" s="441">
        <v>0</v>
      </c>
      <c r="T38" s="441">
        <v>0</v>
      </c>
      <c r="U38" s="441">
        <v>0</v>
      </c>
      <c r="V38" s="441">
        <v>0</v>
      </c>
      <c r="W38" s="441" t="s">
        <v>109</v>
      </c>
      <c r="X38" s="441" t="s">
        <v>109</v>
      </c>
      <c r="Y38" s="441" t="s">
        <v>109</v>
      </c>
      <c r="Z38" s="441" t="str">
        <f t="shared" ca="1" si="6"/>
        <v>NO</v>
      </c>
      <c r="AA38" s="441" t="s">
        <v>109</v>
      </c>
    </row>
    <row r="39" spans="1:27">
      <c r="A39" s="17" t="s">
        <v>501</v>
      </c>
      <c r="B39" s="17" t="s">
        <v>417</v>
      </c>
      <c r="C39" s="331">
        <f t="shared" ca="1" si="16"/>
        <v>46</v>
      </c>
      <c r="D39" s="463">
        <v>91861837</v>
      </c>
      <c r="E39" s="38" t="s">
        <v>392</v>
      </c>
      <c r="F39" s="38">
        <v>96089543326</v>
      </c>
      <c r="G39" s="38"/>
      <c r="H39" s="439" t="str">
        <f t="shared" ca="1" si="7"/>
        <v>SOLTERO, VIUDO, DIVORCIADO…</v>
      </c>
      <c r="I39" s="440">
        <f t="shared" ca="1" si="13"/>
        <v>1</v>
      </c>
      <c r="J39" s="441">
        <f t="shared" ca="1" si="10"/>
        <v>4</v>
      </c>
      <c r="K39" s="441">
        <f t="shared" ca="1" si="11"/>
        <v>0</v>
      </c>
      <c r="L39" s="441">
        <v>0</v>
      </c>
      <c r="M39" s="441">
        <f t="shared" ca="1" si="14"/>
        <v>0</v>
      </c>
      <c r="N39" s="441" t="str">
        <f t="shared" ca="1" si="15"/>
        <v>SI</v>
      </c>
      <c r="O39" s="441">
        <f t="shared" ca="1" si="17"/>
        <v>1</v>
      </c>
      <c r="P39" s="441">
        <f t="shared" ca="1" si="17"/>
        <v>1</v>
      </c>
      <c r="Q39" s="441">
        <f t="shared" ca="1" si="17"/>
        <v>0</v>
      </c>
      <c r="R39" s="441" t="str">
        <f t="shared" ca="1" si="4"/>
        <v>SI</v>
      </c>
      <c r="S39" s="441">
        <v>0</v>
      </c>
      <c r="T39" s="441">
        <v>0</v>
      </c>
      <c r="U39" s="441">
        <v>0</v>
      </c>
      <c r="V39" s="441">
        <v>0</v>
      </c>
      <c r="W39" s="441" t="s">
        <v>109</v>
      </c>
      <c r="X39" s="441" t="s">
        <v>109</v>
      </c>
      <c r="Y39" s="441" t="s">
        <v>109</v>
      </c>
      <c r="Z39" s="441" t="str">
        <f t="shared" ca="1" si="6"/>
        <v>SI</v>
      </c>
      <c r="AA39" s="441" t="s">
        <v>109</v>
      </c>
    </row>
    <row r="40" spans="1:27">
      <c r="A40" s="17" t="s">
        <v>502</v>
      </c>
      <c r="B40" s="17" t="s">
        <v>435</v>
      </c>
      <c r="C40" s="331">
        <f t="shared" ca="1" si="16"/>
        <v>39</v>
      </c>
      <c r="D40" s="463">
        <v>78762740</v>
      </c>
      <c r="E40" s="38" t="s">
        <v>396</v>
      </c>
      <c r="F40" s="38">
        <v>26069066599</v>
      </c>
      <c r="G40" s="38"/>
      <c r="H40" s="439" t="str">
        <f t="shared" ca="1" si="7"/>
        <v>CON CONYUGE &lt; 1500€</v>
      </c>
      <c r="I40" s="440">
        <f t="shared" ca="1" si="13"/>
        <v>2</v>
      </c>
      <c r="J40" s="441">
        <f t="shared" ca="1" si="10"/>
        <v>4</v>
      </c>
      <c r="K40" s="441">
        <f t="shared" ca="1" si="11"/>
        <v>0</v>
      </c>
      <c r="L40" s="441">
        <v>0</v>
      </c>
      <c r="M40" s="441">
        <f t="shared" ca="1" si="14"/>
        <v>0</v>
      </c>
      <c r="N40" s="441" t="str">
        <f t="shared" ca="1" si="15"/>
        <v>SI</v>
      </c>
      <c r="O40" s="441">
        <f t="shared" ca="1" si="17"/>
        <v>0</v>
      </c>
      <c r="P40" s="441">
        <f t="shared" ca="1" si="17"/>
        <v>1</v>
      </c>
      <c r="Q40" s="441">
        <f t="shared" ca="1" si="17"/>
        <v>0</v>
      </c>
      <c r="R40" s="441" t="str">
        <f t="shared" ca="1" si="4"/>
        <v>SI</v>
      </c>
      <c r="S40" s="441">
        <v>0</v>
      </c>
      <c r="T40" s="441">
        <v>0</v>
      </c>
      <c r="U40" s="441">
        <v>0</v>
      </c>
      <c r="V40" s="441">
        <v>0</v>
      </c>
      <c r="W40" s="441" t="s">
        <v>109</v>
      </c>
      <c r="X40" s="441" t="s">
        <v>109</v>
      </c>
      <c r="Y40" s="441" t="s">
        <v>109</v>
      </c>
      <c r="Z40" s="441" t="str">
        <f t="shared" ca="1" si="6"/>
        <v>SI</v>
      </c>
      <c r="AA40" s="441" t="s">
        <v>109</v>
      </c>
    </row>
    <row r="41" spans="1:27">
      <c r="A41" s="17" t="s">
        <v>503</v>
      </c>
      <c r="B41" s="17" t="s">
        <v>424</v>
      </c>
      <c r="C41" s="331">
        <f t="shared" ca="1" si="16"/>
        <v>38</v>
      </c>
      <c r="D41" s="463">
        <v>81013499</v>
      </c>
      <c r="E41" s="38" t="s">
        <v>391</v>
      </c>
      <c r="F41" s="38">
        <v>42903883592</v>
      </c>
      <c r="G41" s="38"/>
      <c r="H41" s="439" t="str">
        <f t="shared" ca="1" si="7"/>
        <v>CON CONYUGE &gt;1500€</v>
      </c>
      <c r="I41" s="440">
        <f t="shared" ca="1" si="13"/>
        <v>3</v>
      </c>
      <c r="J41" s="441">
        <f t="shared" ca="1" si="10"/>
        <v>0</v>
      </c>
      <c r="K41" s="441">
        <f t="shared" ca="1" si="11"/>
        <v>0</v>
      </c>
      <c r="L41" s="441">
        <v>0</v>
      </c>
      <c r="M41" s="441">
        <f t="shared" ca="1" si="14"/>
        <v>0</v>
      </c>
      <c r="N41" s="441" t="str">
        <f t="shared" ca="1" si="15"/>
        <v>NO</v>
      </c>
      <c r="O41" s="441">
        <f t="shared" ca="1" si="17"/>
        <v>1</v>
      </c>
      <c r="P41" s="441">
        <f t="shared" ca="1" si="17"/>
        <v>0</v>
      </c>
      <c r="Q41" s="441">
        <f t="shared" ca="1" si="17"/>
        <v>1</v>
      </c>
      <c r="R41" s="441" t="str">
        <f t="shared" ca="1" si="4"/>
        <v>NO</v>
      </c>
      <c r="S41" s="441">
        <v>0</v>
      </c>
      <c r="T41" s="441">
        <v>0</v>
      </c>
      <c r="U41" s="441">
        <v>0</v>
      </c>
      <c r="V41" s="441">
        <v>0</v>
      </c>
      <c r="W41" s="441" t="s">
        <v>109</v>
      </c>
      <c r="X41" s="441" t="s">
        <v>109</v>
      </c>
      <c r="Y41" s="441" t="s">
        <v>109</v>
      </c>
      <c r="Z41" s="441" t="str">
        <f t="shared" ca="1" si="6"/>
        <v>NO</v>
      </c>
      <c r="AA41" s="441" t="s">
        <v>109</v>
      </c>
    </row>
    <row r="42" spans="1:27">
      <c r="A42" s="17" t="s">
        <v>504</v>
      </c>
      <c r="B42" s="17" t="s">
        <v>422</v>
      </c>
      <c r="C42" s="331">
        <f t="shared" ca="1" si="16"/>
        <v>31</v>
      </c>
      <c r="D42" s="463">
        <v>13802935</v>
      </c>
      <c r="E42" s="38" t="s">
        <v>392</v>
      </c>
      <c r="F42" s="38">
        <v>82625193038</v>
      </c>
      <c r="G42" s="38"/>
      <c r="H42" s="439" t="str">
        <f t="shared" ca="1" si="7"/>
        <v>CON CONYUGE &lt; 1500€</v>
      </c>
      <c r="I42" s="440">
        <f t="shared" ca="1" si="13"/>
        <v>2</v>
      </c>
      <c r="J42" s="441">
        <f t="shared" ca="1" si="10"/>
        <v>2</v>
      </c>
      <c r="K42" s="441">
        <f t="shared" ca="1" si="11"/>
        <v>2</v>
      </c>
      <c r="L42" s="441">
        <v>0</v>
      </c>
      <c r="M42" s="441">
        <f t="shared" ca="1" si="14"/>
        <v>1</v>
      </c>
      <c r="N42" s="441" t="str">
        <f t="shared" ca="1" si="15"/>
        <v>SI</v>
      </c>
      <c r="O42" s="441">
        <f t="shared" ca="1" si="17"/>
        <v>1</v>
      </c>
      <c r="P42" s="441">
        <f t="shared" ca="1" si="17"/>
        <v>1</v>
      </c>
      <c r="Q42" s="441">
        <f t="shared" ca="1" si="17"/>
        <v>0</v>
      </c>
      <c r="R42" s="441" t="str">
        <f t="shared" ca="1" si="4"/>
        <v>SI</v>
      </c>
      <c r="S42" s="441">
        <v>0</v>
      </c>
      <c r="T42" s="441">
        <v>0</v>
      </c>
      <c r="U42" s="441">
        <v>0</v>
      </c>
      <c r="V42" s="441">
        <v>0</v>
      </c>
      <c r="W42" s="441" t="s">
        <v>109</v>
      </c>
      <c r="X42" s="441" t="s">
        <v>109</v>
      </c>
      <c r="Y42" s="441" t="s">
        <v>109</v>
      </c>
      <c r="Z42" s="441" t="str">
        <f t="shared" ca="1" si="6"/>
        <v>NO</v>
      </c>
      <c r="AA42" s="441" t="s">
        <v>109</v>
      </c>
    </row>
    <row r="43" spans="1:27">
      <c r="A43" s="17" t="s">
        <v>505</v>
      </c>
      <c r="B43" s="17" t="s">
        <v>419</v>
      </c>
      <c r="C43" s="331">
        <f t="shared" ca="1" si="16"/>
        <v>18</v>
      </c>
      <c r="D43" s="463">
        <v>64236100</v>
      </c>
      <c r="E43" s="38" t="s">
        <v>395</v>
      </c>
      <c r="F43" s="38">
        <v>79298225864</v>
      </c>
      <c r="G43" s="38"/>
      <c r="H43" s="439" t="str">
        <f t="shared" ca="1" si="7"/>
        <v>CON CONYUGE &lt; 1500€</v>
      </c>
      <c r="I43" s="440">
        <f t="shared" ca="1" si="13"/>
        <v>2</v>
      </c>
      <c r="J43" s="441">
        <f t="shared" ca="1" si="10"/>
        <v>3</v>
      </c>
      <c r="K43" s="441">
        <f t="shared" ca="1" si="11"/>
        <v>2</v>
      </c>
      <c r="L43" s="441">
        <v>0</v>
      </c>
      <c r="M43" s="441">
        <f t="shared" ca="1" si="14"/>
        <v>0</v>
      </c>
      <c r="N43" s="441" t="str">
        <f t="shared" ca="1" si="15"/>
        <v>SI</v>
      </c>
      <c r="O43" s="441">
        <f t="shared" ca="1" si="17"/>
        <v>0</v>
      </c>
      <c r="P43" s="441">
        <f t="shared" ca="1" si="17"/>
        <v>1</v>
      </c>
      <c r="Q43" s="441">
        <f t="shared" ca="1" si="17"/>
        <v>1</v>
      </c>
      <c r="R43" s="441" t="str">
        <f t="shared" ca="1" si="4"/>
        <v>SI</v>
      </c>
      <c r="S43" s="441">
        <v>0</v>
      </c>
      <c r="T43" s="441">
        <v>0</v>
      </c>
      <c r="U43" s="441">
        <v>0</v>
      </c>
      <c r="V43" s="441">
        <v>0</v>
      </c>
      <c r="W43" s="441" t="s">
        <v>109</v>
      </c>
      <c r="X43" s="441" t="s">
        <v>109</v>
      </c>
      <c r="Y43" s="441" t="s">
        <v>109</v>
      </c>
      <c r="Z43" s="441" t="str">
        <f t="shared" ca="1" si="6"/>
        <v>SI</v>
      </c>
      <c r="AA43" s="441" t="s">
        <v>109</v>
      </c>
    </row>
    <row r="44" spans="1:27">
      <c r="A44" s="17" t="s">
        <v>506</v>
      </c>
      <c r="B44" s="17" t="s">
        <v>427</v>
      </c>
      <c r="C44" s="331">
        <f t="shared" ca="1" si="16"/>
        <v>41</v>
      </c>
      <c r="D44" s="463">
        <v>66437537</v>
      </c>
      <c r="E44" s="38" t="s">
        <v>442</v>
      </c>
      <c r="F44" s="38">
        <v>19784632029</v>
      </c>
      <c r="G44" s="38"/>
      <c r="H44" s="439" t="str">
        <f t="shared" ca="1" si="7"/>
        <v>CON CONYUGE &lt; 1500€</v>
      </c>
      <c r="I44" s="440">
        <f t="shared" ca="1" si="13"/>
        <v>2</v>
      </c>
      <c r="J44" s="441">
        <f t="shared" ca="1" si="10"/>
        <v>1</v>
      </c>
      <c r="K44" s="441">
        <f t="shared" ca="1" si="11"/>
        <v>0</v>
      </c>
      <c r="L44" s="441">
        <v>0</v>
      </c>
      <c r="M44" s="441">
        <f t="shared" ca="1" si="14"/>
        <v>0</v>
      </c>
      <c r="N44" s="441" t="str">
        <f t="shared" ca="1" si="15"/>
        <v>SI</v>
      </c>
      <c r="O44" s="441">
        <f t="shared" ca="1" si="17"/>
        <v>0</v>
      </c>
      <c r="P44" s="441">
        <f t="shared" ca="1" si="17"/>
        <v>0</v>
      </c>
      <c r="Q44" s="441">
        <f t="shared" ca="1" si="17"/>
        <v>0</v>
      </c>
      <c r="R44" s="441" t="str">
        <f t="shared" ca="1" si="4"/>
        <v>SI</v>
      </c>
      <c r="S44" s="441">
        <v>0</v>
      </c>
      <c r="T44" s="441">
        <v>0</v>
      </c>
      <c r="U44" s="441">
        <v>0</v>
      </c>
      <c r="V44" s="441">
        <v>0</v>
      </c>
      <c r="W44" s="441" t="s">
        <v>109</v>
      </c>
      <c r="X44" s="441" t="s">
        <v>109</v>
      </c>
      <c r="Y44" s="441" t="s">
        <v>109</v>
      </c>
      <c r="Z44" s="441" t="str">
        <f t="shared" ca="1" si="6"/>
        <v>NO</v>
      </c>
      <c r="AA44" s="441" t="s">
        <v>109</v>
      </c>
    </row>
    <row r="45" spans="1:27">
      <c r="A45" s="17" t="s">
        <v>507</v>
      </c>
      <c r="B45" s="17" t="s">
        <v>433</v>
      </c>
      <c r="C45" s="331">
        <f t="shared" ref="C45:C48" ca="1" si="18">RANDBETWEEN(18,70)</f>
        <v>48</v>
      </c>
      <c r="D45" s="463">
        <v>77178496</v>
      </c>
      <c r="E45" s="38" t="s">
        <v>339</v>
      </c>
      <c r="F45" s="38" t="s">
        <v>573</v>
      </c>
      <c r="G45" s="38"/>
      <c r="H45" s="439" t="str">
        <f t="shared" ca="1" si="7"/>
        <v>SOLTERO, VIUDO, DIVORCIADO…</v>
      </c>
      <c r="I45" s="440">
        <f t="shared" ca="1" si="13"/>
        <v>1</v>
      </c>
      <c r="J45" s="441">
        <f t="shared" ca="1" si="10"/>
        <v>1</v>
      </c>
      <c r="K45" s="441">
        <f t="shared" ca="1" si="11"/>
        <v>0</v>
      </c>
      <c r="L45" s="441">
        <v>0</v>
      </c>
      <c r="M45" s="441">
        <f t="shared" ca="1" si="14"/>
        <v>0</v>
      </c>
      <c r="N45" s="441" t="str">
        <f t="shared" ca="1" si="15"/>
        <v>SI</v>
      </c>
      <c r="O45" s="441">
        <f t="shared" ca="1" si="17"/>
        <v>1</v>
      </c>
      <c r="P45" s="441">
        <f t="shared" ca="1" si="17"/>
        <v>0</v>
      </c>
      <c r="Q45" s="441">
        <f t="shared" ca="1" si="17"/>
        <v>0</v>
      </c>
      <c r="R45" s="441" t="str">
        <f t="shared" ca="1" si="4"/>
        <v>SI</v>
      </c>
      <c r="S45" s="441">
        <v>0</v>
      </c>
      <c r="T45" s="441">
        <v>0</v>
      </c>
      <c r="U45" s="441">
        <v>0</v>
      </c>
      <c r="V45" s="441">
        <v>0</v>
      </c>
      <c r="W45" s="441" t="s">
        <v>109</v>
      </c>
      <c r="X45" s="441" t="s">
        <v>109</v>
      </c>
      <c r="Y45" s="441" t="s">
        <v>109</v>
      </c>
      <c r="Z45" s="441" t="str">
        <f t="shared" ca="1" si="6"/>
        <v>NO</v>
      </c>
      <c r="AA45" s="441" t="s">
        <v>109</v>
      </c>
    </row>
    <row r="46" spans="1:27">
      <c r="A46" s="17" t="s">
        <v>508</v>
      </c>
      <c r="B46" s="17" t="s">
        <v>384</v>
      </c>
      <c r="C46" s="331">
        <v>40</v>
      </c>
      <c r="D46" s="463">
        <v>36423482</v>
      </c>
      <c r="E46" s="331" t="s">
        <v>395</v>
      </c>
      <c r="F46" s="38" t="s">
        <v>573</v>
      </c>
      <c r="G46" s="38"/>
      <c r="H46" s="439" t="str">
        <f t="shared" si="7"/>
        <v>CON CONYUGE &lt; 1500€</v>
      </c>
      <c r="I46" s="440">
        <v>2</v>
      </c>
      <c r="J46" s="441">
        <v>1</v>
      </c>
      <c r="K46" s="441">
        <v>1</v>
      </c>
      <c r="L46" s="441">
        <v>0</v>
      </c>
      <c r="M46" s="441">
        <v>0</v>
      </c>
      <c r="N46" s="441" t="str">
        <f t="shared" si="15"/>
        <v>SI</v>
      </c>
      <c r="O46" s="441">
        <f t="shared" ca="1" si="17"/>
        <v>1</v>
      </c>
      <c r="P46" s="441">
        <f t="shared" ca="1" si="17"/>
        <v>1</v>
      </c>
      <c r="Q46" s="441">
        <f t="shared" ca="1" si="17"/>
        <v>1</v>
      </c>
      <c r="R46" s="441" t="str">
        <f t="shared" si="4"/>
        <v>SI</v>
      </c>
      <c r="S46" s="441">
        <v>0</v>
      </c>
      <c r="T46" s="441">
        <v>0</v>
      </c>
      <c r="U46" s="441">
        <v>0</v>
      </c>
      <c r="V46" s="441">
        <v>0</v>
      </c>
      <c r="W46" s="441" t="s">
        <v>109</v>
      </c>
      <c r="X46" s="441" t="s">
        <v>109</v>
      </c>
      <c r="Y46" s="441" t="s">
        <v>109</v>
      </c>
      <c r="Z46" s="441" t="str">
        <f t="shared" si="6"/>
        <v>NO</v>
      </c>
      <c r="AA46" s="441" t="s">
        <v>109</v>
      </c>
    </row>
    <row r="47" spans="1:27">
      <c r="A47" s="17" t="s">
        <v>509</v>
      </c>
      <c r="B47" s="17" t="s">
        <v>401</v>
      </c>
      <c r="C47" s="331">
        <f t="shared" ca="1" si="18"/>
        <v>58</v>
      </c>
      <c r="D47" s="463">
        <v>75844591</v>
      </c>
      <c r="E47" s="331" t="s">
        <v>441</v>
      </c>
      <c r="F47" s="335" t="s">
        <v>453</v>
      </c>
      <c r="G47" s="335"/>
      <c r="H47" s="439" t="str">
        <f t="shared" ca="1" si="7"/>
        <v>SOLTERO, VIUDO, DIVORCIADO…</v>
      </c>
      <c r="I47" s="440">
        <f t="shared" ca="1" si="13"/>
        <v>1</v>
      </c>
      <c r="J47" s="441">
        <f t="shared" ref="J47:J52" ca="1" si="19">RANDBETWEEN(SUM(K47:L47),4)</f>
        <v>4</v>
      </c>
      <c r="K47" s="441">
        <f t="shared" ref="K47:K52" ca="1" si="20">RANDBETWEEN(0,2)</f>
        <v>2</v>
      </c>
      <c r="L47" s="441">
        <v>0</v>
      </c>
      <c r="M47" s="441">
        <f t="shared" ca="1" si="14"/>
        <v>2</v>
      </c>
      <c r="N47" s="441" t="str">
        <f t="shared" ca="1" si="15"/>
        <v>SI</v>
      </c>
      <c r="O47" s="441">
        <f t="shared" ca="1" si="17"/>
        <v>0</v>
      </c>
      <c r="P47" s="441">
        <f t="shared" ca="1" si="17"/>
        <v>0</v>
      </c>
      <c r="Q47" s="441">
        <f t="shared" ca="1" si="17"/>
        <v>1</v>
      </c>
      <c r="R47" s="441" t="str">
        <f t="shared" ref="R47:R52" ca="1" si="21">N47</f>
        <v>SI</v>
      </c>
      <c r="S47" s="441">
        <v>0</v>
      </c>
      <c r="T47" s="441">
        <v>0</v>
      </c>
      <c r="U47" s="441">
        <v>0</v>
      </c>
      <c r="V47" s="441">
        <v>0</v>
      </c>
      <c r="W47" s="441" t="s">
        <v>109</v>
      </c>
      <c r="X47" s="441" t="s">
        <v>109</v>
      </c>
      <c r="Y47" s="441" t="s">
        <v>109</v>
      </c>
      <c r="Z47" s="441" t="str">
        <f t="shared" ref="Z47:Z52" ca="1" si="22">IF(J47&gt;2,"SI","NO")</f>
        <v>SI</v>
      </c>
      <c r="AA47" s="441" t="s">
        <v>109</v>
      </c>
    </row>
    <row r="48" spans="1:27">
      <c r="A48" s="17" t="s">
        <v>510</v>
      </c>
      <c r="B48" s="17" t="s">
        <v>440</v>
      </c>
      <c r="C48" s="331">
        <f t="shared" ca="1" si="18"/>
        <v>68</v>
      </c>
      <c r="D48" s="463">
        <v>13079145</v>
      </c>
      <c r="E48" s="38" t="s">
        <v>452</v>
      </c>
      <c r="F48" s="38">
        <v>78345427646</v>
      </c>
      <c r="G48" s="38"/>
      <c r="H48" s="439" t="str">
        <f t="shared" ca="1" si="7"/>
        <v>CON CONYUGE &lt; 1500€</v>
      </c>
      <c r="I48" s="440">
        <f t="shared" ca="1" si="13"/>
        <v>2</v>
      </c>
      <c r="J48" s="441">
        <f t="shared" ca="1" si="19"/>
        <v>3</v>
      </c>
      <c r="K48" s="441">
        <f t="shared" ca="1" si="20"/>
        <v>2</v>
      </c>
      <c r="L48" s="441">
        <v>0</v>
      </c>
      <c r="M48" s="441">
        <f t="shared" ca="1" si="14"/>
        <v>2</v>
      </c>
      <c r="N48" s="441" t="str">
        <f t="shared" ca="1" si="15"/>
        <v>SI</v>
      </c>
      <c r="O48" s="441">
        <f t="shared" ca="1" si="17"/>
        <v>1</v>
      </c>
      <c r="P48" s="441">
        <f t="shared" ca="1" si="17"/>
        <v>0</v>
      </c>
      <c r="Q48" s="441">
        <f t="shared" ca="1" si="17"/>
        <v>1</v>
      </c>
      <c r="R48" s="441" t="str">
        <f t="shared" ca="1" si="21"/>
        <v>SI</v>
      </c>
      <c r="S48" s="441">
        <v>0</v>
      </c>
      <c r="T48" s="441">
        <v>0</v>
      </c>
      <c r="U48" s="441">
        <v>0</v>
      </c>
      <c r="V48" s="441">
        <v>0</v>
      </c>
      <c r="W48" s="441" t="s">
        <v>109</v>
      </c>
      <c r="X48" s="441" t="s">
        <v>109</v>
      </c>
      <c r="Y48" s="441" t="s">
        <v>109</v>
      </c>
      <c r="Z48" s="441" t="str">
        <f t="shared" ca="1" si="22"/>
        <v>SI</v>
      </c>
      <c r="AA48" s="441" t="s">
        <v>109</v>
      </c>
    </row>
    <row r="49" spans="1:27">
      <c r="A49" s="17" t="s">
        <v>511</v>
      </c>
      <c r="B49" s="17" t="s">
        <v>410</v>
      </c>
      <c r="C49" s="331">
        <f ca="1">RANDBETWEEN(18,70)</f>
        <v>39</v>
      </c>
      <c r="D49" s="463">
        <v>85423775</v>
      </c>
      <c r="E49" s="38" t="s">
        <v>448</v>
      </c>
      <c r="F49" s="38">
        <v>25160014422</v>
      </c>
      <c r="G49" s="38"/>
      <c r="H49" s="439" t="str">
        <f t="shared" ca="1" si="7"/>
        <v>CON CONYUGE &gt;1500€</v>
      </c>
      <c r="I49" s="440">
        <f t="shared" ca="1" si="13"/>
        <v>3</v>
      </c>
      <c r="J49" s="441">
        <f t="shared" ca="1" si="19"/>
        <v>2</v>
      </c>
      <c r="K49" s="441">
        <f t="shared" ca="1" si="20"/>
        <v>2</v>
      </c>
      <c r="L49" s="441">
        <v>0</v>
      </c>
      <c r="M49" s="441">
        <f t="shared" ca="1" si="14"/>
        <v>2</v>
      </c>
      <c r="N49" s="441" t="str">
        <f t="shared" ca="1" si="15"/>
        <v>NO</v>
      </c>
      <c r="O49" s="441">
        <f t="shared" ca="1" si="17"/>
        <v>1</v>
      </c>
      <c r="P49" s="441">
        <f t="shared" ca="1" si="17"/>
        <v>1</v>
      </c>
      <c r="Q49" s="441">
        <v>0</v>
      </c>
      <c r="R49" s="441" t="str">
        <f t="shared" ca="1" si="21"/>
        <v>NO</v>
      </c>
      <c r="S49" s="441">
        <v>0</v>
      </c>
      <c r="T49" s="441">
        <v>0</v>
      </c>
      <c r="U49" s="441">
        <v>0</v>
      </c>
      <c r="V49" s="441">
        <v>0</v>
      </c>
      <c r="W49" s="441" t="s">
        <v>109</v>
      </c>
      <c r="X49" s="441" t="s">
        <v>109</v>
      </c>
      <c r="Y49" s="441" t="s">
        <v>109</v>
      </c>
      <c r="Z49" s="441" t="str">
        <f t="shared" ca="1" si="22"/>
        <v>NO</v>
      </c>
      <c r="AA49" s="441" t="s">
        <v>109</v>
      </c>
    </row>
    <row r="50" spans="1:27">
      <c r="A50" s="17" t="s">
        <v>512</v>
      </c>
      <c r="B50" s="17" t="s">
        <v>418</v>
      </c>
      <c r="C50" s="331">
        <f ca="1">RANDBETWEEN(18,70)</f>
        <v>54</v>
      </c>
      <c r="D50" s="463">
        <v>52240002</v>
      </c>
      <c r="E50" s="38" t="s">
        <v>444</v>
      </c>
      <c r="F50" s="38">
        <v>87669385858</v>
      </c>
      <c r="G50" s="38"/>
      <c r="H50" s="439" t="str">
        <f t="shared" ca="1" si="7"/>
        <v>CON CONYUGE &lt; 1500€</v>
      </c>
      <c r="I50" s="440">
        <f t="shared" ca="1" si="13"/>
        <v>2</v>
      </c>
      <c r="J50" s="441">
        <f t="shared" ca="1" si="19"/>
        <v>3</v>
      </c>
      <c r="K50" s="441">
        <f t="shared" ca="1" si="20"/>
        <v>1</v>
      </c>
      <c r="L50" s="441">
        <v>0</v>
      </c>
      <c r="M50" s="441">
        <f t="shared" ca="1" si="14"/>
        <v>1</v>
      </c>
      <c r="N50" s="441" t="str">
        <f t="shared" ca="1" si="15"/>
        <v>SI</v>
      </c>
      <c r="O50" s="441">
        <f t="shared" ca="1" si="17"/>
        <v>0</v>
      </c>
      <c r="P50" s="441">
        <f t="shared" ca="1" si="17"/>
        <v>1</v>
      </c>
      <c r="Q50" s="441">
        <f t="shared" ca="1" si="17"/>
        <v>1</v>
      </c>
      <c r="R50" s="441" t="str">
        <f t="shared" ca="1" si="21"/>
        <v>SI</v>
      </c>
      <c r="S50" s="441">
        <v>0</v>
      </c>
      <c r="T50" s="441">
        <v>0</v>
      </c>
      <c r="U50" s="441">
        <v>0</v>
      </c>
      <c r="V50" s="441">
        <v>0</v>
      </c>
      <c r="W50" s="441" t="s">
        <v>109</v>
      </c>
      <c r="X50" s="441" t="s">
        <v>109</v>
      </c>
      <c r="Y50" s="441" t="s">
        <v>109</v>
      </c>
      <c r="Z50" s="441" t="str">
        <f t="shared" ca="1" si="22"/>
        <v>SI</v>
      </c>
      <c r="AA50" s="441" t="s">
        <v>109</v>
      </c>
    </row>
    <row r="51" spans="1:27">
      <c r="A51" s="17" t="s">
        <v>513</v>
      </c>
      <c r="B51" s="17" t="s">
        <v>415</v>
      </c>
      <c r="C51" s="331">
        <f ca="1">RANDBETWEEN(18,70)</f>
        <v>35</v>
      </c>
      <c r="D51" s="463">
        <v>88064643</v>
      </c>
      <c r="E51" s="38" t="s">
        <v>451</v>
      </c>
      <c r="F51" s="38">
        <v>58892684395</v>
      </c>
      <c r="G51" s="38"/>
      <c r="H51" s="439" t="str">
        <f t="shared" ca="1" si="7"/>
        <v>CON CONYUGE &lt; 1500€</v>
      </c>
      <c r="I51" s="440">
        <f t="shared" ca="1" si="13"/>
        <v>2</v>
      </c>
      <c r="J51" s="441">
        <f t="shared" ca="1" si="19"/>
        <v>1</v>
      </c>
      <c r="K51" s="441">
        <f t="shared" ca="1" si="20"/>
        <v>1</v>
      </c>
      <c r="L51" s="441">
        <v>0</v>
      </c>
      <c r="M51" s="441">
        <f t="shared" ca="1" si="14"/>
        <v>0</v>
      </c>
      <c r="N51" s="441" t="str">
        <f t="shared" ca="1" si="15"/>
        <v>SI</v>
      </c>
      <c r="O51" s="441">
        <f t="shared" ca="1" si="17"/>
        <v>1</v>
      </c>
      <c r="P51" s="441">
        <f t="shared" ca="1" si="17"/>
        <v>1</v>
      </c>
      <c r="Q51" s="441">
        <f t="shared" ca="1" si="17"/>
        <v>0</v>
      </c>
      <c r="R51" s="441" t="str">
        <f t="shared" ca="1" si="21"/>
        <v>SI</v>
      </c>
      <c r="S51" s="441">
        <v>0</v>
      </c>
      <c r="T51" s="441">
        <v>0</v>
      </c>
      <c r="U51" s="441">
        <v>0</v>
      </c>
      <c r="V51" s="441">
        <v>0</v>
      </c>
      <c r="W51" s="441" t="s">
        <v>109</v>
      </c>
      <c r="X51" s="441" t="s">
        <v>109</v>
      </c>
      <c r="Y51" s="441" t="s">
        <v>109</v>
      </c>
      <c r="Z51" s="441" t="str">
        <f t="shared" ca="1" si="22"/>
        <v>NO</v>
      </c>
      <c r="AA51" s="441" t="s">
        <v>109</v>
      </c>
    </row>
    <row r="52" spans="1:27">
      <c r="A52" s="17" t="s">
        <v>514</v>
      </c>
      <c r="B52" s="17" t="s">
        <v>426</v>
      </c>
      <c r="C52" s="331">
        <f ca="1">RANDBETWEEN(18,70)</f>
        <v>32</v>
      </c>
      <c r="D52" s="463">
        <v>12869141</v>
      </c>
      <c r="E52" s="38" t="s">
        <v>392</v>
      </c>
      <c r="F52" s="38">
        <v>41198171805</v>
      </c>
      <c r="G52" s="38"/>
      <c r="H52" s="439" t="str">
        <f t="shared" ca="1" si="7"/>
        <v>CON CONYUGE &gt;1500€</v>
      </c>
      <c r="I52" s="440">
        <f t="shared" ca="1" si="13"/>
        <v>3</v>
      </c>
      <c r="J52" s="441">
        <f t="shared" ca="1" si="19"/>
        <v>4</v>
      </c>
      <c r="K52" s="441">
        <f t="shared" ca="1" si="20"/>
        <v>0</v>
      </c>
      <c r="L52" s="441">
        <v>0</v>
      </c>
      <c r="M52" s="441">
        <f t="shared" ca="1" si="14"/>
        <v>0</v>
      </c>
      <c r="N52" s="441" t="str">
        <f t="shared" ca="1" si="15"/>
        <v>NO</v>
      </c>
      <c r="O52" s="441">
        <f t="shared" ca="1" si="17"/>
        <v>0</v>
      </c>
      <c r="P52" s="441">
        <f t="shared" ca="1" si="17"/>
        <v>0</v>
      </c>
      <c r="Q52" s="441">
        <f t="shared" ca="1" si="17"/>
        <v>0</v>
      </c>
      <c r="R52" s="441" t="str">
        <f t="shared" ca="1" si="21"/>
        <v>NO</v>
      </c>
      <c r="S52" s="441">
        <v>0</v>
      </c>
      <c r="T52" s="441">
        <v>0</v>
      </c>
      <c r="U52" s="441">
        <v>0</v>
      </c>
      <c r="V52" s="441">
        <v>0</v>
      </c>
      <c r="W52" s="441" t="s">
        <v>109</v>
      </c>
      <c r="X52" s="441" t="s">
        <v>109</v>
      </c>
      <c r="Y52" s="441" t="s">
        <v>109</v>
      </c>
      <c r="Z52" s="441" t="str">
        <f t="shared" ca="1" si="22"/>
        <v>SI</v>
      </c>
      <c r="AA52" s="441" t="s">
        <v>109</v>
      </c>
    </row>
    <row r="53" spans="1:27">
      <c r="D53" s="310"/>
      <c r="O53" s="306"/>
      <c r="P53" s="306"/>
      <c r="Q53" s="306"/>
      <c r="R53" s="306"/>
      <c r="T53" s="306"/>
      <c r="U53" s="309"/>
      <c r="V53" s="309"/>
      <c r="W53" s="309"/>
      <c r="X53" s="309"/>
      <c r="Y53" s="309"/>
      <c r="Z53" s="309"/>
      <c r="AA53" s="309"/>
    </row>
    <row r="54" spans="1:27">
      <c r="C54" s="317" t="s">
        <v>339</v>
      </c>
      <c r="D54" s="317" t="s">
        <v>238</v>
      </c>
      <c r="E54" s="317" t="s">
        <v>133</v>
      </c>
      <c r="F54" s="317"/>
      <c r="G54" s="336"/>
      <c r="U54" s="309"/>
      <c r="V54" s="309"/>
      <c r="W54" s="309"/>
      <c r="X54" s="309"/>
      <c r="Y54" s="309"/>
      <c r="Z54" s="309"/>
      <c r="AA54" s="309"/>
    </row>
    <row r="55" spans="1:27">
      <c r="C55" s="317" t="s">
        <v>340</v>
      </c>
      <c r="D55" s="325" t="s">
        <v>239</v>
      </c>
      <c r="E55" s="317" t="s">
        <v>109</v>
      </c>
      <c r="F55" s="317"/>
      <c r="G55" s="336"/>
    </row>
  </sheetData>
  <sortState ref="B3:AQ79">
    <sortCondition ref="B3:B79"/>
  </sortState>
  <dataConsolidate/>
  <mergeCells count="7">
    <mergeCell ref="D2:E2"/>
    <mergeCell ref="C1:F1"/>
    <mergeCell ref="S1:V1"/>
    <mergeCell ref="W1:AA1"/>
    <mergeCell ref="H2:I2"/>
    <mergeCell ref="O1:R1"/>
    <mergeCell ref="J1:N1"/>
  </mergeCells>
  <pageMargins left="0.7" right="0.7" top="0.75" bottom="0.75" header="0.3" footer="0.3"/>
  <pageSetup paperSize="9" scale="4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31"/>
  <sheetViews>
    <sheetView showGridLines="0" zoomScale="80" zoomScaleNormal="80" workbookViewId="0">
      <pane xSplit="1" topLeftCell="B1" activePane="topRight" state="frozen"/>
      <selection pane="topRight"/>
    </sheetView>
  </sheetViews>
  <sheetFormatPr baseColWidth="10" defaultRowHeight="15"/>
  <cols>
    <col min="1" max="1" width="15.85546875" style="17" bestFit="1" customWidth="1"/>
    <col min="2" max="2" width="25.7109375" style="17" bestFit="1" customWidth="1"/>
    <col min="3" max="3" width="1.85546875" customWidth="1"/>
    <col min="4" max="4" width="8.28515625" style="321" bestFit="1" customWidth="1"/>
    <col min="5" max="6" width="11.42578125" style="17"/>
    <col min="7" max="7" width="14.7109375" style="322" customWidth="1"/>
    <col min="8" max="8" width="7.5703125" style="17" customWidth="1"/>
    <col min="9" max="9" width="12.42578125" style="17" bestFit="1" customWidth="1"/>
    <col min="10" max="10" width="12.42578125" style="17" customWidth="1"/>
    <col min="11" max="11" width="8.42578125" style="17" bestFit="1" customWidth="1"/>
    <col min="12" max="12" width="12.85546875" style="17" bestFit="1" customWidth="1"/>
    <col min="13" max="13" width="12" style="17" customWidth="1"/>
    <col min="14" max="14" width="0.85546875" style="17" customWidth="1"/>
    <col min="15" max="15" width="11.42578125" style="17"/>
    <col min="16" max="16" width="13.7109375" style="17" customWidth="1"/>
    <col min="17" max="17" width="0.85546875" style="17" customWidth="1"/>
    <col min="18" max="20" width="13.7109375" style="17" customWidth="1"/>
    <col min="21" max="21" width="0.85546875" style="177" customWidth="1"/>
    <col min="45" max="45" width="0.85546875" style="17" customWidth="1"/>
  </cols>
  <sheetData>
    <row r="1" spans="1:45" ht="38.25" customHeight="1">
      <c r="A1" s="337">
        <v>40360</v>
      </c>
      <c r="B1" s="337">
        <v>40390</v>
      </c>
      <c r="D1" s="516" t="s">
        <v>536</v>
      </c>
      <c r="E1" s="516"/>
      <c r="F1" s="516"/>
      <c r="G1" s="516"/>
      <c r="H1" s="516"/>
      <c r="I1" s="516"/>
      <c r="J1" s="516"/>
      <c r="K1" s="516"/>
      <c r="L1" s="516"/>
      <c r="M1" s="516"/>
      <c r="N1" s="475"/>
      <c r="O1" s="516" t="s">
        <v>262</v>
      </c>
      <c r="P1" s="516"/>
      <c r="Q1" s="475"/>
      <c r="R1" s="516" t="s">
        <v>533</v>
      </c>
      <c r="S1" s="516"/>
      <c r="T1" s="516"/>
      <c r="U1" s="330"/>
      <c r="AS1" s="334"/>
    </row>
    <row r="2" spans="1:45" ht="36">
      <c r="A2" s="470" t="s">
        <v>571</v>
      </c>
      <c r="B2" s="471" t="s">
        <v>572</v>
      </c>
      <c r="D2" s="476" t="s">
        <v>462</v>
      </c>
      <c r="E2" s="473" t="s">
        <v>377</v>
      </c>
      <c r="F2" s="473" t="s">
        <v>542</v>
      </c>
      <c r="G2" s="473" t="s">
        <v>460</v>
      </c>
      <c r="H2" s="473" t="s">
        <v>588</v>
      </c>
      <c r="I2" s="473" t="s">
        <v>539</v>
      </c>
      <c r="J2" s="473" t="s">
        <v>538</v>
      </c>
      <c r="K2" s="473" t="s">
        <v>541</v>
      </c>
      <c r="L2" s="473" t="s">
        <v>376</v>
      </c>
      <c r="M2" s="473" t="s">
        <v>464</v>
      </c>
      <c r="N2" s="473"/>
      <c r="O2" s="476" t="s">
        <v>54</v>
      </c>
      <c r="P2" s="473" t="s">
        <v>261</v>
      </c>
      <c r="Q2" s="473"/>
      <c r="R2" s="474" t="s">
        <v>366</v>
      </c>
      <c r="S2" s="474" t="s">
        <v>548</v>
      </c>
      <c r="T2" s="474" t="s">
        <v>365</v>
      </c>
      <c r="U2" s="323"/>
      <c r="AS2" s="332"/>
    </row>
    <row r="3" spans="1:45">
      <c r="A3" s="17" t="s">
        <v>461</v>
      </c>
      <c r="B3" s="17" t="s">
        <v>379</v>
      </c>
      <c r="D3" s="331" t="s">
        <v>340</v>
      </c>
      <c r="E3" s="331">
        <v>1</v>
      </c>
      <c r="F3" s="315">
        <v>32387</v>
      </c>
      <c r="G3" s="331" t="s">
        <v>238</v>
      </c>
      <c r="H3" s="438">
        <v>30</v>
      </c>
      <c r="I3" s="436">
        <v>1500</v>
      </c>
      <c r="J3" s="436">
        <f t="shared" ref="J3:J34" si="0">(I3/30)*K3</f>
        <v>450</v>
      </c>
      <c r="K3" s="437">
        <f>H3-Incidencias!F3-Incidencias!K3-Incidencias!W3</f>
        <v>9</v>
      </c>
      <c r="L3" s="436">
        <f>IF(D3="A",LOOKUP(E3,Convenio!$A$4:$A$16,Convenio!$C$4:$C$16),(I3*14))</f>
        <v>21000</v>
      </c>
      <c r="M3" s="436">
        <v>1943</v>
      </c>
      <c r="N3" s="328"/>
      <c r="O3" s="436">
        <v>0</v>
      </c>
      <c r="P3" s="436">
        <v>0</v>
      </c>
      <c r="Q3" s="436"/>
      <c r="R3" s="436">
        <v>1200</v>
      </c>
      <c r="S3" s="436">
        <f t="shared" ref="S3:S34" si="1">(R3*T3*K3)/360</f>
        <v>60</v>
      </c>
      <c r="T3" s="436">
        <v>2</v>
      </c>
      <c r="U3" s="331"/>
      <c r="AS3" s="319"/>
    </row>
    <row r="4" spans="1:45">
      <c r="A4" s="17" t="s">
        <v>466</v>
      </c>
      <c r="B4" s="17" t="s">
        <v>411</v>
      </c>
      <c r="D4" s="331" t="s">
        <v>339</v>
      </c>
      <c r="E4" s="331">
        <v>1</v>
      </c>
      <c r="F4" s="331"/>
      <c r="G4" s="331" t="s">
        <v>238</v>
      </c>
      <c r="H4" s="438">
        <v>30</v>
      </c>
      <c r="I4" s="436">
        <v>1450</v>
      </c>
      <c r="J4" s="436">
        <f t="shared" si="0"/>
        <v>435</v>
      </c>
      <c r="K4" s="437">
        <f>H4-Incidencias!F4-Incidencias!K4-Incidencias!W4</f>
        <v>9</v>
      </c>
      <c r="L4" s="436">
        <f>IF(D4="A",LOOKUP(E4,Convenio!$A$4:$A$16,Convenio!$C$4:$C$16),(I4*14))</f>
        <v>26082.98</v>
      </c>
      <c r="M4" s="436">
        <f>L4*0.0635</f>
        <v>1656.2692300000001</v>
      </c>
      <c r="N4" s="328"/>
      <c r="O4" s="436">
        <v>0</v>
      </c>
      <c r="P4" s="436">
        <f>IF(D4="A",LOOKUP(E4,Convenio!$A$4:$A$16,Convenio!$M$4:$M$16),LOOKUP(E4,Convenio!$A$20:$A$32,Convenio!$M$20:$M$32))</f>
        <v>70</v>
      </c>
      <c r="Q4" s="436"/>
      <c r="R4" s="436">
        <v>1450</v>
      </c>
      <c r="S4" s="436">
        <f t="shared" si="1"/>
        <v>72.5</v>
      </c>
      <c r="T4" s="436">
        <v>2</v>
      </c>
      <c r="U4" s="331"/>
      <c r="AS4" s="319"/>
    </row>
    <row r="5" spans="1:45">
      <c r="A5" s="17" t="s">
        <v>467</v>
      </c>
      <c r="B5" s="17" t="s">
        <v>428</v>
      </c>
      <c r="D5" s="331" t="s">
        <v>339</v>
      </c>
      <c r="E5" s="331">
        <v>1</v>
      </c>
      <c r="F5" s="331"/>
      <c r="G5" s="331" t="s">
        <v>238</v>
      </c>
      <c r="H5" s="438">
        <v>30</v>
      </c>
      <c r="I5" s="436">
        <v>1300</v>
      </c>
      <c r="J5" s="436">
        <f t="shared" si="0"/>
        <v>996.66666666666674</v>
      </c>
      <c r="K5" s="437">
        <f>H5-Incidencias!F5-Incidencias!K5-Incidencias!W5</f>
        <v>23</v>
      </c>
      <c r="L5" s="436">
        <f>IF(D5="A",LOOKUP(E5,Convenio!$A$4:$A$16,Convenio!$C$4:$C$16),(I5*14))</f>
        <v>26082.98</v>
      </c>
      <c r="M5" s="436">
        <f>L5*0.0635</f>
        <v>1656.2692300000001</v>
      </c>
      <c r="N5" s="328"/>
      <c r="O5" s="436">
        <v>130</v>
      </c>
      <c r="P5" s="436">
        <v>0</v>
      </c>
      <c r="Q5" s="436"/>
      <c r="R5" s="436">
        <v>1430</v>
      </c>
      <c r="S5" s="436">
        <f t="shared" si="1"/>
        <v>182.72222222222223</v>
      </c>
      <c r="T5" s="436">
        <v>2</v>
      </c>
      <c r="U5" s="331"/>
      <c r="AS5" s="319"/>
    </row>
    <row r="6" spans="1:45">
      <c r="A6" s="17" t="s">
        <v>468</v>
      </c>
      <c r="B6" s="17" t="s">
        <v>380</v>
      </c>
      <c r="D6" s="331" t="s">
        <v>339</v>
      </c>
      <c r="E6" s="331">
        <v>2</v>
      </c>
      <c r="F6" s="315">
        <v>35855</v>
      </c>
      <c r="G6" s="331" t="s">
        <v>238</v>
      </c>
      <c r="H6" s="438">
        <v>30</v>
      </c>
      <c r="I6" s="436">
        <v>1480</v>
      </c>
      <c r="J6" s="436">
        <f t="shared" si="0"/>
        <v>493.33333333333337</v>
      </c>
      <c r="K6" s="437">
        <f>H6-Incidencias!F6-Incidencias!K6-Incidencias!W6</f>
        <v>10</v>
      </c>
      <c r="L6" s="436">
        <f>IF(D6="A",LOOKUP(E6,Convenio!$A$4:$A$16,Convenio!$C$4:$C$16),(I6*14))</f>
        <v>25116</v>
      </c>
      <c r="M6" s="436">
        <f>L6*0.0635</f>
        <v>1594.866</v>
      </c>
      <c r="N6" s="328"/>
      <c r="O6" s="436">
        <f>IF(D6="A",J6*Convenio!$D$3,J6*Convenio!$D$19)</f>
        <v>49.333333333333343</v>
      </c>
      <c r="P6" s="436">
        <f>IF(D6="A",LOOKUP(E6,Convenio!$A$4:$A$16,Convenio!$M$4:$M$16),LOOKUP(E6,Convenio!$A$20:$A$32,Convenio!$M$20:$M$32))</f>
        <v>58</v>
      </c>
      <c r="Q6" s="436"/>
      <c r="R6" s="436">
        <v>1480</v>
      </c>
      <c r="S6" s="436">
        <f t="shared" si="1"/>
        <v>123.33333333333333</v>
      </c>
      <c r="T6" s="436">
        <v>3</v>
      </c>
      <c r="U6" s="331"/>
      <c r="AS6" s="319"/>
    </row>
    <row r="7" spans="1:45">
      <c r="A7" s="17" t="s">
        <v>469</v>
      </c>
      <c r="B7" s="17" t="s">
        <v>402</v>
      </c>
      <c r="D7" s="331" t="s">
        <v>340</v>
      </c>
      <c r="E7" s="331">
        <v>1</v>
      </c>
      <c r="F7" s="331"/>
      <c r="G7" s="331" t="s">
        <v>238</v>
      </c>
      <c r="H7" s="438">
        <v>30</v>
      </c>
      <c r="I7" s="436">
        <f>23*30</f>
        <v>690</v>
      </c>
      <c r="J7" s="436">
        <f t="shared" si="0"/>
        <v>437</v>
      </c>
      <c r="K7" s="437">
        <f>H7-Incidencias!F7-Incidencias!K7-Incidencias!W7</f>
        <v>19</v>
      </c>
      <c r="L7" s="436">
        <f>IF(D7="A",LOOKUP(E7,Convenio!$A$4:$A$16,Convenio!$C$4:$C$16),(I7*14))</f>
        <v>9660</v>
      </c>
      <c r="M7" s="436">
        <f>L7*0.0635</f>
        <v>613.41</v>
      </c>
      <c r="N7" s="328"/>
      <c r="O7" s="436">
        <v>0</v>
      </c>
      <c r="P7" s="436">
        <v>0</v>
      </c>
      <c r="Q7" s="436"/>
      <c r="R7" s="436">
        <f>30*23</f>
        <v>690</v>
      </c>
      <c r="S7" s="436">
        <f t="shared" si="1"/>
        <v>72.833333333333329</v>
      </c>
      <c r="T7" s="436">
        <v>2</v>
      </c>
      <c r="U7" s="331"/>
      <c r="AS7" s="319"/>
    </row>
    <row r="8" spans="1:45">
      <c r="A8" s="17" t="s">
        <v>470</v>
      </c>
      <c r="B8" s="17" t="s">
        <v>413</v>
      </c>
      <c r="D8" s="331" t="s">
        <v>339</v>
      </c>
      <c r="E8" s="331">
        <v>2</v>
      </c>
      <c r="F8" s="331"/>
      <c r="G8" s="331" t="s">
        <v>238</v>
      </c>
      <c r="H8" s="438">
        <v>30</v>
      </c>
      <c r="I8" s="436">
        <f>IF(D8="A",LOOKUP(E8,Convenio!$A$4:$A$16,Convenio!$B$4:$B$16),LOOKUP(Datos_Convenio!E8,Convenio!$A$20:$A$32,Convenio!$B$20:$B$32)*Datos_Convenio!H8)</f>
        <v>1794</v>
      </c>
      <c r="J8" s="436">
        <f t="shared" si="0"/>
        <v>1794</v>
      </c>
      <c r="K8" s="437">
        <f>H8-Incidencias!F8-Incidencias!K8-Incidencias!W8</f>
        <v>30</v>
      </c>
      <c r="L8" s="436">
        <f>IF(D8="A",LOOKUP(E8,Convenio!$A$4:$A$16,Convenio!$C$4:$C$16),(I8*14))</f>
        <v>25116</v>
      </c>
      <c r="M8" s="436">
        <f>L8*0.0635</f>
        <v>1594.866</v>
      </c>
      <c r="N8" s="328"/>
      <c r="O8" s="436">
        <f>IF(D8="A",J8*Convenio!$D$3,J8*Convenio!$D$19)</f>
        <v>179.4</v>
      </c>
      <c r="P8" s="436">
        <f>IF(D8="A",LOOKUP(E8,Convenio!$A$4:$A$16,Convenio!$M$4:$M$16),LOOKUP(E8,Convenio!$A$20:$A$32,Convenio!$M$20:$M$32))</f>
        <v>58</v>
      </c>
      <c r="Q8" s="436"/>
      <c r="R8" s="436">
        <f>IF(D8="A",LOOKUP(E8,Convenio!$A$4:$A$16,Convenio!$G$4:$G$16),LOOKUP(E8,Convenio!$A$20:$A$32,Convenio!$G$20:$G$32))</f>
        <v>1345.5</v>
      </c>
      <c r="S8" s="436">
        <f t="shared" si="1"/>
        <v>224.25</v>
      </c>
      <c r="T8" s="436">
        <v>2</v>
      </c>
      <c r="U8" s="331"/>
      <c r="AS8" s="319"/>
    </row>
    <row r="9" spans="1:45">
      <c r="A9" s="17" t="s">
        <v>471</v>
      </c>
      <c r="B9" s="17" t="s">
        <v>381</v>
      </c>
      <c r="D9" s="331" t="s">
        <v>339</v>
      </c>
      <c r="E9" s="331">
        <v>1</v>
      </c>
      <c r="F9" s="331"/>
      <c r="G9" s="331" t="s">
        <v>238</v>
      </c>
      <c r="H9" s="438">
        <v>30</v>
      </c>
      <c r="I9" s="436">
        <v>4500</v>
      </c>
      <c r="J9" s="436">
        <f t="shared" si="0"/>
        <v>4500</v>
      </c>
      <c r="K9" s="437">
        <f>H9-Incidencias!F9-Incidencias!K9-Incidencias!W9</f>
        <v>30</v>
      </c>
      <c r="L9" s="436">
        <f>IF(D9="A",LOOKUP(E9,Convenio!$A$4:$A$16,Convenio!$C$4:$C$16),(I9*14))</f>
        <v>26082.98</v>
      </c>
      <c r="M9" s="436">
        <v>2436.88</v>
      </c>
      <c r="N9" s="328"/>
      <c r="O9" s="436">
        <v>0</v>
      </c>
      <c r="P9" s="436">
        <v>0</v>
      </c>
      <c r="Q9" s="436"/>
      <c r="R9" s="436">
        <v>4500</v>
      </c>
      <c r="S9" s="436">
        <f t="shared" si="1"/>
        <v>750</v>
      </c>
      <c r="T9" s="436">
        <v>2</v>
      </c>
      <c r="U9" s="331"/>
      <c r="AS9" s="319"/>
    </row>
    <row r="10" spans="1:45">
      <c r="A10" s="17" t="s">
        <v>472</v>
      </c>
      <c r="B10" s="17" t="s">
        <v>414</v>
      </c>
      <c r="D10" s="331" t="s">
        <v>339</v>
      </c>
      <c r="E10" s="331">
        <v>1</v>
      </c>
      <c r="F10" s="331"/>
      <c r="G10" s="331" t="s">
        <v>238</v>
      </c>
      <c r="H10" s="438">
        <v>30</v>
      </c>
      <c r="I10" s="436">
        <f>IF(D10="A",LOOKUP(E10,Convenio!$A$4:$A$16,Convenio!$B$4:$B$16),LOOKUP(Datos_Convenio!E10,Convenio!$A$20:$A$32,Convenio!$B$20:$B$32)*Datos_Convenio!H10)</f>
        <v>1863.07</v>
      </c>
      <c r="J10" s="436">
        <f t="shared" si="0"/>
        <v>1863.07</v>
      </c>
      <c r="K10" s="437">
        <f>H10-Incidencias!F10-Incidencias!K10-Incidencias!W10</f>
        <v>30</v>
      </c>
      <c r="L10" s="436">
        <f>IF(D10="A",LOOKUP(E10,Convenio!$A$4:$A$16,Convenio!$C$4:$C$16),(I10*14))</f>
        <v>26082.98</v>
      </c>
      <c r="M10" s="436">
        <f t="shared" ref="M10:M22" si="2">L10*0.0635</f>
        <v>1656.2692300000001</v>
      </c>
      <c r="N10" s="328"/>
      <c r="O10" s="436">
        <f>IF(D10="A",J10*Convenio!$D$3,J10*Convenio!$D$19)</f>
        <v>186.30700000000002</v>
      </c>
      <c r="P10" s="436">
        <f>IF(D10="A",LOOKUP(E10,Convenio!$A$4:$A$16,Convenio!$M$4:$M$16),LOOKUP(E10,Convenio!$A$20:$A$32,Convenio!$M$20:$M$32))</f>
        <v>70</v>
      </c>
      <c r="Q10" s="436"/>
      <c r="R10" s="436">
        <f>IF(D10="A",LOOKUP(E10,Convenio!$A$4:$A$16,Convenio!$G$4:$G$16),LOOKUP(E10,Convenio!$A$20:$A$32,Convenio!$G$20:$G$32))</f>
        <v>1397.3025</v>
      </c>
      <c r="S10" s="436">
        <f t="shared" si="1"/>
        <v>232.88374999999999</v>
      </c>
      <c r="T10" s="436">
        <v>2</v>
      </c>
      <c r="U10" s="331"/>
      <c r="AS10" s="319"/>
    </row>
    <row r="11" spans="1:45">
      <c r="A11" s="17" t="s">
        <v>473</v>
      </c>
      <c r="B11" s="17" t="s">
        <v>432</v>
      </c>
      <c r="D11" s="331" t="s">
        <v>339</v>
      </c>
      <c r="E11" s="331">
        <v>1</v>
      </c>
      <c r="F11" s="331"/>
      <c r="G11" s="331" t="s">
        <v>238</v>
      </c>
      <c r="H11" s="438">
        <v>30</v>
      </c>
      <c r="I11" s="436">
        <v>1800</v>
      </c>
      <c r="J11" s="436">
        <f t="shared" si="0"/>
        <v>1800</v>
      </c>
      <c r="K11" s="437">
        <f>H11-Incidencias!F11-Incidencias!K11-Incidencias!W11</f>
        <v>30</v>
      </c>
      <c r="L11" s="436">
        <f>IF(D11="A",LOOKUP(E11,Convenio!$A$4:$A$16,Convenio!$C$4:$C$16),(I11*14))</f>
        <v>26082.98</v>
      </c>
      <c r="M11" s="436">
        <f t="shared" si="2"/>
        <v>1656.2692300000001</v>
      </c>
      <c r="N11" s="328"/>
      <c r="O11" s="436">
        <v>0</v>
      </c>
      <c r="P11" s="436">
        <v>0</v>
      </c>
      <c r="Q11" s="436"/>
      <c r="R11" s="436">
        <v>1800</v>
      </c>
      <c r="S11" s="436">
        <f t="shared" si="1"/>
        <v>300</v>
      </c>
      <c r="T11" s="436">
        <v>2</v>
      </c>
      <c r="U11" s="331"/>
      <c r="AS11" s="319"/>
    </row>
    <row r="12" spans="1:45">
      <c r="A12" s="17" t="s">
        <v>474</v>
      </c>
      <c r="B12" s="17" t="s">
        <v>421</v>
      </c>
      <c r="D12" s="331" t="s">
        <v>340</v>
      </c>
      <c r="E12" s="331">
        <v>2</v>
      </c>
      <c r="F12" s="315">
        <v>37987</v>
      </c>
      <c r="G12" s="331" t="s">
        <v>238</v>
      </c>
      <c r="H12" s="438">
        <v>30</v>
      </c>
      <c r="I12" s="436">
        <v>1800</v>
      </c>
      <c r="J12" s="436">
        <f t="shared" si="0"/>
        <v>1800</v>
      </c>
      <c r="K12" s="437">
        <f>H12-Incidencias!F12-Incidencias!K12-Incidencias!W12</f>
        <v>30</v>
      </c>
      <c r="L12" s="436">
        <f>IF(D12="A",LOOKUP(E12,Convenio!$A$4:$A$16,Convenio!$C$4:$C$16),(I12*14))</f>
        <v>25200</v>
      </c>
      <c r="M12" s="436">
        <f t="shared" si="2"/>
        <v>1600.2</v>
      </c>
      <c r="N12" s="328"/>
      <c r="O12" s="436">
        <v>180</v>
      </c>
      <c r="P12" s="436">
        <v>0</v>
      </c>
      <c r="Q12" s="436"/>
      <c r="R12" s="436">
        <v>1980</v>
      </c>
      <c r="S12" s="436">
        <f t="shared" si="1"/>
        <v>330</v>
      </c>
      <c r="T12" s="436">
        <v>2</v>
      </c>
      <c r="U12" s="331"/>
      <c r="AS12" s="319"/>
    </row>
    <row r="13" spans="1:45">
      <c r="A13" s="17" t="s">
        <v>475</v>
      </c>
      <c r="B13" s="17" t="s">
        <v>438</v>
      </c>
      <c r="D13" s="331" t="s">
        <v>339</v>
      </c>
      <c r="E13" s="331">
        <v>5</v>
      </c>
      <c r="F13" s="331"/>
      <c r="G13" s="331" t="s">
        <v>238</v>
      </c>
      <c r="H13" s="438">
        <v>30</v>
      </c>
      <c r="I13" s="436">
        <v>1000</v>
      </c>
      <c r="J13" s="436">
        <f t="shared" si="0"/>
        <v>1000.0000000000001</v>
      </c>
      <c r="K13" s="437">
        <f>H13-Incidencias!F13-Incidencias!K13-Incidencias!W13</f>
        <v>30</v>
      </c>
      <c r="L13" s="436">
        <f>IF(D13="A",LOOKUP(E13,Convenio!$A$4:$A$16,Convenio!$C$4:$C$16),(I13*14))</f>
        <v>22329.440000000002</v>
      </c>
      <c r="M13" s="436">
        <f t="shared" si="2"/>
        <v>1417.9194400000001</v>
      </c>
      <c r="N13" s="328"/>
      <c r="O13" s="436">
        <v>90</v>
      </c>
      <c r="P13" s="436">
        <v>0</v>
      </c>
      <c r="Q13" s="436"/>
      <c r="R13" s="436">
        <v>1090</v>
      </c>
      <c r="S13" s="436">
        <f t="shared" si="1"/>
        <v>181.66666666666666</v>
      </c>
      <c r="T13" s="436">
        <v>2</v>
      </c>
      <c r="U13" s="331"/>
      <c r="AS13" s="319"/>
    </row>
    <row r="14" spans="1:45">
      <c r="A14" s="17" t="s">
        <v>476</v>
      </c>
      <c r="B14" s="17" t="s">
        <v>436</v>
      </c>
      <c r="D14" s="331" t="s">
        <v>340</v>
      </c>
      <c r="E14" s="331">
        <v>2</v>
      </c>
      <c r="F14" s="331"/>
      <c r="G14" s="331" t="s">
        <v>238</v>
      </c>
      <c r="H14" s="438">
        <v>30</v>
      </c>
      <c r="I14" s="436">
        <f>IF(D14="A",LOOKUP(E14,Convenio!$A$4:$A$16,Convenio!$B$4:$B$16),LOOKUP(Datos_Convenio!E14,Convenio!$A$20:$A$32,Convenio!$B$20:$B$32)*Datos_Convenio!H14)</f>
        <v>1395.6000000000001</v>
      </c>
      <c r="J14" s="436">
        <f t="shared" si="0"/>
        <v>1395.6000000000001</v>
      </c>
      <c r="K14" s="437">
        <f>H14-Incidencias!F14-Incidencias!K14-Incidencias!W14</f>
        <v>30</v>
      </c>
      <c r="L14" s="436">
        <f>IF(D14="A",LOOKUP(E14,Convenio!$A$4:$A$16,Convenio!$C$4:$C$16),(I14*14))</f>
        <v>19538.400000000001</v>
      </c>
      <c r="M14" s="436">
        <f t="shared" si="2"/>
        <v>1240.6884</v>
      </c>
      <c r="N14" s="328"/>
      <c r="O14" s="436">
        <f>IF(D14="A",J14*Convenio!$D$3,J14*Convenio!$D$19)</f>
        <v>69.780000000000015</v>
      </c>
      <c r="P14" s="436">
        <f>IF(D14="A",LOOKUP(E14,Convenio!$A$4:$A$16,Convenio!$M$4:$M$16),LOOKUP(E14,Convenio!$A$20:$A$32,Convenio!$M$20:$M$32))</f>
        <v>24</v>
      </c>
      <c r="Q14" s="436"/>
      <c r="R14" s="436">
        <f>IF(D14="A",LOOKUP(E14,Convenio!$A$4:$A$16,Convenio!$G$4:$G$16),LOOKUP(E14,Convenio!$A$20:$A$32,Convenio!$G$20:$G$32))</f>
        <v>1748.84</v>
      </c>
      <c r="S14" s="436">
        <f t="shared" si="1"/>
        <v>291.4733333333333</v>
      </c>
      <c r="T14" s="436">
        <v>2</v>
      </c>
      <c r="U14" s="331"/>
      <c r="AS14" s="319"/>
    </row>
    <row r="15" spans="1:45">
      <c r="A15" s="17" t="s">
        <v>477</v>
      </c>
      <c r="B15" s="17" t="s">
        <v>431</v>
      </c>
      <c r="D15" s="331" t="s">
        <v>339</v>
      </c>
      <c r="E15" s="331">
        <v>3</v>
      </c>
      <c r="F15" s="331"/>
      <c r="G15" s="331" t="s">
        <v>238</v>
      </c>
      <c r="H15" s="438">
        <v>30</v>
      </c>
      <c r="I15" s="436">
        <f>IF(D15="A",LOOKUP(E15,Convenio!$A$4:$A$16,Convenio!$B$4:$B$16),LOOKUP(Datos_Convenio!E15,Convenio!$A$20:$A$32,Convenio!$B$20:$B$32)*Datos_Convenio!H15)</f>
        <v>1727.88</v>
      </c>
      <c r="J15" s="436">
        <f t="shared" si="0"/>
        <v>1727.88</v>
      </c>
      <c r="K15" s="437">
        <f>H15-Incidencias!F15-Incidencias!K15-Incidencias!W15</f>
        <v>30</v>
      </c>
      <c r="L15" s="436">
        <f>IF(D15="A",LOOKUP(E15,Convenio!$A$4:$A$16,Convenio!$C$4:$C$16),(I15*14))</f>
        <v>24190.32</v>
      </c>
      <c r="M15" s="436">
        <f t="shared" si="2"/>
        <v>1536.0853199999999</v>
      </c>
      <c r="N15" s="328"/>
      <c r="O15" s="436">
        <f>IF(D15="A",J15*Convenio!$D$3,J15*Convenio!$D$19)</f>
        <v>172.78800000000001</v>
      </c>
      <c r="P15" s="436">
        <f>IF(D15="A",LOOKUP(E15,Convenio!$A$4:$A$16,Convenio!$M$4:$M$16),LOOKUP(E15,Convenio!$A$20:$A$32,Convenio!$M$20:$M$32))</f>
        <v>42</v>
      </c>
      <c r="Q15" s="436"/>
      <c r="R15" s="436">
        <f>IF(D15="A",LOOKUP(E15,Convenio!$A$4:$A$16,Convenio!$G$4:$G$16),LOOKUP(E15,Convenio!$A$20:$A$32,Convenio!$G$20:$G$32))</f>
        <v>1295.9100000000001</v>
      </c>
      <c r="S15" s="436">
        <f t="shared" si="1"/>
        <v>215.98500000000001</v>
      </c>
      <c r="T15" s="436">
        <v>2</v>
      </c>
      <c r="U15" s="331"/>
      <c r="AS15" s="319"/>
    </row>
    <row r="16" spans="1:45">
      <c r="A16" s="17" t="s">
        <v>478</v>
      </c>
      <c r="B16" s="17" t="s">
        <v>430</v>
      </c>
      <c r="D16" s="331" t="s">
        <v>339</v>
      </c>
      <c r="E16" s="331">
        <v>3</v>
      </c>
      <c r="F16" s="331"/>
      <c r="G16" s="331" t="s">
        <v>238</v>
      </c>
      <c r="H16" s="438">
        <v>30</v>
      </c>
      <c r="I16" s="436">
        <f>IF(D16="A",LOOKUP(E16,Convenio!$A$4:$A$16,Convenio!$B$4:$B$16),LOOKUP(Datos_Convenio!E16,Convenio!$A$20:$A$32,Convenio!$B$20:$B$32)*Datos_Convenio!H16)</f>
        <v>1727.88</v>
      </c>
      <c r="J16" s="436">
        <f t="shared" si="0"/>
        <v>1727.88</v>
      </c>
      <c r="K16" s="437">
        <f>H16-Incidencias!F16-Incidencias!K16-Incidencias!W16</f>
        <v>30</v>
      </c>
      <c r="L16" s="436">
        <f>IF(D16="A",LOOKUP(E16,Convenio!$A$4:$A$16,Convenio!$C$4:$C$16),(I16*14))</f>
        <v>24190.32</v>
      </c>
      <c r="M16" s="436">
        <f t="shared" si="2"/>
        <v>1536.0853199999999</v>
      </c>
      <c r="N16" s="328"/>
      <c r="O16" s="436">
        <f>IF(D16="A",J16*Convenio!$D$3,J16*Convenio!$D$19)</f>
        <v>172.78800000000001</v>
      </c>
      <c r="P16" s="436">
        <f>IF(D16="A",LOOKUP(E16,Convenio!$A$4:$A$16,Convenio!$M$4:$M$16),LOOKUP(E16,Convenio!$A$20:$A$32,Convenio!$M$20:$M$32))</f>
        <v>42</v>
      </c>
      <c r="Q16" s="436"/>
      <c r="R16" s="436">
        <f>IF(D16="A",LOOKUP(E16,Convenio!$A$4:$A$16,Convenio!$G$4:$G$16),LOOKUP(E16,Convenio!$A$20:$A$32,Convenio!$G$20:$G$32))</f>
        <v>1295.9100000000001</v>
      </c>
      <c r="S16" s="436">
        <f t="shared" si="1"/>
        <v>215.98500000000001</v>
      </c>
      <c r="T16" s="436">
        <v>2</v>
      </c>
      <c r="U16" s="331"/>
      <c r="AS16" s="319"/>
    </row>
    <row r="17" spans="1:45">
      <c r="A17" s="17" t="s">
        <v>479</v>
      </c>
      <c r="B17" s="17" t="s">
        <v>383</v>
      </c>
      <c r="D17" s="331" t="s">
        <v>339</v>
      </c>
      <c r="E17" s="331">
        <v>3</v>
      </c>
      <c r="F17" s="331"/>
      <c r="G17" s="331" t="s">
        <v>239</v>
      </c>
      <c r="H17" s="438">
        <v>30</v>
      </c>
      <c r="I17" s="436">
        <f>IF(D17="A",LOOKUP(E17,Convenio!$A$4:$A$16,Convenio!$B$4:$B$16),LOOKUP(Datos_Convenio!E17,Convenio!$A$20:$A$32,Convenio!$B$20:$B$32)*Datos_Convenio!H17)</f>
        <v>1727.88</v>
      </c>
      <c r="J17" s="436">
        <f t="shared" si="0"/>
        <v>1727.88</v>
      </c>
      <c r="K17" s="437">
        <f>H17-Incidencias!F17-Incidencias!K17-Incidencias!W17</f>
        <v>30</v>
      </c>
      <c r="L17" s="436">
        <f>IF(D17="A",LOOKUP(E17,Convenio!$A$4:$A$16,Convenio!$C$4:$C$16),(I17*14))</f>
        <v>24190.32</v>
      </c>
      <c r="M17" s="436">
        <f t="shared" si="2"/>
        <v>1536.0853199999999</v>
      </c>
      <c r="N17" s="328"/>
      <c r="O17" s="436">
        <f>IF(D17="A",J17*Convenio!$D$3,J17*Convenio!$D$19)</f>
        <v>172.78800000000001</v>
      </c>
      <c r="P17" s="436">
        <f>IF(D17="A",LOOKUP(E17,Convenio!$A$4:$A$16,Convenio!$M$4:$M$16),LOOKUP(E17,Convenio!$A$20:$A$32,Convenio!$M$20:$M$32))</f>
        <v>42</v>
      </c>
      <c r="Q17" s="436"/>
      <c r="R17" s="436">
        <f>IF(D17="A",LOOKUP(E17,Convenio!$A$4:$A$16,Convenio!$G$4:$G$16),LOOKUP(E17,Convenio!$A$20:$A$32,Convenio!$G$20:$G$32))</f>
        <v>1295.9100000000001</v>
      </c>
      <c r="S17" s="436">
        <f t="shared" si="1"/>
        <v>215.98500000000001</v>
      </c>
      <c r="T17" s="436">
        <v>2</v>
      </c>
      <c r="U17" s="331"/>
      <c r="AS17" s="319"/>
    </row>
    <row r="18" spans="1:45">
      <c r="A18" s="17" t="s">
        <v>480</v>
      </c>
      <c r="B18" s="17" t="s">
        <v>405</v>
      </c>
      <c r="D18" s="331" t="s">
        <v>339</v>
      </c>
      <c r="E18" s="331">
        <v>3</v>
      </c>
      <c r="F18" s="331"/>
      <c r="G18" s="331" t="s">
        <v>238</v>
      </c>
      <c r="H18" s="438">
        <v>30</v>
      </c>
      <c r="I18" s="436">
        <v>1200</v>
      </c>
      <c r="J18" s="436">
        <f t="shared" si="0"/>
        <v>920</v>
      </c>
      <c r="K18" s="437">
        <f>H18-Incidencias!F18-Incidencias!K18-Incidencias!W18</f>
        <v>23</v>
      </c>
      <c r="L18" s="436">
        <f>IF(D18="A",LOOKUP(E18,Convenio!$A$4:$A$16,Convenio!$C$4:$C$16),(I18*14))</f>
        <v>24190.32</v>
      </c>
      <c r="M18" s="436">
        <f t="shared" si="2"/>
        <v>1536.0853199999999</v>
      </c>
      <c r="N18" s="328"/>
      <c r="O18" s="436">
        <v>100</v>
      </c>
      <c r="P18" s="436">
        <v>0</v>
      </c>
      <c r="Q18" s="436"/>
      <c r="R18" s="436">
        <v>1200</v>
      </c>
      <c r="S18" s="436">
        <f t="shared" si="1"/>
        <v>153.33333333333334</v>
      </c>
      <c r="T18" s="436">
        <v>2</v>
      </c>
      <c r="U18" s="331"/>
      <c r="AS18" s="319"/>
    </row>
    <row r="19" spans="1:45">
      <c r="A19" s="17" t="s">
        <v>481</v>
      </c>
      <c r="B19" s="17" t="s">
        <v>425</v>
      </c>
      <c r="D19" s="331" t="s">
        <v>339</v>
      </c>
      <c r="E19" s="331">
        <v>1</v>
      </c>
      <c r="F19" s="331"/>
      <c r="G19" s="331" t="s">
        <v>238</v>
      </c>
      <c r="H19" s="438">
        <v>30</v>
      </c>
      <c r="I19" s="436">
        <f>IF(D19="A",LOOKUP(E19,Convenio!$A$4:$A$16,Convenio!$B$4:$B$16),LOOKUP(Datos_Convenio!E19,Convenio!$A$20:$A$32,Convenio!$B$20:$B$32)*Datos_Convenio!H19)</f>
        <v>1863.07</v>
      </c>
      <c r="J19" s="436">
        <f t="shared" si="0"/>
        <v>1863.07</v>
      </c>
      <c r="K19" s="437">
        <f>H19-Incidencias!F19-Incidencias!K19-Incidencias!W19</f>
        <v>30</v>
      </c>
      <c r="L19" s="436">
        <f>IF(D19="A",LOOKUP(E19,Convenio!$A$4:$A$16,Convenio!$C$4:$C$16),(I19*14))</f>
        <v>26082.98</v>
      </c>
      <c r="M19" s="436">
        <f t="shared" si="2"/>
        <v>1656.2692300000001</v>
      </c>
      <c r="N19" s="328"/>
      <c r="O19" s="436">
        <f>IF(D19="A",J19*Convenio!$D$3,J19*Convenio!$D$19)</f>
        <v>186.30700000000002</v>
      </c>
      <c r="P19" s="436">
        <f>IF(D19="A",LOOKUP(E19,Convenio!$A$4:$A$16,Convenio!$M$4:$M$16),LOOKUP(E19,Convenio!$A$20:$A$32,Convenio!$M$20:$M$32))</f>
        <v>70</v>
      </c>
      <c r="Q19" s="436"/>
      <c r="R19" s="436">
        <f>IF(D19="A",LOOKUP(E19,Convenio!$A$4:$A$16,Convenio!$G$4:$G$16),LOOKUP(E19,Convenio!$A$20:$A$32,Convenio!$G$20:$G$32))</f>
        <v>1397.3025</v>
      </c>
      <c r="S19" s="436">
        <f t="shared" si="1"/>
        <v>232.88374999999999</v>
      </c>
      <c r="T19" s="436">
        <v>2</v>
      </c>
      <c r="U19" s="331"/>
      <c r="AS19" s="319"/>
    </row>
    <row r="20" spans="1:45">
      <c r="A20" s="17" t="s">
        <v>482</v>
      </c>
      <c r="B20" s="17" t="s">
        <v>434</v>
      </c>
      <c r="D20" s="331" t="s">
        <v>339</v>
      </c>
      <c r="E20" s="331">
        <v>3</v>
      </c>
      <c r="F20" s="331"/>
      <c r="G20" s="331" t="s">
        <v>238</v>
      </c>
      <c r="H20" s="438">
        <v>30</v>
      </c>
      <c r="I20" s="436">
        <f>IF(D20="A",LOOKUP(E20,Convenio!$A$4:$A$16,Convenio!$B$4:$B$16),LOOKUP(Datos_Convenio!E20,Convenio!$A$20:$A$32,Convenio!$B$20:$B$32)*Datos_Convenio!H20)</f>
        <v>1727.88</v>
      </c>
      <c r="J20" s="436">
        <f t="shared" si="0"/>
        <v>1727.88</v>
      </c>
      <c r="K20" s="437">
        <f>H20-Incidencias!F20-Incidencias!K20-Incidencias!W20</f>
        <v>30</v>
      </c>
      <c r="L20" s="436">
        <f>IF(D20="A",LOOKUP(E20,Convenio!$A$4:$A$16,Convenio!$C$4:$C$16),(I20*14))</f>
        <v>24190.32</v>
      </c>
      <c r="M20" s="436">
        <f t="shared" si="2"/>
        <v>1536.0853199999999</v>
      </c>
      <c r="N20" s="328"/>
      <c r="O20" s="436">
        <f>IF(D20="A",J20*Convenio!$D$3,J20*Convenio!$D$19)</f>
        <v>172.78800000000001</v>
      </c>
      <c r="P20" s="436">
        <f>IF(D20="A",LOOKUP(E20,Convenio!$A$4:$A$16,Convenio!$M$4:$M$16),LOOKUP(E20,Convenio!$A$20:$A$32,Convenio!$M$20:$M$32))</f>
        <v>42</v>
      </c>
      <c r="Q20" s="436"/>
      <c r="R20" s="436">
        <f>IF(D20="A",LOOKUP(E20,Convenio!$A$4:$A$16,Convenio!$G$4:$G$16),LOOKUP(E20,Convenio!$A$20:$A$32,Convenio!$G$20:$G$32))</f>
        <v>1295.9100000000001</v>
      </c>
      <c r="S20" s="436">
        <f t="shared" si="1"/>
        <v>215.98500000000001</v>
      </c>
      <c r="T20" s="436">
        <v>2</v>
      </c>
      <c r="U20" s="331"/>
      <c r="AS20" s="319"/>
    </row>
    <row r="21" spans="1:45">
      <c r="A21" s="17" t="s">
        <v>483</v>
      </c>
      <c r="B21" s="17" t="s">
        <v>406</v>
      </c>
      <c r="D21" s="331" t="s">
        <v>340</v>
      </c>
      <c r="E21" s="331">
        <v>3</v>
      </c>
      <c r="F21" s="331"/>
      <c r="G21" s="331" t="s">
        <v>238</v>
      </c>
      <c r="H21" s="438">
        <v>30</v>
      </c>
      <c r="I21" s="436">
        <f>IF(D21="A",LOOKUP(E21,Convenio!$A$4:$A$16,Convenio!$B$4:$B$16),LOOKUP(Datos_Convenio!E21,Convenio!$A$20:$A$32,Convenio!$B$20:$B$32)*Datos_Convenio!H21)</f>
        <v>1308.5999999999999</v>
      </c>
      <c r="J21" s="436">
        <f t="shared" si="0"/>
        <v>1308.5999999999999</v>
      </c>
      <c r="K21" s="437">
        <f>H21-Incidencias!F21-Incidencias!K21-Incidencias!W21</f>
        <v>30</v>
      </c>
      <c r="L21" s="436">
        <f>IF(D21="A",LOOKUP(E21,Convenio!$A$4:$A$16,Convenio!$C$4:$C$16),(I21*14))</f>
        <v>18320.399999999998</v>
      </c>
      <c r="M21" s="436">
        <f t="shared" si="2"/>
        <v>1163.3453999999999</v>
      </c>
      <c r="N21" s="328"/>
      <c r="O21" s="436">
        <f>IF(D21="A",J21*Convenio!$D$3,J21*Convenio!$D$19)</f>
        <v>65.429999999999993</v>
      </c>
      <c r="P21" s="436">
        <f>IF(D21="A",LOOKUP(E21,Convenio!$A$4:$A$16,Convenio!$M$4:$M$16),LOOKUP(E21,Convenio!$A$20:$A$32,Convenio!$M$20:$M$32))</f>
        <v>12</v>
      </c>
      <c r="Q21" s="436"/>
      <c r="R21" s="436">
        <f>IF(D21="A",LOOKUP(E21,Convenio!$A$4:$A$16,Convenio!$G$4:$G$16),LOOKUP(E21,Convenio!$A$20:$A$32,Convenio!$G$20:$G$32))</f>
        <v>1652.65</v>
      </c>
      <c r="S21" s="436">
        <f t="shared" si="1"/>
        <v>275.44166666666666</v>
      </c>
      <c r="T21" s="436">
        <v>2</v>
      </c>
      <c r="U21" s="331"/>
      <c r="AS21" s="319"/>
    </row>
    <row r="22" spans="1:45">
      <c r="A22" s="17" t="s">
        <v>484</v>
      </c>
      <c r="B22" s="17" t="s">
        <v>386</v>
      </c>
      <c r="D22" s="331" t="s">
        <v>340</v>
      </c>
      <c r="E22" s="331">
        <v>10</v>
      </c>
      <c r="F22" s="315">
        <v>39083</v>
      </c>
      <c r="G22" s="331" t="s">
        <v>238</v>
      </c>
      <c r="H22" s="438">
        <v>30</v>
      </c>
      <c r="I22" s="436">
        <f>28*30</f>
        <v>840</v>
      </c>
      <c r="J22" s="436">
        <f t="shared" si="0"/>
        <v>840</v>
      </c>
      <c r="K22" s="437">
        <f>H22-Incidencias!F22-Incidencias!K22-Incidencias!W22</f>
        <v>30</v>
      </c>
      <c r="L22" s="436">
        <v>12995</v>
      </c>
      <c r="M22" s="436">
        <f t="shared" si="2"/>
        <v>825.1825</v>
      </c>
      <c r="N22" s="328"/>
      <c r="O22" s="436">
        <v>0</v>
      </c>
      <c r="P22" s="436">
        <v>0</v>
      </c>
      <c r="Q22" s="436"/>
      <c r="R22" s="436">
        <f>30*28</f>
        <v>840</v>
      </c>
      <c r="S22" s="436">
        <f t="shared" si="1"/>
        <v>140</v>
      </c>
      <c r="T22" s="436">
        <v>2</v>
      </c>
      <c r="U22" s="331"/>
      <c r="AS22" s="319"/>
    </row>
    <row r="23" spans="1:45">
      <c r="A23" s="17" t="s">
        <v>485</v>
      </c>
      <c r="B23" s="17" t="s">
        <v>408</v>
      </c>
      <c r="D23" s="331" t="s">
        <v>340</v>
      </c>
      <c r="E23" s="331">
        <v>1</v>
      </c>
      <c r="F23" s="315">
        <v>40179</v>
      </c>
      <c r="G23" s="331" t="s">
        <v>238</v>
      </c>
      <c r="H23" s="438">
        <v>30</v>
      </c>
      <c r="I23" s="436">
        <v>1800</v>
      </c>
      <c r="J23" s="436">
        <f t="shared" si="0"/>
        <v>1800</v>
      </c>
      <c r="K23" s="437">
        <f>H23-Incidencias!F23-Incidencias!K23-Incidencias!W23</f>
        <v>30</v>
      </c>
      <c r="L23" s="436">
        <v>27000</v>
      </c>
      <c r="M23" s="436">
        <v>2016.89</v>
      </c>
      <c r="N23" s="328"/>
      <c r="O23" s="436">
        <v>0</v>
      </c>
      <c r="P23" s="436">
        <v>0</v>
      </c>
      <c r="Q23" s="436"/>
      <c r="R23" s="436">
        <v>1800</v>
      </c>
      <c r="S23" s="436">
        <f t="shared" si="1"/>
        <v>450</v>
      </c>
      <c r="T23" s="436">
        <v>3</v>
      </c>
      <c r="U23" s="331"/>
      <c r="AS23" s="319"/>
    </row>
    <row r="24" spans="1:45">
      <c r="A24" s="17" t="s">
        <v>486</v>
      </c>
      <c r="B24" s="17" t="s">
        <v>420</v>
      </c>
      <c r="D24" s="331" t="s">
        <v>339</v>
      </c>
      <c r="E24" s="331">
        <v>2</v>
      </c>
      <c r="F24" s="331"/>
      <c r="G24" s="331" t="s">
        <v>238</v>
      </c>
      <c r="H24" s="438">
        <v>30</v>
      </c>
      <c r="I24" s="436">
        <f>IF(D24="A",LOOKUP(E24,Convenio!$A$4:$A$16,Convenio!$B$4:$B$16),LOOKUP(Datos_Convenio!E24,Convenio!$A$20:$A$32,Convenio!$B$20:$B$32)*Datos_Convenio!H24)</f>
        <v>1794</v>
      </c>
      <c r="J24" s="436">
        <f t="shared" si="0"/>
        <v>1794</v>
      </c>
      <c r="K24" s="437">
        <f>H24-Incidencias!F24-Incidencias!K24-Incidencias!W24</f>
        <v>30</v>
      </c>
      <c r="L24" s="436">
        <f>IF(D24="A",LOOKUP(E24,Convenio!$A$4:$A$16,Convenio!$C$4:$C$16),(I24*14))</f>
        <v>25116</v>
      </c>
      <c r="M24" s="436">
        <f>L24*0.0635</f>
        <v>1594.866</v>
      </c>
      <c r="N24" s="328"/>
      <c r="O24" s="436">
        <f>IF(D24="A",J24*Convenio!$D$3,J24*Convenio!$D$19)</f>
        <v>179.4</v>
      </c>
      <c r="P24" s="436">
        <f>IF(D24="A",LOOKUP(E24,Convenio!$A$4:$A$16,Convenio!$M$4:$M$16),LOOKUP(E24,Convenio!$A$20:$A$32,Convenio!$M$20:$M$32))</f>
        <v>58</v>
      </c>
      <c r="Q24" s="436"/>
      <c r="R24" s="436">
        <f>IF(D24="A",LOOKUP(E24,Convenio!$A$4:$A$16,Convenio!$G$4:$G$16),LOOKUP(E24,Convenio!$A$20:$A$32,Convenio!$G$20:$G$32))</f>
        <v>1345.5</v>
      </c>
      <c r="S24" s="436">
        <f t="shared" si="1"/>
        <v>224.25</v>
      </c>
      <c r="T24" s="436">
        <v>2</v>
      </c>
      <c r="U24" s="331"/>
      <c r="AS24" s="319"/>
    </row>
    <row r="25" spans="1:45">
      <c r="A25" s="17" t="s">
        <v>487</v>
      </c>
      <c r="B25" s="17" t="s">
        <v>593</v>
      </c>
      <c r="D25" s="331" t="s">
        <v>339</v>
      </c>
      <c r="E25" s="331">
        <v>3</v>
      </c>
      <c r="F25" s="315">
        <v>40269</v>
      </c>
      <c r="G25" s="331" t="s">
        <v>238</v>
      </c>
      <c r="H25" s="438">
        <v>30</v>
      </c>
      <c r="I25" s="436">
        <v>1800</v>
      </c>
      <c r="J25" s="436">
        <f t="shared" si="0"/>
        <v>1800</v>
      </c>
      <c r="K25" s="437">
        <f>H25-Incidencias!F25-Incidencias!K25-Incidencias!W25</f>
        <v>30</v>
      </c>
      <c r="L25" s="436">
        <v>20970</v>
      </c>
      <c r="M25" s="436">
        <v>1096.5899999999999</v>
      </c>
      <c r="N25" s="328"/>
      <c r="O25" s="436">
        <v>0</v>
      </c>
      <c r="P25" s="436">
        <v>0</v>
      </c>
      <c r="Q25" s="436"/>
      <c r="R25" s="436">
        <v>1800</v>
      </c>
      <c r="S25" s="436">
        <f t="shared" si="1"/>
        <v>300</v>
      </c>
      <c r="T25" s="436">
        <v>2</v>
      </c>
      <c r="U25" s="331"/>
      <c r="AS25" s="319"/>
    </row>
    <row r="26" spans="1:45">
      <c r="A26" s="17" t="s">
        <v>488</v>
      </c>
      <c r="B26" s="17" t="s">
        <v>412</v>
      </c>
      <c r="D26" s="331" t="s">
        <v>339</v>
      </c>
      <c r="E26" s="331">
        <v>8</v>
      </c>
      <c r="F26" s="331"/>
      <c r="G26" s="331" t="s">
        <v>238</v>
      </c>
      <c r="H26" s="438">
        <v>30</v>
      </c>
      <c r="I26" s="436">
        <f>IF(D26="A",LOOKUP(E26,Convenio!$A$4:$A$16,Convenio!$B$4:$B$16),LOOKUP(Datos_Convenio!E26,Convenio!$A$20:$A$32,Convenio!$B$20:$B$32)*Datos_Convenio!H26)</f>
        <v>1361.39</v>
      </c>
      <c r="J26" s="436">
        <f t="shared" si="0"/>
        <v>1361.39</v>
      </c>
      <c r="K26" s="437">
        <f>H26-Incidencias!F26-Incidencias!K26-Incidencias!W26</f>
        <v>30</v>
      </c>
      <c r="L26" s="436">
        <f>IF(D26="A",LOOKUP(E26,Convenio!$A$4:$A$16,Convenio!$C$4:$C$16),(I26*14))</f>
        <v>19059.460000000003</v>
      </c>
      <c r="M26" s="436">
        <f t="shared" ref="M26:M52" si="3">L26*0.0635</f>
        <v>1210.2757100000001</v>
      </c>
      <c r="N26" s="328"/>
      <c r="O26" s="436">
        <f>IF(D26="A",J26*Convenio!$D$3,J26*Convenio!$D$19)</f>
        <v>136.13900000000001</v>
      </c>
      <c r="P26" s="436">
        <f>IF(D26="A",LOOKUP(E26,Convenio!$A$4:$A$16,Convenio!$M$4:$M$16),LOOKUP(E26,Convenio!$A$20:$A$32,Convenio!$M$20:$M$32))</f>
        <v>0</v>
      </c>
      <c r="Q26" s="436"/>
      <c r="R26" s="436">
        <f>IF(D26="A",LOOKUP(E26,Convenio!$A$4:$A$16,Convenio!$G$4:$G$16),LOOKUP(E26,Convenio!$A$20:$A$32,Convenio!$G$20:$G$32))</f>
        <v>1021.0425</v>
      </c>
      <c r="S26" s="436">
        <f t="shared" si="1"/>
        <v>170.17375000000001</v>
      </c>
      <c r="T26" s="436">
        <v>2</v>
      </c>
      <c r="U26" s="331"/>
      <c r="AS26" s="319"/>
    </row>
    <row r="27" spans="1:45">
      <c r="A27" s="17" t="s">
        <v>489</v>
      </c>
      <c r="B27" s="17" t="s">
        <v>385</v>
      </c>
      <c r="D27" s="331" t="s">
        <v>339</v>
      </c>
      <c r="E27" s="331">
        <v>8</v>
      </c>
      <c r="F27" s="331"/>
      <c r="G27" s="331" t="s">
        <v>239</v>
      </c>
      <c r="H27" s="438">
        <v>30</v>
      </c>
      <c r="I27" s="436">
        <f>IF(D27="A",LOOKUP(E27,Convenio!$A$4:$A$16,Convenio!$B$4:$B$16),LOOKUP(Datos_Convenio!E27,Convenio!$A$20:$A$32,Convenio!$B$20:$B$32)*Datos_Convenio!H27)</f>
        <v>1361.39</v>
      </c>
      <c r="J27" s="436">
        <f t="shared" si="0"/>
        <v>1361.39</v>
      </c>
      <c r="K27" s="437">
        <f>H27-Incidencias!F27-Incidencias!K27-Incidencias!W27</f>
        <v>30</v>
      </c>
      <c r="L27" s="436">
        <f>IF(D27="A",LOOKUP(E27,Convenio!$A$4:$A$16,Convenio!$C$4:$C$16),(I27*14))</f>
        <v>19059.460000000003</v>
      </c>
      <c r="M27" s="436">
        <f t="shared" si="3"/>
        <v>1210.2757100000001</v>
      </c>
      <c r="N27" s="328"/>
      <c r="O27" s="436">
        <f>IF(D27="A",J27*Convenio!$D$3,J27*Convenio!$D$19)</f>
        <v>136.13900000000001</v>
      </c>
      <c r="P27" s="436">
        <f>IF(D27="A",LOOKUP(E27,Convenio!$A$4:$A$16,Convenio!$M$4:$M$16),LOOKUP(E27,Convenio!$A$20:$A$32,Convenio!$M$20:$M$32))</f>
        <v>0</v>
      </c>
      <c r="Q27" s="436"/>
      <c r="R27" s="436">
        <f>IF(D27="A",LOOKUP(E27,Convenio!$A$4:$A$16,Convenio!$G$4:$G$16),LOOKUP(E27,Convenio!$A$20:$A$32,Convenio!$G$20:$G$32))</f>
        <v>1021.0425</v>
      </c>
      <c r="S27" s="436">
        <f t="shared" si="1"/>
        <v>170.17375000000001</v>
      </c>
      <c r="T27" s="436">
        <v>2</v>
      </c>
      <c r="U27" s="331"/>
      <c r="AS27" s="319"/>
    </row>
    <row r="28" spans="1:45">
      <c r="A28" s="17" t="s">
        <v>490</v>
      </c>
      <c r="B28" s="17" t="s">
        <v>404</v>
      </c>
      <c r="D28" s="331" t="s">
        <v>339</v>
      </c>
      <c r="E28" s="331">
        <v>8</v>
      </c>
      <c r="F28" s="331"/>
      <c r="G28" s="331" t="s">
        <v>238</v>
      </c>
      <c r="H28" s="438">
        <v>30</v>
      </c>
      <c r="I28" s="436">
        <f>IF(D28="A",LOOKUP(E28,Convenio!$A$4:$A$16,Convenio!$B$4:$B$16),LOOKUP(Datos_Convenio!E28,Convenio!$A$20:$A$32,Convenio!$B$20:$B$32)*Datos_Convenio!H28)</f>
        <v>1361.39</v>
      </c>
      <c r="J28" s="436">
        <f t="shared" si="0"/>
        <v>1361.39</v>
      </c>
      <c r="K28" s="437">
        <f>H28-Incidencias!F28-Incidencias!K28-Incidencias!W28</f>
        <v>30</v>
      </c>
      <c r="L28" s="436">
        <f>IF(D28="A",LOOKUP(E28,Convenio!$A$4:$A$16,Convenio!$C$4:$C$16),(I28*14))</f>
        <v>19059.460000000003</v>
      </c>
      <c r="M28" s="436">
        <f t="shared" si="3"/>
        <v>1210.2757100000001</v>
      </c>
      <c r="N28" s="328"/>
      <c r="O28" s="436">
        <f>IF(D28="A",J28*Convenio!$D$3,J28*Convenio!$D$19)</f>
        <v>136.13900000000001</v>
      </c>
      <c r="P28" s="436">
        <f>IF(D28="A",LOOKUP(E28,Convenio!$A$4:$A$16,Convenio!$M$4:$M$16),LOOKUP(E28,Convenio!$A$20:$A$32,Convenio!$M$20:$M$32))</f>
        <v>0</v>
      </c>
      <c r="Q28" s="436"/>
      <c r="R28" s="436">
        <f>IF(D28="A",LOOKUP(E28,Convenio!$A$4:$A$16,Convenio!$G$4:$G$16),LOOKUP(E28,Convenio!$A$20:$A$32,Convenio!$G$20:$G$32))</f>
        <v>1021.0425</v>
      </c>
      <c r="S28" s="436">
        <f t="shared" si="1"/>
        <v>170.17375000000001</v>
      </c>
      <c r="T28" s="436">
        <v>2</v>
      </c>
      <c r="U28" s="331"/>
      <c r="AS28" s="319"/>
    </row>
    <row r="29" spans="1:45">
      <c r="A29" s="17" t="s">
        <v>491</v>
      </c>
      <c r="B29" s="17" t="s">
        <v>429</v>
      </c>
      <c r="D29" s="331" t="s">
        <v>340</v>
      </c>
      <c r="E29" s="331">
        <v>8</v>
      </c>
      <c r="F29" s="331"/>
      <c r="G29" s="331" t="s">
        <v>238</v>
      </c>
      <c r="H29" s="438">
        <v>30</v>
      </c>
      <c r="I29" s="436">
        <f>IF(D29="A",LOOKUP(E29,Convenio!$A$4:$A$16,Convenio!$B$4:$B$16),LOOKUP(Datos_Convenio!E29,Convenio!$A$20:$A$32,Convenio!$B$20:$B$32)*Datos_Convenio!H29)</f>
        <v>1007.4</v>
      </c>
      <c r="J29" s="436">
        <f t="shared" si="0"/>
        <v>1007.4</v>
      </c>
      <c r="K29" s="437">
        <f>H29-Incidencias!F29-Incidencias!K29-Incidencias!W29</f>
        <v>30</v>
      </c>
      <c r="L29" s="436">
        <f>IF(D29="A",LOOKUP(E29,Convenio!$A$4:$A$16,Convenio!$C$4:$C$16),(I29*14))</f>
        <v>14103.6</v>
      </c>
      <c r="M29" s="436">
        <f t="shared" si="3"/>
        <v>895.57860000000005</v>
      </c>
      <c r="N29" s="328"/>
      <c r="O29" s="436">
        <f>IF(D29="A",J29*Convenio!$D$3,J29*Convenio!$D$19)</f>
        <v>50.370000000000005</v>
      </c>
      <c r="P29" s="436">
        <f>IF(D29="A",LOOKUP(E29,Convenio!$A$4:$A$16,Convenio!$M$4:$M$16),LOOKUP(E29,Convenio!$A$20:$A$32,Convenio!$M$20:$M$32))</f>
        <v>0</v>
      </c>
      <c r="Q29" s="436"/>
      <c r="R29" s="436">
        <f>IF(D29="A",LOOKUP(E29,Convenio!$A$4:$A$16,Convenio!$G$4:$G$16),LOOKUP(E29,Convenio!$A$20:$A$32,Convenio!$G$20:$G$32))</f>
        <v>1322.22</v>
      </c>
      <c r="S29" s="436">
        <f t="shared" si="1"/>
        <v>220.37</v>
      </c>
      <c r="T29" s="436">
        <v>2</v>
      </c>
      <c r="U29" s="331"/>
      <c r="AS29" s="319"/>
    </row>
    <row r="30" spans="1:45">
      <c r="A30" s="17" t="s">
        <v>492</v>
      </c>
      <c r="B30" s="17" t="s">
        <v>403</v>
      </c>
      <c r="D30" s="331" t="s">
        <v>340</v>
      </c>
      <c r="E30" s="331">
        <v>8</v>
      </c>
      <c r="F30" s="331"/>
      <c r="G30" s="331" t="s">
        <v>238</v>
      </c>
      <c r="H30" s="438">
        <v>30</v>
      </c>
      <c r="I30" s="436">
        <v>1420</v>
      </c>
      <c r="J30" s="436">
        <f t="shared" si="0"/>
        <v>615.33333333333337</v>
      </c>
      <c r="K30" s="437">
        <f>H30-Incidencias!F30-Incidencias!K30-Incidencias!W30</f>
        <v>13</v>
      </c>
      <c r="L30" s="436">
        <v>21300</v>
      </c>
      <c r="M30" s="436">
        <f t="shared" si="3"/>
        <v>1352.55</v>
      </c>
      <c r="N30" s="328"/>
      <c r="O30" s="436">
        <v>0</v>
      </c>
      <c r="P30" s="436">
        <v>0</v>
      </c>
      <c r="Q30" s="436"/>
      <c r="R30" s="436">
        <v>1420</v>
      </c>
      <c r="S30" s="436">
        <f t="shared" si="1"/>
        <v>153.83333333333334</v>
      </c>
      <c r="T30" s="436">
        <v>3</v>
      </c>
      <c r="U30" s="331"/>
      <c r="AS30" s="319"/>
    </row>
    <row r="31" spans="1:45">
      <c r="A31" s="17" t="s">
        <v>493</v>
      </c>
      <c r="B31" s="17" t="s">
        <v>382</v>
      </c>
      <c r="D31" s="331" t="s">
        <v>340</v>
      </c>
      <c r="E31" s="331">
        <v>5</v>
      </c>
      <c r="F31" s="315">
        <v>38412</v>
      </c>
      <c r="G31" s="331" t="s">
        <v>238</v>
      </c>
      <c r="H31" s="438">
        <v>30</v>
      </c>
      <c r="I31" s="436">
        <v>1400</v>
      </c>
      <c r="J31" s="436">
        <f t="shared" si="0"/>
        <v>186.66666666666666</v>
      </c>
      <c r="K31" s="437">
        <f>H31-Incidencias!F31-Incidencias!K31-Incidencias!W31</f>
        <v>4</v>
      </c>
      <c r="L31" s="436">
        <v>21160</v>
      </c>
      <c r="M31" s="436">
        <f t="shared" si="3"/>
        <v>1343.66</v>
      </c>
      <c r="N31" s="328"/>
      <c r="O31" s="436">
        <v>0</v>
      </c>
      <c r="P31" s="436">
        <v>0</v>
      </c>
      <c r="Q31" s="436"/>
      <c r="R31" s="436">
        <v>1400</v>
      </c>
      <c r="S31" s="436">
        <f t="shared" si="1"/>
        <v>31.111111111111111</v>
      </c>
      <c r="T31" s="436">
        <v>2</v>
      </c>
      <c r="U31" s="331"/>
      <c r="AS31" s="319"/>
    </row>
    <row r="32" spans="1:45">
      <c r="A32" s="17" t="s">
        <v>494</v>
      </c>
      <c r="B32" s="17" t="s">
        <v>437</v>
      </c>
      <c r="D32" s="331" t="s">
        <v>339</v>
      </c>
      <c r="E32" s="331">
        <v>8</v>
      </c>
      <c r="F32" s="331"/>
      <c r="G32" s="331" t="s">
        <v>238</v>
      </c>
      <c r="H32" s="438">
        <v>30</v>
      </c>
      <c r="I32" s="436">
        <f>IF(D32="A",LOOKUP(E32,Convenio!$A$4:$A$16,Convenio!$B$4:$B$16),LOOKUP(Datos_Convenio!E32,Convenio!$A$20:$A$32,Convenio!$B$20:$B$32)*Datos_Convenio!H32)</f>
        <v>1361.39</v>
      </c>
      <c r="J32" s="436">
        <f t="shared" si="0"/>
        <v>862.21366666666677</v>
      </c>
      <c r="K32" s="437">
        <f>H32-Incidencias!F32-Incidencias!K32-Incidencias!W32</f>
        <v>19</v>
      </c>
      <c r="L32" s="436">
        <f>IF(D32="A",LOOKUP(E32,Convenio!$A$4:$A$16,Convenio!$C$4:$C$16),(I32*14))</f>
        <v>19059.460000000003</v>
      </c>
      <c r="M32" s="436">
        <f t="shared" si="3"/>
        <v>1210.2757100000001</v>
      </c>
      <c r="N32" s="328"/>
      <c r="O32" s="436">
        <f>IF(D32="A",J32*Convenio!$D$3,J32*Convenio!$D$19)</f>
        <v>86.221366666666682</v>
      </c>
      <c r="P32" s="436">
        <f>IF(D32="A",LOOKUP(E32,Convenio!$A$4:$A$16,Convenio!$M$4:$M$16),LOOKUP(E32,Convenio!$A$20:$A$32,Convenio!$M$20:$M$32))</f>
        <v>0</v>
      </c>
      <c r="Q32" s="436"/>
      <c r="R32" s="436">
        <f>IF(D32="A",LOOKUP(E32,Convenio!$A$4:$A$16,Convenio!$G$4:$G$16),LOOKUP(E32,Convenio!$A$20:$A$32,Convenio!$G$20:$G$32))</f>
        <v>1021.0425</v>
      </c>
      <c r="S32" s="436">
        <f t="shared" si="1"/>
        <v>107.77670833333333</v>
      </c>
      <c r="T32" s="436">
        <v>2</v>
      </c>
      <c r="U32" s="331"/>
      <c r="AS32" s="319"/>
    </row>
    <row r="33" spans="1:45">
      <c r="A33" s="17" t="s">
        <v>495</v>
      </c>
      <c r="B33" s="17" t="s">
        <v>423</v>
      </c>
      <c r="D33" s="331" t="s">
        <v>339</v>
      </c>
      <c r="E33" s="331">
        <v>8</v>
      </c>
      <c r="F33" s="331"/>
      <c r="G33" s="331" t="s">
        <v>238</v>
      </c>
      <c r="H33" s="438">
        <v>30</v>
      </c>
      <c r="I33" s="436">
        <f>IF(D33="A",LOOKUP(E33,Convenio!$A$4:$A$16,Convenio!$B$4:$B$16),LOOKUP(Datos_Convenio!E33,Convenio!$A$20:$A$32,Convenio!$B$20:$B$32)*Datos_Convenio!H33)</f>
        <v>1361.39</v>
      </c>
      <c r="J33" s="436">
        <f t="shared" si="0"/>
        <v>1361.39</v>
      </c>
      <c r="K33" s="437">
        <f>H33-Incidencias!F33-Incidencias!K33-Incidencias!W33</f>
        <v>30</v>
      </c>
      <c r="L33" s="436">
        <f>IF(D33="A",LOOKUP(E33,Convenio!$A$4:$A$16,Convenio!$C$4:$C$16),(I33*14))</f>
        <v>19059.460000000003</v>
      </c>
      <c r="M33" s="436">
        <f t="shared" si="3"/>
        <v>1210.2757100000001</v>
      </c>
      <c r="N33" s="328"/>
      <c r="O33" s="436">
        <f>IF(D33="A",J33*Convenio!$D$3,J33*Convenio!$D$19)</f>
        <v>136.13900000000001</v>
      </c>
      <c r="P33" s="436">
        <f>IF(D33="A",LOOKUP(E33,Convenio!$A$4:$A$16,Convenio!$M$4:$M$16),LOOKUP(E33,Convenio!$A$20:$A$32,Convenio!$M$20:$M$32))</f>
        <v>0</v>
      </c>
      <c r="Q33" s="436"/>
      <c r="R33" s="436">
        <f>IF(D33="A",LOOKUP(E33,Convenio!$A$4:$A$16,Convenio!$G$4:$G$16),LOOKUP(E33,Convenio!$A$20:$A$32,Convenio!$G$20:$G$32))</f>
        <v>1021.0425</v>
      </c>
      <c r="S33" s="436">
        <f t="shared" si="1"/>
        <v>170.17375000000001</v>
      </c>
      <c r="T33" s="436">
        <v>2</v>
      </c>
      <c r="U33" s="331"/>
      <c r="AS33" s="319"/>
    </row>
    <row r="34" spans="1:45">
      <c r="A34" s="17" t="s">
        <v>496</v>
      </c>
      <c r="B34" s="17" t="s">
        <v>409</v>
      </c>
      <c r="D34" s="331" t="s">
        <v>339</v>
      </c>
      <c r="E34" s="331">
        <v>8</v>
      </c>
      <c r="F34" s="331"/>
      <c r="G34" s="331" t="s">
        <v>238</v>
      </c>
      <c r="H34" s="438">
        <v>30</v>
      </c>
      <c r="I34" s="436">
        <f>IF(D34="A",LOOKUP(E34,Convenio!$A$4:$A$16,Convenio!$B$4:$B$16),LOOKUP(Datos_Convenio!E34,Convenio!$A$20:$A$32,Convenio!$B$20:$B$32)*Datos_Convenio!H34)</f>
        <v>1361.39</v>
      </c>
      <c r="J34" s="436">
        <f t="shared" si="0"/>
        <v>1361.39</v>
      </c>
      <c r="K34" s="437">
        <f>H34-Incidencias!F34-Incidencias!K34-Incidencias!W34</f>
        <v>30</v>
      </c>
      <c r="L34" s="436">
        <f>IF(D34="A",LOOKUP(E34,Convenio!$A$4:$A$16,Convenio!$C$4:$C$16),(I34*14))</f>
        <v>19059.460000000003</v>
      </c>
      <c r="M34" s="436">
        <f t="shared" si="3"/>
        <v>1210.2757100000001</v>
      </c>
      <c r="N34" s="328"/>
      <c r="O34" s="436">
        <f>IF(D34="A",J34*Convenio!$D$3,J34*Convenio!$D$19)</f>
        <v>136.13900000000001</v>
      </c>
      <c r="P34" s="436">
        <f>IF(D34="A",LOOKUP(E34,Convenio!$A$4:$A$16,Convenio!$M$4:$M$16),LOOKUP(E34,Convenio!$A$20:$A$32,Convenio!$M$20:$M$32))</f>
        <v>0</v>
      </c>
      <c r="Q34" s="436"/>
      <c r="R34" s="436">
        <f>IF(D34="A",LOOKUP(E34,Convenio!$A$4:$A$16,Convenio!$G$4:$G$16),LOOKUP(E34,Convenio!$A$20:$A$32,Convenio!$G$20:$G$32))</f>
        <v>1021.0425</v>
      </c>
      <c r="S34" s="436">
        <f t="shared" si="1"/>
        <v>170.17375000000001</v>
      </c>
      <c r="T34" s="436">
        <v>2</v>
      </c>
      <c r="U34" s="331"/>
      <c r="AS34" s="319"/>
    </row>
    <row r="35" spans="1:45">
      <c r="A35" s="17" t="s">
        <v>497</v>
      </c>
      <c r="B35" s="17" t="s">
        <v>407</v>
      </c>
      <c r="D35" s="331" t="s">
        <v>339</v>
      </c>
      <c r="E35" s="331">
        <v>8</v>
      </c>
      <c r="F35" s="331"/>
      <c r="G35" s="331" t="s">
        <v>238</v>
      </c>
      <c r="H35" s="438">
        <v>30</v>
      </c>
      <c r="I35" s="436">
        <f>IF(D35="A",LOOKUP(E35,Convenio!$A$4:$A$16,Convenio!$B$4:$B$16),LOOKUP(Datos_Convenio!E35,Convenio!$A$20:$A$32,Convenio!$B$20:$B$32)*Datos_Convenio!H35)</f>
        <v>1361.39</v>
      </c>
      <c r="J35" s="436">
        <f t="shared" ref="J35:J52" si="4">(I35/30)*K35</f>
        <v>1361.39</v>
      </c>
      <c r="K35" s="437">
        <f>H35-Incidencias!F35-Incidencias!K35-Incidencias!W35</f>
        <v>30</v>
      </c>
      <c r="L35" s="436">
        <f>IF(D35="A",LOOKUP(E35,Convenio!$A$4:$A$16,Convenio!$C$4:$C$16),(I35*14))</f>
        <v>19059.460000000003</v>
      </c>
      <c r="M35" s="436">
        <f t="shared" si="3"/>
        <v>1210.2757100000001</v>
      </c>
      <c r="N35" s="328"/>
      <c r="O35" s="436">
        <f>IF(D35="A",J35*Convenio!$D$3,J35*Convenio!$D$19)</f>
        <v>136.13900000000001</v>
      </c>
      <c r="P35" s="436">
        <f>IF(D35="A",LOOKUP(E35,Convenio!$A$4:$A$16,Convenio!$M$4:$M$16),LOOKUP(E35,Convenio!$A$20:$A$32,Convenio!$M$20:$M$32))</f>
        <v>0</v>
      </c>
      <c r="Q35" s="436"/>
      <c r="R35" s="436">
        <f>IF(D35="A",LOOKUP(E35,Convenio!$A$4:$A$16,Convenio!$G$4:$G$16),LOOKUP(E35,Convenio!$A$20:$A$32,Convenio!$G$20:$G$32))</f>
        <v>1021.0425</v>
      </c>
      <c r="S35" s="436">
        <f t="shared" ref="S35:S52" si="5">(R35*T35*K35)/360</f>
        <v>170.17375000000001</v>
      </c>
      <c r="T35" s="436">
        <v>2</v>
      </c>
      <c r="U35" s="331"/>
      <c r="AS35" s="319"/>
    </row>
    <row r="36" spans="1:45">
      <c r="A36" s="17" t="s">
        <v>498</v>
      </c>
      <c r="B36" s="17" t="s">
        <v>416</v>
      </c>
      <c r="D36" s="331" t="s">
        <v>339</v>
      </c>
      <c r="E36" s="331">
        <v>8</v>
      </c>
      <c r="F36" s="331"/>
      <c r="G36" s="331" t="s">
        <v>238</v>
      </c>
      <c r="H36" s="438">
        <v>30</v>
      </c>
      <c r="I36" s="436">
        <f>IF(D36="A",LOOKUP(E36,Convenio!$A$4:$A$16,Convenio!$B$4:$B$16),LOOKUP(Datos_Convenio!E36,Convenio!$A$20:$A$32,Convenio!$B$20:$B$32)*Datos_Convenio!H36)</f>
        <v>1361.39</v>
      </c>
      <c r="J36" s="436">
        <f t="shared" si="4"/>
        <v>1361.39</v>
      </c>
      <c r="K36" s="437">
        <f>H36-Incidencias!F36-Incidencias!K36-Incidencias!W36</f>
        <v>30</v>
      </c>
      <c r="L36" s="436">
        <f>IF(D36="A",LOOKUP(E36,Convenio!$A$4:$A$16,Convenio!$C$4:$C$16),(I36*14))</f>
        <v>19059.460000000003</v>
      </c>
      <c r="M36" s="436">
        <f t="shared" si="3"/>
        <v>1210.2757100000001</v>
      </c>
      <c r="N36" s="328"/>
      <c r="O36" s="436">
        <f>IF(D36="A",J36*Convenio!$D$3,J36*Convenio!$D$19)</f>
        <v>136.13900000000001</v>
      </c>
      <c r="P36" s="436">
        <f>IF(D36="A",LOOKUP(E36,Convenio!$A$4:$A$16,Convenio!$M$4:$M$16),LOOKUP(E36,Convenio!$A$20:$A$32,Convenio!$M$20:$M$32))</f>
        <v>0</v>
      </c>
      <c r="Q36" s="436"/>
      <c r="R36" s="436">
        <f>IF(D36="A",LOOKUP(E36,Convenio!$A$4:$A$16,Convenio!$G$4:$G$16),LOOKUP(E36,Convenio!$A$20:$A$32,Convenio!$G$20:$G$32))</f>
        <v>1021.0425</v>
      </c>
      <c r="S36" s="436">
        <f t="shared" si="5"/>
        <v>170.17375000000001</v>
      </c>
      <c r="T36" s="436">
        <v>2</v>
      </c>
      <c r="U36" s="331"/>
      <c r="AS36" s="319"/>
    </row>
    <row r="37" spans="1:45">
      <c r="A37" s="17" t="s">
        <v>499</v>
      </c>
      <c r="B37" s="17" t="s">
        <v>439</v>
      </c>
      <c r="D37" s="331" t="s">
        <v>339</v>
      </c>
      <c r="E37" s="331">
        <v>8</v>
      </c>
      <c r="F37" s="331"/>
      <c r="G37" s="331" t="s">
        <v>238</v>
      </c>
      <c r="H37" s="438">
        <v>30</v>
      </c>
      <c r="I37" s="436">
        <f>IF(D37="A",LOOKUP(E37,Convenio!$A$4:$A$16,Convenio!$B$4:$B$16),LOOKUP(Datos_Convenio!E37,Convenio!$A$20:$A$32,Convenio!$B$20:$B$32)*Datos_Convenio!H37)</f>
        <v>1361.39</v>
      </c>
      <c r="J37" s="436">
        <f t="shared" si="4"/>
        <v>1361.39</v>
      </c>
      <c r="K37" s="437">
        <f>H37-Incidencias!F37-Incidencias!K37-Incidencias!W37</f>
        <v>30</v>
      </c>
      <c r="L37" s="436">
        <f>IF(D37="A",LOOKUP(E37,Convenio!$A$4:$A$16,Convenio!$C$4:$C$16),(I37*14))</f>
        <v>19059.460000000003</v>
      </c>
      <c r="M37" s="436">
        <f t="shared" si="3"/>
        <v>1210.2757100000001</v>
      </c>
      <c r="N37" s="328"/>
      <c r="O37" s="436">
        <f>IF(D37="A",J37*Convenio!$D$3,J37*Convenio!$D$19)</f>
        <v>136.13900000000001</v>
      </c>
      <c r="P37" s="436">
        <f>IF(D37="A",LOOKUP(E37,Convenio!$A$4:$A$16,Convenio!$M$4:$M$16),LOOKUP(E37,Convenio!$A$20:$A$32,Convenio!$M$20:$M$32))</f>
        <v>0</v>
      </c>
      <c r="Q37" s="436"/>
      <c r="R37" s="436">
        <f>IF(D37="A",LOOKUP(E37,Convenio!$A$4:$A$16,Convenio!$G$4:$G$16),LOOKUP(E37,Convenio!$A$20:$A$32,Convenio!$G$20:$G$32))</f>
        <v>1021.0425</v>
      </c>
      <c r="S37" s="436">
        <f t="shared" si="5"/>
        <v>170.17375000000001</v>
      </c>
      <c r="T37" s="436">
        <v>2</v>
      </c>
      <c r="U37" s="331"/>
      <c r="AS37" s="319"/>
    </row>
    <row r="38" spans="1:45">
      <c r="A38" s="17" t="s">
        <v>500</v>
      </c>
      <c r="B38" s="17" t="s">
        <v>387</v>
      </c>
      <c r="D38" s="331" t="s">
        <v>340</v>
      </c>
      <c r="E38" s="331">
        <v>8</v>
      </c>
      <c r="F38" s="331"/>
      <c r="G38" s="331" t="s">
        <v>238</v>
      </c>
      <c r="H38" s="438">
        <v>30</v>
      </c>
      <c r="I38" s="436">
        <f>IF(D38="A",LOOKUP(E38,Convenio!$A$4:$A$16,Convenio!$B$4:$B$16),LOOKUP(Datos_Convenio!E38,Convenio!$A$20:$A$32,Convenio!$B$20:$B$32)*Datos_Convenio!H38)</f>
        <v>1007.4</v>
      </c>
      <c r="J38" s="436">
        <f t="shared" si="4"/>
        <v>1007.4</v>
      </c>
      <c r="K38" s="437">
        <f>H38-Incidencias!F38-Incidencias!K38-Incidencias!W38</f>
        <v>30</v>
      </c>
      <c r="L38" s="436">
        <f>IF(D38="A",LOOKUP(E38,Convenio!$A$4:$A$16,Convenio!$C$4:$C$16),(I38*14))</f>
        <v>14103.6</v>
      </c>
      <c r="M38" s="436">
        <f t="shared" si="3"/>
        <v>895.57860000000005</v>
      </c>
      <c r="N38" s="328"/>
      <c r="O38" s="436">
        <f>IF(D38="A",J38*Convenio!$D$3,J38*Convenio!$D$19)</f>
        <v>50.370000000000005</v>
      </c>
      <c r="P38" s="436">
        <f>IF(D38="A",LOOKUP(E38,Convenio!$A$4:$A$16,Convenio!$M$4:$M$16),LOOKUP(E38,Convenio!$A$20:$A$32,Convenio!$M$20:$M$32))</f>
        <v>0</v>
      </c>
      <c r="Q38" s="436"/>
      <c r="R38" s="436">
        <f>IF(D38="A",LOOKUP(E38,Convenio!$A$4:$A$16,Convenio!$G$4:$G$16),LOOKUP(E38,Convenio!$A$20:$A$32,Convenio!$G$20:$G$32))</f>
        <v>1322.22</v>
      </c>
      <c r="S38" s="436">
        <f t="shared" si="5"/>
        <v>220.37</v>
      </c>
      <c r="T38" s="436">
        <v>2</v>
      </c>
      <c r="U38" s="331"/>
      <c r="AS38" s="319"/>
    </row>
    <row r="39" spans="1:45">
      <c r="A39" s="17" t="s">
        <v>501</v>
      </c>
      <c r="B39" s="17" t="s">
        <v>417</v>
      </c>
      <c r="D39" s="331" t="s">
        <v>340</v>
      </c>
      <c r="E39" s="331">
        <v>8</v>
      </c>
      <c r="F39" s="331"/>
      <c r="G39" s="331" t="s">
        <v>238</v>
      </c>
      <c r="H39" s="438">
        <v>30</v>
      </c>
      <c r="I39" s="436">
        <f>IF(D39="A",LOOKUP(E39,Convenio!$A$4:$A$16,Convenio!$B$4:$B$16),LOOKUP(Datos_Convenio!E39,Convenio!$A$20:$A$32,Convenio!$B$20:$B$32)*Datos_Convenio!H39)</f>
        <v>1007.4</v>
      </c>
      <c r="J39" s="436">
        <f t="shared" si="4"/>
        <v>1007.4</v>
      </c>
      <c r="K39" s="437">
        <f>H39-Incidencias!F39-Incidencias!K39-Incidencias!W39</f>
        <v>30</v>
      </c>
      <c r="L39" s="436">
        <f>IF(D39="A",LOOKUP(E39,Convenio!$A$4:$A$16,Convenio!$C$4:$C$16),(I39*14))</f>
        <v>14103.6</v>
      </c>
      <c r="M39" s="436">
        <f t="shared" si="3"/>
        <v>895.57860000000005</v>
      </c>
      <c r="N39" s="328"/>
      <c r="O39" s="436">
        <f>IF(D39="A",J39*Convenio!$D$3,J39*Convenio!$D$19)</f>
        <v>50.370000000000005</v>
      </c>
      <c r="P39" s="436">
        <f>IF(D39="A",LOOKUP(E39,Convenio!$A$4:$A$16,Convenio!$M$4:$M$16),LOOKUP(E39,Convenio!$A$20:$A$32,Convenio!$M$20:$M$32))</f>
        <v>0</v>
      </c>
      <c r="Q39" s="436"/>
      <c r="R39" s="436">
        <f>IF(D39="A",LOOKUP(E39,Convenio!$A$4:$A$16,Convenio!$G$4:$G$16),LOOKUP(E39,Convenio!$A$20:$A$32,Convenio!$G$20:$G$32))</f>
        <v>1322.22</v>
      </c>
      <c r="S39" s="436">
        <f t="shared" si="5"/>
        <v>220.37</v>
      </c>
      <c r="T39" s="436">
        <v>2</v>
      </c>
      <c r="U39" s="331"/>
      <c r="AS39" s="319"/>
    </row>
    <row r="40" spans="1:45">
      <c r="A40" s="17" t="s">
        <v>502</v>
      </c>
      <c r="B40" s="17" t="s">
        <v>435</v>
      </c>
      <c r="D40" s="331" t="s">
        <v>340</v>
      </c>
      <c r="E40" s="331">
        <v>8</v>
      </c>
      <c r="F40" s="331"/>
      <c r="G40" s="331" t="s">
        <v>238</v>
      </c>
      <c r="H40" s="438">
        <v>30</v>
      </c>
      <c r="I40" s="436">
        <f>IF(D40="A",LOOKUP(E40,Convenio!$A$4:$A$16,Convenio!$B$4:$B$16),LOOKUP(Datos_Convenio!E40,Convenio!$A$20:$A$32,Convenio!$B$20:$B$32)*Datos_Convenio!H40)</f>
        <v>1007.4</v>
      </c>
      <c r="J40" s="436">
        <f t="shared" si="4"/>
        <v>1007.4</v>
      </c>
      <c r="K40" s="437">
        <f>H40-Incidencias!F40-Incidencias!K40-Incidencias!W40</f>
        <v>30</v>
      </c>
      <c r="L40" s="436">
        <f>IF(D40="A",LOOKUP(E40,Convenio!$A$4:$A$16,Convenio!$C$4:$C$16),(I40*14))</f>
        <v>14103.6</v>
      </c>
      <c r="M40" s="436">
        <f t="shared" si="3"/>
        <v>895.57860000000005</v>
      </c>
      <c r="N40" s="328"/>
      <c r="O40" s="436">
        <f>IF(D40="A",J40*Convenio!$D$3,J40*Convenio!$D$19)</f>
        <v>50.370000000000005</v>
      </c>
      <c r="P40" s="436">
        <f>IF(D40="A",LOOKUP(E40,Convenio!$A$4:$A$16,Convenio!$M$4:$M$16),LOOKUP(E40,Convenio!$A$20:$A$32,Convenio!$M$20:$M$32))</f>
        <v>0</v>
      </c>
      <c r="Q40" s="436"/>
      <c r="R40" s="436">
        <f>IF(D40="A",LOOKUP(E40,Convenio!$A$4:$A$16,Convenio!$G$4:$G$16),LOOKUP(E40,Convenio!$A$20:$A$32,Convenio!$G$20:$G$32))</f>
        <v>1322.22</v>
      </c>
      <c r="S40" s="436">
        <f t="shared" si="5"/>
        <v>220.37</v>
      </c>
      <c r="T40" s="436">
        <v>2</v>
      </c>
      <c r="U40" s="331"/>
      <c r="AS40" s="319"/>
    </row>
    <row r="41" spans="1:45">
      <c r="A41" s="17" t="s">
        <v>503</v>
      </c>
      <c r="B41" s="17" t="s">
        <v>424</v>
      </c>
      <c r="D41" s="331" t="s">
        <v>340</v>
      </c>
      <c r="E41" s="331">
        <v>1</v>
      </c>
      <c r="F41" s="331"/>
      <c r="G41" s="331" t="s">
        <v>239</v>
      </c>
      <c r="H41" s="438">
        <v>30</v>
      </c>
      <c r="I41" s="436">
        <f>IF(D41="A",LOOKUP(E41,Convenio!$A$4:$A$16,Convenio!$B$4:$B$16),LOOKUP(Datos_Convenio!E41,Convenio!$A$20:$A$32,Convenio!$B$20:$B$32)*Datos_Convenio!H41)</f>
        <v>1492.8</v>
      </c>
      <c r="J41" s="436">
        <f t="shared" si="4"/>
        <v>1492.8</v>
      </c>
      <c r="K41" s="437">
        <f>H41-Incidencias!F41-Incidencias!K41-Incidencias!W41</f>
        <v>30</v>
      </c>
      <c r="L41" s="436">
        <f>IF(D41="A",LOOKUP(E41,Convenio!$A$4:$A$16,Convenio!$C$4:$C$16),(I41*14))</f>
        <v>20899.2</v>
      </c>
      <c r="M41" s="436">
        <f t="shared" si="3"/>
        <v>1327.0992000000001</v>
      </c>
      <c r="N41" s="328"/>
      <c r="O41" s="436">
        <f>IF(D41="A",J41*Convenio!$D$3,J41*Convenio!$D$19)</f>
        <v>74.64</v>
      </c>
      <c r="P41" s="436">
        <f>IF(D41="A",LOOKUP(E41,Convenio!$A$4:$A$16,Convenio!$M$4:$M$16),LOOKUP(E41,Convenio!$A$20:$A$32,Convenio!$M$20:$M$32))</f>
        <v>35</v>
      </c>
      <c r="Q41" s="436"/>
      <c r="R41" s="436">
        <f>IF(D41="A",LOOKUP(E41,Convenio!$A$4:$A$16,Convenio!$G$4:$G$16),LOOKUP(E41,Convenio!$A$20:$A$32,Convenio!$G$20:$G$32))</f>
        <v>1853.75</v>
      </c>
      <c r="S41" s="436">
        <f t="shared" si="5"/>
        <v>308.95833333333331</v>
      </c>
      <c r="T41" s="436">
        <v>2</v>
      </c>
      <c r="U41" s="331"/>
      <c r="AS41" s="319"/>
    </row>
    <row r="42" spans="1:45">
      <c r="A42" s="17" t="s">
        <v>504</v>
      </c>
      <c r="B42" s="17" t="s">
        <v>422</v>
      </c>
      <c r="D42" s="331" t="s">
        <v>340</v>
      </c>
      <c r="E42" s="331">
        <v>3</v>
      </c>
      <c r="F42" s="331"/>
      <c r="G42" s="331" t="s">
        <v>238</v>
      </c>
      <c r="H42" s="438">
        <v>30</v>
      </c>
      <c r="I42" s="436">
        <f>IF(D42="A",LOOKUP(E42,Convenio!$A$4:$A$16,Convenio!$B$4:$B$16),LOOKUP(Datos_Convenio!E42,Convenio!$A$20:$A$32,Convenio!$B$20:$B$32)*Datos_Convenio!H42)</f>
        <v>1308.5999999999999</v>
      </c>
      <c r="J42" s="436">
        <f t="shared" si="4"/>
        <v>1308.5999999999999</v>
      </c>
      <c r="K42" s="437">
        <f>H42-Incidencias!F42-Incidencias!K42-Incidencias!W42</f>
        <v>30</v>
      </c>
      <c r="L42" s="436">
        <f>IF(D42="A",LOOKUP(E42,Convenio!$A$4:$A$16,Convenio!$C$4:$C$16),(I42*14))</f>
        <v>18320.399999999998</v>
      </c>
      <c r="M42" s="436">
        <f t="shared" si="3"/>
        <v>1163.3453999999999</v>
      </c>
      <c r="N42" s="328"/>
      <c r="O42" s="436">
        <f>IF(D42="A",J42*Convenio!$D$3,J42*Convenio!$D$19)</f>
        <v>65.429999999999993</v>
      </c>
      <c r="P42" s="436">
        <f>IF(D42="A",LOOKUP(E42,Convenio!$A$4:$A$16,Convenio!$M$4:$M$16),LOOKUP(E42,Convenio!$A$20:$A$32,Convenio!$M$20:$M$32))</f>
        <v>12</v>
      </c>
      <c r="Q42" s="436"/>
      <c r="R42" s="436">
        <f>IF(D42="A",LOOKUP(E42,Convenio!$A$4:$A$16,Convenio!$G$4:$G$16),LOOKUP(E42,Convenio!$A$20:$A$32,Convenio!$G$20:$G$32))</f>
        <v>1652.65</v>
      </c>
      <c r="S42" s="436">
        <f t="shared" si="5"/>
        <v>275.44166666666666</v>
      </c>
      <c r="T42" s="436">
        <v>2</v>
      </c>
      <c r="U42" s="331"/>
      <c r="AS42" s="319"/>
    </row>
    <row r="43" spans="1:45">
      <c r="A43" s="17" t="s">
        <v>505</v>
      </c>
      <c r="B43" s="17" t="s">
        <v>419</v>
      </c>
      <c r="D43" s="331" t="s">
        <v>340</v>
      </c>
      <c r="E43" s="331">
        <v>2</v>
      </c>
      <c r="F43" s="331"/>
      <c r="G43" s="331" t="s">
        <v>238</v>
      </c>
      <c r="H43" s="438">
        <v>30</v>
      </c>
      <c r="I43" s="436">
        <f>IF(D43="A",LOOKUP(E43,Convenio!$A$4:$A$16,Convenio!$B$4:$B$16),LOOKUP(Datos_Convenio!E43,Convenio!$A$20:$A$32,Convenio!$B$20:$B$32)*Datos_Convenio!H43)</f>
        <v>1395.6000000000001</v>
      </c>
      <c r="J43" s="436">
        <f t="shared" si="4"/>
        <v>1395.6000000000001</v>
      </c>
      <c r="K43" s="437">
        <f>H43-Incidencias!F43-Incidencias!K43-Incidencias!W43</f>
        <v>30</v>
      </c>
      <c r="L43" s="436">
        <f>IF(D43="A",LOOKUP(E43,Convenio!$A$4:$A$16,Convenio!$C$4:$C$16),(I43*14))</f>
        <v>19538.400000000001</v>
      </c>
      <c r="M43" s="436">
        <f t="shared" si="3"/>
        <v>1240.6884</v>
      </c>
      <c r="N43" s="328"/>
      <c r="O43" s="436">
        <f>IF(D43="A",J43*Convenio!$D$3,J43*Convenio!$D$19)</f>
        <v>69.780000000000015</v>
      </c>
      <c r="P43" s="436">
        <f>IF(D43="A",LOOKUP(E43,Convenio!$A$4:$A$16,Convenio!$M$4:$M$16),LOOKUP(E43,Convenio!$A$20:$A$32,Convenio!$M$20:$M$32))</f>
        <v>24</v>
      </c>
      <c r="Q43" s="436"/>
      <c r="R43" s="436">
        <f>IF(D43="A",LOOKUP(E43,Convenio!$A$4:$A$16,Convenio!$G$4:$G$16),LOOKUP(E43,Convenio!$A$20:$A$32,Convenio!$G$20:$G$32))</f>
        <v>1748.84</v>
      </c>
      <c r="S43" s="436">
        <f t="shared" si="5"/>
        <v>291.4733333333333</v>
      </c>
      <c r="T43" s="436">
        <v>2</v>
      </c>
      <c r="U43" s="331"/>
      <c r="AS43" s="319"/>
    </row>
    <row r="44" spans="1:45">
      <c r="A44" s="17" t="s">
        <v>506</v>
      </c>
      <c r="B44" s="17" t="s">
        <v>427</v>
      </c>
      <c r="D44" s="331" t="s">
        <v>340</v>
      </c>
      <c r="E44" s="331">
        <v>1</v>
      </c>
      <c r="F44" s="331"/>
      <c r="G44" s="331" t="s">
        <v>238</v>
      </c>
      <c r="H44" s="438">
        <v>30</v>
      </c>
      <c r="I44" s="436">
        <f>IF(D44="A",LOOKUP(E44,Convenio!$A$4:$A$16,Convenio!$B$4:$B$16),LOOKUP(Datos_Convenio!E44,Convenio!$A$20:$A$32,Convenio!$B$20:$B$32)*Datos_Convenio!H44)</f>
        <v>1492.8</v>
      </c>
      <c r="J44" s="436">
        <f t="shared" si="4"/>
        <v>1492.8</v>
      </c>
      <c r="K44" s="437">
        <f>H44-Incidencias!F44-Incidencias!K44-Incidencias!W44</f>
        <v>30</v>
      </c>
      <c r="L44" s="436">
        <f>IF(D44="A",LOOKUP(E44,Convenio!$A$4:$A$16,Convenio!$C$4:$C$16),(I44*14))</f>
        <v>20899.2</v>
      </c>
      <c r="M44" s="436">
        <f t="shared" si="3"/>
        <v>1327.0992000000001</v>
      </c>
      <c r="N44" s="328"/>
      <c r="O44" s="436">
        <f>IF(D44="A",J44*Convenio!$D$3,J44*Convenio!$D$19)</f>
        <v>74.64</v>
      </c>
      <c r="P44" s="436">
        <f>IF(D44="A",LOOKUP(E44,Convenio!$A$4:$A$16,Convenio!$M$4:$M$16),LOOKUP(E44,Convenio!$A$20:$A$32,Convenio!$M$20:$M$32))</f>
        <v>35</v>
      </c>
      <c r="Q44" s="436"/>
      <c r="R44" s="436">
        <f>IF(D44="A",LOOKUP(E44,Convenio!$A$4:$A$16,Convenio!$G$4:$G$16),LOOKUP(E44,Convenio!$A$20:$A$32,Convenio!$G$20:$G$32))</f>
        <v>1853.75</v>
      </c>
      <c r="S44" s="436">
        <f t="shared" si="5"/>
        <v>308.95833333333331</v>
      </c>
      <c r="T44" s="436">
        <v>2</v>
      </c>
      <c r="U44" s="331"/>
      <c r="AS44" s="319"/>
    </row>
    <row r="45" spans="1:45">
      <c r="A45" s="17" t="s">
        <v>507</v>
      </c>
      <c r="B45" s="17" t="s">
        <v>433</v>
      </c>
      <c r="D45" s="331" t="s">
        <v>340</v>
      </c>
      <c r="E45" s="331">
        <v>3</v>
      </c>
      <c r="F45" s="331"/>
      <c r="G45" s="331" t="s">
        <v>238</v>
      </c>
      <c r="H45" s="438">
        <v>30</v>
      </c>
      <c r="I45" s="436">
        <f>IF(D45="A",LOOKUP(E45,Convenio!$A$4:$A$16,Convenio!$B$4:$B$16),LOOKUP(Datos_Convenio!E45,Convenio!$A$20:$A$32,Convenio!$B$20:$B$32)*Datos_Convenio!H45)</f>
        <v>1308.5999999999999</v>
      </c>
      <c r="J45" s="436">
        <f t="shared" si="4"/>
        <v>1308.5999999999999</v>
      </c>
      <c r="K45" s="437">
        <f>H45-Incidencias!F45-Incidencias!K45-Incidencias!W45</f>
        <v>30</v>
      </c>
      <c r="L45" s="436">
        <f>IF(D45="A",LOOKUP(E45,Convenio!$A$4:$A$16,Convenio!$C$4:$C$16),(I45*14))</f>
        <v>18320.399999999998</v>
      </c>
      <c r="M45" s="436">
        <f t="shared" si="3"/>
        <v>1163.3453999999999</v>
      </c>
      <c r="N45" s="328"/>
      <c r="O45" s="436">
        <f>IF(D45="A",J45*Convenio!$D$3,J45*Convenio!$D$19)</f>
        <v>65.429999999999993</v>
      </c>
      <c r="P45" s="436">
        <f>IF(D45="A",LOOKUP(E45,Convenio!$A$4:$A$16,Convenio!$M$4:$M$16),LOOKUP(E45,Convenio!$A$20:$A$32,Convenio!$M$20:$M$32))</f>
        <v>12</v>
      </c>
      <c r="Q45" s="436"/>
      <c r="R45" s="436">
        <f>IF(D45="A",LOOKUP(E45,Convenio!$A$4:$A$16,Convenio!$G$4:$G$16),LOOKUP(E45,Convenio!$A$20:$A$32,Convenio!$G$20:$G$32))</f>
        <v>1652.65</v>
      </c>
      <c r="S45" s="436">
        <f t="shared" si="5"/>
        <v>275.44166666666666</v>
      </c>
      <c r="T45" s="436">
        <v>2</v>
      </c>
      <c r="U45" s="331"/>
      <c r="AS45" s="319"/>
    </row>
    <row r="46" spans="1:45">
      <c r="A46" s="17" t="s">
        <v>508</v>
      </c>
      <c r="B46" s="17" t="s">
        <v>384</v>
      </c>
      <c r="D46" s="331" t="s">
        <v>340</v>
      </c>
      <c r="E46" s="331">
        <v>8</v>
      </c>
      <c r="F46" s="315">
        <v>39083</v>
      </c>
      <c r="G46" s="331" t="s">
        <v>238</v>
      </c>
      <c r="H46" s="438">
        <v>30</v>
      </c>
      <c r="I46" s="436">
        <f>32*30</f>
        <v>960</v>
      </c>
      <c r="J46" s="436">
        <f t="shared" si="4"/>
        <v>576</v>
      </c>
      <c r="K46" s="437">
        <f>H46-Incidencias!F46-Incidencias!K46-Incidencias!W46</f>
        <v>18</v>
      </c>
      <c r="L46" s="436">
        <v>15425</v>
      </c>
      <c r="M46" s="436">
        <f t="shared" si="3"/>
        <v>979.48750000000007</v>
      </c>
      <c r="N46" s="328"/>
      <c r="O46" s="436">
        <v>0</v>
      </c>
      <c r="P46" s="436">
        <f>IF(D46="A",LOOKUP(E46,Convenio!$A$4:$A$16,Convenio!$M$4:$M$16),LOOKUP(E46,Convenio!$A$20:$A$32,Convenio!$M$20:$M$32))</f>
        <v>0</v>
      </c>
      <c r="Q46" s="436"/>
      <c r="R46" s="436">
        <f>32*30</f>
        <v>960</v>
      </c>
      <c r="S46" s="436">
        <f t="shared" si="5"/>
        <v>96</v>
      </c>
      <c r="T46" s="436">
        <v>2</v>
      </c>
      <c r="U46" s="331"/>
      <c r="AS46" s="319"/>
    </row>
    <row r="47" spans="1:45">
      <c r="A47" s="17" t="s">
        <v>509</v>
      </c>
      <c r="B47" s="17" t="s">
        <v>401</v>
      </c>
      <c r="D47" s="331" t="s">
        <v>340</v>
      </c>
      <c r="E47" s="331">
        <v>1</v>
      </c>
      <c r="F47" s="331"/>
      <c r="G47" s="331" t="s">
        <v>238</v>
      </c>
      <c r="H47" s="438">
        <v>30</v>
      </c>
      <c r="I47" s="436">
        <f>IF(D47="A",LOOKUP(E47,Convenio!$A$4:$A$16,Convenio!$B$4:$B$16),LOOKUP(Datos_Convenio!E47,Convenio!$A$20:$A$32,Convenio!$B$20:$B$32)*Datos_Convenio!H47)</f>
        <v>1492.8</v>
      </c>
      <c r="J47" s="436">
        <f t="shared" si="4"/>
        <v>1492.8</v>
      </c>
      <c r="K47" s="437">
        <f>H47-Incidencias!F47-Incidencias!K47-Incidencias!W47</f>
        <v>30</v>
      </c>
      <c r="L47" s="436">
        <f>IF(D47="A",LOOKUP(E47,Convenio!$A$4:$A$16,Convenio!$C$4:$C$16),(I47*14))</f>
        <v>20899.2</v>
      </c>
      <c r="M47" s="436">
        <f t="shared" si="3"/>
        <v>1327.0992000000001</v>
      </c>
      <c r="N47" s="328"/>
      <c r="O47" s="436">
        <f>IF(D47="A",J47*Convenio!$D$3,J47*Convenio!$D$19)</f>
        <v>74.64</v>
      </c>
      <c r="P47" s="436">
        <f>IF(D47="A",LOOKUP(E47,Convenio!$A$4:$A$16,Convenio!$M$4:$M$16),LOOKUP(E47,Convenio!$A$20:$A$32,Convenio!$M$20:$M$32))</f>
        <v>35</v>
      </c>
      <c r="Q47" s="436"/>
      <c r="R47" s="436">
        <f>IF(D47="A",LOOKUP(E47,Convenio!$A$4:$A$16,Convenio!$G$4:$G$16),LOOKUP(E47,Convenio!$A$20:$A$32,Convenio!$G$20:$G$32))</f>
        <v>1853.75</v>
      </c>
      <c r="S47" s="436">
        <f t="shared" si="5"/>
        <v>308.95833333333331</v>
      </c>
      <c r="T47" s="436">
        <v>2</v>
      </c>
      <c r="U47" s="331"/>
      <c r="AS47" s="319"/>
    </row>
    <row r="48" spans="1:45">
      <c r="A48" s="17" t="s">
        <v>510</v>
      </c>
      <c r="B48" s="17" t="s">
        <v>440</v>
      </c>
      <c r="D48" s="331" t="s">
        <v>340</v>
      </c>
      <c r="E48" s="331">
        <v>2</v>
      </c>
      <c r="F48" s="331"/>
      <c r="G48" s="331" t="s">
        <v>238</v>
      </c>
      <c r="H48" s="438">
        <v>30</v>
      </c>
      <c r="I48" s="436">
        <f>IF(D48="A",LOOKUP(E48,Convenio!$A$4:$A$16,Convenio!$B$4:$B$16),LOOKUP(Datos_Convenio!E48,Convenio!$A$20:$A$32,Convenio!$B$20:$B$32)*Datos_Convenio!H48)</f>
        <v>1395.6000000000001</v>
      </c>
      <c r="J48" s="436">
        <f t="shared" si="4"/>
        <v>1395.6000000000001</v>
      </c>
      <c r="K48" s="437">
        <f>H48-Incidencias!F48-Incidencias!K48-Incidencias!W48</f>
        <v>30</v>
      </c>
      <c r="L48" s="436">
        <f>IF(D48="A",LOOKUP(E48,Convenio!$A$4:$A$16,Convenio!$C$4:$C$16),(I48*14))</f>
        <v>19538.400000000001</v>
      </c>
      <c r="M48" s="436">
        <f t="shared" si="3"/>
        <v>1240.6884</v>
      </c>
      <c r="N48" s="328"/>
      <c r="O48" s="436">
        <f>IF(D48="A",J48*Convenio!$D$3,J48*Convenio!$D$19)</f>
        <v>69.780000000000015</v>
      </c>
      <c r="P48" s="436">
        <f>IF(D48="A",LOOKUP(E48,Convenio!$A$4:$A$16,Convenio!$M$4:$M$16),LOOKUP(E48,Convenio!$A$20:$A$32,Convenio!$M$20:$M$32))</f>
        <v>24</v>
      </c>
      <c r="Q48" s="436"/>
      <c r="R48" s="436">
        <f>IF(D48="A",LOOKUP(E48,Convenio!$A$4:$A$16,Convenio!$G$4:$G$16),LOOKUP(E48,Convenio!$A$20:$A$32,Convenio!$G$20:$G$32))</f>
        <v>1748.84</v>
      </c>
      <c r="S48" s="436">
        <f t="shared" si="5"/>
        <v>291.4733333333333</v>
      </c>
      <c r="T48" s="436">
        <v>2</v>
      </c>
      <c r="U48" s="331"/>
      <c r="AS48" s="319"/>
    </row>
    <row r="49" spans="1:45">
      <c r="A49" s="17" t="s">
        <v>511</v>
      </c>
      <c r="B49" s="17" t="s">
        <v>410</v>
      </c>
      <c r="D49" s="331" t="s">
        <v>340</v>
      </c>
      <c r="E49" s="331">
        <v>3</v>
      </c>
      <c r="F49" s="331"/>
      <c r="G49" s="331" t="s">
        <v>238</v>
      </c>
      <c r="H49" s="438">
        <v>30</v>
      </c>
      <c r="I49" s="436">
        <f>IF(D49="A",LOOKUP(E49,Convenio!$A$4:$A$16,Convenio!$B$4:$B$16),LOOKUP(Datos_Convenio!E49,Convenio!$A$20:$A$32,Convenio!$B$20:$B$32)*Datos_Convenio!H49)</f>
        <v>1308.5999999999999</v>
      </c>
      <c r="J49" s="436">
        <f t="shared" si="4"/>
        <v>1308.5999999999999</v>
      </c>
      <c r="K49" s="437">
        <f>H49-Incidencias!F49-Incidencias!K49-Incidencias!W49</f>
        <v>30</v>
      </c>
      <c r="L49" s="436">
        <f>IF(D49="A",LOOKUP(E49,Convenio!$A$4:$A$16,Convenio!$C$4:$C$16),(I49*14))</f>
        <v>18320.399999999998</v>
      </c>
      <c r="M49" s="436">
        <f t="shared" si="3"/>
        <v>1163.3453999999999</v>
      </c>
      <c r="N49" s="328"/>
      <c r="O49" s="436">
        <f>IF(D49="A",J49*Convenio!$D$3,J49*Convenio!$D$19)</f>
        <v>65.429999999999993</v>
      </c>
      <c r="P49" s="436">
        <f>IF(D49="A",LOOKUP(E49,Convenio!$A$4:$A$16,Convenio!$M$4:$M$16),LOOKUP(E49,Convenio!$A$20:$A$32,Convenio!$M$20:$M$32))</f>
        <v>12</v>
      </c>
      <c r="Q49" s="436"/>
      <c r="R49" s="436">
        <f>IF(D49="A",LOOKUP(E49,Convenio!$A$4:$A$16,Convenio!$G$4:$G$16),LOOKUP(E49,Convenio!$A$20:$A$32,Convenio!$G$20:$G$32))</f>
        <v>1652.65</v>
      </c>
      <c r="S49" s="436">
        <f t="shared" si="5"/>
        <v>275.44166666666666</v>
      </c>
      <c r="T49" s="436">
        <v>2</v>
      </c>
      <c r="U49" s="331"/>
      <c r="AS49" s="319"/>
    </row>
    <row r="50" spans="1:45">
      <c r="A50" s="17" t="s">
        <v>512</v>
      </c>
      <c r="B50" s="17" t="s">
        <v>418</v>
      </c>
      <c r="D50" s="331" t="s">
        <v>340</v>
      </c>
      <c r="E50" s="331">
        <v>1</v>
      </c>
      <c r="F50" s="331"/>
      <c r="G50" s="331" t="s">
        <v>239</v>
      </c>
      <c r="H50" s="438">
        <v>30</v>
      </c>
      <c r="I50" s="436">
        <f>IF(D50="A",LOOKUP(E50,Convenio!$A$4:$A$16,Convenio!$B$4:$B$16),(LOOKUP(Datos_Convenio!E50,Convenio!$A$20:$A$32,Convenio!$B$20:$B$32)*Datos_Convenio!H50))</f>
        <v>1492.8</v>
      </c>
      <c r="J50" s="436">
        <f t="shared" si="4"/>
        <v>1492.8</v>
      </c>
      <c r="K50" s="437">
        <f>H50-Incidencias!F50-Incidencias!K50-Incidencias!W50</f>
        <v>30</v>
      </c>
      <c r="L50" s="436">
        <f>IF(D50="A",LOOKUP(E50,Convenio!$A$4:$A$16,Convenio!$C$4:$C$16),(I50*14))</f>
        <v>20899.2</v>
      </c>
      <c r="M50" s="436">
        <f t="shared" si="3"/>
        <v>1327.0992000000001</v>
      </c>
      <c r="N50" s="328"/>
      <c r="O50" s="436">
        <f>IF(D50="A",J50*Convenio!$D$3,J50*Convenio!$D$19)</f>
        <v>74.64</v>
      </c>
      <c r="P50" s="436">
        <f>IF(D50="A",LOOKUP(E50,Convenio!$A$4:$A$16,Convenio!$M$4:$M$16),LOOKUP(E50,Convenio!$A$20:$A$32,Convenio!$M$20:$M$32))</f>
        <v>35</v>
      </c>
      <c r="Q50" s="436"/>
      <c r="R50" s="436">
        <f>IF(D50="A",LOOKUP(E50,Convenio!$A$4:$A$16,Convenio!$G$4:$G$16),LOOKUP(E50,Convenio!$A$20:$A$32,Convenio!$G$20:$G$32))</f>
        <v>1853.75</v>
      </c>
      <c r="S50" s="436">
        <f t="shared" si="5"/>
        <v>308.95833333333331</v>
      </c>
      <c r="T50" s="436">
        <v>2</v>
      </c>
      <c r="U50" s="331"/>
      <c r="AS50" s="319"/>
    </row>
    <row r="51" spans="1:45">
      <c r="A51" s="17" t="s">
        <v>513</v>
      </c>
      <c r="B51" s="17" t="s">
        <v>415</v>
      </c>
      <c r="D51" s="331" t="s">
        <v>340</v>
      </c>
      <c r="E51" s="331">
        <v>3</v>
      </c>
      <c r="F51" s="331"/>
      <c r="G51" s="331" t="s">
        <v>238</v>
      </c>
      <c r="H51" s="438">
        <v>30</v>
      </c>
      <c r="I51" s="436">
        <f>IF(D51="A",LOOKUP(E51,Convenio!$A$4:$A$16,Convenio!$B$4:$B$16),LOOKUP(Datos_Convenio!E51,Convenio!$A$20:$A$32,Convenio!$B$20:$B$32)*Datos_Convenio!H51)</f>
        <v>1308.5999999999999</v>
      </c>
      <c r="J51" s="436">
        <f t="shared" si="4"/>
        <v>610.67999999999995</v>
      </c>
      <c r="K51" s="437">
        <f>H51-Incidencias!F51-Incidencias!K51-Incidencias!W51</f>
        <v>14</v>
      </c>
      <c r="L51" s="436">
        <f>IF(D51="A",LOOKUP(E51,Convenio!$A$4:$A$16,Convenio!$C$4:$C$16),(I51*14))</f>
        <v>18320.399999999998</v>
      </c>
      <c r="M51" s="436">
        <f t="shared" si="3"/>
        <v>1163.3453999999999</v>
      </c>
      <c r="N51" s="328"/>
      <c r="O51" s="436">
        <f>IF(D51="A",J51*Convenio!$D$3,J51*Convenio!$D$19)</f>
        <v>30.533999999999999</v>
      </c>
      <c r="P51" s="436">
        <f>IF(D51="A",LOOKUP(E51,Convenio!$A$4:$A$16,Convenio!$M$4:$M$16),LOOKUP(E51,Convenio!$A$20:$A$32,Convenio!$M$20:$M$32))</f>
        <v>12</v>
      </c>
      <c r="Q51" s="436"/>
      <c r="R51" s="436">
        <f>IF(D51="A",LOOKUP(E51,Convenio!$A$4:$A$16,Convenio!$G$4:$G$16),LOOKUP(E51,Convenio!$A$20:$A$32,Convenio!$G$20:$G$32))</f>
        <v>1652.65</v>
      </c>
      <c r="S51" s="436">
        <f t="shared" si="5"/>
        <v>128.53944444444446</v>
      </c>
      <c r="T51" s="436">
        <v>2</v>
      </c>
      <c r="U51" s="331"/>
      <c r="AS51" s="319"/>
    </row>
    <row r="52" spans="1:45">
      <c r="A52" s="17" t="s">
        <v>514</v>
      </c>
      <c r="B52" s="17" t="s">
        <v>426</v>
      </c>
      <c r="D52" s="331" t="s">
        <v>340</v>
      </c>
      <c r="E52" s="331">
        <v>3</v>
      </c>
      <c r="F52" s="331"/>
      <c r="G52" s="331" t="s">
        <v>238</v>
      </c>
      <c r="H52" s="438">
        <v>30</v>
      </c>
      <c r="I52" s="436">
        <f>IF(D52="A",LOOKUP(E52,Convenio!$A$4:$A$16,Convenio!$B$4:$B$16),LOOKUP(Datos_Convenio!E52,Convenio!$A$20:$A$32,Convenio!$B$20:$B$32)*Datos_Convenio!H52)</f>
        <v>1308.5999999999999</v>
      </c>
      <c r="J52" s="436">
        <f t="shared" si="4"/>
        <v>1308.5999999999999</v>
      </c>
      <c r="K52" s="437">
        <f>H52-Incidencias!F52-Incidencias!K52-Incidencias!W52</f>
        <v>30</v>
      </c>
      <c r="L52" s="436">
        <f>IF(D52="A",LOOKUP(E52,Convenio!$A$4:$A$16,Convenio!$C$4:$C$16),(I52*14))</f>
        <v>18320.399999999998</v>
      </c>
      <c r="M52" s="436">
        <f t="shared" si="3"/>
        <v>1163.3453999999999</v>
      </c>
      <c r="N52" s="328"/>
      <c r="O52" s="436">
        <f>IF(D52="A",J52*Convenio!$D$3,J52*Convenio!$D$19)</f>
        <v>65.429999999999993</v>
      </c>
      <c r="P52" s="436">
        <f>IF(D52="A",LOOKUP(E52,Convenio!$A$4:$A$16,Convenio!$M$4:$M$16),LOOKUP(E52,Convenio!$A$20:$A$32,Convenio!$M$20:$M$32))</f>
        <v>12</v>
      </c>
      <c r="Q52" s="436"/>
      <c r="R52" s="436">
        <f>IF(D52="A",LOOKUP(E52,Convenio!$A$4:$A$16,Convenio!$G$4:$G$16),LOOKUP(E52,Convenio!$A$20:$A$32,Convenio!$G$20:$G$32))</f>
        <v>1652.65</v>
      </c>
      <c r="S52" s="436">
        <f t="shared" si="5"/>
        <v>275.44166666666666</v>
      </c>
      <c r="T52" s="436">
        <v>2</v>
      </c>
      <c r="U52" s="331"/>
      <c r="AS52" s="319"/>
    </row>
    <row r="53" spans="1:45">
      <c r="D53" s="506"/>
      <c r="E53" s="346"/>
      <c r="F53" s="23"/>
      <c r="L53" s="88"/>
    </row>
    <row r="54" spans="1:45">
      <c r="D54" s="506" t="s">
        <v>339</v>
      </c>
      <c r="E54" s="346"/>
      <c r="F54" s="23"/>
      <c r="G54" s="322" t="s">
        <v>238</v>
      </c>
    </row>
    <row r="55" spans="1:45">
      <c r="D55" s="506" t="s">
        <v>340</v>
      </c>
      <c r="E55" s="346"/>
      <c r="F55" s="23"/>
      <c r="G55" s="322" t="s">
        <v>239</v>
      </c>
    </row>
    <row r="56" spans="1:45">
      <c r="E56" s="346"/>
      <c r="F56" s="23"/>
    </row>
    <row r="57" spans="1:45">
      <c r="E57" s="346"/>
      <c r="F57" s="23"/>
    </row>
    <row r="58" spans="1:45">
      <c r="E58" s="346"/>
      <c r="F58" s="23"/>
    </row>
    <row r="59" spans="1:45">
      <c r="E59" s="346"/>
      <c r="F59" s="23"/>
    </row>
    <row r="60" spans="1:45">
      <c r="E60" s="346"/>
      <c r="F60" s="23"/>
    </row>
    <row r="61" spans="1:45">
      <c r="E61" s="346"/>
      <c r="F61" s="23"/>
    </row>
    <row r="62" spans="1:45">
      <c r="E62" s="346"/>
      <c r="F62" s="23"/>
    </row>
    <row r="63" spans="1:45">
      <c r="E63" s="346"/>
      <c r="F63" s="23"/>
    </row>
    <row r="64" spans="1:45">
      <c r="E64" s="346"/>
      <c r="F64" s="23"/>
    </row>
    <row r="65" spans="5:6">
      <c r="E65" s="346"/>
      <c r="F65" s="23"/>
    </row>
    <row r="66" spans="5:6">
      <c r="E66" s="346"/>
      <c r="F66" s="23"/>
    </row>
    <row r="67" spans="5:6">
      <c r="E67" s="346"/>
      <c r="F67" s="23"/>
    </row>
    <row r="68" spans="5:6">
      <c r="E68" s="346"/>
      <c r="F68" s="23"/>
    </row>
    <row r="69" spans="5:6">
      <c r="E69" s="346"/>
      <c r="F69" s="23"/>
    </row>
    <row r="70" spans="5:6">
      <c r="E70" s="346"/>
      <c r="F70" s="23"/>
    </row>
    <row r="71" spans="5:6">
      <c r="E71" s="346"/>
      <c r="F71" s="23"/>
    </row>
    <row r="72" spans="5:6">
      <c r="E72" s="346"/>
      <c r="F72" s="23"/>
    </row>
    <row r="73" spans="5:6">
      <c r="E73" s="346"/>
      <c r="F73" s="23"/>
    </row>
    <row r="74" spans="5:6">
      <c r="E74" s="346"/>
      <c r="F74" s="23"/>
    </row>
    <row r="75" spans="5:6">
      <c r="E75" s="346"/>
      <c r="F75" s="23"/>
    </row>
    <row r="76" spans="5:6">
      <c r="E76" s="346"/>
      <c r="F76" s="23"/>
    </row>
    <row r="77" spans="5:6">
      <c r="E77" s="346"/>
      <c r="F77" s="23"/>
    </row>
    <row r="78" spans="5:6">
      <c r="E78" s="346"/>
      <c r="F78" s="23"/>
    </row>
    <row r="79" spans="5:6">
      <c r="E79" s="346"/>
      <c r="F79" s="23"/>
    </row>
    <row r="80" spans="5:6">
      <c r="E80" s="346"/>
      <c r="F80" s="23"/>
    </row>
    <row r="81" spans="5:6">
      <c r="E81" s="346"/>
      <c r="F81" s="23"/>
    </row>
    <row r="82" spans="5:6">
      <c r="E82" s="346"/>
      <c r="F82" s="23"/>
    </row>
    <row r="83" spans="5:6">
      <c r="E83" s="346"/>
      <c r="F83" s="23"/>
    </row>
    <row r="84" spans="5:6">
      <c r="E84" s="346"/>
      <c r="F84" s="23"/>
    </row>
    <row r="85" spans="5:6">
      <c r="E85" s="346"/>
      <c r="F85" s="23"/>
    </row>
    <row r="86" spans="5:6">
      <c r="E86" s="346"/>
      <c r="F86" s="23"/>
    </row>
    <row r="87" spans="5:6">
      <c r="E87" s="346"/>
      <c r="F87" s="23"/>
    </row>
    <row r="88" spans="5:6">
      <c r="E88" s="346"/>
      <c r="F88" s="23"/>
    </row>
    <row r="89" spans="5:6">
      <c r="E89" s="346"/>
      <c r="F89" s="23"/>
    </row>
    <row r="90" spans="5:6">
      <c r="E90" s="346"/>
      <c r="F90" s="23"/>
    </row>
    <row r="91" spans="5:6">
      <c r="E91" s="346"/>
      <c r="F91" s="23"/>
    </row>
    <row r="92" spans="5:6">
      <c r="E92" s="346"/>
      <c r="F92" s="23"/>
    </row>
    <row r="93" spans="5:6">
      <c r="E93" s="346"/>
      <c r="F93" s="23"/>
    </row>
    <row r="94" spans="5:6">
      <c r="E94" s="346"/>
      <c r="F94" s="23"/>
    </row>
    <row r="95" spans="5:6">
      <c r="E95" s="346"/>
      <c r="F95" s="23"/>
    </row>
    <row r="96" spans="5:6">
      <c r="E96" s="346"/>
      <c r="F96" s="23"/>
    </row>
    <row r="97" spans="5:6">
      <c r="E97" s="346"/>
      <c r="F97" s="23"/>
    </row>
    <row r="98" spans="5:6">
      <c r="E98" s="346"/>
      <c r="F98" s="23"/>
    </row>
    <row r="99" spans="5:6">
      <c r="E99" s="346"/>
      <c r="F99" s="23"/>
    </row>
    <row r="100" spans="5:6">
      <c r="E100" s="346"/>
      <c r="F100" s="23"/>
    </row>
    <row r="101" spans="5:6">
      <c r="F101" s="23"/>
    </row>
    <row r="102" spans="5:6">
      <c r="F102" s="23"/>
    </row>
    <row r="103" spans="5:6">
      <c r="F103" s="23"/>
    </row>
    <row r="104" spans="5:6">
      <c r="F104" s="23"/>
    </row>
    <row r="105" spans="5:6">
      <c r="F105" s="23"/>
    </row>
    <row r="106" spans="5:6">
      <c r="F106" s="23"/>
    </row>
    <row r="107" spans="5:6">
      <c r="F107" s="23"/>
    </row>
    <row r="108" spans="5:6">
      <c r="F108" s="23"/>
    </row>
    <row r="109" spans="5:6">
      <c r="F109" s="23"/>
    </row>
    <row r="110" spans="5:6">
      <c r="F110" s="23"/>
    </row>
    <row r="111" spans="5:6">
      <c r="F111" s="23"/>
    </row>
    <row r="112" spans="5:6">
      <c r="F112" s="23"/>
    </row>
    <row r="113" spans="6:6">
      <c r="F113" s="23"/>
    </row>
    <row r="114" spans="6:6">
      <c r="F114" s="23"/>
    </row>
    <row r="115" spans="6:6">
      <c r="F115" s="23"/>
    </row>
    <row r="116" spans="6:6">
      <c r="F116" s="23"/>
    </row>
    <row r="117" spans="6:6">
      <c r="F117" s="23"/>
    </row>
    <row r="118" spans="6:6">
      <c r="F118" s="23"/>
    </row>
    <row r="119" spans="6:6">
      <c r="F119" s="23"/>
    </row>
    <row r="120" spans="6:6">
      <c r="F120" s="23"/>
    </row>
    <row r="121" spans="6:6">
      <c r="F121" s="23"/>
    </row>
    <row r="122" spans="6:6">
      <c r="F122" s="23"/>
    </row>
    <row r="123" spans="6:6">
      <c r="F123" s="23"/>
    </row>
    <row r="124" spans="6:6">
      <c r="F124" s="23"/>
    </row>
    <row r="125" spans="6:6">
      <c r="F125" s="23"/>
    </row>
    <row r="126" spans="6:6">
      <c r="F126" s="23"/>
    </row>
    <row r="127" spans="6:6">
      <c r="F127" s="23"/>
    </row>
    <row r="128" spans="6:6">
      <c r="F128" s="23"/>
    </row>
    <row r="129" spans="6:6">
      <c r="F129" s="23"/>
    </row>
    <row r="130" spans="6:6">
      <c r="F130" s="23"/>
    </row>
    <row r="131" spans="6:6">
      <c r="F131" s="23"/>
    </row>
  </sheetData>
  <mergeCells count="3">
    <mergeCell ref="D1:M1"/>
    <mergeCell ref="O1:P1"/>
    <mergeCell ref="R1:T1"/>
  </mergeCells>
  <dataValidations count="2">
    <dataValidation type="list" allowBlank="1" showInputMessage="1" showErrorMessage="1" sqref="D3:D52">
      <formula1>$D$53:$D$55</formula1>
    </dataValidation>
    <dataValidation type="list" allowBlank="1" showInputMessage="1" showErrorMessage="1" sqref="G3:G52">
      <formula1>$G$53:$G$55</formula1>
    </dataValidation>
  </dataValidations>
  <pageMargins left="0.7" right="0.7" top="0.75" bottom="0.75" header="0.3" footer="0.3"/>
  <pageSetup paperSize="9" scale="5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showGridLines="0" zoomScale="90" zoomScaleNormal="90" workbookViewId="0">
      <selection sqref="A1:N1"/>
    </sheetView>
  </sheetViews>
  <sheetFormatPr baseColWidth="10" defaultRowHeight="15"/>
  <cols>
    <col min="1" max="1" width="3" bestFit="1" customWidth="1"/>
    <col min="3" max="3" width="12" bestFit="1" customWidth="1"/>
    <col min="8" max="8" width="11.42578125" style="17"/>
    <col min="9" max="9" width="10.85546875" bestFit="1" customWidth="1"/>
    <col min="10" max="10" width="11.85546875" bestFit="1" customWidth="1"/>
    <col min="13" max="13" width="12.7109375" customWidth="1"/>
    <col min="14" max="14" width="14.28515625" customWidth="1"/>
    <col min="16" max="16" width="11.42578125" style="88"/>
  </cols>
  <sheetData>
    <row r="1" spans="1:16" s="17" customFormat="1">
      <c r="A1" s="518" t="s">
        <v>465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518"/>
      <c r="N1" s="518"/>
      <c r="P1" s="88"/>
    </row>
    <row r="2" spans="1:16" s="17" customFormat="1">
      <c r="A2" s="490"/>
      <c r="B2" s="517" t="s">
        <v>515</v>
      </c>
      <c r="C2" s="517" t="s">
        <v>516</v>
      </c>
      <c r="D2" s="491" t="s">
        <v>54</v>
      </c>
      <c r="E2" s="517" t="s">
        <v>523</v>
      </c>
      <c r="F2" s="517" t="s">
        <v>524</v>
      </c>
      <c r="G2" s="491" t="s">
        <v>520</v>
      </c>
      <c r="H2" s="517" t="s">
        <v>526</v>
      </c>
      <c r="I2" s="517" t="s">
        <v>527</v>
      </c>
      <c r="J2" s="517" t="s">
        <v>521</v>
      </c>
      <c r="K2" s="517" t="s">
        <v>264</v>
      </c>
      <c r="L2" s="517" t="s">
        <v>58</v>
      </c>
      <c r="M2" s="517" t="s">
        <v>261</v>
      </c>
      <c r="N2" s="517" t="s">
        <v>370</v>
      </c>
      <c r="P2" s="88"/>
    </row>
    <row r="3" spans="1:16" s="17" customFormat="1" ht="24" customHeight="1">
      <c r="A3" s="490"/>
      <c r="B3" s="517"/>
      <c r="C3" s="517"/>
      <c r="D3" s="492">
        <v>0.1</v>
      </c>
      <c r="E3" s="517"/>
      <c r="F3" s="517"/>
      <c r="G3" s="492">
        <v>0.75</v>
      </c>
      <c r="H3" s="517"/>
      <c r="I3" s="517"/>
      <c r="J3" s="517"/>
      <c r="K3" s="517"/>
      <c r="L3" s="517"/>
      <c r="M3" s="517"/>
      <c r="N3" s="517"/>
      <c r="P3" s="88"/>
    </row>
    <row r="4" spans="1:16">
      <c r="A4" s="472">
        <v>1</v>
      </c>
      <c r="B4" s="502">
        <v>1863.07</v>
      </c>
      <c r="C4" s="502">
        <f>B4*14</f>
        <v>26082.98</v>
      </c>
      <c r="D4" s="503">
        <v>0.1</v>
      </c>
      <c r="E4" s="502">
        <v>240</v>
      </c>
      <c r="F4" s="502">
        <v>100</v>
      </c>
      <c r="G4" s="502">
        <f>B4*$G$3</f>
        <v>1397.3025</v>
      </c>
      <c r="H4" s="502">
        <v>20</v>
      </c>
      <c r="I4" s="502">
        <f>H4+(0.08*H4)</f>
        <v>21.6</v>
      </c>
      <c r="J4" s="502">
        <v>0</v>
      </c>
      <c r="K4" s="502">
        <v>0</v>
      </c>
      <c r="L4" s="502">
        <v>4</v>
      </c>
      <c r="M4" s="502">
        <v>70</v>
      </c>
      <c r="N4" s="502">
        <v>150</v>
      </c>
      <c r="P4" s="505">
        <f>(B4*D3+E4+F4+M4+N4)*12</f>
        <v>8955.6840000000011</v>
      </c>
    </row>
    <row r="5" spans="1:16">
      <c r="A5" s="472">
        <v>2</v>
      </c>
      <c r="B5" s="502">
        <v>1794</v>
      </c>
      <c r="C5" s="502">
        <f t="shared" ref="C5:C16" si="0">B5*14</f>
        <v>25116</v>
      </c>
      <c r="D5" s="503">
        <v>0.1</v>
      </c>
      <c r="E5" s="502">
        <v>240</v>
      </c>
      <c r="F5" s="502">
        <v>100</v>
      </c>
      <c r="G5" s="502">
        <f t="shared" ref="G5:G16" si="1">B5*$G$3</f>
        <v>1345.5</v>
      </c>
      <c r="H5" s="502">
        <v>19.850000000000001</v>
      </c>
      <c r="I5" s="502">
        <f t="shared" ref="I5:I16" si="2">H5+(0.08*H5)</f>
        <v>21.438000000000002</v>
      </c>
      <c r="J5" s="502">
        <v>0</v>
      </c>
      <c r="K5" s="502">
        <v>0</v>
      </c>
      <c r="L5" s="502">
        <v>4</v>
      </c>
      <c r="M5" s="502">
        <v>58</v>
      </c>
      <c r="N5" s="502">
        <v>100</v>
      </c>
      <c r="P5" s="505">
        <f t="shared" ref="P5:P32" si="3">(B5*D4+E5+F5+M5+N5)*12</f>
        <v>8128.7999999999993</v>
      </c>
    </row>
    <row r="6" spans="1:16">
      <c r="A6" s="472">
        <v>3</v>
      </c>
      <c r="B6" s="502">
        <v>1727.88</v>
      </c>
      <c r="C6" s="502">
        <f t="shared" si="0"/>
        <v>24190.32</v>
      </c>
      <c r="D6" s="503">
        <v>0.1</v>
      </c>
      <c r="E6" s="502">
        <v>240</v>
      </c>
      <c r="F6" s="502">
        <v>80</v>
      </c>
      <c r="G6" s="502">
        <f t="shared" si="1"/>
        <v>1295.9100000000001</v>
      </c>
      <c r="H6" s="502">
        <v>19.7</v>
      </c>
      <c r="I6" s="502">
        <f t="shared" si="2"/>
        <v>21.276</v>
      </c>
      <c r="J6" s="502">
        <v>0</v>
      </c>
      <c r="K6" s="502">
        <v>0</v>
      </c>
      <c r="L6" s="502">
        <v>4</v>
      </c>
      <c r="M6" s="502">
        <v>42</v>
      </c>
      <c r="N6" s="502">
        <v>75</v>
      </c>
      <c r="P6" s="505">
        <f t="shared" si="3"/>
        <v>7317.4560000000001</v>
      </c>
    </row>
    <row r="7" spans="1:16">
      <c r="A7" s="472">
        <v>4</v>
      </c>
      <c r="B7" s="502">
        <v>1660.73</v>
      </c>
      <c r="C7" s="502">
        <f t="shared" si="0"/>
        <v>23250.22</v>
      </c>
      <c r="D7" s="503">
        <v>0.1</v>
      </c>
      <c r="E7" s="502">
        <v>220</v>
      </c>
      <c r="F7" s="502">
        <v>80</v>
      </c>
      <c r="G7" s="502">
        <f t="shared" si="1"/>
        <v>1245.5475000000001</v>
      </c>
      <c r="H7" s="502">
        <v>19.55</v>
      </c>
      <c r="I7" s="502">
        <f t="shared" si="2"/>
        <v>21.114000000000001</v>
      </c>
      <c r="J7" s="502">
        <v>0</v>
      </c>
      <c r="K7" s="502">
        <v>0</v>
      </c>
      <c r="L7" s="502">
        <v>4</v>
      </c>
      <c r="M7" s="502">
        <v>28.6666666666667</v>
      </c>
      <c r="N7" s="502">
        <v>50</v>
      </c>
      <c r="P7" s="505">
        <f t="shared" si="3"/>
        <v>6536.8759999999993</v>
      </c>
    </row>
    <row r="8" spans="1:16">
      <c r="A8" s="472">
        <v>5</v>
      </c>
      <c r="B8" s="502">
        <v>1594.96</v>
      </c>
      <c r="C8" s="502">
        <f t="shared" si="0"/>
        <v>22329.440000000002</v>
      </c>
      <c r="D8" s="503">
        <v>0.1</v>
      </c>
      <c r="E8" s="502">
        <v>210</v>
      </c>
      <c r="F8" s="502">
        <v>75</v>
      </c>
      <c r="G8" s="502">
        <f t="shared" si="1"/>
        <v>1196.22</v>
      </c>
      <c r="H8" s="502">
        <v>19.399999999999999</v>
      </c>
      <c r="I8" s="502">
        <f t="shared" si="2"/>
        <v>20.951999999999998</v>
      </c>
      <c r="J8" s="502">
        <v>0</v>
      </c>
      <c r="K8" s="502">
        <v>0</v>
      </c>
      <c r="L8" s="502">
        <v>4</v>
      </c>
      <c r="M8" s="502">
        <v>14.6666666666667</v>
      </c>
      <c r="N8" s="502">
        <v>0</v>
      </c>
      <c r="P8" s="505">
        <f t="shared" si="3"/>
        <v>5509.9520000000002</v>
      </c>
    </row>
    <row r="9" spans="1:16">
      <c r="A9" s="472">
        <v>6</v>
      </c>
      <c r="B9" s="502">
        <v>1546.94</v>
      </c>
      <c r="C9" s="502">
        <f t="shared" si="0"/>
        <v>21657.16</v>
      </c>
      <c r="D9" s="503">
        <v>0.1</v>
      </c>
      <c r="E9" s="502">
        <v>210</v>
      </c>
      <c r="F9" s="502">
        <v>75</v>
      </c>
      <c r="G9" s="502">
        <f t="shared" si="1"/>
        <v>1160.2049999999999</v>
      </c>
      <c r="H9" s="502">
        <v>19.25</v>
      </c>
      <c r="I9" s="502">
        <f t="shared" si="2"/>
        <v>20.79</v>
      </c>
      <c r="J9" s="502">
        <v>0</v>
      </c>
      <c r="K9" s="502">
        <v>0</v>
      </c>
      <c r="L9" s="502">
        <v>4</v>
      </c>
      <c r="M9" s="502">
        <v>0</v>
      </c>
      <c r="N9" s="502">
        <v>0</v>
      </c>
      <c r="P9" s="505">
        <f t="shared" si="3"/>
        <v>5276.3280000000004</v>
      </c>
    </row>
    <row r="10" spans="1:16">
      <c r="A10" s="472">
        <v>7</v>
      </c>
      <c r="B10" s="502">
        <v>1430.59</v>
      </c>
      <c r="C10" s="502">
        <f t="shared" si="0"/>
        <v>20028.259999999998</v>
      </c>
      <c r="D10" s="503">
        <v>0.1</v>
      </c>
      <c r="E10" s="502">
        <v>200</v>
      </c>
      <c r="F10" s="502">
        <v>70</v>
      </c>
      <c r="G10" s="502">
        <f t="shared" si="1"/>
        <v>1072.9424999999999</v>
      </c>
      <c r="H10" s="502">
        <v>19.100000000000001</v>
      </c>
      <c r="I10" s="502">
        <f t="shared" si="2"/>
        <v>20.628</v>
      </c>
      <c r="J10" s="502">
        <v>0</v>
      </c>
      <c r="K10" s="502">
        <v>0</v>
      </c>
      <c r="L10" s="502">
        <v>4</v>
      </c>
      <c r="M10" s="502">
        <v>0</v>
      </c>
      <c r="N10" s="502">
        <v>0</v>
      </c>
      <c r="P10" s="505">
        <f t="shared" si="3"/>
        <v>4956.7079999999996</v>
      </c>
    </row>
    <row r="11" spans="1:16">
      <c r="A11" s="472">
        <v>8</v>
      </c>
      <c r="B11" s="502">
        <v>1361.39</v>
      </c>
      <c r="C11" s="502">
        <f t="shared" si="0"/>
        <v>19059.460000000003</v>
      </c>
      <c r="D11" s="503">
        <v>0.1</v>
      </c>
      <c r="E11" s="502">
        <v>100</v>
      </c>
      <c r="F11" s="502">
        <v>70</v>
      </c>
      <c r="G11" s="502">
        <f t="shared" si="1"/>
        <v>1021.0425</v>
      </c>
      <c r="H11" s="502">
        <v>18.95</v>
      </c>
      <c r="I11" s="502">
        <f t="shared" si="2"/>
        <v>20.466000000000001</v>
      </c>
      <c r="J11" s="502">
        <v>0</v>
      </c>
      <c r="K11" s="502">
        <v>0</v>
      </c>
      <c r="L11" s="502">
        <v>4</v>
      </c>
      <c r="M11" s="502">
        <v>0</v>
      </c>
      <c r="N11" s="502">
        <v>0</v>
      </c>
      <c r="P11" s="505">
        <f t="shared" si="3"/>
        <v>3673.6680000000001</v>
      </c>
    </row>
    <row r="12" spans="1:16">
      <c r="A12" s="472">
        <v>9</v>
      </c>
      <c r="B12" s="502">
        <v>1233.23</v>
      </c>
      <c r="C12" s="502">
        <f t="shared" si="0"/>
        <v>17265.22</v>
      </c>
      <c r="D12" s="503">
        <v>0.1</v>
      </c>
      <c r="E12" s="502">
        <v>75</v>
      </c>
      <c r="F12" s="502">
        <v>50</v>
      </c>
      <c r="G12" s="502">
        <f t="shared" si="1"/>
        <v>924.92250000000001</v>
      </c>
      <c r="H12" s="502">
        <v>18.8</v>
      </c>
      <c r="I12" s="502">
        <f t="shared" si="2"/>
        <v>20.304000000000002</v>
      </c>
      <c r="J12" s="502">
        <v>0</v>
      </c>
      <c r="K12" s="502">
        <v>0</v>
      </c>
      <c r="L12" s="502">
        <v>4</v>
      </c>
      <c r="M12" s="502">
        <v>0</v>
      </c>
      <c r="N12" s="502">
        <v>0</v>
      </c>
      <c r="P12" s="505">
        <f t="shared" si="3"/>
        <v>2979.8760000000002</v>
      </c>
    </row>
    <row r="13" spans="1:16">
      <c r="A13" s="472">
        <v>10</v>
      </c>
      <c r="B13" s="502">
        <v>1086.6600000000001</v>
      </c>
      <c r="C13" s="502">
        <f t="shared" si="0"/>
        <v>15213.240000000002</v>
      </c>
      <c r="D13" s="503">
        <v>0.1</v>
      </c>
      <c r="E13" s="502">
        <v>75</v>
      </c>
      <c r="F13" s="502">
        <v>50</v>
      </c>
      <c r="G13" s="502">
        <f t="shared" si="1"/>
        <v>814.99500000000012</v>
      </c>
      <c r="H13" s="502">
        <v>18.649999999999999</v>
      </c>
      <c r="I13" s="502">
        <f t="shared" si="2"/>
        <v>20.141999999999999</v>
      </c>
      <c r="J13" s="502">
        <v>0</v>
      </c>
      <c r="K13" s="502">
        <v>0</v>
      </c>
      <c r="L13" s="502">
        <v>4</v>
      </c>
      <c r="M13" s="502">
        <v>0</v>
      </c>
      <c r="N13" s="502">
        <v>0</v>
      </c>
      <c r="P13" s="505">
        <f t="shared" si="3"/>
        <v>2803.9920000000002</v>
      </c>
    </row>
    <row r="14" spans="1:16">
      <c r="A14" s="472">
        <v>11</v>
      </c>
      <c r="B14" s="502">
        <v>986.66</v>
      </c>
      <c r="C14" s="502">
        <f t="shared" si="0"/>
        <v>13813.24</v>
      </c>
      <c r="D14" s="503">
        <v>0.1</v>
      </c>
      <c r="E14" s="502">
        <v>0</v>
      </c>
      <c r="F14" s="502">
        <v>0</v>
      </c>
      <c r="G14" s="502">
        <f t="shared" si="1"/>
        <v>739.995</v>
      </c>
      <c r="H14" s="502">
        <v>18.5</v>
      </c>
      <c r="I14" s="502">
        <f t="shared" si="2"/>
        <v>19.98</v>
      </c>
      <c r="J14" s="502">
        <v>0</v>
      </c>
      <c r="K14" s="502">
        <v>0</v>
      </c>
      <c r="L14" s="502">
        <v>4</v>
      </c>
      <c r="M14" s="502">
        <v>0</v>
      </c>
      <c r="N14" s="502">
        <v>0</v>
      </c>
      <c r="P14" s="505">
        <f t="shared" si="3"/>
        <v>1183.992</v>
      </c>
    </row>
    <row r="15" spans="1:16">
      <c r="A15" s="472">
        <v>12</v>
      </c>
      <c r="B15" s="502">
        <v>850.79</v>
      </c>
      <c r="C15" s="502">
        <f t="shared" si="0"/>
        <v>11911.06</v>
      </c>
      <c r="D15" s="503">
        <v>0.1</v>
      </c>
      <c r="E15" s="502">
        <v>0</v>
      </c>
      <c r="F15" s="502">
        <v>0</v>
      </c>
      <c r="G15" s="502">
        <f t="shared" si="1"/>
        <v>638.09249999999997</v>
      </c>
      <c r="H15" s="502">
        <v>18.350000000000001</v>
      </c>
      <c r="I15" s="502">
        <f t="shared" si="2"/>
        <v>19.818000000000001</v>
      </c>
      <c r="J15" s="502">
        <v>0</v>
      </c>
      <c r="K15" s="502">
        <v>0</v>
      </c>
      <c r="L15" s="502">
        <v>4</v>
      </c>
      <c r="M15" s="502">
        <v>0</v>
      </c>
      <c r="N15" s="502">
        <v>0</v>
      </c>
      <c r="P15" s="505">
        <f t="shared" si="3"/>
        <v>1020.9480000000001</v>
      </c>
    </row>
    <row r="16" spans="1:16">
      <c r="A16" s="472">
        <v>13</v>
      </c>
      <c r="B16" s="502">
        <v>756.39</v>
      </c>
      <c r="C16" s="502">
        <f t="shared" si="0"/>
        <v>10589.46</v>
      </c>
      <c r="D16" s="503">
        <v>0.1</v>
      </c>
      <c r="E16" s="502">
        <v>0</v>
      </c>
      <c r="F16" s="502">
        <v>0</v>
      </c>
      <c r="G16" s="502">
        <f t="shared" si="1"/>
        <v>567.29250000000002</v>
      </c>
      <c r="H16" s="502">
        <v>18.2</v>
      </c>
      <c r="I16" s="502">
        <f t="shared" si="2"/>
        <v>19.655999999999999</v>
      </c>
      <c r="J16" s="502">
        <v>0</v>
      </c>
      <c r="K16" s="502">
        <v>0</v>
      </c>
      <c r="L16" s="502">
        <v>4</v>
      </c>
      <c r="M16" s="502">
        <v>0</v>
      </c>
      <c r="N16" s="502">
        <v>0</v>
      </c>
      <c r="P16" s="505">
        <f t="shared" si="3"/>
        <v>907.66799999999989</v>
      </c>
    </row>
    <row r="17" spans="1:16">
      <c r="A17" s="518" t="s">
        <v>530</v>
      </c>
      <c r="B17" s="518"/>
      <c r="C17" s="518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P17" s="505"/>
    </row>
    <row r="18" spans="1:16" s="17" customFormat="1" ht="36" customHeight="1">
      <c r="A18" s="490"/>
      <c r="B18" s="517" t="s">
        <v>517</v>
      </c>
      <c r="C18" s="517" t="s">
        <v>522</v>
      </c>
      <c r="D18" s="491" t="s">
        <v>54</v>
      </c>
      <c r="E18" s="517" t="s">
        <v>518</v>
      </c>
      <c r="F18" s="517" t="s">
        <v>519</v>
      </c>
      <c r="G18" s="517" t="s">
        <v>520</v>
      </c>
      <c r="H18" s="517" t="s">
        <v>525</v>
      </c>
      <c r="I18" s="517" t="s">
        <v>527</v>
      </c>
      <c r="J18" s="517" t="s">
        <v>521</v>
      </c>
      <c r="K18" s="517" t="s">
        <v>264</v>
      </c>
      <c r="L18" s="517" t="s">
        <v>58</v>
      </c>
      <c r="M18" s="517" t="s">
        <v>261</v>
      </c>
      <c r="N18" s="517" t="s">
        <v>370</v>
      </c>
      <c r="P18" s="505"/>
    </row>
    <row r="19" spans="1:16" s="17" customFormat="1">
      <c r="A19" s="490"/>
      <c r="B19" s="517"/>
      <c r="C19" s="517"/>
      <c r="D19" s="492">
        <v>0.05</v>
      </c>
      <c r="E19" s="517"/>
      <c r="F19" s="517"/>
      <c r="G19" s="517"/>
      <c r="H19" s="517"/>
      <c r="I19" s="517"/>
      <c r="J19" s="517"/>
      <c r="K19" s="517"/>
      <c r="L19" s="517"/>
      <c r="M19" s="517"/>
      <c r="N19" s="517"/>
      <c r="P19" s="505"/>
    </row>
    <row r="20" spans="1:16">
      <c r="A20" s="472">
        <v>1</v>
      </c>
      <c r="B20" s="502">
        <v>49.76</v>
      </c>
      <c r="C20" s="502">
        <v>6.75</v>
      </c>
      <c r="D20" s="503">
        <v>0.05</v>
      </c>
      <c r="E20" s="502">
        <v>5.16</v>
      </c>
      <c r="F20" s="502">
        <v>2.0699999999999998</v>
      </c>
      <c r="G20" s="502">
        <v>1853.75</v>
      </c>
      <c r="H20" s="502">
        <v>18.12</v>
      </c>
      <c r="I20" s="502">
        <f>H20+(0.08*H20)</f>
        <v>19.569600000000001</v>
      </c>
      <c r="J20" s="502">
        <v>7.01</v>
      </c>
      <c r="K20" s="502">
        <v>3.38</v>
      </c>
      <c r="L20" s="502">
        <v>3.51</v>
      </c>
      <c r="M20" s="502">
        <v>35</v>
      </c>
      <c r="N20" s="502">
        <v>75</v>
      </c>
      <c r="P20" s="505">
        <f t="shared" si="3"/>
        <v>1436.616</v>
      </c>
    </row>
    <row r="21" spans="1:16">
      <c r="A21" s="472">
        <v>2</v>
      </c>
      <c r="B21" s="502">
        <v>46.52</v>
      </c>
      <c r="C21" s="502">
        <v>6.75</v>
      </c>
      <c r="D21" s="503">
        <v>0.05</v>
      </c>
      <c r="E21" s="502">
        <v>4.88</v>
      </c>
      <c r="F21" s="502">
        <v>2.0699999999999998</v>
      </c>
      <c r="G21" s="502">
        <v>1748.84</v>
      </c>
      <c r="H21" s="502">
        <v>17.07</v>
      </c>
      <c r="I21" s="502">
        <f t="shared" ref="I21:I32" si="4">H21+(0.08*H21)</f>
        <v>18.435600000000001</v>
      </c>
      <c r="J21" s="502">
        <v>7.01</v>
      </c>
      <c r="K21" s="502">
        <v>3.38</v>
      </c>
      <c r="L21" s="502">
        <v>3.51</v>
      </c>
      <c r="M21" s="502">
        <v>24</v>
      </c>
      <c r="N21" s="502">
        <v>50</v>
      </c>
      <c r="P21" s="505">
        <f t="shared" si="3"/>
        <v>999.3119999999999</v>
      </c>
    </row>
    <row r="22" spans="1:16">
      <c r="A22" s="472">
        <v>3</v>
      </c>
      <c r="B22" s="502">
        <v>43.62</v>
      </c>
      <c r="C22" s="502">
        <v>6.66</v>
      </c>
      <c r="D22" s="503">
        <v>0.05</v>
      </c>
      <c r="E22" s="502">
        <v>4.59</v>
      </c>
      <c r="F22" s="502">
        <v>2.0699999999999998</v>
      </c>
      <c r="G22" s="502">
        <v>1652.65</v>
      </c>
      <c r="H22" s="502">
        <v>16.149999999999999</v>
      </c>
      <c r="I22" s="502">
        <f t="shared" si="4"/>
        <v>17.442</v>
      </c>
      <c r="J22" s="502">
        <v>7.01</v>
      </c>
      <c r="K22" s="502">
        <v>3.38</v>
      </c>
      <c r="L22" s="502">
        <v>3.51</v>
      </c>
      <c r="M22" s="502">
        <v>12</v>
      </c>
      <c r="N22" s="502">
        <v>0</v>
      </c>
      <c r="P22" s="505">
        <f t="shared" si="3"/>
        <v>250.09200000000001</v>
      </c>
    </row>
    <row r="23" spans="1:16">
      <c r="A23" s="472">
        <v>4</v>
      </c>
      <c r="B23" s="502">
        <v>40.840000000000003</v>
      </c>
      <c r="C23" s="502">
        <v>6.58</v>
      </c>
      <c r="D23" s="503">
        <v>0.05</v>
      </c>
      <c r="E23" s="502">
        <v>4.3499999999999996</v>
      </c>
      <c r="F23" s="502">
        <v>2.0699999999999998</v>
      </c>
      <c r="G23" s="502">
        <v>1560.23</v>
      </c>
      <c r="H23" s="502">
        <v>15.23</v>
      </c>
      <c r="I23" s="502">
        <f t="shared" si="4"/>
        <v>16.448399999999999</v>
      </c>
      <c r="J23" s="502">
        <v>7.01</v>
      </c>
      <c r="K23" s="502">
        <v>3.38</v>
      </c>
      <c r="L23" s="502">
        <v>3.51</v>
      </c>
      <c r="M23" s="502">
        <v>6</v>
      </c>
      <c r="N23" s="502">
        <v>0</v>
      </c>
      <c r="P23" s="505">
        <f t="shared" si="3"/>
        <v>173.54399999999998</v>
      </c>
    </row>
    <row r="24" spans="1:16">
      <c r="A24" s="472">
        <v>5</v>
      </c>
      <c r="B24" s="502">
        <v>37.869999999999997</v>
      </c>
      <c r="C24" s="502">
        <v>6.58</v>
      </c>
      <c r="D24" s="503">
        <v>0.05</v>
      </c>
      <c r="E24" s="502">
        <v>3.89</v>
      </c>
      <c r="F24" s="502">
        <v>2.0699999999999998</v>
      </c>
      <c r="G24" s="502">
        <v>1460.74</v>
      </c>
      <c r="H24" s="502">
        <v>14.25</v>
      </c>
      <c r="I24" s="502">
        <f t="shared" si="4"/>
        <v>15.39</v>
      </c>
      <c r="J24" s="502">
        <v>7.01</v>
      </c>
      <c r="K24" s="502">
        <v>3.38</v>
      </c>
      <c r="L24" s="502">
        <v>3.51</v>
      </c>
      <c r="M24" s="502">
        <v>0</v>
      </c>
      <c r="N24" s="502">
        <v>0</v>
      </c>
      <c r="P24" s="505">
        <f t="shared" si="3"/>
        <v>94.242000000000004</v>
      </c>
    </row>
    <row r="25" spans="1:16">
      <c r="A25" s="472">
        <v>6</v>
      </c>
      <c r="B25" s="502">
        <v>36.159999999999997</v>
      </c>
      <c r="C25" s="502">
        <v>6.58</v>
      </c>
      <c r="D25" s="503">
        <v>0.05</v>
      </c>
      <c r="E25" s="502">
        <v>3.8</v>
      </c>
      <c r="F25" s="502">
        <v>2.0699999999999998</v>
      </c>
      <c r="G25" s="502">
        <v>1407.67</v>
      </c>
      <c r="H25" s="502">
        <v>13.73</v>
      </c>
      <c r="I25" s="502">
        <f t="shared" si="4"/>
        <v>14.8284</v>
      </c>
      <c r="J25" s="502">
        <v>7.01</v>
      </c>
      <c r="K25" s="502">
        <v>3.38</v>
      </c>
      <c r="L25" s="502">
        <v>3.51</v>
      </c>
      <c r="M25" s="502">
        <v>0</v>
      </c>
      <c r="N25" s="502">
        <v>0</v>
      </c>
      <c r="P25" s="505">
        <f t="shared" si="3"/>
        <v>92.135999999999996</v>
      </c>
    </row>
    <row r="26" spans="1:16">
      <c r="A26" s="472">
        <v>7</v>
      </c>
      <c r="B26" s="502">
        <v>34.700000000000003</v>
      </c>
      <c r="C26" s="502">
        <v>6.58</v>
      </c>
      <c r="D26" s="503">
        <v>0.05</v>
      </c>
      <c r="E26" s="502">
        <v>3.64</v>
      </c>
      <c r="F26" s="502">
        <v>2.0699999999999998</v>
      </c>
      <c r="G26" s="502">
        <v>1357.75</v>
      </c>
      <c r="H26" s="502">
        <v>13.25</v>
      </c>
      <c r="I26" s="502">
        <f t="shared" si="4"/>
        <v>14.31</v>
      </c>
      <c r="J26" s="502">
        <v>7.01</v>
      </c>
      <c r="K26" s="502">
        <v>3.38</v>
      </c>
      <c r="L26" s="502">
        <v>3.51</v>
      </c>
      <c r="M26" s="502">
        <v>0</v>
      </c>
      <c r="N26" s="502">
        <v>0</v>
      </c>
      <c r="P26" s="505">
        <f t="shared" si="3"/>
        <v>89.34</v>
      </c>
    </row>
    <row r="27" spans="1:16">
      <c r="A27" s="472">
        <v>8</v>
      </c>
      <c r="B27" s="502">
        <v>33.58</v>
      </c>
      <c r="C27" s="502">
        <v>6.58</v>
      </c>
      <c r="D27" s="503">
        <v>0.05</v>
      </c>
      <c r="E27" s="502">
        <v>3.64</v>
      </c>
      <c r="F27" s="502">
        <v>2.0699999999999998</v>
      </c>
      <c r="G27" s="502">
        <v>1322.22</v>
      </c>
      <c r="H27" s="502">
        <v>12.92</v>
      </c>
      <c r="I27" s="502">
        <f t="shared" si="4"/>
        <v>13.9536</v>
      </c>
      <c r="J27" s="502">
        <v>7.01</v>
      </c>
      <c r="K27" s="502">
        <v>3.38</v>
      </c>
      <c r="L27" s="502">
        <v>3.51</v>
      </c>
      <c r="M27" s="502">
        <v>0</v>
      </c>
      <c r="N27" s="502">
        <v>0</v>
      </c>
      <c r="P27" s="505">
        <f t="shared" si="3"/>
        <v>88.667999999999992</v>
      </c>
    </row>
    <row r="28" spans="1:16">
      <c r="A28" s="472">
        <v>9</v>
      </c>
      <c r="B28" s="502">
        <v>32.61</v>
      </c>
      <c r="C28" s="502">
        <v>6.44</v>
      </c>
      <c r="D28" s="503">
        <v>0.05</v>
      </c>
      <c r="E28" s="502">
        <v>3.51</v>
      </c>
      <c r="F28" s="502">
        <v>2.0699999999999998</v>
      </c>
      <c r="G28" s="502">
        <v>1289.98</v>
      </c>
      <c r="H28" s="502">
        <v>12.58</v>
      </c>
      <c r="I28" s="502">
        <f t="shared" si="4"/>
        <v>13.586399999999999</v>
      </c>
      <c r="J28" s="502">
        <v>7.01</v>
      </c>
      <c r="K28" s="502">
        <v>3.38</v>
      </c>
      <c r="L28" s="502">
        <v>3.51</v>
      </c>
      <c r="M28" s="502">
        <v>0</v>
      </c>
      <c r="N28" s="502">
        <v>0</v>
      </c>
      <c r="P28" s="505">
        <f t="shared" si="3"/>
        <v>86.525999999999996</v>
      </c>
    </row>
    <row r="29" spans="1:16">
      <c r="A29" s="472">
        <v>10</v>
      </c>
      <c r="B29" s="502">
        <v>32.340000000000003</v>
      </c>
      <c r="C29" s="502">
        <v>6.44</v>
      </c>
      <c r="D29" s="503">
        <v>0.05</v>
      </c>
      <c r="E29" s="502">
        <v>3.51</v>
      </c>
      <c r="F29" s="502">
        <v>2.0699999999999998</v>
      </c>
      <c r="G29" s="502">
        <v>1281.1199999999999</v>
      </c>
      <c r="H29" s="502">
        <v>12.5</v>
      </c>
      <c r="I29" s="502">
        <f t="shared" si="4"/>
        <v>13.5</v>
      </c>
      <c r="J29" s="502">
        <v>7.01</v>
      </c>
      <c r="K29" s="502">
        <v>3.38</v>
      </c>
      <c r="L29" s="502">
        <v>3.51</v>
      </c>
      <c r="M29" s="502">
        <v>0</v>
      </c>
      <c r="N29" s="502">
        <v>0</v>
      </c>
      <c r="P29" s="505">
        <f t="shared" si="3"/>
        <v>86.36399999999999</v>
      </c>
    </row>
    <row r="30" spans="1:16">
      <c r="A30" s="472">
        <v>11</v>
      </c>
      <c r="B30" s="502">
        <v>32.04</v>
      </c>
      <c r="C30" s="502">
        <v>6.44</v>
      </c>
      <c r="D30" s="503">
        <v>0.05</v>
      </c>
      <c r="E30" s="502">
        <v>3.4</v>
      </c>
      <c r="F30" s="502">
        <v>2.0699999999999998</v>
      </c>
      <c r="G30" s="502">
        <v>1259.42</v>
      </c>
      <c r="H30" s="502">
        <v>12.36</v>
      </c>
      <c r="I30" s="502">
        <f t="shared" si="4"/>
        <v>13.348799999999999</v>
      </c>
      <c r="J30" s="502">
        <v>7.01</v>
      </c>
      <c r="K30" s="502">
        <v>3.38</v>
      </c>
      <c r="L30" s="502">
        <v>3.51</v>
      </c>
      <c r="M30" s="502">
        <v>0</v>
      </c>
      <c r="N30" s="502">
        <v>0</v>
      </c>
      <c r="P30" s="505">
        <f t="shared" si="3"/>
        <v>84.86399999999999</v>
      </c>
    </row>
    <row r="31" spans="1:16">
      <c r="A31" s="472">
        <v>12</v>
      </c>
      <c r="B31" s="502">
        <v>31.74</v>
      </c>
      <c r="C31" s="502">
        <v>6.44</v>
      </c>
      <c r="D31" s="503">
        <v>0.05</v>
      </c>
      <c r="E31" s="502">
        <v>3.4</v>
      </c>
      <c r="F31" s="502">
        <v>2.0699999999999998</v>
      </c>
      <c r="G31" s="502">
        <v>1220.92</v>
      </c>
      <c r="H31" s="502">
        <v>12.29</v>
      </c>
      <c r="I31" s="502">
        <f t="shared" si="4"/>
        <v>13.273199999999999</v>
      </c>
      <c r="J31" s="502">
        <v>7.01</v>
      </c>
      <c r="K31" s="502">
        <v>3.38</v>
      </c>
      <c r="L31" s="502">
        <v>3.51</v>
      </c>
      <c r="M31" s="502">
        <v>0</v>
      </c>
      <c r="N31" s="502">
        <v>0</v>
      </c>
      <c r="P31" s="505">
        <f t="shared" si="3"/>
        <v>84.683999999999997</v>
      </c>
    </row>
    <row r="32" spans="1:16">
      <c r="A32" s="472">
        <v>13</v>
      </c>
      <c r="B32" s="502">
        <v>30.62</v>
      </c>
      <c r="C32" s="502">
        <v>6.44</v>
      </c>
      <c r="D32" s="503">
        <v>0.05</v>
      </c>
      <c r="E32" s="502">
        <v>3.18</v>
      </c>
      <c r="F32" s="502">
        <v>2.0699999999999998</v>
      </c>
      <c r="G32" s="502">
        <v>740.92</v>
      </c>
      <c r="H32" s="502">
        <v>11.91</v>
      </c>
      <c r="I32" s="502">
        <f t="shared" si="4"/>
        <v>12.8628</v>
      </c>
      <c r="J32" s="502">
        <v>7.01</v>
      </c>
      <c r="K32" s="502">
        <v>3.38</v>
      </c>
      <c r="L32" s="502">
        <v>3.51</v>
      </c>
      <c r="M32" s="502">
        <v>0</v>
      </c>
      <c r="N32" s="502">
        <v>0</v>
      </c>
      <c r="P32" s="505">
        <f t="shared" si="3"/>
        <v>81.372000000000014</v>
      </c>
    </row>
    <row r="33" spans="2:11">
      <c r="B33" s="324"/>
      <c r="C33" s="324"/>
      <c r="D33" s="324"/>
      <c r="E33" s="324"/>
      <c r="F33" s="324"/>
      <c r="G33" s="324"/>
      <c r="H33" s="324"/>
      <c r="I33" s="324"/>
      <c r="J33" s="324"/>
      <c r="K33" s="324"/>
    </row>
  </sheetData>
  <mergeCells count="25">
    <mergeCell ref="K2:K3"/>
    <mergeCell ref="L2:L3"/>
    <mergeCell ref="A1:N1"/>
    <mergeCell ref="B2:B3"/>
    <mergeCell ref="C2:C3"/>
    <mergeCell ref="E2:E3"/>
    <mergeCell ref="F2:F3"/>
    <mergeCell ref="H2:H3"/>
    <mergeCell ref="N2:N3"/>
    <mergeCell ref="N18:N19"/>
    <mergeCell ref="I2:I3"/>
    <mergeCell ref="I18:I19"/>
    <mergeCell ref="B18:B19"/>
    <mergeCell ref="C18:C19"/>
    <mergeCell ref="E18:E19"/>
    <mergeCell ref="M2:M3"/>
    <mergeCell ref="M18:M19"/>
    <mergeCell ref="F18:F19"/>
    <mergeCell ref="G18:G19"/>
    <mergeCell ref="A17:N17"/>
    <mergeCell ref="H18:H19"/>
    <mergeCell ref="J18:J19"/>
    <mergeCell ref="K18:K19"/>
    <mergeCell ref="L18:L19"/>
    <mergeCell ref="J2:J3"/>
  </mergeCells>
  <pageMargins left="0.7" right="0.7" top="0.75" bottom="0.75" header="0.3" footer="0.3"/>
  <pageSetup paperSize="9" scale="7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5"/>
  <sheetViews>
    <sheetView showGridLines="0" zoomScale="90" zoomScaleNormal="90" workbookViewId="0">
      <selection activeCell="AH12" sqref="AH12"/>
    </sheetView>
  </sheetViews>
  <sheetFormatPr baseColWidth="10" defaultRowHeight="15"/>
  <cols>
    <col min="1" max="1" width="15.85546875" style="23" bestFit="1" customWidth="1"/>
    <col min="2" max="2" width="25.7109375" style="23" bestFit="1" customWidth="1"/>
    <col min="3" max="8" width="11.42578125" style="23"/>
    <col min="9" max="9" width="14.5703125" style="23" customWidth="1"/>
    <col min="10" max="10" width="0.85546875" style="23" customWidth="1"/>
    <col min="11" max="11" width="10.5703125" style="23" bestFit="1" customWidth="1"/>
    <col min="12" max="12" width="11.42578125" style="23"/>
    <col min="13" max="13" width="13" style="23" bestFit="1" customWidth="1"/>
    <col min="14" max="17" width="11.42578125" style="23"/>
    <col min="18" max="18" width="0.85546875" style="23" customWidth="1"/>
    <col min="19" max="19" width="12.7109375" style="23" bestFit="1" customWidth="1"/>
    <col min="20" max="20" width="11.42578125" style="23"/>
    <col min="21" max="21" width="12.7109375" style="23" bestFit="1" customWidth="1"/>
    <col min="22" max="22" width="0.85546875" style="23" customWidth="1"/>
    <col min="23" max="26" width="11.42578125" style="23"/>
    <col min="27" max="27" width="0.85546875" style="23" customWidth="1"/>
    <col min="28" max="28" width="11.42578125" style="23"/>
    <col min="29" max="29" width="13.7109375" style="23" customWidth="1"/>
    <col min="30" max="31" width="11.42578125" style="23"/>
    <col min="32" max="32" width="0.85546875" style="23" customWidth="1"/>
    <col min="33" max="35" width="11.42578125" style="23"/>
    <col min="36" max="36" width="0.85546875" style="23" customWidth="1"/>
    <col min="37" max="39" width="11.42578125" style="23"/>
    <col min="40" max="40" width="9.42578125" style="23" bestFit="1" customWidth="1"/>
    <col min="41" max="41" width="6.5703125" style="23" bestFit="1" customWidth="1"/>
  </cols>
  <sheetData>
    <row r="1" spans="1:41" ht="36" customHeight="1">
      <c r="A1" s="498">
        <v>40360</v>
      </c>
      <c r="B1" s="498">
        <v>40390</v>
      </c>
      <c r="C1" s="519" t="s">
        <v>531</v>
      </c>
      <c r="D1" s="519"/>
      <c r="E1" s="519"/>
      <c r="F1" s="519"/>
      <c r="G1" s="519"/>
      <c r="H1" s="519"/>
      <c r="I1" s="519"/>
      <c r="J1" s="496"/>
      <c r="K1" s="519" t="s">
        <v>532</v>
      </c>
      <c r="L1" s="519"/>
      <c r="M1" s="519"/>
      <c r="N1" s="519"/>
      <c r="O1" s="519"/>
      <c r="P1" s="519"/>
      <c r="Q1" s="519"/>
      <c r="R1" s="496"/>
      <c r="S1" s="519" t="s">
        <v>268</v>
      </c>
      <c r="T1" s="519"/>
      <c r="U1" s="519"/>
      <c r="V1" s="497"/>
      <c r="W1" s="519" t="s">
        <v>272</v>
      </c>
      <c r="X1" s="519"/>
      <c r="Y1" s="519"/>
      <c r="Z1" s="519"/>
      <c r="AA1" s="496"/>
      <c r="AB1" s="519" t="s">
        <v>275</v>
      </c>
      <c r="AC1" s="519"/>
      <c r="AD1" s="519"/>
      <c r="AE1" s="519"/>
      <c r="AF1" s="497"/>
      <c r="AG1" s="519" t="s">
        <v>217</v>
      </c>
      <c r="AH1" s="519"/>
      <c r="AI1" s="519"/>
      <c r="AJ1" s="497"/>
      <c r="AK1" s="519" t="s">
        <v>122</v>
      </c>
      <c r="AL1" s="519"/>
      <c r="AM1" s="519"/>
      <c r="AN1" s="519"/>
      <c r="AO1" s="519"/>
    </row>
    <row r="2" spans="1:41" ht="48">
      <c r="A2" s="494" t="s">
        <v>571</v>
      </c>
      <c r="B2" s="495" t="s">
        <v>572</v>
      </c>
      <c r="C2" s="477" t="s">
        <v>543</v>
      </c>
      <c r="D2" s="477" t="s">
        <v>375</v>
      </c>
      <c r="E2" s="477" t="s">
        <v>374</v>
      </c>
      <c r="F2" s="477" t="s">
        <v>373</v>
      </c>
      <c r="G2" s="477" t="s">
        <v>372</v>
      </c>
      <c r="H2" s="478" t="s">
        <v>371</v>
      </c>
      <c r="I2" s="478" t="s">
        <v>370</v>
      </c>
      <c r="J2" s="478"/>
      <c r="K2" s="478" t="s">
        <v>528</v>
      </c>
      <c r="L2" s="478" t="s">
        <v>369</v>
      </c>
      <c r="M2" s="478" t="s">
        <v>529</v>
      </c>
      <c r="N2" s="478" t="s">
        <v>368</v>
      </c>
      <c r="O2" s="478" t="s">
        <v>367</v>
      </c>
      <c r="P2" s="481" t="s">
        <v>61</v>
      </c>
      <c r="Q2" s="478" t="s">
        <v>454</v>
      </c>
      <c r="R2" s="478"/>
      <c r="S2" s="478" t="s">
        <v>364</v>
      </c>
      <c r="T2" s="482" t="s">
        <v>274</v>
      </c>
      <c r="U2" s="478" t="s">
        <v>455</v>
      </c>
      <c r="V2" s="478"/>
      <c r="W2" s="478" t="s">
        <v>363</v>
      </c>
      <c r="X2" s="478" t="s">
        <v>362</v>
      </c>
      <c r="Y2" s="478" t="s">
        <v>361</v>
      </c>
      <c r="Z2" s="478" t="s">
        <v>360</v>
      </c>
      <c r="AA2" s="478"/>
      <c r="AB2" s="478" t="s">
        <v>359</v>
      </c>
      <c r="AC2" s="481" t="s">
        <v>358</v>
      </c>
      <c r="AD2" s="481" t="s">
        <v>357</v>
      </c>
      <c r="AE2" s="481" t="s">
        <v>356</v>
      </c>
      <c r="AF2" s="481"/>
      <c r="AG2" s="478" t="s">
        <v>355</v>
      </c>
      <c r="AH2" s="478" t="s">
        <v>354</v>
      </c>
      <c r="AI2" s="478" t="s">
        <v>353</v>
      </c>
      <c r="AJ2" s="478"/>
      <c r="AK2" s="478" t="s">
        <v>456</v>
      </c>
      <c r="AL2" s="478" t="s">
        <v>457</v>
      </c>
      <c r="AM2" s="478" t="s">
        <v>458</v>
      </c>
      <c r="AN2" s="520" t="s">
        <v>459</v>
      </c>
      <c r="AO2" s="520"/>
    </row>
    <row r="3" spans="1:41">
      <c r="A3" s="23" t="s">
        <v>461</v>
      </c>
      <c r="B3" s="23" t="s">
        <v>379</v>
      </c>
      <c r="C3" s="508">
        <f>IF(Datos_Convenio!D3="A",LOOKUP(Datos_Convenio!E3,Convenio!$A$4:$A$16,Convenio!$L$4:$L$16),LOOKUP(Datos_Convenio!E3,Convenio!$A$20:$A$32,Convenio!$L$20:$L$32))</f>
        <v>3.51</v>
      </c>
      <c r="D3" s="479">
        <f>C3*Datos_Convenio!H3</f>
        <v>105.3</v>
      </c>
      <c r="E3" s="507">
        <f>IF(Datos_Convenio!H3="A",LOOKUP(Datos_Convenio!$E$3,Convenio!$A$4:$A$16,Convenio!$L$4:$L$16),LOOKUP(Datos_Convenio!I3,Convenio!$A$20:$A$32,Convenio!$L$20:$L$32))</f>
        <v>3.51</v>
      </c>
      <c r="F3" s="509">
        <f ca="1">IF(Datos_Convenio!H3="A",0,RANDBETWEEN(0,Datos_Convenio!H3))</f>
        <v>23</v>
      </c>
      <c r="G3" s="479">
        <f ca="1">E3*F3</f>
        <v>80.72999999999999</v>
      </c>
      <c r="H3" s="480">
        <f>IF(Datos_Convenio!D3="A",0,LOOKUP(Datos_Convenio!E3,Convenio!$A$20:$A$32,Convenio!$K$20:$K$32))</f>
        <v>3.38</v>
      </c>
      <c r="I3" s="480">
        <f>IF(Datos_Convenio!D3="A",LOOKUP(Datos_Convenio!E3,Convenio!$A$4:$A$16,Convenio!$N$4:$N$16),LOOKUP(Datos_Convenio!E3,Convenio!$A$20:$A$32,Convenio!$N$20:$N$32))</f>
        <v>75</v>
      </c>
      <c r="J3" s="328"/>
      <c r="K3" s="509">
        <f ca="1">RANDBETWEEN(0,(Datos_Convenio!H3))</f>
        <v>25</v>
      </c>
      <c r="L3" s="480">
        <f ca="1">IF(Datos_Convenio!D3="A",LOOKUP(Datos_Convenio!E3,Convenio!$A$4:$A$16,Convenio!$L$4:$L$16*Datos_Variables!K3),LOOKUP(Datos_Convenio!E3,Convenio!$A$20:$A$32,Convenio!$L$20:$L$32*K3))</f>
        <v>87.75</v>
      </c>
      <c r="M3" s="509">
        <f ca="1">RANDBETWEEN(0,(Datos_Convenio!H3))</f>
        <v>12</v>
      </c>
      <c r="N3" s="480">
        <f ca="1">IF(Datos_Convenio!D3="A",LOOKUP(Datos_Convenio!E3,Convenio!$A$4:$A$16,Convenio!$I$4:$I$16*Datos_Variables!M3),LOOKUP(Datos_Convenio!E3,Convenio!$A$20:$A$32,Convenio!$I$20:$I$32*Datos_Variables!M3))</f>
        <v>234.83520000000001</v>
      </c>
      <c r="O3" s="328">
        <v>0</v>
      </c>
      <c r="P3" s="480">
        <v>0</v>
      </c>
      <c r="Q3" s="480">
        <f>IF(Datos_Convenio!D3="A",0,LOOKUP(Datos_Convenio!E3,Convenio!$A$20:$A$32,Convenio!$C$20:$C$32*Datos_Convenio!H3))</f>
        <v>202.5</v>
      </c>
      <c r="R3" s="328"/>
      <c r="S3" s="340">
        <v>0</v>
      </c>
      <c r="T3" s="331">
        <v>2010</v>
      </c>
      <c r="U3" s="340">
        <v>0</v>
      </c>
      <c r="W3" s="340">
        <v>0</v>
      </c>
      <c r="X3" s="340">
        <v>0</v>
      </c>
      <c r="Y3" s="340">
        <v>0</v>
      </c>
      <c r="Z3" s="480">
        <f>IF(Datos_Convenio!D3="A",LOOKUP(Datos_Convenio!E3,Convenio!$A$4:$A$16,Convenio!$F$4:$F$16),LOOKUP(Datos_Convenio!$E$3,Convenio!$A$20:$A$32,Convenio!$F$20:$F$32*Datos_Convenio!H3))</f>
        <v>62.099999999999994</v>
      </c>
      <c r="AA3" s="328"/>
      <c r="AB3" s="331" t="str">
        <f t="shared" ref="AB3:AB34" ca="1" si="0">IF(RANDBETWEEN(0,1)=0,"NO","SI")</f>
        <v>SI</v>
      </c>
      <c r="AC3" s="331" t="str">
        <f t="shared" ref="AC3:AC34" ca="1" si="1">IF(RANDBETWEEN(0,1)=0,"ESPAÑA","EXTRANJERO")</f>
        <v>ESPAÑA</v>
      </c>
      <c r="AD3" s="331">
        <f t="shared" ref="AD3:AD11" ca="1" si="2">RANDBETWEEN(0,10)</f>
        <v>2</v>
      </c>
      <c r="AE3" s="340">
        <v>0</v>
      </c>
      <c r="AF3" s="328"/>
      <c r="AG3" s="340">
        <v>0</v>
      </c>
      <c r="AH3" s="340" t="str">
        <f t="shared" ref="AH3:AH34" ca="1" si="3">IF(RANDBETWEEN(0,1)=1,"SI","NO")</f>
        <v>NO</v>
      </c>
      <c r="AI3" s="340">
        <v>500</v>
      </c>
      <c r="AJ3" s="483"/>
      <c r="AK3" s="340">
        <v>0</v>
      </c>
      <c r="AL3" s="340"/>
      <c r="AM3" s="340"/>
      <c r="AN3" s="340">
        <v>0</v>
      </c>
      <c r="AO3" s="340">
        <v>0</v>
      </c>
    </row>
    <row r="4" spans="1:41">
      <c r="A4" s="23" t="s">
        <v>466</v>
      </c>
      <c r="B4" s="23" t="s">
        <v>411</v>
      </c>
      <c r="C4" s="508">
        <f>IF(Datos_Convenio!D4="A",LOOKUP(Datos_Convenio!E4,Convenio!$A$4:$A$16,Convenio!$L$4:$L$16),LOOKUP(Datos_Convenio!E4,Convenio!$A$20:$A$32,Convenio!$L$20:$L$32))</f>
        <v>4</v>
      </c>
      <c r="D4" s="479">
        <f>C4*Datos_Convenio!H4</f>
        <v>120</v>
      </c>
      <c r="E4" s="507">
        <f>IF(Datos_Convenio!H4="A",LOOKUP(Datos_Convenio!$E$3,Convenio!$A$4:$A$16,Convenio!$L$4:$L$16),LOOKUP(Datos_Convenio!I4,Convenio!$A$20:$A$32,Convenio!$L$20:$L$32))</f>
        <v>3.51</v>
      </c>
      <c r="F4" s="509">
        <f ca="1">IF(Datos_Convenio!H4="A",0,RANDBETWEEN(0,Datos_Convenio!H4))</f>
        <v>6</v>
      </c>
      <c r="G4" s="479">
        <f ca="1">E4*F4</f>
        <v>21.06</v>
      </c>
      <c r="H4" s="480">
        <f>IF(Datos_Convenio!D4="A",0,LOOKUP(Datos_Convenio!E4,Convenio!$A$20:$A$32,Convenio!$K$20:$K$32))</f>
        <v>0</v>
      </c>
      <c r="I4" s="480">
        <f>IF(Datos_Convenio!D4="A",LOOKUP(Datos_Convenio!E4,Convenio!$A$4:$A$16,Convenio!$N$4:$N$16),LOOKUP(Datos_Convenio!E4,Convenio!$A$20:$A$32,Convenio!$N$20:$N$32))</f>
        <v>150</v>
      </c>
      <c r="J4" s="328"/>
      <c r="K4" s="509">
        <f ca="1">RANDBETWEEN(0,(Datos_Convenio!H4))</f>
        <v>4</v>
      </c>
      <c r="L4" s="480">
        <f ca="1">IF(Datos_Convenio!D4="A",LOOKUP(Datos_Convenio!E4,Convenio!$A$4:$A$16,Convenio!$L$4:$L$16*Datos_Variables!K4),LOOKUP(Datos_Convenio!E4,Convenio!$A$20:$A$32,Convenio!$L$20:$L$32*K4))</f>
        <v>16</v>
      </c>
      <c r="M4" s="509">
        <f ca="1">RANDBETWEEN(0,(Datos_Convenio!H4))</f>
        <v>25</v>
      </c>
      <c r="N4" s="480">
        <f ca="1">IF(Datos_Convenio!D4="A",LOOKUP(Datos_Convenio!E4,Convenio!$A$4:$A$16,Convenio!$I$4:$I$16*Datos_Variables!M4),LOOKUP(Datos_Convenio!E4,Convenio!$A$20:$A$32,Convenio!$I$20:$I$32*Datos_Variables!M4))</f>
        <v>540</v>
      </c>
      <c r="O4" s="328">
        <v>0</v>
      </c>
      <c r="P4" s="480">
        <v>0</v>
      </c>
      <c r="Q4" s="480">
        <v>0</v>
      </c>
      <c r="R4" s="328"/>
      <c r="S4" s="340">
        <v>0</v>
      </c>
      <c r="T4" s="331">
        <v>2010</v>
      </c>
      <c r="U4" s="340"/>
      <c r="W4" s="340">
        <v>0</v>
      </c>
      <c r="X4" s="340">
        <v>0</v>
      </c>
      <c r="Y4" s="340">
        <v>0</v>
      </c>
      <c r="Z4" s="480">
        <f>IF(Datos_Convenio!D4="A",LOOKUP(Datos_Convenio!E4,Convenio!$A$4:$A$16,Convenio!$F$4:$F$16),LOOKUP(Datos_Convenio!$E$3,Convenio!$A$20:$A$32,Convenio!$F$20:$F$32*Datos_Convenio!H4))</f>
        <v>100</v>
      </c>
      <c r="AA4" s="328"/>
      <c r="AB4" s="331" t="str">
        <f t="shared" ca="1" si="0"/>
        <v>NO</v>
      </c>
      <c r="AC4" s="331" t="str">
        <f t="shared" ca="1" si="1"/>
        <v>EXTRANJERO</v>
      </c>
      <c r="AD4" s="331">
        <f t="shared" ca="1" si="2"/>
        <v>10</v>
      </c>
      <c r="AE4" s="340">
        <v>0</v>
      </c>
      <c r="AF4" s="328"/>
      <c r="AG4" s="340">
        <v>0</v>
      </c>
      <c r="AH4" s="340" t="str">
        <f t="shared" ca="1" si="3"/>
        <v>NO</v>
      </c>
      <c r="AI4" s="340">
        <v>16</v>
      </c>
      <c r="AJ4" s="483"/>
      <c r="AK4" s="340">
        <v>0</v>
      </c>
      <c r="AL4" s="340">
        <v>0</v>
      </c>
      <c r="AM4" s="340">
        <v>0</v>
      </c>
      <c r="AN4" s="340">
        <v>0</v>
      </c>
      <c r="AO4" s="340">
        <v>0</v>
      </c>
    </row>
    <row r="5" spans="1:41">
      <c r="A5" s="23" t="s">
        <v>467</v>
      </c>
      <c r="B5" s="23" t="s">
        <v>428</v>
      </c>
      <c r="C5" s="508">
        <f>IF(Datos_Convenio!D5="A",LOOKUP(Datos_Convenio!E5,Convenio!$A$4:$A$16,Convenio!$L$4:$L$16),LOOKUP(Datos_Convenio!E5,Convenio!$A$20:$A$32,Convenio!$L$20:$L$32))</f>
        <v>4</v>
      </c>
      <c r="D5" s="479">
        <f>C5*Datos_Convenio!H5</f>
        <v>120</v>
      </c>
      <c r="E5" s="507">
        <f>IF(Datos_Convenio!H5="A",LOOKUP(Datos_Convenio!$E$3,Convenio!$A$4:$A$16,Convenio!$L$4:$L$16),LOOKUP(Datos_Convenio!I5,Convenio!$A$20:$A$32,Convenio!$L$20:$L$32))</f>
        <v>3.51</v>
      </c>
      <c r="F5" s="509">
        <f ca="1">IF(Datos_Convenio!H5="A",0,RANDBETWEEN(0,Datos_Convenio!H5))</f>
        <v>6</v>
      </c>
      <c r="G5" s="479">
        <f ca="1">E5*F5</f>
        <v>21.06</v>
      </c>
      <c r="H5" s="480">
        <f>IF(Datos_Convenio!D5="A",0,LOOKUP(Datos_Convenio!E5,Convenio!$A$20:$A$32,Convenio!$K$20:$K$32))</f>
        <v>0</v>
      </c>
      <c r="I5" s="480">
        <f>IF(Datos_Convenio!D5="A",LOOKUP(Datos_Convenio!E5,Convenio!$A$4:$A$16,Convenio!$N$4:$N$16),LOOKUP(Datos_Convenio!E5,Convenio!$A$20:$A$32,Convenio!$N$20:$N$32))</f>
        <v>150</v>
      </c>
      <c r="J5" s="328"/>
      <c r="K5" s="509">
        <f ca="1">RANDBETWEEN(0,(Datos_Convenio!H5))</f>
        <v>24</v>
      </c>
      <c r="L5" s="480">
        <f ca="1">IF(Datos_Convenio!D5="A",LOOKUP(Datos_Convenio!E5,Convenio!$A$4:$A$16,Convenio!$L$4:$L$16*Datos_Variables!K5),LOOKUP(Datos_Convenio!E5,Convenio!$A$20:$A$32,Convenio!$L$20:$L$32*K5))</f>
        <v>96</v>
      </c>
      <c r="M5" s="509">
        <f ca="1">RANDBETWEEN(0,(Datos_Convenio!H5))</f>
        <v>30</v>
      </c>
      <c r="N5" s="480">
        <f ca="1">IF(Datos_Convenio!D5="A",LOOKUP(Datos_Convenio!E5,Convenio!$A$4:$A$16,Convenio!$I$4:$I$16*Datos_Variables!M5),LOOKUP(Datos_Convenio!E5,Convenio!$A$20:$A$32,Convenio!$I$20:$I$32*Datos_Variables!M5))</f>
        <v>648</v>
      </c>
      <c r="O5" s="328">
        <v>0</v>
      </c>
      <c r="P5" s="480">
        <v>100</v>
      </c>
      <c r="Q5" s="480">
        <f>IF(Datos_Convenio!D5="A",0,LOOKUP(Datos_Convenio!E5,Convenio!$A$20:$A$32,Convenio!$C$20:$C$32*Datos_Convenio!H5))</f>
        <v>0</v>
      </c>
      <c r="R5" s="328"/>
      <c r="S5" s="340"/>
      <c r="T5" s="331"/>
      <c r="U5" s="340"/>
      <c r="W5" s="340"/>
      <c r="X5" s="340"/>
      <c r="Y5" s="340"/>
      <c r="Z5" s="480">
        <f>IF(Datos_Convenio!D5="A",LOOKUP(Datos_Convenio!E5,Convenio!$A$4:$A$16,Convenio!$F$4:$F$16),LOOKUP(Datos_Convenio!$E$3,Convenio!$A$20:$A$32,Convenio!$F$20:$F$32*Datos_Convenio!H5))</f>
        <v>100</v>
      </c>
      <c r="AA5" s="328"/>
      <c r="AB5" s="331" t="str">
        <f t="shared" ca="1" si="0"/>
        <v>SI</v>
      </c>
      <c r="AC5" s="331" t="str">
        <f t="shared" ca="1" si="1"/>
        <v>ESPAÑA</v>
      </c>
      <c r="AD5" s="331">
        <f t="shared" ca="1" si="2"/>
        <v>3</v>
      </c>
      <c r="AE5" s="340">
        <v>0</v>
      </c>
      <c r="AF5" s="328"/>
      <c r="AG5" s="340">
        <v>0</v>
      </c>
      <c r="AH5" s="340" t="str">
        <f t="shared" ca="1" si="3"/>
        <v>NO</v>
      </c>
      <c r="AI5" s="340">
        <v>95</v>
      </c>
      <c r="AJ5" s="483"/>
      <c r="AK5" s="340">
        <v>0</v>
      </c>
      <c r="AL5" s="340">
        <v>0</v>
      </c>
      <c r="AM5" s="340">
        <v>0</v>
      </c>
      <c r="AN5" s="340">
        <v>0</v>
      </c>
      <c r="AO5" s="340">
        <v>0</v>
      </c>
    </row>
    <row r="6" spans="1:41">
      <c r="A6" s="23" t="s">
        <v>468</v>
      </c>
      <c r="B6" s="23" t="s">
        <v>380</v>
      </c>
      <c r="C6" s="508">
        <f>IF(Datos_Convenio!D6="A",LOOKUP(Datos_Convenio!E6,Convenio!$A$4:$A$16,Convenio!$L$4:$L$16),LOOKUP(Datos_Convenio!E6,Convenio!$A$20:$A$32,Convenio!$L$20:$L$32))</f>
        <v>4</v>
      </c>
      <c r="D6" s="479">
        <f>C6*Datos_Convenio!H6</f>
        <v>120</v>
      </c>
      <c r="E6" s="507">
        <f>IF(Datos_Convenio!H6="A",LOOKUP(Datos_Convenio!$E$3,Convenio!$A$4:$A$16,Convenio!$L$4:$L$16),LOOKUP(Datos_Convenio!I6,Convenio!$A$20:$A$32,Convenio!$L$20:$L$32))</f>
        <v>3.51</v>
      </c>
      <c r="F6" s="509">
        <f ca="1">IF(Datos_Convenio!H6="A",0,RANDBETWEEN(0,Datos_Convenio!H6))</f>
        <v>3</v>
      </c>
      <c r="G6" s="479">
        <v>120</v>
      </c>
      <c r="H6" s="480">
        <f>IF(Datos_Convenio!D6="A",0,LOOKUP(Datos_Convenio!E6,Convenio!$A$20:$A$32,Convenio!$K$20:$K$32))</f>
        <v>0</v>
      </c>
      <c r="I6" s="480">
        <f>IF(Datos_Convenio!D6="A",LOOKUP(Datos_Convenio!E6,Convenio!$A$4:$A$16,Convenio!$N$4:$N$16),LOOKUP(Datos_Convenio!E6,Convenio!$A$20:$A$32,Convenio!$N$20:$N$32))</f>
        <v>100</v>
      </c>
      <c r="J6" s="328"/>
      <c r="K6" s="509">
        <f ca="1">RANDBETWEEN(0,(Datos_Convenio!H6))</f>
        <v>9</v>
      </c>
      <c r="L6" s="480">
        <f ca="1">IF(Datos_Convenio!D6="A",LOOKUP(Datos_Convenio!E6,Convenio!$A$4:$A$16,Convenio!$L$4:$L$16*Datos_Variables!K6),LOOKUP(Datos_Convenio!E6,Convenio!$A$20:$A$32,Convenio!$L$20:$L$32*K6))</f>
        <v>36</v>
      </c>
      <c r="M6" s="509">
        <f ca="1">RANDBETWEEN(0,(Datos_Convenio!H6))</f>
        <v>14</v>
      </c>
      <c r="N6" s="480">
        <f ca="1">IF(Datos_Convenio!D6="A",LOOKUP(Datos_Convenio!E6,Convenio!$A$4:$A$16,Convenio!$I$4:$I$16*Datos_Variables!M6),LOOKUP(Datos_Convenio!E6,Convenio!$A$20:$A$32,Convenio!$I$20:$I$32*Datos_Variables!M6))</f>
        <v>300.13200000000006</v>
      </c>
      <c r="O6" s="328"/>
      <c r="P6" s="480">
        <v>175</v>
      </c>
      <c r="Q6" s="480">
        <f>IF(Datos_Convenio!D6="A",0,LOOKUP(Datos_Convenio!E6,Convenio!$A$20:$A$32,Convenio!$C$20:$C$32*Datos_Convenio!H6))</f>
        <v>0</v>
      </c>
      <c r="R6" s="328"/>
      <c r="S6" s="340"/>
      <c r="T6" s="331"/>
      <c r="U6" s="340">
        <v>21000</v>
      </c>
      <c r="W6" s="340"/>
      <c r="X6" s="340"/>
      <c r="Y6" s="340"/>
      <c r="Z6" s="480">
        <f>IF(Datos_Convenio!D6="A",LOOKUP(Datos_Convenio!E6,Convenio!$A$4:$A$16,Convenio!$F$4:$F$16),LOOKUP(Datos_Convenio!$E$3,Convenio!$A$20:$A$32,Convenio!$F$20:$F$32*Datos_Convenio!H6))</f>
        <v>100</v>
      </c>
      <c r="AA6" s="328"/>
      <c r="AB6" s="331" t="str">
        <f t="shared" ca="1" si="0"/>
        <v>NO</v>
      </c>
      <c r="AC6" s="331" t="str">
        <f t="shared" ca="1" si="1"/>
        <v>ESPAÑA</v>
      </c>
      <c r="AD6" s="331">
        <f t="shared" ca="1" si="2"/>
        <v>5</v>
      </c>
      <c r="AE6" s="340">
        <v>0</v>
      </c>
      <c r="AF6" s="328"/>
      <c r="AG6" s="340">
        <v>173</v>
      </c>
      <c r="AH6" s="340" t="str">
        <f t="shared" ca="1" si="3"/>
        <v>NO</v>
      </c>
      <c r="AI6" s="340">
        <v>13</v>
      </c>
      <c r="AJ6" s="483"/>
      <c r="AK6" s="340"/>
      <c r="AL6" s="340"/>
      <c r="AM6" s="340"/>
      <c r="AN6" s="340"/>
      <c r="AO6" s="340"/>
    </row>
    <row r="7" spans="1:41">
      <c r="A7" s="23" t="s">
        <v>469</v>
      </c>
      <c r="B7" s="23" t="s">
        <v>402</v>
      </c>
      <c r="C7" s="508">
        <f>IF(Datos_Convenio!D7="A",LOOKUP(Datos_Convenio!E7,Convenio!$A$4:$A$16,Convenio!$L$4:$L$16),LOOKUP(Datos_Convenio!E7,Convenio!$A$20:$A$32,Convenio!$L$20:$L$32))</f>
        <v>3.51</v>
      </c>
      <c r="D7" s="479">
        <f>C7*Datos_Convenio!H7</f>
        <v>105.3</v>
      </c>
      <c r="E7" s="507">
        <f>IF(Datos_Convenio!H7="A",LOOKUP(Datos_Convenio!$E$3,Convenio!$A$4:$A$16,Convenio!$L$4:$L$16),LOOKUP(Datos_Convenio!I7,Convenio!$A$20:$A$32,Convenio!$L$20:$L$32))</f>
        <v>3.51</v>
      </c>
      <c r="F7" s="509">
        <f ca="1">IF(Datos_Convenio!H7="A",0,RANDBETWEEN(0,Datos_Convenio!H7))</f>
        <v>17</v>
      </c>
      <c r="G7" s="479">
        <f t="shared" ref="G7:G52" ca="1" si="4">E7*F7</f>
        <v>59.669999999999995</v>
      </c>
      <c r="H7" s="480">
        <f>IF(Datos_Convenio!D7="A",0,LOOKUP(Datos_Convenio!E7,Convenio!$A$20:$A$32,Convenio!$K$20:$K$32))</f>
        <v>3.38</v>
      </c>
      <c r="I7" s="480">
        <f>IF(Datos_Convenio!D7="A",LOOKUP(Datos_Convenio!E7,Convenio!$A$4:$A$16,Convenio!$N$4:$N$16),LOOKUP(Datos_Convenio!E7,Convenio!$A$20:$A$32,Convenio!$N$20:$N$32))</f>
        <v>75</v>
      </c>
      <c r="J7" s="328"/>
      <c r="K7" s="509">
        <f ca="1">RANDBETWEEN(0,(Datos_Convenio!H7))</f>
        <v>9</v>
      </c>
      <c r="L7" s="480">
        <f ca="1">IF(Datos_Convenio!D7="A",LOOKUP(Datos_Convenio!E7,Convenio!$A$4:$A$16,Convenio!$L$4:$L$16*Datos_Variables!K7),LOOKUP(Datos_Convenio!E7,Convenio!$A$20:$A$32,Convenio!$L$20:$L$32*K7))</f>
        <v>31.589999999999996</v>
      </c>
      <c r="M7" s="509">
        <f ca="1">RANDBETWEEN(0,(Datos_Convenio!H7))</f>
        <v>24</v>
      </c>
      <c r="N7" s="480">
        <f ca="1">IF(Datos_Convenio!D7="A",LOOKUP(Datos_Convenio!E7,Convenio!$A$4:$A$16,Convenio!$I$4:$I$16*Datos_Variables!M7),LOOKUP(Datos_Convenio!E7,Convenio!$A$20:$A$32,Convenio!$I$20:$I$32*Datos_Variables!M7))</f>
        <v>469.67040000000003</v>
      </c>
      <c r="O7" s="328"/>
      <c r="P7" s="480">
        <f>4*30</f>
        <v>120</v>
      </c>
      <c r="Q7" s="480">
        <f>IF(Datos_Convenio!D7="A",0,LOOKUP(Datos_Convenio!E7,Convenio!$A$20:$A$32,Convenio!$C$20:$C$32*Datos_Convenio!H7))</f>
        <v>202.5</v>
      </c>
      <c r="R7" s="328"/>
      <c r="S7" s="340"/>
      <c r="T7" s="331"/>
      <c r="U7" s="340"/>
      <c r="W7" s="340"/>
      <c r="X7" s="340"/>
      <c r="Y7" s="340"/>
      <c r="Z7" s="480">
        <f>3*30</f>
        <v>90</v>
      </c>
      <c r="AA7" s="328"/>
      <c r="AB7" s="331" t="str">
        <f t="shared" ca="1" si="0"/>
        <v>SI</v>
      </c>
      <c r="AC7" s="331" t="str">
        <f t="shared" ca="1" si="1"/>
        <v>ESPAÑA</v>
      </c>
      <c r="AD7" s="331">
        <f t="shared" ca="1" si="2"/>
        <v>8</v>
      </c>
      <c r="AE7" s="340">
        <v>0</v>
      </c>
      <c r="AF7" s="328"/>
      <c r="AG7" s="340">
        <v>0</v>
      </c>
      <c r="AH7" s="340" t="str">
        <f t="shared" ca="1" si="3"/>
        <v>NO</v>
      </c>
      <c r="AI7" s="340">
        <v>80</v>
      </c>
      <c r="AJ7" s="483"/>
      <c r="AK7" s="340"/>
      <c r="AL7" s="340"/>
      <c r="AM7" s="340"/>
      <c r="AN7" s="340"/>
      <c r="AO7" s="340"/>
    </row>
    <row r="8" spans="1:41">
      <c r="A8" s="23" t="s">
        <v>470</v>
      </c>
      <c r="B8" s="23" t="s">
        <v>413</v>
      </c>
      <c r="C8" s="508">
        <f>IF(Datos_Convenio!D8="A",LOOKUP(Datos_Convenio!E8,Convenio!$A$4:$A$16,Convenio!$L$4:$L$16),LOOKUP(Datos_Convenio!E8,Convenio!$A$20:$A$32,Convenio!$L$20:$L$32))</f>
        <v>4</v>
      </c>
      <c r="D8" s="479">
        <f>C8*Datos_Convenio!H8</f>
        <v>120</v>
      </c>
      <c r="E8" s="507">
        <f>IF(Datos_Convenio!H8="A",LOOKUP(Datos_Convenio!$E$3,Convenio!$A$4:$A$16,Convenio!$L$4:$L$16),LOOKUP(Datos_Convenio!I8,Convenio!$A$20:$A$32,Convenio!$L$20:$L$32))</f>
        <v>3.51</v>
      </c>
      <c r="F8" s="509">
        <f ca="1">IF(Datos_Convenio!H8="A",0,RANDBETWEEN(0,Datos_Convenio!H8))</f>
        <v>28</v>
      </c>
      <c r="G8" s="479">
        <f t="shared" ca="1" si="4"/>
        <v>98.28</v>
      </c>
      <c r="H8" s="480">
        <f>IF(Datos_Convenio!D8="A",0,LOOKUP(Datos_Convenio!E8,Convenio!$A$20:$A$32,Convenio!$K$20:$K$32))</f>
        <v>0</v>
      </c>
      <c r="I8" s="480">
        <f>IF(Datos_Convenio!D8="A",LOOKUP(Datos_Convenio!E8,Convenio!$A$4:$A$16,Convenio!$N$4:$N$16),LOOKUP(Datos_Convenio!E8,Convenio!$A$20:$A$32,Convenio!$N$20:$N$32))</f>
        <v>100</v>
      </c>
      <c r="J8" s="328"/>
      <c r="K8" s="509">
        <f ca="1">RANDBETWEEN(0,(Datos_Convenio!H8))</f>
        <v>12</v>
      </c>
      <c r="L8" s="510">
        <f ca="1">IF(Datos_Convenio!D8="A",LOOKUP(Datos_Convenio!E8,Convenio!$A$4:$A$16,Convenio!$L$4:$L$16*Datos_Variables!K8),LOOKUP(Datos_Convenio!E8,Convenio!$A$20:$A$32,Convenio!$L$20:$L$32*K8))</f>
        <v>48</v>
      </c>
      <c r="M8" s="509">
        <f ca="1">RANDBETWEEN(0,(Datos_Convenio!H8))</f>
        <v>4</v>
      </c>
      <c r="N8" s="480">
        <f ca="1">IF(Datos_Convenio!D8="A",LOOKUP(Datos_Convenio!E8,Convenio!$A$4:$A$16,Convenio!$I$4:$I$16*Datos_Variables!M8),LOOKUP(Datos_Convenio!E8,Convenio!$A$20:$A$32,Convenio!$I$20:$I$32*Datos_Variables!M8))</f>
        <v>85.75200000000001</v>
      </c>
      <c r="O8" s="328"/>
      <c r="P8" s="480">
        <f>IF(Datos_Convenio!D8="A",LOOKUP(Datos_Convenio!E8,Convenio!$A$4:$A$16,Convenio!$E$4:$E$16),LOOKUP(Datos_Convenio!E8,Convenio!$A$20:$A$32,Convenio!$E$20:$E$32*Datos_Convenio!H8))</f>
        <v>240</v>
      </c>
      <c r="Q8" s="480">
        <f>IF(Datos_Convenio!D8="A",0,LOOKUP(Datos_Convenio!E8,Convenio!$A$20:$A$32,Convenio!$C$20:$C$32*Datos_Convenio!H8))</f>
        <v>0</v>
      </c>
      <c r="R8" s="328"/>
      <c r="S8" s="340"/>
      <c r="T8" s="331"/>
      <c r="U8" s="340"/>
      <c r="W8" s="340"/>
      <c r="X8" s="340"/>
      <c r="Y8" s="340"/>
      <c r="Z8" s="480">
        <f>IF(Datos_Convenio!D8="A",LOOKUP(Datos_Convenio!E8,Convenio!$A$4:$A$16,Convenio!$F$4:$F$16),LOOKUP(Datos_Convenio!$E$3,Convenio!$A$20:$A$32,Convenio!$F$20:$F$32*Datos_Convenio!H8))</f>
        <v>100</v>
      </c>
      <c r="AA8" s="328"/>
      <c r="AB8" s="331" t="str">
        <f t="shared" ca="1" si="0"/>
        <v>NO</v>
      </c>
      <c r="AC8" s="331" t="str">
        <f t="shared" ca="1" si="1"/>
        <v>ESPAÑA</v>
      </c>
      <c r="AD8" s="331">
        <f t="shared" ca="1" si="2"/>
        <v>6</v>
      </c>
      <c r="AE8" s="340">
        <v>150</v>
      </c>
      <c r="AF8" s="328"/>
      <c r="AG8" s="340">
        <v>172.27076923076899</v>
      </c>
      <c r="AH8" s="340" t="str">
        <f t="shared" ca="1" si="3"/>
        <v>NO</v>
      </c>
      <c r="AI8" s="340">
        <v>2</v>
      </c>
      <c r="AJ8" s="483"/>
      <c r="AK8" s="340"/>
      <c r="AL8" s="340"/>
      <c r="AM8" s="340"/>
      <c r="AN8" s="340"/>
      <c r="AO8" s="340"/>
    </row>
    <row r="9" spans="1:41">
      <c r="A9" s="23" t="s">
        <v>471</v>
      </c>
      <c r="B9" s="23" t="s">
        <v>381</v>
      </c>
      <c r="C9" s="508">
        <f>IF(Datos_Convenio!D9="A",LOOKUP(Datos_Convenio!E9,Convenio!$A$4:$A$16,Convenio!$L$4:$L$16),LOOKUP(Datos_Convenio!E9,Convenio!$A$20:$A$32,Convenio!$L$20:$L$32))</f>
        <v>4</v>
      </c>
      <c r="D9" s="479">
        <f>C9*Datos_Convenio!H9</f>
        <v>120</v>
      </c>
      <c r="E9" s="507">
        <f>IF(Datos_Convenio!H9="A",LOOKUP(Datos_Convenio!$E$3,Convenio!$A$4:$A$16,Convenio!$L$4:$L$16),LOOKUP(Datos_Convenio!I9,Convenio!$A$20:$A$32,Convenio!$L$20:$L$32))</f>
        <v>3.51</v>
      </c>
      <c r="F9" s="509">
        <f ca="1">IF(Datos_Convenio!H9="A",0,RANDBETWEEN(0,Datos_Convenio!H9))</f>
        <v>14</v>
      </c>
      <c r="G9" s="479">
        <f t="shared" ca="1" si="4"/>
        <v>49.14</v>
      </c>
      <c r="H9" s="480">
        <f>IF(Datos_Convenio!D9="A",0,LOOKUP(Datos_Convenio!E9,Convenio!$A$20:$A$32,Convenio!$K$20:$K$32))</f>
        <v>0</v>
      </c>
      <c r="I9" s="480">
        <f>IF(Datos_Convenio!D9="A",LOOKUP(Datos_Convenio!E9,Convenio!$A$4:$A$16,Convenio!$N$4:$N$16),LOOKUP(Datos_Convenio!E9,Convenio!$A$20:$A$32,Convenio!$N$20:$N$32))</f>
        <v>150</v>
      </c>
      <c r="J9" s="328"/>
      <c r="K9" s="509">
        <f ca="1">RANDBETWEEN(0,(Datos_Convenio!H9))</f>
        <v>28</v>
      </c>
      <c r="L9" s="480">
        <f ca="1">IF(Datos_Convenio!D9="A",LOOKUP(Datos_Convenio!E9,Convenio!$A$4:$A$16,Convenio!$L$4:$L$16*Datos_Variables!K9),LOOKUP(Datos_Convenio!E9,Convenio!$A$20:$A$32,Convenio!$L$20:$L$32*K9))</f>
        <v>112</v>
      </c>
      <c r="M9" s="509">
        <f ca="1">RANDBETWEEN(0,(Datos_Convenio!H9))</f>
        <v>12</v>
      </c>
      <c r="N9" s="480">
        <f ca="1">IF(Datos_Convenio!D9="A",LOOKUP(Datos_Convenio!E9,Convenio!$A$4:$A$16,Convenio!$I$4:$I$16*Datos_Variables!M9),LOOKUP(Datos_Convenio!E9,Convenio!$A$20:$A$32,Convenio!$I$20:$I$32*Datos_Variables!M9))</f>
        <v>259.20000000000005</v>
      </c>
      <c r="O9" s="328"/>
      <c r="P9" s="480">
        <v>0</v>
      </c>
      <c r="Q9" s="480">
        <f>IF(Datos_Convenio!D9="A",0,LOOKUP(Datos_Convenio!E9,Convenio!$A$20:$A$32,Convenio!$C$20:$C$32*Datos_Convenio!H9))</f>
        <v>0</v>
      </c>
      <c r="R9" s="328"/>
      <c r="S9" s="340"/>
      <c r="T9" s="331"/>
      <c r="U9" s="340"/>
      <c r="W9" s="340"/>
      <c r="X9" s="340"/>
      <c r="Y9" s="340"/>
      <c r="Z9" s="480">
        <v>0</v>
      </c>
      <c r="AA9" s="328"/>
      <c r="AB9" s="331" t="str">
        <f t="shared" ca="1" si="0"/>
        <v>NO</v>
      </c>
      <c r="AC9" s="331" t="str">
        <f t="shared" ca="1" si="1"/>
        <v>EXTRANJERO</v>
      </c>
      <c r="AD9" s="331">
        <f t="shared" ca="1" si="2"/>
        <v>10</v>
      </c>
      <c r="AE9" s="340">
        <v>0</v>
      </c>
      <c r="AF9" s="328"/>
      <c r="AG9" s="340">
        <v>0</v>
      </c>
      <c r="AH9" s="340" t="str">
        <f t="shared" ca="1" si="3"/>
        <v>NO</v>
      </c>
      <c r="AI9" s="340">
        <v>11</v>
      </c>
      <c r="AJ9" s="483"/>
      <c r="AK9" s="340"/>
      <c r="AL9" s="340"/>
      <c r="AM9" s="340"/>
      <c r="AN9" s="340"/>
      <c r="AO9" s="340"/>
    </row>
    <row r="10" spans="1:41">
      <c r="A10" s="23" t="s">
        <v>472</v>
      </c>
      <c r="B10" s="23" t="s">
        <v>414</v>
      </c>
      <c r="C10" s="508">
        <f>IF(Datos_Convenio!D10="A",LOOKUP(Datos_Convenio!E10,Convenio!$A$4:$A$16,Convenio!$L$4:$L$16),LOOKUP(Datos_Convenio!E10,Convenio!$A$20:$A$32,Convenio!$L$20:$L$32))</f>
        <v>4</v>
      </c>
      <c r="D10" s="479">
        <f>C10*Datos_Convenio!H10</f>
        <v>120</v>
      </c>
      <c r="E10" s="507">
        <f>IF(Datos_Convenio!H10="A",LOOKUP(Datos_Convenio!$E$3,Convenio!$A$4:$A$16,Convenio!$L$4:$L$16),LOOKUP(Datos_Convenio!I10,Convenio!$A$20:$A$32,Convenio!$L$20:$L$32))</f>
        <v>3.51</v>
      </c>
      <c r="F10" s="509">
        <f ca="1">IF(Datos_Convenio!H10="A",0,RANDBETWEEN(0,Datos_Convenio!H10))</f>
        <v>2</v>
      </c>
      <c r="G10" s="479">
        <f t="shared" ca="1" si="4"/>
        <v>7.02</v>
      </c>
      <c r="H10" s="480">
        <f>IF(Datos_Convenio!D10="A",0,LOOKUP(Datos_Convenio!E10,Convenio!$A$20:$A$32,Convenio!$K$20:$K$32))</f>
        <v>0</v>
      </c>
      <c r="I10" s="480">
        <f>IF(Datos_Convenio!D10="A",LOOKUP(Datos_Convenio!E10,Convenio!$A$4:$A$16,Convenio!$N$4:$N$16),LOOKUP(Datos_Convenio!E10,Convenio!$A$20:$A$32,Convenio!$N$20:$N$32))</f>
        <v>150</v>
      </c>
      <c r="J10" s="328"/>
      <c r="K10" s="509">
        <f ca="1">RANDBETWEEN(0,(Datos_Convenio!H10))</f>
        <v>2</v>
      </c>
      <c r="L10" s="480">
        <f ca="1">IF(Datos_Convenio!D10="A",LOOKUP(Datos_Convenio!E10,Convenio!$A$4:$A$16,Convenio!$L$4:$L$16*Datos_Variables!K10),LOOKUP(Datos_Convenio!E10,Convenio!$A$20:$A$32,Convenio!$L$20:$L$32*K10))</f>
        <v>8</v>
      </c>
      <c r="M10" s="509">
        <f ca="1">RANDBETWEEN(0,(Datos_Convenio!H10))</f>
        <v>21</v>
      </c>
      <c r="N10" s="480">
        <f ca="1">IF(Datos_Convenio!D10="A",LOOKUP(Datos_Convenio!E10,Convenio!$A$4:$A$16,Convenio!$I$4:$I$16*Datos_Variables!M10),LOOKUP(Datos_Convenio!E10,Convenio!$A$20:$A$32,Convenio!$I$20:$I$32*Datos_Variables!M10))</f>
        <v>453.6</v>
      </c>
      <c r="O10" s="328"/>
      <c r="P10" s="480">
        <f>IF(Datos_Convenio!D10="A",LOOKUP(Datos_Convenio!E10,Convenio!$A$4:$A$16,Convenio!$E$4:$E$16),LOOKUP(Datos_Convenio!E10,Convenio!$A$20:$A$32,Convenio!$E$20:$E$32*Datos_Convenio!H10))</f>
        <v>240</v>
      </c>
      <c r="Q10" s="480">
        <f>IF(Datos_Convenio!D10="A",0,LOOKUP(Datos_Convenio!E10,Convenio!$A$20:$A$32,Convenio!$C$20:$C$32*Datos_Convenio!H10))</f>
        <v>0</v>
      </c>
      <c r="R10" s="328"/>
      <c r="S10" s="340"/>
      <c r="T10" s="331"/>
      <c r="U10" s="340"/>
      <c r="W10" s="340"/>
      <c r="X10" s="340"/>
      <c r="Y10" s="340"/>
      <c r="Z10" s="480">
        <f>IF(Datos_Convenio!D10="A",LOOKUP(Datos_Convenio!E10,Convenio!$A$4:$A$16,Convenio!$F$4:$F$16),LOOKUP(Datos_Convenio!$E$3,Convenio!$A$20:$A$32,Convenio!$F$20:$F$32*Datos_Convenio!H10))</f>
        <v>100</v>
      </c>
      <c r="AA10" s="328"/>
      <c r="AB10" s="331" t="str">
        <f t="shared" ca="1" si="0"/>
        <v>SI</v>
      </c>
      <c r="AC10" s="331" t="str">
        <f t="shared" ca="1" si="1"/>
        <v>ESPAÑA</v>
      </c>
      <c r="AD10" s="331">
        <f t="shared" ca="1" si="2"/>
        <v>2</v>
      </c>
      <c r="AE10" s="340">
        <v>0</v>
      </c>
      <c r="AF10" s="328"/>
      <c r="AG10" s="340">
        <v>171.64</v>
      </c>
      <c r="AH10" s="340" t="str">
        <f t="shared" ca="1" si="3"/>
        <v>NO</v>
      </c>
      <c r="AI10" s="340">
        <v>19</v>
      </c>
      <c r="AJ10" s="483"/>
      <c r="AK10" s="340"/>
      <c r="AL10" s="340"/>
      <c r="AM10" s="340"/>
      <c r="AN10" s="340"/>
      <c r="AO10" s="340"/>
    </row>
    <row r="11" spans="1:41">
      <c r="A11" s="23" t="s">
        <v>473</v>
      </c>
      <c r="B11" s="23" t="s">
        <v>432</v>
      </c>
      <c r="C11" s="508">
        <f>IF(Datos_Convenio!D11="A",LOOKUP(Datos_Convenio!E11,Convenio!$A$4:$A$16,Convenio!$L$4:$L$16),LOOKUP(Datos_Convenio!E11,Convenio!$A$20:$A$32,Convenio!$L$20:$L$32))</f>
        <v>4</v>
      </c>
      <c r="D11" s="479">
        <v>0</v>
      </c>
      <c r="E11" s="507">
        <f>IF(Datos_Convenio!H11="A",LOOKUP(Datos_Convenio!$E$3,Convenio!$A$4:$A$16,Convenio!$L$4:$L$16),LOOKUP(Datos_Convenio!I11,Convenio!$A$20:$A$32,Convenio!$L$20:$L$32))</f>
        <v>3.51</v>
      </c>
      <c r="F11" s="509">
        <f ca="1">IF(Datos_Convenio!H11="A",0,RANDBETWEEN(0,Datos_Convenio!H11))</f>
        <v>27</v>
      </c>
      <c r="G11" s="479">
        <f t="shared" ca="1" si="4"/>
        <v>94.77</v>
      </c>
      <c r="H11" s="480">
        <f>IF(Datos_Convenio!D11="A",0,LOOKUP(Datos_Convenio!E11,Convenio!$A$20:$A$32,Convenio!$K$20:$K$32))</f>
        <v>0</v>
      </c>
      <c r="I11" s="480">
        <f>IF(Datos_Convenio!D11="A",LOOKUP(Datos_Convenio!E11,Convenio!$A$4:$A$16,Convenio!$N$4:$N$16),LOOKUP(Datos_Convenio!E11,Convenio!$A$20:$A$32,Convenio!$N$20:$N$32))</f>
        <v>150</v>
      </c>
      <c r="J11" s="328"/>
      <c r="K11" s="509">
        <f ca="1">RANDBETWEEN(0,(Datos_Convenio!H11))</f>
        <v>4</v>
      </c>
      <c r="L11" s="480">
        <f ca="1">IF(Datos_Convenio!D11="A",LOOKUP(Datos_Convenio!E11,Convenio!$A$4:$A$16,Convenio!$L$4:$L$16*Datos_Variables!K11),LOOKUP(Datos_Convenio!E11,Convenio!$A$20:$A$32,Convenio!$L$20:$L$32*K11))</f>
        <v>16</v>
      </c>
      <c r="M11" s="509">
        <f ca="1">RANDBETWEEN(0,(Datos_Convenio!H11))</f>
        <v>24</v>
      </c>
      <c r="N11" s="480">
        <f ca="1">IF(Datos_Convenio!D11="A",LOOKUP(Datos_Convenio!E11,Convenio!$A$4:$A$16,Convenio!$I$4:$I$16*Datos_Variables!M11),LOOKUP(Datos_Convenio!E11,Convenio!$A$20:$A$32,Convenio!$I$20:$I$32*Datos_Variables!M11))</f>
        <v>518.40000000000009</v>
      </c>
      <c r="O11" s="328"/>
      <c r="P11" s="480">
        <v>250</v>
      </c>
      <c r="Q11" s="480">
        <f>IF(Datos_Convenio!D11="A",0,LOOKUP(Datos_Convenio!E11,Convenio!$A$20:$A$32,Convenio!$C$20:$C$32*Datos_Convenio!H11))</f>
        <v>0</v>
      </c>
      <c r="R11" s="328"/>
      <c r="S11" s="340"/>
      <c r="T11" s="331"/>
      <c r="U11" s="340"/>
      <c r="W11" s="340"/>
      <c r="X11" s="340"/>
      <c r="Y11" s="340"/>
      <c r="Z11" s="480">
        <v>0</v>
      </c>
      <c r="AA11" s="328"/>
      <c r="AB11" s="331" t="str">
        <f t="shared" ca="1" si="0"/>
        <v>SI</v>
      </c>
      <c r="AC11" s="331" t="str">
        <f t="shared" ca="1" si="1"/>
        <v>ESPAÑA</v>
      </c>
      <c r="AD11" s="331">
        <f t="shared" ca="1" si="2"/>
        <v>7</v>
      </c>
      <c r="AE11" s="340">
        <v>0</v>
      </c>
      <c r="AF11" s="328"/>
      <c r="AG11" s="340">
        <v>0</v>
      </c>
      <c r="AH11" s="340" t="str">
        <f t="shared" ca="1" si="3"/>
        <v>NO</v>
      </c>
      <c r="AI11" s="340">
        <v>0</v>
      </c>
      <c r="AJ11" s="483"/>
      <c r="AK11" s="340"/>
      <c r="AL11" s="340"/>
      <c r="AM11" s="340"/>
      <c r="AN11" s="340"/>
      <c r="AO11" s="340"/>
    </row>
    <row r="12" spans="1:41">
      <c r="A12" s="23" t="s">
        <v>474</v>
      </c>
      <c r="B12" s="23" t="s">
        <v>421</v>
      </c>
      <c r="C12" s="508">
        <f>IF(Datos_Convenio!D12="A",LOOKUP(Datos_Convenio!E12,Convenio!$A$4:$A$16,Convenio!$L$4:$L$16),LOOKUP(Datos_Convenio!E12,Convenio!$A$20:$A$32,Convenio!$L$20:$L$32))</f>
        <v>3.51</v>
      </c>
      <c r="D12" s="479">
        <v>0</v>
      </c>
      <c r="E12" s="507">
        <f>IF(Datos_Convenio!H12="A",LOOKUP(Datos_Convenio!$E$3,Convenio!$A$4:$A$16,Convenio!$L$4:$L$16),LOOKUP(Datos_Convenio!I12,Convenio!$A$20:$A$32,Convenio!$L$20:$L$32))</f>
        <v>3.51</v>
      </c>
      <c r="F12" s="509">
        <f ca="1">IF(Datos_Convenio!H12="A",0,RANDBETWEEN(0,Datos_Convenio!H12))</f>
        <v>5</v>
      </c>
      <c r="G12" s="479">
        <f t="shared" ca="1" si="4"/>
        <v>17.549999999999997</v>
      </c>
      <c r="H12" s="480">
        <f>IF(Datos_Convenio!D12="A",0,LOOKUP(Datos_Convenio!E12,Convenio!$A$20:$A$32,Convenio!$K$20:$K$32))</f>
        <v>3.38</v>
      </c>
      <c r="I12" s="480">
        <f>IF(Datos_Convenio!D12="A",LOOKUP(Datos_Convenio!E12,Convenio!$A$4:$A$16,Convenio!$N$4:$N$16),LOOKUP(Datos_Convenio!E12,Convenio!$A$20:$A$32,Convenio!$N$20:$N$32))</f>
        <v>50</v>
      </c>
      <c r="J12" s="328"/>
      <c r="K12" s="509">
        <f ca="1">RANDBETWEEN(0,(Datos_Convenio!H12))</f>
        <v>18</v>
      </c>
      <c r="L12" s="480">
        <f ca="1">IF(Datos_Convenio!D12="A",LOOKUP(Datos_Convenio!E12,Convenio!$A$4:$A$16,Convenio!$L$4:$L$16*Datos_Variables!K12),LOOKUP(Datos_Convenio!E12,Convenio!$A$20:$A$32,Convenio!$L$20:$L$32*K12))</f>
        <v>63.179999999999993</v>
      </c>
      <c r="M12" s="509">
        <f ca="1">RANDBETWEEN(0,(Datos_Convenio!H12))</f>
        <v>15</v>
      </c>
      <c r="N12" s="480">
        <f ca="1">IF(Datos_Convenio!D12="A",LOOKUP(Datos_Convenio!E12,Convenio!$A$4:$A$16,Convenio!$I$4:$I$16*Datos_Variables!M12),LOOKUP(Datos_Convenio!E12,Convenio!$A$20:$A$32,Convenio!$I$20:$I$32*Datos_Variables!M12))</f>
        <v>276.53399999999999</v>
      </c>
      <c r="O12" s="328"/>
      <c r="P12" s="480">
        <v>115</v>
      </c>
      <c r="Q12" s="480"/>
      <c r="R12" s="328"/>
      <c r="S12" s="340"/>
      <c r="T12" s="331"/>
      <c r="U12" s="340"/>
      <c r="W12" s="340"/>
      <c r="X12" s="340"/>
      <c r="Y12" s="340"/>
      <c r="Z12" s="480">
        <v>0</v>
      </c>
      <c r="AA12" s="328"/>
      <c r="AB12" s="331" t="str">
        <f t="shared" ca="1" si="0"/>
        <v>SI</v>
      </c>
      <c r="AC12" s="331" t="str">
        <f t="shared" ca="1" si="1"/>
        <v>ESPAÑA</v>
      </c>
      <c r="AD12" s="331">
        <v>2</v>
      </c>
      <c r="AE12" s="340">
        <v>210</v>
      </c>
      <c r="AF12" s="328"/>
      <c r="AG12" s="340">
        <v>138</v>
      </c>
      <c r="AH12" s="340" t="str">
        <f t="shared" ca="1" si="3"/>
        <v>NO</v>
      </c>
      <c r="AI12" s="340">
        <v>100</v>
      </c>
      <c r="AJ12" s="483"/>
      <c r="AK12" s="340"/>
      <c r="AL12" s="340"/>
      <c r="AM12" s="340"/>
      <c r="AN12" s="340"/>
      <c r="AO12" s="340"/>
    </row>
    <row r="13" spans="1:41">
      <c r="A13" s="23" t="s">
        <v>475</v>
      </c>
      <c r="B13" s="23" t="s">
        <v>438</v>
      </c>
      <c r="C13" s="508">
        <f>IF(Datos_Convenio!D13="A",LOOKUP(Datos_Convenio!E13,Convenio!$A$4:$A$16,Convenio!$L$4:$L$16),LOOKUP(Datos_Convenio!E13,Convenio!$A$20:$A$32,Convenio!$L$20:$L$32))</f>
        <v>4</v>
      </c>
      <c r="D13" s="479">
        <v>0</v>
      </c>
      <c r="E13" s="507">
        <f>IF(Datos_Convenio!H13="A",LOOKUP(Datos_Convenio!$E$3,Convenio!$A$4:$A$16,Convenio!$L$4:$L$16),LOOKUP(Datos_Convenio!I13,Convenio!$A$20:$A$32,Convenio!$L$20:$L$32))</f>
        <v>3.51</v>
      </c>
      <c r="F13" s="509">
        <f ca="1">IF(Datos_Convenio!H13="A",0,RANDBETWEEN(0,Datos_Convenio!H13))</f>
        <v>20</v>
      </c>
      <c r="G13" s="479">
        <f t="shared" ca="1" si="4"/>
        <v>70.199999999999989</v>
      </c>
      <c r="H13" s="480">
        <f>IF(Datos_Convenio!D13="A",0,LOOKUP(Datos_Convenio!E13,Convenio!$A$20:$A$32,Convenio!$K$20:$K$32))</f>
        <v>0</v>
      </c>
      <c r="I13" s="480">
        <f>IF(Datos_Convenio!D13="A",LOOKUP(Datos_Convenio!E13,Convenio!$A$4:$A$16,Convenio!$N$4:$N$16),LOOKUP(Datos_Convenio!E13,Convenio!$A$20:$A$32,Convenio!$N$20:$N$32))</f>
        <v>0</v>
      </c>
      <c r="J13" s="328"/>
      <c r="K13" s="509">
        <f ca="1">RANDBETWEEN(0,(Datos_Convenio!H13))</f>
        <v>23</v>
      </c>
      <c r="L13" s="480">
        <f ca="1">IF(Datos_Convenio!D13="A",LOOKUP(Datos_Convenio!E13,Convenio!$A$4:$A$16,Convenio!$L$4:$L$16*Datos_Variables!K13),LOOKUP(Datos_Convenio!E13,Convenio!$A$20:$A$32,Convenio!$L$20:$L$32*K13))</f>
        <v>92</v>
      </c>
      <c r="M13" s="509">
        <f ca="1">RANDBETWEEN(0,(Datos_Convenio!H13))</f>
        <v>1</v>
      </c>
      <c r="N13" s="480">
        <f ca="1">IF(Datos_Convenio!D13="A",LOOKUP(Datos_Convenio!E13,Convenio!$A$4:$A$16,Convenio!$I$4:$I$16*Datos_Variables!M13),LOOKUP(Datos_Convenio!E13,Convenio!$A$20:$A$32,Convenio!$I$20:$I$32*Datos_Variables!M13))</f>
        <v>20.951999999999998</v>
      </c>
      <c r="O13" s="328"/>
      <c r="P13" s="480">
        <v>50</v>
      </c>
      <c r="Q13" s="480">
        <f>IF(Datos_Convenio!D13="A",0,LOOKUP(Datos_Convenio!E13,Convenio!$A$20:$A$32,Convenio!$C$20:$C$32*Datos_Convenio!H13))</f>
        <v>0</v>
      </c>
      <c r="R13" s="328"/>
      <c r="S13" s="340"/>
      <c r="T13" s="331"/>
      <c r="U13" s="340"/>
      <c r="W13" s="340"/>
      <c r="X13" s="340"/>
      <c r="Y13" s="340"/>
      <c r="Z13" s="480">
        <v>0</v>
      </c>
      <c r="AA13" s="328"/>
      <c r="AB13" s="331" t="str">
        <f t="shared" ca="1" si="0"/>
        <v>NO</v>
      </c>
      <c r="AC13" s="331" t="str">
        <f t="shared" ca="1" si="1"/>
        <v>ESPAÑA</v>
      </c>
      <c r="AD13" s="331">
        <f t="shared" ref="AD13:AD52" ca="1" si="5">RANDBETWEEN(0,10)</f>
        <v>0</v>
      </c>
      <c r="AE13" s="340">
        <v>0</v>
      </c>
      <c r="AF13" s="328"/>
      <c r="AG13" s="340">
        <v>0</v>
      </c>
      <c r="AH13" s="340" t="str">
        <f t="shared" ca="1" si="3"/>
        <v>SI</v>
      </c>
      <c r="AI13" s="340">
        <v>0</v>
      </c>
      <c r="AJ13" s="483"/>
      <c r="AK13" s="340"/>
      <c r="AL13" s="340"/>
      <c r="AM13" s="340"/>
      <c r="AN13" s="340"/>
      <c r="AO13" s="340"/>
    </row>
    <row r="14" spans="1:41">
      <c r="A14" s="23" t="s">
        <v>476</v>
      </c>
      <c r="B14" s="23" t="s">
        <v>436</v>
      </c>
      <c r="C14" s="508">
        <f>IF(Datos_Convenio!D14="A",LOOKUP(Datos_Convenio!E14,Convenio!$A$4:$A$16,Convenio!$L$4:$L$16),LOOKUP(Datos_Convenio!E14,Convenio!$A$20:$A$32,Convenio!$L$20:$L$32))</f>
        <v>3.51</v>
      </c>
      <c r="D14" s="479">
        <f>C14*Datos_Convenio!H14</f>
        <v>105.3</v>
      </c>
      <c r="E14" s="507">
        <f>IF(Datos_Convenio!H14="A",LOOKUP(Datos_Convenio!$E$3,Convenio!$A$4:$A$16,Convenio!$L$4:$L$16),LOOKUP(Datos_Convenio!I14,Convenio!$A$20:$A$32,Convenio!$L$20:$L$32))</f>
        <v>3.51</v>
      </c>
      <c r="F14" s="509">
        <f ca="1">IF(Datos_Convenio!H14="A",0,RANDBETWEEN(0,Datos_Convenio!H14))</f>
        <v>16</v>
      </c>
      <c r="G14" s="479">
        <f t="shared" ca="1" si="4"/>
        <v>56.16</v>
      </c>
      <c r="H14" s="480">
        <f>IF(Datos_Convenio!D14="A",0,LOOKUP(Datos_Convenio!E14,Convenio!$A$20:$A$32,Convenio!$K$20:$K$32))</f>
        <v>3.38</v>
      </c>
      <c r="I14" s="480">
        <f>IF(Datos_Convenio!D14="A",LOOKUP(Datos_Convenio!E14,Convenio!$A$4:$A$16,Convenio!$N$4:$N$16),LOOKUP(Datos_Convenio!E14,Convenio!$A$20:$A$32,Convenio!$N$20:$N$32))</f>
        <v>50</v>
      </c>
      <c r="J14" s="328"/>
      <c r="K14" s="509">
        <f ca="1">RANDBETWEEN(0,(Datos_Convenio!H14))</f>
        <v>19</v>
      </c>
      <c r="L14" s="480">
        <f ca="1">IF(Datos_Convenio!D14="A",LOOKUP(Datos_Convenio!E14,Convenio!$A$4:$A$16,Convenio!$L$4:$L$16*Datos_Variables!K14),LOOKUP(Datos_Convenio!E14,Convenio!$A$20:$A$32,Convenio!$L$20:$L$32*K14))</f>
        <v>66.69</v>
      </c>
      <c r="M14" s="509">
        <f ca="1">RANDBETWEEN(0,(Datos_Convenio!H14))</f>
        <v>4</v>
      </c>
      <c r="N14" s="480">
        <f ca="1">IF(Datos_Convenio!D14="A",LOOKUP(Datos_Convenio!E14,Convenio!$A$4:$A$16,Convenio!$I$4:$I$16*Datos_Variables!M14),LOOKUP(Datos_Convenio!E14,Convenio!$A$20:$A$32,Convenio!$I$20:$I$32*Datos_Variables!M14))</f>
        <v>73.742400000000004</v>
      </c>
      <c r="O14" s="328"/>
      <c r="P14" s="480">
        <f>IF(Datos_Convenio!D14="A",LOOKUP(Datos_Convenio!E14,Convenio!$A$4:$A$16,Convenio!$E$4:$E$16),LOOKUP(Datos_Convenio!E14,Convenio!$A$20:$A$32,Convenio!$E$20:$E$32*Datos_Convenio!H14))</f>
        <v>146.4</v>
      </c>
      <c r="Q14" s="480">
        <f>IF(Datos_Convenio!D14="A",0,LOOKUP(Datos_Convenio!E14,Convenio!$A$20:$A$32,Convenio!$C$20:$C$32*Datos_Convenio!H14))</f>
        <v>202.5</v>
      </c>
      <c r="R14" s="328"/>
      <c r="S14" s="340"/>
      <c r="T14" s="331"/>
      <c r="U14" s="340"/>
      <c r="W14" s="340"/>
      <c r="X14" s="340"/>
      <c r="Y14" s="340"/>
      <c r="Z14" s="480">
        <f>IF(Datos_Convenio!D14="A",LOOKUP(Datos_Convenio!E14,Convenio!$A$4:$A$16,Convenio!$F$4:$F$16),LOOKUP(Datos_Convenio!$E$3,Convenio!$A$20:$A$32,Convenio!$F$20:$F$32*Datos_Convenio!H14))</f>
        <v>62.099999999999994</v>
      </c>
      <c r="AA14" s="328"/>
      <c r="AB14" s="331" t="str">
        <f t="shared" ca="1" si="0"/>
        <v>SI</v>
      </c>
      <c r="AC14" s="331" t="str">
        <f t="shared" ca="1" si="1"/>
        <v>EXTRANJERO</v>
      </c>
      <c r="AD14" s="331">
        <f t="shared" ca="1" si="5"/>
        <v>0</v>
      </c>
      <c r="AE14" s="340">
        <v>160</v>
      </c>
      <c r="AF14" s="328"/>
      <c r="AG14" s="340">
        <v>0</v>
      </c>
      <c r="AH14" s="340" t="str">
        <f t="shared" ca="1" si="3"/>
        <v>NO</v>
      </c>
      <c r="AI14" s="340">
        <v>0</v>
      </c>
      <c r="AJ14" s="483"/>
      <c r="AK14" s="340"/>
      <c r="AL14" s="340"/>
      <c r="AM14" s="340"/>
      <c r="AN14" s="340"/>
      <c r="AO14" s="340"/>
    </row>
    <row r="15" spans="1:41">
      <c r="A15" s="23" t="s">
        <v>477</v>
      </c>
      <c r="B15" s="23" t="s">
        <v>431</v>
      </c>
      <c r="C15" s="508">
        <f>IF(Datos_Convenio!D15="A",LOOKUP(Datos_Convenio!E15,Convenio!$A$4:$A$16,Convenio!$L$4:$L$16),LOOKUP(Datos_Convenio!E15,Convenio!$A$20:$A$32,Convenio!$L$20:$L$32))</f>
        <v>4</v>
      </c>
      <c r="D15" s="479">
        <f>C15*Datos_Convenio!H15</f>
        <v>120</v>
      </c>
      <c r="E15" s="507">
        <f>IF(Datos_Convenio!H15="A",LOOKUP(Datos_Convenio!$E$3,Convenio!$A$4:$A$16,Convenio!$L$4:$L$16),LOOKUP(Datos_Convenio!I15,Convenio!$A$20:$A$32,Convenio!$L$20:$L$32))</f>
        <v>3.51</v>
      </c>
      <c r="F15" s="509">
        <f ca="1">IF(Datos_Convenio!H15="A",0,RANDBETWEEN(0,Datos_Convenio!H15))</f>
        <v>5</v>
      </c>
      <c r="G15" s="479">
        <f t="shared" ca="1" si="4"/>
        <v>17.549999999999997</v>
      </c>
      <c r="H15" s="480">
        <f>IF(Datos_Convenio!D15="A",0,LOOKUP(Datos_Convenio!E15,Convenio!$A$20:$A$32,Convenio!$K$20:$K$32))</f>
        <v>0</v>
      </c>
      <c r="I15" s="480">
        <f>IF(Datos_Convenio!D15="A",LOOKUP(Datos_Convenio!E15,Convenio!$A$4:$A$16,Convenio!$N$4:$N$16),LOOKUP(Datos_Convenio!E15,Convenio!$A$20:$A$32,Convenio!$N$20:$N$32))</f>
        <v>75</v>
      </c>
      <c r="J15" s="328"/>
      <c r="K15" s="509">
        <f ca="1">RANDBETWEEN(0,(Datos_Convenio!H15))</f>
        <v>8</v>
      </c>
      <c r="L15" s="480">
        <f ca="1">IF(Datos_Convenio!D15="A",LOOKUP(Datos_Convenio!E15,Convenio!$A$4:$A$16,Convenio!$L$4:$L$16*Datos_Variables!K15),LOOKUP(Datos_Convenio!E15,Convenio!$A$20:$A$32,Convenio!$L$20:$L$32*K15))</f>
        <v>32</v>
      </c>
      <c r="M15" s="509">
        <f ca="1">RANDBETWEEN(0,(Datos_Convenio!H15))</f>
        <v>29</v>
      </c>
      <c r="N15" s="480">
        <f ca="1">IF(Datos_Convenio!D15="A",LOOKUP(Datos_Convenio!E15,Convenio!$A$4:$A$16,Convenio!$I$4:$I$16*Datos_Variables!M15),LOOKUP(Datos_Convenio!E15,Convenio!$A$20:$A$32,Convenio!$I$20:$I$32*Datos_Variables!M15))</f>
        <v>617.00400000000002</v>
      </c>
      <c r="O15" s="328"/>
      <c r="P15" s="480">
        <f>IF(Datos_Convenio!D15="A",LOOKUP(Datos_Convenio!E15,Convenio!$A$4:$A$16,Convenio!$E$4:$E$16),LOOKUP(Datos_Convenio!E15,Convenio!$A$20:$A$32,Convenio!$E$20:$E$32*Datos_Convenio!H15))</f>
        <v>240</v>
      </c>
      <c r="Q15" s="480">
        <f>IF(Datos_Convenio!D15="A",0,LOOKUP(Datos_Convenio!E15,Convenio!$A$20:$A$32,Convenio!$C$20:$C$32*Datos_Convenio!H15))</f>
        <v>0</v>
      </c>
      <c r="R15" s="328"/>
      <c r="S15" s="340"/>
      <c r="T15" s="331"/>
      <c r="U15" s="340"/>
      <c r="W15" s="340"/>
      <c r="X15" s="340"/>
      <c r="Y15" s="340"/>
      <c r="Z15" s="480">
        <f>IF(Datos_Convenio!D15="A",LOOKUP(Datos_Convenio!E15,Convenio!$A$4:$A$16,Convenio!$F$4:$F$16),LOOKUP(Datos_Convenio!$E$3,Convenio!$A$20:$A$32,Convenio!$F$20:$F$32*Datos_Convenio!H15))</f>
        <v>80</v>
      </c>
      <c r="AA15" s="328"/>
      <c r="AB15" s="331" t="str">
        <f t="shared" ca="1" si="0"/>
        <v>NO</v>
      </c>
      <c r="AC15" s="331" t="str">
        <f t="shared" ca="1" si="1"/>
        <v>ESPAÑA</v>
      </c>
      <c r="AD15" s="331">
        <f t="shared" ca="1" si="5"/>
        <v>8</v>
      </c>
      <c r="AE15" s="340">
        <v>0</v>
      </c>
      <c r="AF15" s="328"/>
      <c r="AG15" s="340">
        <v>168.36</v>
      </c>
      <c r="AH15" s="340" t="str">
        <f t="shared" ca="1" si="3"/>
        <v>NO</v>
      </c>
      <c r="AI15" s="340">
        <v>23</v>
      </c>
      <c r="AJ15" s="483"/>
      <c r="AK15" s="340"/>
      <c r="AL15" s="340"/>
      <c r="AM15" s="340"/>
      <c r="AN15" s="340"/>
      <c r="AO15" s="340"/>
    </row>
    <row r="16" spans="1:41">
      <c r="A16" s="23" t="s">
        <v>478</v>
      </c>
      <c r="B16" s="23" t="s">
        <v>430</v>
      </c>
      <c r="C16" s="508">
        <f>IF(Datos_Convenio!D16="A",LOOKUP(Datos_Convenio!E16,Convenio!$A$4:$A$16,Convenio!$L$4:$L$16),LOOKUP(Datos_Convenio!E16,Convenio!$A$20:$A$32,Convenio!$L$20:$L$32))</f>
        <v>4</v>
      </c>
      <c r="D16" s="479">
        <f>C16*Datos_Convenio!H16</f>
        <v>120</v>
      </c>
      <c r="E16" s="507">
        <f>IF(Datos_Convenio!H16="A",LOOKUP(Datos_Convenio!$E$3,Convenio!$A$4:$A$16,Convenio!$L$4:$L$16),LOOKUP(Datos_Convenio!I16,Convenio!$A$20:$A$32,Convenio!$L$20:$L$32))</f>
        <v>3.51</v>
      </c>
      <c r="F16" s="509">
        <f ca="1">IF(Datos_Convenio!H16="A",0,RANDBETWEEN(0,Datos_Convenio!H16))</f>
        <v>17</v>
      </c>
      <c r="G16" s="479">
        <f t="shared" ca="1" si="4"/>
        <v>59.669999999999995</v>
      </c>
      <c r="H16" s="480">
        <f>IF(Datos_Convenio!D16="A",0,LOOKUP(Datos_Convenio!E16,Convenio!$A$20:$A$32,Convenio!$K$20:$K$32))</f>
        <v>0</v>
      </c>
      <c r="I16" s="480">
        <f>IF(Datos_Convenio!D16="A",LOOKUP(Datos_Convenio!E16,Convenio!$A$4:$A$16,Convenio!$N$4:$N$16),LOOKUP(Datos_Convenio!E16,Convenio!$A$20:$A$32,Convenio!$N$20:$N$32))</f>
        <v>75</v>
      </c>
      <c r="J16" s="328"/>
      <c r="K16" s="509">
        <f ca="1">RANDBETWEEN(0,(Datos_Convenio!H16))</f>
        <v>17</v>
      </c>
      <c r="L16" s="480">
        <f ca="1">IF(Datos_Convenio!D16="A",LOOKUP(Datos_Convenio!E16,Convenio!$A$4:$A$16,Convenio!$L$4:$L$16*Datos_Variables!K16),LOOKUP(Datos_Convenio!E16,Convenio!$A$20:$A$32,Convenio!$L$20:$L$32*K16))</f>
        <v>68</v>
      </c>
      <c r="M16" s="509">
        <f ca="1">RANDBETWEEN(0,(Datos_Convenio!H16))</f>
        <v>17</v>
      </c>
      <c r="N16" s="480">
        <f ca="1">IF(Datos_Convenio!D16="A",LOOKUP(Datos_Convenio!E16,Convenio!$A$4:$A$16,Convenio!$I$4:$I$16*Datos_Variables!M16),LOOKUP(Datos_Convenio!E16,Convenio!$A$20:$A$32,Convenio!$I$20:$I$32*Datos_Variables!M16))</f>
        <v>361.69200000000001</v>
      </c>
      <c r="O16" s="328"/>
      <c r="P16" s="480">
        <f>IF(Datos_Convenio!D16="A",LOOKUP(Datos_Convenio!E16,Convenio!$A$4:$A$16,Convenio!$E$4:$E$16),LOOKUP(Datos_Convenio!E16,Convenio!$A$20:$A$32,Convenio!$E$20:$E$32*Datos_Convenio!H16))</f>
        <v>240</v>
      </c>
      <c r="Q16" s="480">
        <f>IF(Datos_Convenio!D16="A",0,LOOKUP(Datos_Convenio!E16,Convenio!$A$20:$A$32,Convenio!$C$20:$C$32*Datos_Convenio!H16))</f>
        <v>0</v>
      </c>
      <c r="R16" s="328"/>
      <c r="S16" s="340"/>
      <c r="T16" s="331"/>
      <c r="U16" s="340"/>
      <c r="W16" s="340"/>
      <c r="X16" s="340"/>
      <c r="Y16" s="340"/>
      <c r="Z16" s="480">
        <f>IF(Datos_Convenio!D16="A",LOOKUP(Datos_Convenio!E16,Convenio!$A$4:$A$16,Convenio!$F$4:$F$16),LOOKUP(Datos_Convenio!$E$3,Convenio!$A$20:$A$32,Convenio!$F$20:$F$32*Datos_Convenio!H16))</f>
        <v>80</v>
      </c>
      <c r="AA16" s="328"/>
      <c r="AB16" s="331" t="str">
        <f t="shared" ca="1" si="0"/>
        <v>NO</v>
      </c>
      <c r="AC16" s="331" t="str">
        <f t="shared" ca="1" si="1"/>
        <v>ESPAÑA</v>
      </c>
      <c r="AD16" s="331">
        <f t="shared" ca="1" si="5"/>
        <v>3</v>
      </c>
      <c r="AE16" s="340">
        <v>0</v>
      </c>
      <c r="AF16" s="328"/>
      <c r="AG16" s="340">
        <v>0</v>
      </c>
      <c r="AH16" s="340" t="str">
        <f t="shared" ca="1" si="3"/>
        <v>SI</v>
      </c>
      <c r="AI16" s="340">
        <v>0</v>
      </c>
      <c r="AJ16" s="483"/>
      <c r="AK16" s="340"/>
      <c r="AL16" s="340"/>
      <c r="AM16" s="340"/>
      <c r="AN16" s="340"/>
      <c r="AO16" s="340"/>
    </row>
    <row r="17" spans="1:41">
      <c r="A17" s="23" t="s">
        <v>479</v>
      </c>
      <c r="B17" s="23" t="s">
        <v>383</v>
      </c>
      <c r="C17" s="508">
        <f>IF(Datos_Convenio!D17="A",LOOKUP(Datos_Convenio!E17,Convenio!$A$4:$A$16,Convenio!$L$4:$L$16),LOOKUP(Datos_Convenio!E17,Convenio!$A$20:$A$32,Convenio!$L$20:$L$32))</f>
        <v>4</v>
      </c>
      <c r="D17" s="479">
        <f>C17*Datos_Convenio!H17</f>
        <v>120</v>
      </c>
      <c r="E17" s="507">
        <f>IF(Datos_Convenio!H17="A",LOOKUP(Datos_Convenio!$E$3,Convenio!$A$4:$A$16,Convenio!$L$4:$L$16),LOOKUP(Datos_Convenio!I17,Convenio!$A$20:$A$32,Convenio!$L$20:$L$32))</f>
        <v>3.51</v>
      </c>
      <c r="F17" s="509">
        <f ca="1">IF(Datos_Convenio!H17="A",0,RANDBETWEEN(0,Datos_Convenio!H17))</f>
        <v>18</v>
      </c>
      <c r="G17" s="479">
        <f t="shared" ca="1" si="4"/>
        <v>63.179999999999993</v>
      </c>
      <c r="H17" s="480">
        <f>IF(Datos_Convenio!D17="A",0,LOOKUP(Datos_Convenio!E17,Convenio!$A$20:$A$32,Convenio!$K$20:$K$32))</f>
        <v>0</v>
      </c>
      <c r="I17" s="480">
        <f>IF(Datos_Convenio!D17="A",LOOKUP(Datos_Convenio!E17,Convenio!$A$4:$A$16,Convenio!$N$4:$N$16),LOOKUP(Datos_Convenio!E17,Convenio!$A$20:$A$32,Convenio!$N$20:$N$32))</f>
        <v>75</v>
      </c>
      <c r="J17" s="328"/>
      <c r="K17" s="509">
        <f ca="1">RANDBETWEEN(0,(Datos_Convenio!H17))</f>
        <v>13</v>
      </c>
      <c r="L17" s="480">
        <f ca="1">IF(Datos_Convenio!D17="A",LOOKUP(Datos_Convenio!E17,Convenio!$A$4:$A$16,Convenio!$L$4:$L$16*Datos_Variables!K17),LOOKUP(Datos_Convenio!E17,Convenio!$A$20:$A$32,Convenio!$L$20:$L$32*K17))</f>
        <v>52</v>
      </c>
      <c r="M17" s="509">
        <f ca="1">RANDBETWEEN(0,(Datos_Convenio!H17))</f>
        <v>26</v>
      </c>
      <c r="N17" s="480">
        <f ca="1">IF(Datos_Convenio!D17="A",LOOKUP(Datos_Convenio!E17,Convenio!$A$4:$A$16,Convenio!$I$4:$I$16*Datos_Variables!M17),LOOKUP(Datos_Convenio!E17,Convenio!$A$20:$A$32,Convenio!$I$20:$I$32*Datos_Variables!M17))</f>
        <v>553.17600000000004</v>
      </c>
      <c r="O17" s="328"/>
      <c r="P17" s="480">
        <f>IF(Datos_Convenio!D17="A",LOOKUP(Datos_Convenio!E17,Convenio!$A$4:$A$16,Convenio!$E$4:$E$16),LOOKUP(Datos_Convenio!E17,Convenio!$A$20:$A$32,Convenio!$E$20:$E$32*Datos_Convenio!H17))</f>
        <v>240</v>
      </c>
      <c r="Q17" s="480">
        <f>IF(Datos_Convenio!D17="A",0,LOOKUP(Datos_Convenio!E17,Convenio!$A$20:$A$32,Convenio!$C$20:$C$32*Datos_Convenio!H17))</f>
        <v>0</v>
      </c>
      <c r="R17" s="328"/>
      <c r="S17" s="340"/>
      <c r="T17" s="331"/>
      <c r="U17" s="340"/>
      <c r="W17" s="340"/>
      <c r="X17" s="340"/>
      <c r="Y17" s="340"/>
      <c r="Z17" s="480">
        <f>IF(Datos_Convenio!D17="A",LOOKUP(Datos_Convenio!E17,Convenio!$A$4:$A$16,Convenio!$F$4:$F$16),LOOKUP(Datos_Convenio!$E$3,Convenio!$A$20:$A$32,Convenio!$F$20:$F$32*Datos_Convenio!H17))</f>
        <v>80</v>
      </c>
      <c r="AA17" s="328"/>
      <c r="AB17" s="331" t="str">
        <f t="shared" ca="1" si="0"/>
        <v>SI</v>
      </c>
      <c r="AC17" s="331" t="str">
        <f t="shared" ca="1" si="1"/>
        <v>EXTRANJERO</v>
      </c>
      <c r="AD17" s="331">
        <f t="shared" ca="1" si="5"/>
        <v>4</v>
      </c>
      <c r="AE17" s="340">
        <v>150</v>
      </c>
      <c r="AF17" s="328"/>
      <c r="AG17" s="340">
        <v>200</v>
      </c>
      <c r="AH17" s="340" t="str">
        <f t="shared" ca="1" si="3"/>
        <v>SI</v>
      </c>
      <c r="AI17" s="340">
        <v>97</v>
      </c>
      <c r="AJ17" s="483"/>
      <c r="AK17" s="340"/>
      <c r="AL17" s="340"/>
      <c r="AM17" s="340"/>
      <c r="AN17" s="340"/>
      <c r="AO17" s="340"/>
    </row>
    <row r="18" spans="1:41">
      <c r="A18" s="23" t="s">
        <v>480</v>
      </c>
      <c r="B18" s="23" t="s">
        <v>405</v>
      </c>
      <c r="C18" s="508">
        <f>IF(Datos_Convenio!D18="A",LOOKUP(Datos_Convenio!E18,Convenio!$A$4:$A$16,Convenio!$L$4:$L$16),LOOKUP(Datos_Convenio!E18,Convenio!$A$20:$A$32,Convenio!$L$20:$L$32))</f>
        <v>4</v>
      </c>
      <c r="D18" s="479">
        <v>0</v>
      </c>
      <c r="E18" s="507">
        <f>IF(Datos_Convenio!H18="A",LOOKUP(Datos_Convenio!$E$3,Convenio!$A$4:$A$16,Convenio!$L$4:$L$16),LOOKUP(Datos_Convenio!I18,Convenio!$A$20:$A$32,Convenio!$L$20:$L$32))</f>
        <v>3.51</v>
      </c>
      <c r="F18" s="509">
        <f ca="1">IF(Datos_Convenio!H18="A",0,RANDBETWEEN(0,Datos_Convenio!H18))</f>
        <v>20</v>
      </c>
      <c r="G18" s="479">
        <f t="shared" ca="1" si="4"/>
        <v>70.199999999999989</v>
      </c>
      <c r="H18" s="480">
        <f>IF(Datos_Convenio!D18="A",0,LOOKUP(Datos_Convenio!E18,Convenio!$A$20:$A$32,Convenio!$K$20:$K$32))</f>
        <v>0</v>
      </c>
      <c r="I18" s="480">
        <f>IF(Datos_Convenio!D18="A",LOOKUP(Datos_Convenio!E18,Convenio!$A$4:$A$16,Convenio!$N$4:$N$16),LOOKUP(Datos_Convenio!E18,Convenio!$A$20:$A$32,Convenio!$N$20:$N$32))</f>
        <v>75</v>
      </c>
      <c r="J18" s="328"/>
      <c r="K18" s="509">
        <f ca="1">RANDBETWEEN(0,(Datos_Convenio!H18))</f>
        <v>5</v>
      </c>
      <c r="L18" s="480">
        <f ca="1">IF(Datos_Convenio!D18="A",LOOKUP(Datos_Convenio!E18,Convenio!$A$4:$A$16,Convenio!$L$4:$L$16*Datos_Variables!K18),LOOKUP(Datos_Convenio!E18,Convenio!$A$20:$A$32,Convenio!$L$20:$L$32*K18))</f>
        <v>20</v>
      </c>
      <c r="M18" s="509">
        <f ca="1">RANDBETWEEN(0,(Datos_Convenio!H18))</f>
        <v>9</v>
      </c>
      <c r="N18" s="480">
        <f ca="1">IF(Datos_Convenio!D18="A",LOOKUP(Datos_Convenio!E18,Convenio!$A$4:$A$16,Convenio!$I$4:$I$16*Datos_Variables!M18),LOOKUP(Datos_Convenio!E18,Convenio!$A$20:$A$32,Convenio!$I$20:$I$32*Datos_Variables!M18))</f>
        <v>191.48400000000001</v>
      </c>
      <c r="O18" s="328"/>
      <c r="P18" s="480">
        <v>150</v>
      </c>
      <c r="Q18" s="480">
        <f>IF(Datos_Convenio!D18="A",0,LOOKUP(Datos_Convenio!E18,Convenio!$A$20:$A$32,Convenio!$C$20:$C$32*Datos_Convenio!H18))</f>
        <v>0</v>
      </c>
      <c r="R18" s="328"/>
      <c r="S18" s="340"/>
      <c r="T18" s="331"/>
      <c r="U18" s="340"/>
      <c r="W18" s="340"/>
      <c r="X18" s="340"/>
      <c r="Y18" s="340"/>
      <c r="Z18" s="480">
        <f>IF(Datos_Convenio!D18="A",LOOKUP(Datos_Convenio!E18,Convenio!$A$4:$A$16,Convenio!$F$4:$F$16),LOOKUP(Datos_Convenio!$E$3,Convenio!$A$20:$A$32,Convenio!$F$20:$F$32*Datos_Convenio!H18))</f>
        <v>80</v>
      </c>
      <c r="AA18" s="328"/>
      <c r="AB18" s="331" t="str">
        <f t="shared" ca="1" si="0"/>
        <v>NO</v>
      </c>
      <c r="AC18" s="331" t="str">
        <f t="shared" ca="1" si="1"/>
        <v>EXTRANJERO</v>
      </c>
      <c r="AD18" s="331">
        <f t="shared" ca="1" si="5"/>
        <v>6</v>
      </c>
      <c r="AE18" s="340">
        <v>350</v>
      </c>
      <c r="AF18" s="328"/>
      <c r="AG18" s="340">
        <v>165</v>
      </c>
      <c r="AH18" s="340" t="str">
        <f t="shared" ca="1" si="3"/>
        <v>NO</v>
      </c>
      <c r="AI18" s="340">
        <v>98</v>
      </c>
      <c r="AJ18" s="483"/>
      <c r="AK18" s="340"/>
      <c r="AL18" s="340"/>
      <c r="AM18" s="340"/>
      <c r="AN18" s="340"/>
      <c r="AO18" s="340"/>
    </row>
    <row r="19" spans="1:41">
      <c r="A19" s="23" t="s">
        <v>481</v>
      </c>
      <c r="B19" s="23" t="s">
        <v>425</v>
      </c>
      <c r="C19" s="508">
        <f>IF(Datos_Convenio!D19="A",LOOKUP(Datos_Convenio!E19,Convenio!$A$4:$A$16,Convenio!$L$4:$L$16),LOOKUP(Datos_Convenio!E19,Convenio!$A$20:$A$32,Convenio!$L$20:$L$32))</f>
        <v>4</v>
      </c>
      <c r="D19" s="479">
        <f>C19*Datos_Convenio!H19</f>
        <v>120</v>
      </c>
      <c r="E19" s="507">
        <f>IF(Datos_Convenio!H19="A",LOOKUP(Datos_Convenio!$E$3,Convenio!$A$4:$A$16,Convenio!$L$4:$L$16),LOOKUP(Datos_Convenio!I19,Convenio!$A$20:$A$32,Convenio!$L$20:$L$32))</f>
        <v>3.51</v>
      </c>
      <c r="F19" s="509">
        <f ca="1">IF(Datos_Convenio!H19="A",0,RANDBETWEEN(0,Datos_Convenio!H19))</f>
        <v>9</v>
      </c>
      <c r="G19" s="479">
        <f t="shared" ca="1" si="4"/>
        <v>31.589999999999996</v>
      </c>
      <c r="H19" s="480">
        <f>IF(Datos_Convenio!D19="A",0,LOOKUP(Datos_Convenio!E19,Convenio!$A$20:$A$32,Convenio!$K$20:$K$32))</f>
        <v>0</v>
      </c>
      <c r="I19" s="480">
        <f>IF(Datos_Convenio!D19="A",LOOKUP(Datos_Convenio!E19,Convenio!$A$4:$A$16,Convenio!$N$4:$N$16),LOOKUP(Datos_Convenio!E19,Convenio!$A$20:$A$32,Convenio!$N$20:$N$32))</f>
        <v>150</v>
      </c>
      <c r="J19" s="328"/>
      <c r="K19" s="509">
        <f ca="1">RANDBETWEEN(0,(Datos_Convenio!H19))</f>
        <v>15</v>
      </c>
      <c r="L19" s="480">
        <f ca="1">IF(Datos_Convenio!D19="A",LOOKUP(Datos_Convenio!E19,Convenio!$A$4:$A$16,Convenio!$L$4:$L$16*Datos_Variables!K19),LOOKUP(Datos_Convenio!E19,Convenio!$A$20:$A$32,Convenio!$L$20:$L$32*K19))</f>
        <v>60</v>
      </c>
      <c r="M19" s="509">
        <f ca="1">RANDBETWEEN(0,(Datos_Convenio!H19))</f>
        <v>7</v>
      </c>
      <c r="N19" s="480">
        <f ca="1">IF(Datos_Convenio!D19="A",LOOKUP(Datos_Convenio!E19,Convenio!$A$4:$A$16,Convenio!$I$4:$I$16*Datos_Variables!M19),LOOKUP(Datos_Convenio!E19,Convenio!$A$20:$A$32,Convenio!$I$20:$I$32*Datos_Variables!M19))</f>
        <v>151.20000000000002</v>
      </c>
      <c r="O19" s="328"/>
      <c r="P19" s="480">
        <f>IF(Datos_Convenio!D19="A",LOOKUP(Datos_Convenio!E19,Convenio!$A$4:$A$16,Convenio!$E$4:$E$16),LOOKUP(Datos_Convenio!E19,Convenio!$A$20:$A$32,Convenio!$E$20:$E$32*Datos_Convenio!H19))</f>
        <v>240</v>
      </c>
      <c r="Q19" s="480">
        <f>IF(Datos_Convenio!D19="A",0,LOOKUP(Datos_Convenio!E19,Convenio!$A$20:$A$32,Convenio!$C$20:$C$32*Datos_Convenio!H19))</f>
        <v>0</v>
      </c>
      <c r="R19" s="328"/>
      <c r="S19" s="340"/>
      <c r="T19" s="331"/>
      <c r="U19" s="340"/>
      <c r="W19" s="340"/>
      <c r="X19" s="340"/>
      <c r="Y19" s="340"/>
      <c r="Z19" s="480">
        <f>IF(Datos_Convenio!D19="A",LOOKUP(Datos_Convenio!E19,Convenio!$A$4:$A$16,Convenio!$F$4:$F$16),LOOKUP(Datos_Convenio!$E$3,Convenio!$A$20:$A$32,Convenio!$F$20:$F$32*Datos_Convenio!H19))</f>
        <v>100</v>
      </c>
      <c r="AA19" s="328"/>
      <c r="AB19" s="331" t="str">
        <f t="shared" ca="1" si="0"/>
        <v>SI</v>
      </c>
      <c r="AC19" s="331" t="str">
        <f t="shared" ca="1" si="1"/>
        <v>EXTRANJERO</v>
      </c>
      <c r="AD19" s="331">
        <f t="shared" ca="1" si="5"/>
        <v>1</v>
      </c>
      <c r="AE19" s="340">
        <v>0</v>
      </c>
      <c r="AF19" s="328"/>
      <c r="AG19" s="340">
        <v>169.62153846153799</v>
      </c>
      <c r="AH19" s="340" t="str">
        <f t="shared" ca="1" si="3"/>
        <v>SI</v>
      </c>
      <c r="AI19" s="340">
        <v>93</v>
      </c>
      <c r="AJ19" s="483"/>
      <c r="AK19" s="340"/>
      <c r="AL19" s="340"/>
      <c r="AM19" s="340"/>
      <c r="AN19" s="340"/>
      <c r="AO19" s="340"/>
    </row>
    <row r="20" spans="1:41">
      <c r="A20" s="23" t="s">
        <v>482</v>
      </c>
      <c r="B20" s="23" t="s">
        <v>434</v>
      </c>
      <c r="C20" s="508">
        <f>IF(Datos_Convenio!D20="A",LOOKUP(Datos_Convenio!E20,Convenio!$A$4:$A$16,Convenio!$L$4:$L$16),LOOKUP(Datos_Convenio!E20,Convenio!$A$20:$A$32,Convenio!$L$20:$L$32))</f>
        <v>4</v>
      </c>
      <c r="D20" s="479">
        <f>C20*Datos_Convenio!H20</f>
        <v>120</v>
      </c>
      <c r="E20" s="507">
        <f>IF(Datos_Convenio!H20="A",LOOKUP(Datos_Convenio!$E$3,Convenio!$A$4:$A$16,Convenio!$L$4:$L$16),LOOKUP(Datos_Convenio!I20,Convenio!$A$20:$A$32,Convenio!$L$20:$L$32))</f>
        <v>3.51</v>
      </c>
      <c r="F20" s="509">
        <f ca="1">IF(Datos_Convenio!H20="A",0,RANDBETWEEN(0,Datos_Convenio!H20))</f>
        <v>14</v>
      </c>
      <c r="G20" s="479">
        <f t="shared" ca="1" si="4"/>
        <v>49.14</v>
      </c>
      <c r="H20" s="480">
        <f>IF(Datos_Convenio!D20="A",0,LOOKUP(Datos_Convenio!E20,Convenio!$A$20:$A$32,Convenio!$K$20:$K$32))</f>
        <v>0</v>
      </c>
      <c r="I20" s="480">
        <f>IF(Datos_Convenio!D20="A",LOOKUP(Datos_Convenio!E20,Convenio!$A$4:$A$16,Convenio!$N$4:$N$16),LOOKUP(Datos_Convenio!E20,Convenio!$A$20:$A$32,Convenio!$N$20:$N$32))</f>
        <v>75</v>
      </c>
      <c r="J20" s="328"/>
      <c r="K20" s="509">
        <f ca="1">RANDBETWEEN(0,(Datos_Convenio!H20))</f>
        <v>14</v>
      </c>
      <c r="L20" s="480">
        <f ca="1">IF(Datos_Convenio!D20="A",LOOKUP(Datos_Convenio!E20,Convenio!$A$4:$A$16,Convenio!$L$4:$L$16*Datos_Variables!K20),LOOKUP(Datos_Convenio!E20,Convenio!$A$20:$A$32,Convenio!$L$20:$L$32*K20))</f>
        <v>56</v>
      </c>
      <c r="M20" s="509">
        <f ca="1">RANDBETWEEN(0,(Datos_Convenio!H20))</f>
        <v>15</v>
      </c>
      <c r="N20" s="480">
        <f ca="1">IF(Datos_Convenio!D20="A",LOOKUP(Datos_Convenio!E20,Convenio!$A$4:$A$16,Convenio!$I$4:$I$16*Datos_Variables!M20),LOOKUP(Datos_Convenio!E20,Convenio!$A$20:$A$32,Convenio!$I$20:$I$32*Datos_Variables!M20))</f>
        <v>319.14</v>
      </c>
      <c r="O20" s="328"/>
      <c r="P20" s="480">
        <f>IF(Datos_Convenio!D20="A",LOOKUP(Datos_Convenio!E20,Convenio!$A$4:$A$16,Convenio!$E$4:$E$16),LOOKUP(Datos_Convenio!E20,Convenio!$A$20:$A$32,Convenio!$E$20:$E$32*Datos_Convenio!H20))</f>
        <v>240</v>
      </c>
      <c r="Q20" s="480">
        <f>IF(Datos_Convenio!D20="A",0,LOOKUP(Datos_Convenio!E20,Convenio!$A$20:$A$32,Convenio!$C$20:$C$32*Datos_Convenio!H20))</f>
        <v>0</v>
      </c>
      <c r="R20" s="328"/>
      <c r="S20" s="340"/>
      <c r="T20" s="331"/>
      <c r="U20" s="340"/>
      <c r="W20" s="340"/>
      <c r="X20" s="340"/>
      <c r="Y20" s="340"/>
      <c r="Z20" s="480">
        <f>IF(Datos_Convenio!D20="A",LOOKUP(Datos_Convenio!E20,Convenio!$A$4:$A$16,Convenio!$F$4:$F$16),LOOKUP(Datos_Convenio!$E$3,Convenio!$A$20:$A$32,Convenio!$F$20:$F$32*Datos_Convenio!H20))</f>
        <v>80</v>
      </c>
      <c r="AA20" s="328"/>
      <c r="AB20" s="331" t="str">
        <f t="shared" ca="1" si="0"/>
        <v>SI</v>
      </c>
      <c r="AC20" s="331" t="str">
        <f t="shared" ca="1" si="1"/>
        <v>EXTRANJERO</v>
      </c>
      <c r="AD20" s="331">
        <f t="shared" ca="1" si="5"/>
        <v>3</v>
      </c>
      <c r="AE20" s="340">
        <v>100</v>
      </c>
      <c r="AF20" s="328"/>
      <c r="AG20" s="340">
        <v>167.85538461538499</v>
      </c>
      <c r="AH20" s="340" t="str">
        <f t="shared" ca="1" si="3"/>
        <v>NO</v>
      </c>
      <c r="AI20" s="340">
        <v>69</v>
      </c>
      <c r="AJ20" s="483"/>
      <c r="AK20" s="340"/>
      <c r="AL20" s="340"/>
      <c r="AM20" s="340"/>
      <c r="AN20" s="340"/>
      <c r="AO20" s="340"/>
    </row>
    <row r="21" spans="1:41">
      <c r="A21" s="23" t="s">
        <v>483</v>
      </c>
      <c r="B21" s="23" t="s">
        <v>406</v>
      </c>
      <c r="C21" s="508">
        <f>IF(Datos_Convenio!D21="A",LOOKUP(Datos_Convenio!E21,Convenio!$A$4:$A$16,Convenio!$L$4:$L$16),LOOKUP(Datos_Convenio!E21,Convenio!$A$20:$A$32,Convenio!$L$20:$L$32))</f>
        <v>3.51</v>
      </c>
      <c r="D21" s="479">
        <f>C21*Datos_Convenio!H21</f>
        <v>105.3</v>
      </c>
      <c r="E21" s="507">
        <f>IF(Datos_Convenio!H21="A",LOOKUP(Datos_Convenio!$E$3,Convenio!$A$4:$A$16,Convenio!$L$4:$L$16),LOOKUP(Datos_Convenio!I21,Convenio!$A$20:$A$32,Convenio!$L$20:$L$32))</f>
        <v>3.51</v>
      </c>
      <c r="F21" s="509">
        <f ca="1">IF(Datos_Convenio!H21="A",0,RANDBETWEEN(0,Datos_Convenio!H21))</f>
        <v>23</v>
      </c>
      <c r="G21" s="479">
        <f t="shared" ca="1" si="4"/>
        <v>80.72999999999999</v>
      </c>
      <c r="H21" s="480">
        <f>IF(Datos_Convenio!D21="A",0,LOOKUP(Datos_Convenio!E21,Convenio!$A$20:$A$32,Convenio!$K$20:$K$32))</f>
        <v>3.38</v>
      </c>
      <c r="I21" s="480">
        <f>IF(Datos_Convenio!D21="A",LOOKUP(Datos_Convenio!E21,Convenio!$A$4:$A$16,Convenio!$N$4:$N$16),LOOKUP(Datos_Convenio!E21,Convenio!$A$20:$A$32,Convenio!$N$20:$N$32))</f>
        <v>0</v>
      </c>
      <c r="J21" s="328"/>
      <c r="K21" s="509">
        <f ca="1">RANDBETWEEN(0,(Datos_Convenio!H21))</f>
        <v>14</v>
      </c>
      <c r="L21" s="480">
        <f ca="1">IF(Datos_Convenio!D21="A",LOOKUP(Datos_Convenio!E21,Convenio!$A$4:$A$16,Convenio!$L$4:$L$16*Datos_Variables!K21),LOOKUP(Datos_Convenio!E21,Convenio!$A$20:$A$32,Convenio!$L$20:$L$32*K21))</f>
        <v>49.14</v>
      </c>
      <c r="M21" s="509">
        <f ca="1">RANDBETWEEN(0,(Datos_Convenio!H21))</f>
        <v>26</v>
      </c>
      <c r="N21" s="480">
        <f ca="1">IF(Datos_Convenio!D21="A",LOOKUP(Datos_Convenio!E21,Convenio!$A$4:$A$16,Convenio!$I$4:$I$16*Datos_Variables!M21),LOOKUP(Datos_Convenio!E21,Convenio!$A$20:$A$32,Convenio!$I$20:$I$32*Datos_Variables!M21))</f>
        <v>453.49200000000002</v>
      </c>
      <c r="O21" s="328"/>
      <c r="P21" s="480">
        <f>IF(Datos_Convenio!D21="A",LOOKUP(Datos_Convenio!E21,Convenio!$A$4:$A$16,Convenio!$E$4:$E$16),LOOKUP(Datos_Convenio!E21,Convenio!$A$20:$A$32,Convenio!$E$20:$E$32*Datos_Convenio!H21))</f>
        <v>137.69999999999999</v>
      </c>
      <c r="Q21" s="480">
        <f>IF(Datos_Convenio!D21="A",0,LOOKUP(Datos_Convenio!E21,Convenio!$A$20:$A$32,Convenio!$C$20:$C$32*Datos_Convenio!H21))</f>
        <v>199.8</v>
      </c>
      <c r="R21" s="328"/>
      <c r="S21" s="340"/>
      <c r="T21" s="331"/>
      <c r="U21" s="340"/>
      <c r="W21" s="340"/>
      <c r="X21" s="340"/>
      <c r="Y21" s="340"/>
      <c r="Z21" s="480">
        <f>IF(Datos_Convenio!D21="A",LOOKUP(Datos_Convenio!E21,Convenio!$A$4:$A$16,Convenio!$F$4:$F$16),LOOKUP(Datos_Convenio!$E$3,Convenio!$A$20:$A$32,Convenio!$F$20:$F$32*Datos_Convenio!H21))</f>
        <v>62.099999999999994</v>
      </c>
      <c r="AA21" s="328"/>
      <c r="AB21" s="331" t="str">
        <f t="shared" ca="1" si="0"/>
        <v>SI</v>
      </c>
      <c r="AC21" s="331" t="str">
        <f t="shared" ca="1" si="1"/>
        <v>EXTRANJERO</v>
      </c>
      <c r="AD21" s="331">
        <f t="shared" ca="1" si="5"/>
        <v>10</v>
      </c>
      <c r="AE21" s="340">
        <v>0</v>
      </c>
      <c r="AF21" s="328"/>
      <c r="AG21" s="340">
        <v>159</v>
      </c>
      <c r="AH21" s="340" t="str">
        <f t="shared" ca="1" si="3"/>
        <v>SI</v>
      </c>
      <c r="AI21" s="340">
        <v>90</v>
      </c>
      <c r="AJ21" s="483"/>
      <c r="AK21" s="340"/>
      <c r="AL21" s="340"/>
      <c r="AM21" s="340"/>
      <c r="AN21" s="340"/>
      <c r="AO21" s="340"/>
    </row>
    <row r="22" spans="1:41">
      <c r="A22" s="23" t="s">
        <v>484</v>
      </c>
      <c r="B22" s="23" t="s">
        <v>386</v>
      </c>
      <c r="C22" s="508">
        <f>IF(Datos_Convenio!D22="A",LOOKUP(Datos_Convenio!E22,Convenio!$A$4:$A$16,Convenio!$L$4:$L$16),LOOKUP(Datos_Convenio!E22,Convenio!$A$20:$A$32,Convenio!$L$20:$L$32))</f>
        <v>3.51</v>
      </c>
      <c r="D22" s="479">
        <v>0</v>
      </c>
      <c r="E22" s="507">
        <f>IF(Datos_Convenio!H22="A",LOOKUP(Datos_Convenio!$E$3,Convenio!$A$4:$A$16,Convenio!$L$4:$L$16),LOOKUP(Datos_Convenio!I22,Convenio!$A$20:$A$32,Convenio!$L$20:$L$32))</f>
        <v>3.51</v>
      </c>
      <c r="F22" s="509">
        <f ca="1">IF(Datos_Convenio!H22="A",0,RANDBETWEEN(0,Datos_Convenio!H22))</f>
        <v>13</v>
      </c>
      <c r="G22" s="479">
        <f t="shared" ca="1" si="4"/>
        <v>45.629999999999995</v>
      </c>
      <c r="H22" s="480">
        <f>IF(Datos_Convenio!D22="A",0,LOOKUP(Datos_Convenio!E22,Convenio!$A$20:$A$32,Convenio!$K$20:$K$32))</f>
        <v>3.38</v>
      </c>
      <c r="I22" s="480">
        <f>IF(Datos_Convenio!D22="A",LOOKUP(Datos_Convenio!E22,Convenio!$A$4:$A$16,Convenio!$N$4:$N$16),LOOKUP(Datos_Convenio!E22,Convenio!$A$20:$A$32,Convenio!$N$20:$N$32))</f>
        <v>0</v>
      </c>
      <c r="J22" s="328"/>
      <c r="K22" s="509">
        <f ca="1">RANDBETWEEN(0,(Datos_Convenio!H22))</f>
        <v>22</v>
      </c>
      <c r="L22" s="480">
        <f ca="1">IF(Datos_Convenio!D22="A",LOOKUP(Datos_Convenio!E22,Convenio!$A$4:$A$16,Convenio!$L$4:$L$16*Datos_Variables!K22),LOOKUP(Datos_Convenio!E22,Convenio!$A$20:$A$32,Convenio!$L$20:$L$32*K22))</f>
        <v>77.22</v>
      </c>
      <c r="M22" s="509">
        <f ca="1">RANDBETWEEN(0,(Datos_Convenio!H22))</f>
        <v>0</v>
      </c>
      <c r="N22" s="480">
        <f ca="1">IF(Datos_Convenio!D22="A",LOOKUP(Datos_Convenio!E22,Convenio!$A$4:$A$16,Convenio!$I$4:$I$16*Datos_Variables!M22),LOOKUP(Datos_Convenio!E22,Convenio!$A$20:$A$32,Convenio!$I$20:$I$32*Datos_Variables!M22))</f>
        <v>0</v>
      </c>
      <c r="O22" s="328"/>
      <c r="P22" s="480">
        <f>3*30</f>
        <v>90</v>
      </c>
      <c r="Q22" s="480">
        <f>IF(Datos_Convenio!D22="A",0,LOOKUP(Datos_Convenio!E22,Convenio!$A$20:$A$32,Convenio!$C$20:$C$32*Datos_Convenio!H22))</f>
        <v>193.20000000000002</v>
      </c>
      <c r="R22" s="328"/>
      <c r="S22" s="340"/>
      <c r="T22" s="331"/>
      <c r="U22" s="340"/>
      <c r="W22" s="340"/>
      <c r="X22" s="340"/>
      <c r="Y22" s="340"/>
      <c r="Z22" s="480">
        <v>0</v>
      </c>
      <c r="AA22" s="328"/>
      <c r="AB22" s="331" t="str">
        <f t="shared" ca="1" si="0"/>
        <v>SI</v>
      </c>
      <c r="AC22" s="331" t="str">
        <f t="shared" ca="1" si="1"/>
        <v>EXTRANJERO</v>
      </c>
      <c r="AD22" s="331">
        <f t="shared" ca="1" si="5"/>
        <v>7</v>
      </c>
      <c r="AE22" s="340">
        <v>0</v>
      </c>
      <c r="AF22" s="328"/>
      <c r="AG22" s="340">
        <v>0</v>
      </c>
      <c r="AH22" s="340" t="str">
        <f t="shared" ca="1" si="3"/>
        <v>SI</v>
      </c>
      <c r="AI22" s="340">
        <v>0</v>
      </c>
      <c r="AJ22" s="483"/>
      <c r="AK22" s="340"/>
      <c r="AL22" s="340"/>
      <c r="AM22" s="340"/>
      <c r="AN22" s="340"/>
      <c r="AO22" s="340"/>
    </row>
    <row r="23" spans="1:41">
      <c r="A23" s="23" t="s">
        <v>485</v>
      </c>
      <c r="B23" s="23" t="s">
        <v>408</v>
      </c>
      <c r="C23" s="508">
        <f>IF(Datos_Convenio!D23="A",LOOKUP(Datos_Convenio!E23,Convenio!$A$4:$A$16,Convenio!$L$4:$L$16),LOOKUP(Datos_Convenio!E23,Convenio!$A$20:$A$32,Convenio!$L$20:$L$32))</f>
        <v>3.51</v>
      </c>
      <c r="D23" s="479">
        <v>0</v>
      </c>
      <c r="E23" s="507">
        <f>IF(Datos_Convenio!H23="A",LOOKUP(Datos_Convenio!$E$3,Convenio!$A$4:$A$16,Convenio!$L$4:$L$16),LOOKUP(Datos_Convenio!I23,Convenio!$A$20:$A$32,Convenio!$L$20:$L$32))</f>
        <v>3.51</v>
      </c>
      <c r="F23" s="509">
        <f ca="1">IF(Datos_Convenio!H23="A",0,RANDBETWEEN(0,Datos_Convenio!H23))</f>
        <v>13</v>
      </c>
      <c r="G23" s="479">
        <f t="shared" ca="1" si="4"/>
        <v>45.629999999999995</v>
      </c>
      <c r="H23" s="480">
        <f>IF(Datos_Convenio!D23="A",0,LOOKUP(Datos_Convenio!E23,Convenio!$A$20:$A$32,Convenio!$K$20:$K$32))</f>
        <v>3.38</v>
      </c>
      <c r="I23" s="480">
        <f>IF(Datos_Convenio!D23="A",LOOKUP(Datos_Convenio!E23,Convenio!$A$4:$A$16,Convenio!$N$4:$N$16),LOOKUP(Datos_Convenio!E23,Convenio!$A$20:$A$32,Convenio!$N$20:$N$32))</f>
        <v>75</v>
      </c>
      <c r="J23" s="328"/>
      <c r="K23" s="509">
        <f ca="1">RANDBETWEEN(0,(Datos_Convenio!H23))</f>
        <v>0</v>
      </c>
      <c r="L23" s="480">
        <f ca="1">IF(Datos_Convenio!D23="A",LOOKUP(Datos_Convenio!E23,Convenio!$A$4:$A$16,Convenio!$L$4:$L$16*Datos_Variables!K23),LOOKUP(Datos_Convenio!E23,Convenio!$A$20:$A$32,Convenio!$L$20:$L$32*K23))</f>
        <v>0</v>
      </c>
      <c r="M23" s="509">
        <f ca="1">RANDBETWEEN(0,(Datos_Convenio!H23))</f>
        <v>26</v>
      </c>
      <c r="N23" s="480">
        <f ca="1">IF(Datos_Convenio!D23="A",LOOKUP(Datos_Convenio!E23,Convenio!$A$4:$A$16,Convenio!$I$4:$I$16*Datos_Variables!M23),LOOKUP(Datos_Convenio!E23,Convenio!$A$20:$A$32,Convenio!$I$20:$I$32*Datos_Variables!M23))</f>
        <v>508.80960000000005</v>
      </c>
      <c r="O23" s="328"/>
      <c r="P23" s="480">
        <v>0</v>
      </c>
      <c r="Q23" s="480">
        <f>IF(Datos_Convenio!D23="A",0,LOOKUP(Datos_Convenio!E23,Convenio!$A$20:$A$32,Convenio!$C$20:$C$32*Datos_Convenio!H23))</f>
        <v>202.5</v>
      </c>
      <c r="R23" s="328"/>
      <c r="S23" s="340">
        <v>22400</v>
      </c>
      <c r="T23" s="331">
        <v>2010</v>
      </c>
      <c r="U23" s="340">
        <v>12000</v>
      </c>
      <c r="W23" s="340"/>
      <c r="X23" s="340"/>
      <c r="Y23" s="340"/>
      <c r="Z23" s="480">
        <v>0</v>
      </c>
      <c r="AA23" s="328"/>
      <c r="AB23" s="331" t="str">
        <f t="shared" ca="1" si="0"/>
        <v>NO</v>
      </c>
      <c r="AC23" s="331" t="str">
        <f t="shared" ca="1" si="1"/>
        <v>ESPAÑA</v>
      </c>
      <c r="AD23" s="331">
        <f t="shared" ca="1" si="5"/>
        <v>9</v>
      </c>
      <c r="AE23" s="340">
        <v>0</v>
      </c>
      <c r="AF23" s="328"/>
      <c r="AG23" s="340">
        <v>0</v>
      </c>
      <c r="AH23" s="340" t="str">
        <f t="shared" ca="1" si="3"/>
        <v>NO</v>
      </c>
      <c r="AI23" s="340">
        <v>0</v>
      </c>
      <c r="AJ23" s="483"/>
      <c r="AK23" s="340"/>
      <c r="AL23" s="340"/>
      <c r="AM23" s="340"/>
      <c r="AN23" s="340"/>
      <c r="AO23" s="340"/>
    </row>
    <row r="24" spans="1:41">
      <c r="A24" s="23" t="s">
        <v>486</v>
      </c>
      <c r="B24" s="23" t="s">
        <v>420</v>
      </c>
      <c r="C24" s="508">
        <f>IF(Datos_Convenio!D24="A",LOOKUP(Datos_Convenio!E24,Convenio!$A$4:$A$16,Convenio!$L$4:$L$16),LOOKUP(Datos_Convenio!E24,Convenio!$A$20:$A$32,Convenio!$L$20:$L$32))</f>
        <v>4</v>
      </c>
      <c r="D24" s="479">
        <f>C24*Datos_Convenio!H24</f>
        <v>120</v>
      </c>
      <c r="E24" s="507">
        <f>IF(Datos_Convenio!H24="A",LOOKUP(Datos_Convenio!$E$3,Convenio!$A$4:$A$16,Convenio!$L$4:$L$16),LOOKUP(Datos_Convenio!I24,Convenio!$A$20:$A$32,Convenio!$L$20:$L$32))</f>
        <v>3.51</v>
      </c>
      <c r="F24" s="509">
        <f ca="1">IF(Datos_Convenio!H24="A",0,RANDBETWEEN(0,Datos_Convenio!H24))</f>
        <v>27</v>
      </c>
      <c r="G24" s="479">
        <f t="shared" ca="1" si="4"/>
        <v>94.77</v>
      </c>
      <c r="H24" s="480">
        <f>IF(Datos_Convenio!D24="A",0,LOOKUP(Datos_Convenio!E24,Convenio!$A$20:$A$32,Convenio!$K$20:$K$32))</f>
        <v>0</v>
      </c>
      <c r="I24" s="480">
        <f>IF(Datos_Convenio!D24="A",LOOKUP(Datos_Convenio!E24,Convenio!$A$4:$A$16,Convenio!$N$4:$N$16),LOOKUP(Datos_Convenio!E24,Convenio!$A$20:$A$32,Convenio!$N$20:$N$32))</f>
        <v>100</v>
      </c>
      <c r="J24" s="328"/>
      <c r="K24" s="509">
        <f ca="1">RANDBETWEEN(0,(Datos_Convenio!H24))</f>
        <v>26</v>
      </c>
      <c r="L24" s="480">
        <f ca="1">IF(Datos_Convenio!D24="A",LOOKUP(Datos_Convenio!E24,Convenio!$A$4:$A$16,Convenio!$L$4:$L$16*Datos_Variables!K24),LOOKUP(Datos_Convenio!E24,Convenio!$A$20:$A$32,Convenio!$L$20:$L$32*K24))</f>
        <v>104</v>
      </c>
      <c r="M24" s="509">
        <f ca="1">RANDBETWEEN(0,(Datos_Convenio!H24))</f>
        <v>28</v>
      </c>
      <c r="N24" s="480">
        <f ca="1">IF(Datos_Convenio!D24="A",LOOKUP(Datos_Convenio!E24,Convenio!$A$4:$A$16,Convenio!$I$4:$I$16*Datos_Variables!M24),LOOKUP(Datos_Convenio!E24,Convenio!$A$20:$A$32,Convenio!$I$20:$I$32*Datos_Variables!M24))</f>
        <v>600.26400000000012</v>
      </c>
      <c r="O24" s="328"/>
      <c r="P24" s="480">
        <f>IF(Datos_Convenio!D24="A",LOOKUP(Datos_Convenio!E24,Convenio!$A$4:$A$16,Convenio!$E$4:$E$16),LOOKUP(Datos_Convenio!E24,Convenio!$A$20:$A$32,Convenio!$E$20:$E$32*Datos_Convenio!H24))</f>
        <v>240</v>
      </c>
      <c r="Q24" s="480">
        <f>IF(Datos_Convenio!D24="A",0,LOOKUP(Datos_Convenio!E24,Convenio!$A$20:$A$32,Convenio!$C$20:$C$32*Datos_Convenio!H24))</f>
        <v>0</v>
      </c>
      <c r="R24" s="328"/>
      <c r="S24" s="340"/>
      <c r="T24" s="331"/>
      <c r="U24" s="340"/>
      <c r="W24" s="340"/>
      <c r="X24" s="340"/>
      <c r="Y24" s="340"/>
      <c r="Z24" s="480">
        <f>IF(Datos_Convenio!D24="A",LOOKUP(Datos_Convenio!E24,Convenio!$A$4:$A$16,Convenio!$F$4:$F$16),LOOKUP(Datos_Convenio!$E$3,Convenio!$A$20:$A$32,Convenio!$F$20:$F$32*Datos_Convenio!H24))</f>
        <v>100</v>
      </c>
      <c r="AA24" s="328"/>
      <c r="AB24" s="331" t="str">
        <f t="shared" ca="1" si="0"/>
        <v>NO</v>
      </c>
      <c r="AC24" s="331" t="str">
        <f t="shared" ca="1" si="1"/>
        <v>ESPAÑA</v>
      </c>
      <c r="AD24" s="331">
        <f t="shared" ca="1" si="5"/>
        <v>3</v>
      </c>
      <c r="AE24" s="340">
        <v>0</v>
      </c>
      <c r="AF24" s="328"/>
      <c r="AG24" s="340">
        <v>170.37846153846201</v>
      </c>
      <c r="AH24" s="340" t="str">
        <f t="shared" ca="1" si="3"/>
        <v>NO</v>
      </c>
      <c r="AI24" s="340">
        <v>56</v>
      </c>
      <c r="AJ24" s="483"/>
      <c r="AK24" s="340"/>
      <c r="AL24" s="340"/>
      <c r="AM24" s="340"/>
      <c r="AN24" s="340"/>
      <c r="AO24" s="340"/>
    </row>
    <row r="25" spans="1:41">
      <c r="A25" s="23" t="s">
        <v>487</v>
      </c>
      <c r="B25" s="23" t="s">
        <v>593</v>
      </c>
      <c r="C25" s="508">
        <f>IF(Datos_Convenio!D25="A",LOOKUP(Datos_Convenio!E25,Convenio!$A$4:$A$16,Convenio!$L$4:$L$16),LOOKUP(Datos_Convenio!E25,Convenio!$A$20:$A$32,Convenio!$L$20:$L$32))</f>
        <v>4</v>
      </c>
      <c r="D25" s="479">
        <v>0</v>
      </c>
      <c r="E25" s="507">
        <f>IF(Datos_Convenio!H25="A",LOOKUP(Datos_Convenio!$E$3,Convenio!$A$4:$A$16,Convenio!$L$4:$L$16),LOOKUP(Datos_Convenio!I25,Convenio!$A$20:$A$32,Convenio!$L$20:$L$32))</f>
        <v>3.51</v>
      </c>
      <c r="F25" s="509">
        <f ca="1">IF(Datos_Convenio!H25="A",0,RANDBETWEEN(0,Datos_Convenio!H25))</f>
        <v>10</v>
      </c>
      <c r="G25" s="479">
        <f t="shared" ca="1" si="4"/>
        <v>35.099999999999994</v>
      </c>
      <c r="H25" s="480">
        <f>IF(Datos_Convenio!D25="A",0,LOOKUP(Datos_Convenio!E25,Convenio!$A$20:$A$32,Convenio!$K$20:$K$32))</f>
        <v>0</v>
      </c>
      <c r="I25" s="480">
        <f>IF(Datos_Convenio!D25="A",LOOKUP(Datos_Convenio!E25,Convenio!$A$4:$A$16,Convenio!$N$4:$N$16),LOOKUP(Datos_Convenio!E25,Convenio!$A$20:$A$32,Convenio!$N$20:$N$32))</f>
        <v>75</v>
      </c>
      <c r="J25" s="328"/>
      <c r="K25" s="509">
        <f ca="1">RANDBETWEEN(0,(Datos_Convenio!H25))</f>
        <v>13</v>
      </c>
      <c r="L25" s="480">
        <f ca="1">IF(Datos_Convenio!D25="A",LOOKUP(Datos_Convenio!E25,Convenio!$A$4:$A$16,Convenio!$L$4:$L$16*Datos_Variables!K25),LOOKUP(Datos_Convenio!E25,Convenio!$A$20:$A$32,Convenio!$L$20:$L$32*K25))</f>
        <v>52</v>
      </c>
      <c r="M25" s="509">
        <f ca="1">RANDBETWEEN(0,(Datos_Convenio!H25))</f>
        <v>30</v>
      </c>
      <c r="N25" s="480">
        <f ca="1">IF(Datos_Convenio!D25="A",LOOKUP(Datos_Convenio!E25,Convenio!$A$4:$A$16,Convenio!$I$4:$I$16*Datos_Variables!M25),LOOKUP(Datos_Convenio!E25,Convenio!$A$20:$A$32,Convenio!$I$20:$I$32*Datos_Variables!M25))</f>
        <v>638.28</v>
      </c>
      <c r="O25" s="328"/>
      <c r="P25" s="480">
        <v>230</v>
      </c>
      <c r="Q25" s="480">
        <f>IF(Datos_Convenio!D25="A",0,LOOKUP(Datos_Convenio!E25,Convenio!$A$20:$A$32,Convenio!$C$20:$C$32*Datos_Convenio!H25))</f>
        <v>0</v>
      </c>
      <c r="R25" s="328"/>
      <c r="S25" s="340"/>
      <c r="T25" s="331"/>
      <c r="U25" s="340"/>
      <c r="W25" s="340"/>
      <c r="X25" s="340"/>
      <c r="Y25" s="340"/>
      <c r="Z25" s="480">
        <v>0</v>
      </c>
      <c r="AA25" s="328"/>
      <c r="AB25" s="331" t="str">
        <f t="shared" ca="1" si="0"/>
        <v>NO</v>
      </c>
      <c r="AC25" s="331" t="str">
        <f t="shared" ca="1" si="1"/>
        <v>ESPAÑA</v>
      </c>
      <c r="AD25" s="331">
        <f t="shared" ca="1" si="5"/>
        <v>5</v>
      </c>
      <c r="AE25" s="340">
        <v>0</v>
      </c>
      <c r="AF25" s="328"/>
      <c r="AG25" s="340">
        <v>0</v>
      </c>
      <c r="AH25" s="340" t="str">
        <f t="shared" ca="1" si="3"/>
        <v>NO</v>
      </c>
      <c r="AI25" s="340">
        <v>36</v>
      </c>
      <c r="AJ25" s="483"/>
      <c r="AK25" s="340"/>
      <c r="AL25" s="340"/>
      <c r="AM25" s="340"/>
      <c r="AN25" s="340"/>
      <c r="AO25" s="340"/>
    </row>
    <row r="26" spans="1:41">
      <c r="A26" s="23" t="s">
        <v>488</v>
      </c>
      <c r="B26" s="23" t="s">
        <v>412</v>
      </c>
      <c r="C26" s="508">
        <f>IF(Datos_Convenio!D26="A",LOOKUP(Datos_Convenio!E26,Convenio!$A$4:$A$16,Convenio!$L$4:$L$16),LOOKUP(Datos_Convenio!E26,Convenio!$A$20:$A$32,Convenio!$L$20:$L$32))</f>
        <v>4</v>
      </c>
      <c r="D26" s="479">
        <f>C26*Datos_Convenio!H26</f>
        <v>120</v>
      </c>
      <c r="E26" s="507">
        <f>IF(Datos_Convenio!H26="A",LOOKUP(Datos_Convenio!$E$3,Convenio!$A$4:$A$16,Convenio!$L$4:$L$16),LOOKUP(Datos_Convenio!I26,Convenio!$A$20:$A$32,Convenio!$L$20:$L$32))</f>
        <v>3.51</v>
      </c>
      <c r="F26" s="509">
        <f ca="1">IF(Datos_Convenio!H26="A",0,RANDBETWEEN(0,Datos_Convenio!H26))</f>
        <v>14</v>
      </c>
      <c r="G26" s="479">
        <f t="shared" ca="1" si="4"/>
        <v>49.14</v>
      </c>
      <c r="H26" s="480">
        <f>IF(Datos_Convenio!D26="A",0,LOOKUP(Datos_Convenio!E26,Convenio!$A$20:$A$32,Convenio!$K$20:$K$32))</f>
        <v>0</v>
      </c>
      <c r="I26" s="480">
        <f>IF(Datos_Convenio!D26="A",LOOKUP(Datos_Convenio!E26,Convenio!$A$4:$A$16,Convenio!$N$4:$N$16),LOOKUP(Datos_Convenio!E26,Convenio!$A$20:$A$32,Convenio!$N$20:$N$32))</f>
        <v>0</v>
      </c>
      <c r="J26" s="328"/>
      <c r="K26" s="509">
        <f ca="1">RANDBETWEEN(0,(Datos_Convenio!H26))</f>
        <v>27</v>
      </c>
      <c r="L26" s="480">
        <f ca="1">IF(Datos_Convenio!D26="A",LOOKUP(Datos_Convenio!E26,Convenio!$A$4:$A$16,Convenio!$L$4:$L$16*Datos_Variables!K26),LOOKUP(Datos_Convenio!E26,Convenio!$A$20:$A$32,Convenio!$L$20:$L$32*K26))</f>
        <v>108</v>
      </c>
      <c r="M26" s="509">
        <f ca="1">RANDBETWEEN(0,(Datos_Convenio!H26))</f>
        <v>30</v>
      </c>
      <c r="N26" s="480">
        <f ca="1">IF(Datos_Convenio!D26="A",LOOKUP(Datos_Convenio!E26,Convenio!$A$4:$A$16,Convenio!$I$4:$I$16*Datos_Variables!M26),LOOKUP(Datos_Convenio!E26,Convenio!$A$20:$A$32,Convenio!$I$20:$I$32*Datos_Variables!M26))</f>
        <v>613.98</v>
      </c>
      <c r="O26" s="328"/>
      <c r="P26" s="480">
        <f>IF(Datos_Convenio!D26="A",LOOKUP(Datos_Convenio!E26,Convenio!$A$4:$A$16,Convenio!$E$4:$E$16),LOOKUP(Datos_Convenio!E26,Convenio!$A$20:$A$32,Convenio!$E$20:$E$32*Datos_Convenio!H26))</f>
        <v>100</v>
      </c>
      <c r="Q26" s="480">
        <f>IF(Datos_Convenio!D26="A",0,LOOKUP(Datos_Convenio!E26,Convenio!$A$20:$A$32,Convenio!$C$20:$C$32*Datos_Convenio!H26))</f>
        <v>0</v>
      </c>
      <c r="R26" s="328"/>
      <c r="S26" s="340"/>
      <c r="T26" s="331"/>
      <c r="U26" s="340"/>
      <c r="W26" s="340"/>
      <c r="X26" s="340"/>
      <c r="Y26" s="340"/>
      <c r="Z26" s="480">
        <f>IF(Datos_Convenio!D26="A",LOOKUP(Datos_Convenio!E26,Convenio!$A$4:$A$16,Convenio!$F$4:$F$16),LOOKUP(Datos_Convenio!$E$3,Convenio!$A$20:$A$32,Convenio!$F$20:$F$32*Datos_Convenio!H26))</f>
        <v>70</v>
      </c>
      <c r="AA26" s="328"/>
      <c r="AB26" s="331" t="str">
        <f t="shared" ca="1" si="0"/>
        <v>SI</v>
      </c>
      <c r="AC26" s="331" t="str">
        <f t="shared" ca="1" si="1"/>
        <v>ESPAÑA</v>
      </c>
      <c r="AD26" s="331">
        <f t="shared" ca="1" si="5"/>
        <v>3</v>
      </c>
      <c r="AE26" s="340">
        <v>100</v>
      </c>
      <c r="AF26" s="328"/>
      <c r="AG26" s="340">
        <v>172.396923076923</v>
      </c>
      <c r="AH26" s="340" t="str">
        <f t="shared" ca="1" si="3"/>
        <v>SI</v>
      </c>
      <c r="AI26" s="340">
        <v>34</v>
      </c>
      <c r="AJ26" s="483"/>
      <c r="AK26" s="340"/>
      <c r="AL26" s="340"/>
      <c r="AM26" s="340"/>
      <c r="AN26" s="340"/>
      <c r="AO26" s="340"/>
    </row>
    <row r="27" spans="1:41">
      <c r="A27" s="23" t="s">
        <v>489</v>
      </c>
      <c r="B27" s="23" t="s">
        <v>385</v>
      </c>
      <c r="C27" s="508">
        <f>IF(Datos_Convenio!D27="A",LOOKUP(Datos_Convenio!E27,Convenio!$A$4:$A$16,Convenio!$L$4:$L$16),LOOKUP(Datos_Convenio!E27,Convenio!$A$20:$A$32,Convenio!$L$20:$L$32))</f>
        <v>4</v>
      </c>
      <c r="D27" s="479">
        <f>C27*Datos_Convenio!H27</f>
        <v>120</v>
      </c>
      <c r="E27" s="507">
        <f>IF(Datos_Convenio!H27="A",LOOKUP(Datos_Convenio!$E$3,Convenio!$A$4:$A$16,Convenio!$L$4:$L$16),LOOKUP(Datos_Convenio!I27,Convenio!$A$20:$A$32,Convenio!$L$20:$L$32))</f>
        <v>3.51</v>
      </c>
      <c r="F27" s="509">
        <f ca="1">IF(Datos_Convenio!H27="A",0,RANDBETWEEN(0,Datos_Convenio!H27))</f>
        <v>0</v>
      </c>
      <c r="G27" s="479">
        <f t="shared" ca="1" si="4"/>
        <v>0</v>
      </c>
      <c r="H27" s="480">
        <f>IF(Datos_Convenio!D27="A",0,LOOKUP(Datos_Convenio!E27,Convenio!$A$20:$A$32,Convenio!$K$20:$K$32))</f>
        <v>0</v>
      </c>
      <c r="I27" s="480">
        <f>IF(Datos_Convenio!D27="A",LOOKUP(Datos_Convenio!E27,Convenio!$A$4:$A$16,Convenio!$N$4:$N$16),LOOKUP(Datos_Convenio!E27,Convenio!$A$20:$A$32,Convenio!$N$20:$N$32))</f>
        <v>0</v>
      </c>
      <c r="J27" s="328"/>
      <c r="K27" s="509">
        <f ca="1">RANDBETWEEN(0,(Datos_Convenio!H27))</f>
        <v>16</v>
      </c>
      <c r="L27" s="480">
        <f ca="1">IF(Datos_Convenio!D27="A",LOOKUP(Datos_Convenio!E27,Convenio!$A$4:$A$16,Convenio!$L$4:$L$16*Datos_Variables!K27),LOOKUP(Datos_Convenio!E27,Convenio!$A$20:$A$32,Convenio!$L$20:$L$32*K27))</f>
        <v>64</v>
      </c>
      <c r="M27" s="509">
        <f ca="1">RANDBETWEEN(0,(Datos_Convenio!H27))</f>
        <v>19</v>
      </c>
      <c r="N27" s="480">
        <f ca="1">IF(Datos_Convenio!D27="A",LOOKUP(Datos_Convenio!E27,Convenio!$A$4:$A$16,Convenio!$I$4:$I$16*Datos_Variables!M27),LOOKUP(Datos_Convenio!E27,Convenio!$A$20:$A$32,Convenio!$I$20:$I$32*Datos_Variables!M27))</f>
        <v>388.85400000000004</v>
      </c>
      <c r="O27" s="328"/>
      <c r="P27" s="480">
        <f>IF(Datos_Convenio!D27="A",LOOKUP(Datos_Convenio!E27,Convenio!$A$4:$A$16,Convenio!$E$4:$E$16),LOOKUP(Datos_Convenio!E27,Convenio!$A$20:$A$32,Convenio!$E$20:$E$32*Datos_Convenio!H27))</f>
        <v>100</v>
      </c>
      <c r="Q27" s="480">
        <f>IF(Datos_Convenio!D27="A",0,LOOKUP(Datos_Convenio!E27,Convenio!$A$20:$A$32,Convenio!$C$20:$C$32*Datos_Convenio!H27))</f>
        <v>0</v>
      </c>
      <c r="R27" s="328"/>
      <c r="S27" s="340"/>
      <c r="T27" s="331"/>
      <c r="U27" s="340"/>
      <c r="W27" s="340"/>
      <c r="X27" s="340"/>
      <c r="Y27" s="340"/>
      <c r="Z27" s="480">
        <f>IF(Datos_Convenio!D27="A",LOOKUP(Datos_Convenio!E27,Convenio!$A$4:$A$16,Convenio!$F$4:$F$16),LOOKUP(Datos_Convenio!$E$3,Convenio!$A$20:$A$32,Convenio!$F$20:$F$32*Datos_Convenio!H27))</f>
        <v>70</v>
      </c>
      <c r="AA27" s="328"/>
      <c r="AB27" s="331" t="str">
        <f t="shared" ca="1" si="0"/>
        <v>SI</v>
      </c>
      <c r="AC27" s="331" t="str">
        <f t="shared" ca="1" si="1"/>
        <v>EXTRANJERO</v>
      </c>
      <c r="AD27" s="331">
        <f t="shared" ca="1" si="5"/>
        <v>10</v>
      </c>
      <c r="AE27" s="340">
        <v>160</v>
      </c>
      <c r="AF27" s="328"/>
      <c r="AG27" s="340">
        <v>162</v>
      </c>
      <c r="AH27" s="340" t="str">
        <f t="shared" ca="1" si="3"/>
        <v>SI</v>
      </c>
      <c r="AI27" s="340">
        <v>92</v>
      </c>
      <c r="AJ27" s="483"/>
      <c r="AK27" s="340"/>
      <c r="AL27" s="340"/>
      <c r="AM27" s="340"/>
      <c r="AN27" s="340"/>
      <c r="AO27" s="340"/>
    </row>
    <row r="28" spans="1:41">
      <c r="A28" s="23" t="s">
        <v>490</v>
      </c>
      <c r="B28" s="23" t="s">
        <v>404</v>
      </c>
      <c r="C28" s="508">
        <f>IF(Datos_Convenio!D28="A",LOOKUP(Datos_Convenio!E28,Convenio!$A$4:$A$16,Convenio!$L$4:$L$16),LOOKUP(Datos_Convenio!E28,Convenio!$A$20:$A$32,Convenio!$L$20:$L$32))</f>
        <v>4</v>
      </c>
      <c r="D28" s="479">
        <f>C28*Datos_Convenio!H28</f>
        <v>120</v>
      </c>
      <c r="E28" s="507">
        <f>IF(Datos_Convenio!H28="A",LOOKUP(Datos_Convenio!$E$3,Convenio!$A$4:$A$16,Convenio!$L$4:$L$16),LOOKUP(Datos_Convenio!I28,Convenio!$A$20:$A$32,Convenio!$L$20:$L$32))</f>
        <v>3.51</v>
      </c>
      <c r="F28" s="509">
        <f ca="1">IF(Datos_Convenio!H28="A",0,RANDBETWEEN(0,Datos_Convenio!H28))</f>
        <v>30</v>
      </c>
      <c r="G28" s="479">
        <f t="shared" ca="1" si="4"/>
        <v>105.3</v>
      </c>
      <c r="H28" s="480">
        <f>IF(Datos_Convenio!D28="A",0,LOOKUP(Datos_Convenio!E28,Convenio!$A$20:$A$32,Convenio!$K$20:$K$32))</f>
        <v>0</v>
      </c>
      <c r="I28" s="480">
        <f>IF(Datos_Convenio!D28="A",LOOKUP(Datos_Convenio!E28,Convenio!$A$4:$A$16,Convenio!$N$4:$N$16),LOOKUP(Datos_Convenio!E28,Convenio!$A$20:$A$32,Convenio!$N$20:$N$32))</f>
        <v>0</v>
      </c>
      <c r="J28" s="328"/>
      <c r="K28" s="509">
        <f ca="1">RANDBETWEEN(0,(Datos_Convenio!H28))</f>
        <v>19</v>
      </c>
      <c r="L28" s="480">
        <f ca="1">IF(Datos_Convenio!D28="A",LOOKUP(Datos_Convenio!E28,Convenio!$A$4:$A$16,Convenio!$L$4:$L$16*Datos_Variables!K28),LOOKUP(Datos_Convenio!E28,Convenio!$A$20:$A$32,Convenio!$L$20:$L$32*K28))</f>
        <v>76</v>
      </c>
      <c r="M28" s="509">
        <f ca="1">RANDBETWEEN(0,(Datos_Convenio!H28))</f>
        <v>12</v>
      </c>
      <c r="N28" s="480">
        <f ca="1">IF(Datos_Convenio!D28="A",LOOKUP(Datos_Convenio!E28,Convenio!$A$4:$A$16,Convenio!$I$4:$I$16*Datos_Variables!M28),LOOKUP(Datos_Convenio!E28,Convenio!$A$20:$A$32,Convenio!$I$20:$I$32*Datos_Variables!M28))</f>
        <v>245.59200000000001</v>
      </c>
      <c r="O28" s="328"/>
      <c r="P28" s="480">
        <f>IF(Datos_Convenio!D28="A",LOOKUP(Datos_Convenio!E28,Convenio!$A$4:$A$16,Convenio!$E$4:$E$16),LOOKUP(Datos_Convenio!E28,Convenio!$A$20:$A$32,Convenio!$E$20:$E$32*Datos_Convenio!H28))</f>
        <v>100</v>
      </c>
      <c r="Q28" s="480">
        <f>IF(Datos_Convenio!D28="A",0,LOOKUP(Datos_Convenio!E28,Convenio!$A$20:$A$32,Convenio!$C$20:$C$32*Datos_Convenio!H28))</f>
        <v>0</v>
      </c>
      <c r="R28" s="328"/>
      <c r="S28" s="340"/>
      <c r="T28" s="331"/>
      <c r="U28" s="340"/>
      <c r="W28" s="340"/>
      <c r="X28" s="340"/>
      <c r="Y28" s="340"/>
      <c r="Z28" s="480">
        <f>IF(Datos_Convenio!D28="A",LOOKUP(Datos_Convenio!E28,Convenio!$A$4:$A$16,Convenio!$F$4:$F$16),LOOKUP(Datos_Convenio!$E$3,Convenio!$A$20:$A$32,Convenio!$F$20:$F$32*Datos_Convenio!H28))</f>
        <v>70</v>
      </c>
      <c r="AA28" s="328"/>
      <c r="AB28" s="331" t="str">
        <f t="shared" ca="1" si="0"/>
        <v>NO</v>
      </c>
      <c r="AC28" s="331" t="str">
        <f t="shared" ca="1" si="1"/>
        <v>EXTRANJERO</v>
      </c>
      <c r="AD28" s="331">
        <f t="shared" ca="1" si="5"/>
        <v>2</v>
      </c>
      <c r="AE28" s="340">
        <v>0</v>
      </c>
      <c r="AF28" s="328"/>
      <c r="AG28" s="340">
        <v>192</v>
      </c>
      <c r="AH28" s="340" t="str">
        <f t="shared" ca="1" si="3"/>
        <v>NO</v>
      </c>
      <c r="AI28" s="340">
        <v>28</v>
      </c>
      <c r="AJ28" s="483"/>
      <c r="AK28" s="340"/>
      <c r="AL28" s="340"/>
      <c r="AM28" s="340"/>
      <c r="AN28" s="340"/>
      <c r="AO28" s="340"/>
    </row>
    <row r="29" spans="1:41">
      <c r="A29" s="23" t="s">
        <v>491</v>
      </c>
      <c r="B29" s="23" t="s">
        <v>429</v>
      </c>
      <c r="C29" s="508">
        <f>IF(Datos_Convenio!D29="A",LOOKUP(Datos_Convenio!E29,Convenio!$A$4:$A$16,Convenio!$L$4:$L$16),LOOKUP(Datos_Convenio!E29,Convenio!$A$20:$A$32,Convenio!$L$20:$L$32))</f>
        <v>3.51</v>
      </c>
      <c r="D29" s="479">
        <f>C29*Datos_Convenio!H29</f>
        <v>105.3</v>
      </c>
      <c r="E29" s="507">
        <f>IF(Datos_Convenio!H29="A",LOOKUP(Datos_Convenio!$E$3,Convenio!$A$4:$A$16,Convenio!$L$4:$L$16),LOOKUP(Datos_Convenio!I29,Convenio!$A$20:$A$32,Convenio!$L$20:$L$32))</f>
        <v>3.51</v>
      </c>
      <c r="F29" s="509">
        <f ca="1">IF(Datos_Convenio!H29="A",0,RANDBETWEEN(0,Datos_Convenio!H29))</f>
        <v>3</v>
      </c>
      <c r="G29" s="479">
        <f t="shared" ca="1" si="4"/>
        <v>10.53</v>
      </c>
      <c r="H29" s="480">
        <f>IF(Datos_Convenio!D29="A",0,LOOKUP(Datos_Convenio!E29,Convenio!$A$20:$A$32,Convenio!$K$20:$K$32))</f>
        <v>3.38</v>
      </c>
      <c r="I29" s="480">
        <f>IF(Datos_Convenio!D29="A",LOOKUP(Datos_Convenio!E29,Convenio!$A$4:$A$16,Convenio!$N$4:$N$16),LOOKUP(Datos_Convenio!E29,Convenio!$A$20:$A$32,Convenio!$N$20:$N$32))</f>
        <v>0</v>
      </c>
      <c r="J29" s="328"/>
      <c r="K29" s="509">
        <f ca="1">RANDBETWEEN(0,(Datos_Convenio!H29))</f>
        <v>0</v>
      </c>
      <c r="L29" s="480">
        <f ca="1">IF(Datos_Convenio!D29="A",LOOKUP(Datos_Convenio!E29,Convenio!$A$4:$A$16,Convenio!$L$4:$L$16*Datos_Variables!K29),LOOKUP(Datos_Convenio!E29,Convenio!$A$20:$A$32,Convenio!$L$20:$L$32*K29))</f>
        <v>0</v>
      </c>
      <c r="M29" s="509">
        <f ca="1">RANDBETWEEN(0,(Datos_Convenio!H29))</f>
        <v>18</v>
      </c>
      <c r="N29" s="480">
        <f ca="1">IF(Datos_Convenio!D29="A",LOOKUP(Datos_Convenio!E29,Convenio!$A$4:$A$16,Convenio!$I$4:$I$16*Datos_Variables!M29),LOOKUP(Datos_Convenio!E29,Convenio!$A$20:$A$32,Convenio!$I$20:$I$32*Datos_Variables!M29))</f>
        <v>251.16479999999999</v>
      </c>
      <c r="O29" s="328"/>
      <c r="P29" s="480">
        <f>IF(Datos_Convenio!D29="A",LOOKUP(Datos_Convenio!E29,Convenio!$A$4:$A$16,Convenio!$E$4:$E$16),LOOKUP(Datos_Convenio!E29,Convenio!$A$20:$A$32,Convenio!$E$20:$E$32*Datos_Convenio!H29))</f>
        <v>109.2</v>
      </c>
      <c r="Q29" s="480">
        <f>IF(Datos_Convenio!D29="A",0,LOOKUP(Datos_Convenio!E29,Convenio!$A$20:$A$32,Convenio!$C$20:$C$32*Datos_Convenio!H29))</f>
        <v>197.4</v>
      </c>
      <c r="R29" s="328"/>
      <c r="S29" s="340"/>
      <c r="T29" s="331"/>
      <c r="U29" s="340"/>
      <c r="W29" s="340"/>
      <c r="X29" s="340"/>
      <c r="Y29" s="340"/>
      <c r="Z29" s="480">
        <f>IF(Datos_Convenio!D29="A",LOOKUP(Datos_Convenio!E29,Convenio!$A$4:$A$16,Convenio!$F$4:$F$16),LOOKUP(Datos_Convenio!$E$3,Convenio!$A$20:$A$32,Convenio!$F$20:$F$32*Datos_Convenio!H29))</f>
        <v>62.099999999999994</v>
      </c>
      <c r="AA29" s="328"/>
      <c r="AB29" s="331" t="str">
        <f t="shared" ca="1" si="0"/>
        <v>NO</v>
      </c>
      <c r="AC29" s="331" t="str">
        <f t="shared" ca="1" si="1"/>
        <v>EXTRANJERO</v>
      </c>
      <c r="AD29" s="331">
        <f t="shared" ca="1" si="5"/>
        <v>9</v>
      </c>
      <c r="AE29" s="340">
        <v>0</v>
      </c>
      <c r="AF29" s="328"/>
      <c r="AG29" s="340">
        <v>168.61230769230801</v>
      </c>
      <c r="AH29" s="340" t="str">
        <f t="shared" ca="1" si="3"/>
        <v>NO</v>
      </c>
      <c r="AI29" s="340">
        <v>36</v>
      </c>
      <c r="AJ29" s="483"/>
      <c r="AK29" s="340"/>
      <c r="AL29" s="340"/>
      <c r="AM29" s="340"/>
      <c r="AN29" s="340"/>
      <c r="AO29" s="340"/>
    </row>
    <row r="30" spans="1:41">
      <c r="A30" s="23" t="s">
        <v>492</v>
      </c>
      <c r="B30" s="23" t="s">
        <v>403</v>
      </c>
      <c r="C30" s="508">
        <f>IF(Datos_Convenio!D30="A",LOOKUP(Datos_Convenio!E30,Convenio!$A$4:$A$16,Convenio!$L$4:$L$16),LOOKUP(Datos_Convenio!E30,Convenio!$A$20:$A$32,Convenio!$L$20:$L$32))</f>
        <v>3.51</v>
      </c>
      <c r="D30" s="479">
        <v>0</v>
      </c>
      <c r="E30" s="507">
        <f>IF(Datos_Convenio!H30="A",LOOKUP(Datos_Convenio!$E$3,Convenio!$A$4:$A$16,Convenio!$L$4:$L$16),LOOKUP(Datos_Convenio!I30,Convenio!$A$20:$A$32,Convenio!$L$20:$L$32))</f>
        <v>3.51</v>
      </c>
      <c r="F30" s="509">
        <f ca="1">IF(Datos_Convenio!H30="A",0,RANDBETWEEN(0,Datos_Convenio!H30))</f>
        <v>0</v>
      </c>
      <c r="G30" s="479">
        <f t="shared" ca="1" si="4"/>
        <v>0</v>
      </c>
      <c r="H30" s="480">
        <f>IF(Datos_Convenio!D30="A",0,LOOKUP(Datos_Convenio!E30,Convenio!$A$20:$A$32,Convenio!$K$20:$K$32))</f>
        <v>3.38</v>
      </c>
      <c r="I30" s="480">
        <f>IF(Datos_Convenio!D30="A",LOOKUP(Datos_Convenio!E30,Convenio!$A$4:$A$16,Convenio!$N$4:$N$16),LOOKUP(Datos_Convenio!E30,Convenio!$A$20:$A$32,Convenio!$N$20:$N$32))</f>
        <v>0</v>
      </c>
      <c r="J30" s="328"/>
      <c r="K30" s="509">
        <f ca="1">RANDBETWEEN(0,(Datos_Convenio!H30))</f>
        <v>27</v>
      </c>
      <c r="L30" s="480">
        <f ca="1">IF(Datos_Convenio!D30="A",LOOKUP(Datos_Convenio!E30,Convenio!$A$4:$A$16,Convenio!$L$4:$L$16*Datos_Variables!K30),LOOKUP(Datos_Convenio!E30,Convenio!$A$20:$A$32,Convenio!$L$20:$L$32*K30))</f>
        <v>94.77</v>
      </c>
      <c r="M30" s="509">
        <f ca="1">RANDBETWEEN(0,(Datos_Convenio!H30))</f>
        <v>17</v>
      </c>
      <c r="N30" s="480">
        <f ca="1">IF(Datos_Convenio!D30="A",LOOKUP(Datos_Convenio!E30,Convenio!$A$4:$A$16,Convenio!$I$4:$I$16*Datos_Variables!M30),LOOKUP(Datos_Convenio!E30,Convenio!$A$20:$A$32,Convenio!$I$20:$I$32*Datos_Variables!M30))</f>
        <v>237.21119999999999</v>
      </c>
      <c r="O30" s="328"/>
      <c r="P30" s="480">
        <v>0</v>
      </c>
      <c r="Q30" s="480">
        <f>IF(Datos_Convenio!D30="A",0,LOOKUP(Datos_Convenio!E30,Convenio!$A$20:$A$32,Convenio!$C$20:$C$32*Datos_Convenio!H30))</f>
        <v>197.4</v>
      </c>
      <c r="R30" s="328"/>
      <c r="S30" s="340"/>
      <c r="T30" s="331"/>
      <c r="U30" s="340"/>
      <c r="W30" s="340"/>
      <c r="X30" s="340"/>
      <c r="Y30" s="340"/>
      <c r="Z30" s="480">
        <v>0</v>
      </c>
      <c r="AA30" s="328"/>
      <c r="AB30" s="331" t="str">
        <f t="shared" ca="1" si="0"/>
        <v>SI</v>
      </c>
      <c r="AC30" s="331" t="str">
        <f t="shared" ca="1" si="1"/>
        <v>EXTRANJERO</v>
      </c>
      <c r="AD30" s="331">
        <f t="shared" ca="1" si="5"/>
        <v>0</v>
      </c>
      <c r="AE30" s="340">
        <v>0</v>
      </c>
      <c r="AF30" s="328"/>
      <c r="AG30" s="340">
        <v>0</v>
      </c>
      <c r="AH30" s="340" t="str">
        <f t="shared" ca="1" si="3"/>
        <v>SI</v>
      </c>
      <c r="AI30" s="340">
        <v>79</v>
      </c>
      <c r="AJ30" s="483"/>
      <c r="AK30" s="340">
        <v>0</v>
      </c>
      <c r="AL30" s="340">
        <v>0</v>
      </c>
      <c r="AM30" s="340">
        <v>0</v>
      </c>
      <c r="AN30" s="340">
        <v>0</v>
      </c>
      <c r="AO30" s="340">
        <v>0</v>
      </c>
    </row>
    <row r="31" spans="1:41">
      <c r="A31" s="23" t="s">
        <v>493</v>
      </c>
      <c r="B31" s="23" t="s">
        <v>382</v>
      </c>
      <c r="C31" s="508">
        <f>IF(Datos_Convenio!D31="A",LOOKUP(Datos_Convenio!E31,Convenio!$A$4:$A$16,Convenio!$L$4:$L$16),LOOKUP(Datos_Convenio!E31,Convenio!$A$20:$A$32,Convenio!$L$20:$L$32))</f>
        <v>3.51</v>
      </c>
      <c r="D31" s="479">
        <v>0</v>
      </c>
      <c r="E31" s="507">
        <f>IF(Datos_Convenio!H31="A",LOOKUP(Datos_Convenio!$E$3,Convenio!$A$4:$A$16,Convenio!$L$4:$L$16),LOOKUP(Datos_Convenio!I31,Convenio!$A$20:$A$32,Convenio!$L$20:$L$32))</f>
        <v>3.51</v>
      </c>
      <c r="F31" s="509">
        <f ca="1">IF(Datos_Convenio!H31="A",0,RANDBETWEEN(0,Datos_Convenio!H31))</f>
        <v>13</v>
      </c>
      <c r="G31" s="479">
        <f t="shared" ca="1" si="4"/>
        <v>45.629999999999995</v>
      </c>
      <c r="H31" s="480">
        <f>IF(Datos_Convenio!D31="A",0,LOOKUP(Datos_Convenio!E31,Convenio!$A$20:$A$32,Convenio!$K$20:$K$32))</f>
        <v>3.38</v>
      </c>
      <c r="I31" s="480">
        <f>IF(Datos_Convenio!D31="A",LOOKUP(Datos_Convenio!E31,Convenio!$A$4:$A$16,Convenio!$N$4:$N$16),LOOKUP(Datos_Convenio!E31,Convenio!$A$20:$A$32,Convenio!$N$20:$N$32))</f>
        <v>0</v>
      </c>
      <c r="J31" s="328"/>
      <c r="K31" s="509">
        <f ca="1">RANDBETWEEN(0,(Datos_Convenio!H31))</f>
        <v>23</v>
      </c>
      <c r="L31" s="480">
        <f ca="1">IF(Datos_Convenio!D31="A",LOOKUP(Datos_Convenio!E31,Convenio!$A$4:$A$16,Convenio!$L$4:$L$16*Datos_Variables!K31),LOOKUP(Datos_Convenio!E31,Convenio!$A$20:$A$32,Convenio!$L$20:$L$32*K31))</f>
        <v>80.72999999999999</v>
      </c>
      <c r="M31" s="509">
        <f ca="1">RANDBETWEEN(0,(Datos_Convenio!H31))</f>
        <v>25</v>
      </c>
      <c r="N31" s="480">
        <f ca="1">IF(Datos_Convenio!D31="A",LOOKUP(Datos_Convenio!E31,Convenio!$A$4:$A$16,Convenio!$I$4:$I$16*Datos_Variables!M31),LOOKUP(Datos_Convenio!E31,Convenio!$A$20:$A$32,Convenio!$I$20:$I$32*Datos_Variables!M31))</f>
        <v>384.75</v>
      </c>
      <c r="O31" s="328"/>
      <c r="P31" s="480">
        <v>130</v>
      </c>
      <c r="Q31" s="480">
        <f>IF(Datos_Convenio!D31="A",0,LOOKUP(Datos_Convenio!E31,Convenio!$A$20:$A$32,Convenio!$C$20:$C$32*Datos_Convenio!H31))</f>
        <v>197.4</v>
      </c>
      <c r="R31" s="328"/>
      <c r="S31" s="340"/>
      <c r="T31" s="331"/>
      <c r="U31" s="340"/>
      <c r="W31" s="340"/>
      <c r="X31" s="340"/>
      <c r="Y31" s="340"/>
      <c r="Z31" s="480">
        <v>0</v>
      </c>
      <c r="AA31" s="328"/>
      <c r="AB31" s="331" t="str">
        <f t="shared" ca="1" si="0"/>
        <v>NO</v>
      </c>
      <c r="AC31" s="331" t="str">
        <f t="shared" ca="1" si="1"/>
        <v>EXTRANJERO</v>
      </c>
      <c r="AD31" s="331">
        <f t="shared" ca="1" si="5"/>
        <v>1</v>
      </c>
      <c r="AE31" s="340">
        <v>0</v>
      </c>
      <c r="AF31" s="328"/>
      <c r="AG31" s="340">
        <v>0</v>
      </c>
      <c r="AH31" s="340" t="str">
        <f t="shared" ca="1" si="3"/>
        <v>NO</v>
      </c>
      <c r="AI31" s="340">
        <v>72</v>
      </c>
      <c r="AJ31" s="483"/>
      <c r="AK31" s="340"/>
      <c r="AL31" s="340"/>
      <c r="AM31" s="340"/>
      <c r="AN31" s="340"/>
      <c r="AO31" s="340"/>
    </row>
    <row r="32" spans="1:41">
      <c r="A32" s="23" t="s">
        <v>494</v>
      </c>
      <c r="B32" s="23" t="s">
        <v>437</v>
      </c>
      <c r="C32" s="508">
        <f>IF(Datos_Convenio!D32="A",LOOKUP(Datos_Convenio!E32,Convenio!$A$4:$A$16,Convenio!$L$4:$L$16),LOOKUP(Datos_Convenio!E32,Convenio!$A$20:$A$32,Convenio!$L$20:$L$32))</f>
        <v>4</v>
      </c>
      <c r="D32" s="479">
        <f>C32*Datos_Convenio!H32</f>
        <v>120</v>
      </c>
      <c r="E32" s="507">
        <f>IF(Datos_Convenio!H32="A",LOOKUP(Datos_Convenio!$E$3,Convenio!$A$4:$A$16,Convenio!$L$4:$L$16),LOOKUP(Datos_Convenio!I32,Convenio!$A$20:$A$32,Convenio!$L$20:$L$32))</f>
        <v>3.51</v>
      </c>
      <c r="F32" s="509">
        <f ca="1">IF(Datos_Convenio!H32="A",0,RANDBETWEEN(0,Datos_Convenio!H32))</f>
        <v>28</v>
      </c>
      <c r="G32" s="479">
        <f t="shared" ca="1" si="4"/>
        <v>98.28</v>
      </c>
      <c r="H32" s="480">
        <f>IF(Datos_Convenio!D32="A",0,LOOKUP(Datos_Convenio!E32,Convenio!$A$20:$A$32,Convenio!$K$20:$K$32))</f>
        <v>0</v>
      </c>
      <c r="I32" s="480">
        <f>IF(Datos_Convenio!D32="A",LOOKUP(Datos_Convenio!E32,Convenio!$A$4:$A$16,Convenio!$N$4:$N$16),LOOKUP(Datos_Convenio!E32,Convenio!$A$20:$A$32,Convenio!$N$20:$N$32))</f>
        <v>0</v>
      </c>
      <c r="J32" s="328"/>
      <c r="K32" s="509">
        <f ca="1">RANDBETWEEN(0,(Datos_Convenio!H32))</f>
        <v>26</v>
      </c>
      <c r="L32" s="480">
        <f ca="1">IF(Datos_Convenio!D32="A",LOOKUP(Datos_Convenio!E32,Convenio!$A$4:$A$16,Convenio!$L$4:$L$16*Datos_Variables!K32),LOOKUP(Datos_Convenio!E32,Convenio!$A$20:$A$32,Convenio!$L$20:$L$32*K32))</f>
        <v>104</v>
      </c>
      <c r="M32" s="509">
        <f ca="1">RANDBETWEEN(0,(Datos_Convenio!H32))</f>
        <v>27</v>
      </c>
      <c r="N32" s="480">
        <f ca="1">IF(Datos_Convenio!D32="A",LOOKUP(Datos_Convenio!E32,Convenio!$A$4:$A$16,Convenio!$I$4:$I$16*Datos_Variables!M32),LOOKUP(Datos_Convenio!E32,Convenio!$A$20:$A$32,Convenio!$I$20:$I$32*Datos_Variables!M32))</f>
        <v>552.58199999999999</v>
      </c>
      <c r="O32" s="328"/>
      <c r="P32" s="480">
        <f>IF(Datos_Convenio!D32="A",LOOKUP(Datos_Convenio!E32,Convenio!$A$4:$A$16,Convenio!$E$4:$E$16),LOOKUP(Datos_Convenio!E32,Convenio!$A$20:$A$32,Convenio!$E$20:$E$32*Datos_Convenio!H32))</f>
        <v>100</v>
      </c>
      <c r="Q32" s="480">
        <f>IF(Datos_Convenio!D32="A",0,LOOKUP(Datos_Convenio!E32,Convenio!$A$20:$A$32,Convenio!$C$20:$C$32*Datos_Convenio!H32))</f>
        <v>0</v>
      </c>
      <c r="R32" s="328"/>
      <c r="S32" s="340"/>
      <c r="T32" s="331"/>
      <c r="U32" s="340"/>
      <c r="W32" s="340"/>
      <c r="X32" s="340"/>
      <c r="Y32" s="340"/>
      <c r="Z32" s="480">
        <f>IF(Datos_Convenio!D32="A",LOOKUP(Datos_Convenio!E32,Convenio!$A$4:$A$16,Convenio!$F$4:$F$16),LOOKUP(Datos_Convenio!$E$3,Convenio!$A$20:$A$32,Convenio!$F$20:$F$32*Datos_Convenio!H32))</f>
        <v>70</v>
      </c>
      <c r="AA32" s="328"/>
      <c r="AB32" s="331" t="str">
        <f t="shared" ca="1" si="0"/>
        <v>SI</v>
      </c>
      <c r="AC32" s="331" t="str">
        <f t="shared" ca="1" si="1"/>
        <v>ESPAÑA</v>
      </c>
      <c r="AD32" s="331">
        <f t="shared" ca="1" si="5"/>
        <v>3</v>
      </c>
      <c r="AE32" s="340">
        <v>158.54545454545499</v>
      </c>
      <c r="AF32" s="328"/>
      <c r="AG32" s="340">
        <v>0</v>
      </c>
      <c r="AH32" s="340" t="str">
        <f t="shared" ca="1" si="3"/>
        <v>NO</v>
      </c>
      <c r="AI32" s="340">
        <v>0</v>
      </c>
      <c r="AJ32" s="483"/>
      <c r="AK32" s="340"/>
      <c r="AL32" s="340"/>
      <c r="AM32" s="340"/>
      <c r="AN32" s="340"/>
      <c r="AO32" s="340"/>
    </row>
    <row r="33" spans="1:41">
      <c r="A33" s="23" t="s">
        <v>495</v>
      </c>
      <c r="B33" s="23" t="s">
        <v>423</v>
      </c>
      <c r="C33" s="508">
        <f>IF(Datos_Convenio!D33="A",LOOKUP(Datos_Convenio!E33,Convenio!$A$4:$A$16,Convenio!$L$4:$L$16),LOOKUP(Datos_Convenio!E33,Convenio!$A$20:$A$32,Convenio!$L$20:$L$32))</f>
        <v>4</v>
      </c>
      <c r="D33" s="479">
        <f>C33*Datos_Convenio!H33</f>
        <v>120</v>
      </c>
      <c r="E33" s="507">
        <f>IF(Datos_Convenio!H33="A",LOOKUP(Datos_Convenio!$E$3,Convenio!$A$4:$A$16,Convenio!$L$4:$L$16),LOOKUP(Datos_Convenio!I33,Convenio!$A$20:$A$32,Convenio!$L$20:$L$32))</f>
        <v>3.51</v>
      </c>
      <c r="F33" s="509">
        <f ca="1">IF(Datos_Convenio!H33="A",0,RANDBETWEEN(0,Datos_Convenio!H33))</f>
        <v>15</v>
      </c>
      <c r="G33" s="479">
        <f t="shared" ca="1" si="4"/>
        <v>52.65</v>
      </c>
      <c r="H33" s="480">
        <f>IF(Datos_Convenio!D33="A",0,LOOKUP(Datos_Convenio!E33,Convenio!$A$20:$A$32,Convenio!$K$20:$K$32))</f>
        <v>0</v>
      </c>
      <c r="I33" s="480">
        <f>IF(Datos_Convenio!D33="A",LOOKUP(Datos_Convenio!E33,Convenio!$A$4:$A$16,Convenio!$N$4:$N$16),LOOKUP(Datos_Convenio!E33,Convenio!$A$20:$A$32,Convenio!$N$20:$N$32))</f>
        <v>0</v>
      </c>
      <c r="J33" s="328"/>
      <c r="K33" s="509">
        <f ca="1">RANDBETWEEN(0,(Datos_Convenio!H33))</f>
        <v>7</v>
      </c>
      <c r="L33" s="480">
        <f ca="1">IF(Datos_Convenio!D33="A",LOOKUP(Datos_Convenio!E33,Convenio!$A$4:$A$16,Convenio!$L$4:$L$16*Datos_Variables!K33),LOOKUP(Datos_Convenio!E33,Convenio!$A$20:$A$32,Convenio!$L$20:$L$32*K33))</f>
        <v>28</v>
      </c>
      <c r="M33" s="509">
        <f ca="1">RANDBETWEEN(0,(Datos_Convenio!H33))</f>
        <v>10</v>
      </c>
      <c r="N33" s="480">
        <f ca="1">IF(Datos_Convenio!D33="A",LOOKUP(Datos_Convenio!E33,Convenio!$A$4:$A$16,Convenio!$I$4:$I$16*Datos_Variables!M33),LOOKUP(Datos_Convenio!E33,Convenio!$A$20:$A$32,Convenio!$I$20:$I$32*Datos_Variables!M33))</f>
        <v>204.66000000000003</v>
      </c>
      <c r="O33" s="328"/>
      <c r="P33" s="480">
        <f>IF(Datos_Convenio!D33="A",LOOKUP(Datos_Convenio!E33,Convenio!$A$4:$A$16,Convenio!$E$4:$E$16),LOOKUP(Datos_Convenio!E33,Convenio!$A$20:$A$32,Convenio!$E$20:$E$32*Datos_Convenio!H33))</f>
        <v>100</v>
      </c>
      <c r="Q33" s="480">
        <f>IF(Datos_Convenio!D33="A",0,LOOKUP(Datos_Convenio!E33,Convenio!$A$20:$A$32,Convenio!$C$20:$C$32*Datos_Convenio!H33))</f>
        <v>0</v>
      </c>
      <c r="R33" s="328"/>
      <c r="S33" s="340"/>
      <c r="T33" s="331"/>
      <c r="U33" s="340"/>
      <c r="W33" s="340"/>
      <c r="X33" s="340"/>
      <c r="Y33" s="340"/>
      <c r="Z33" s="480">
        <f>IF(Datos_Convenio!D33="A",LOOKUP(Datos_Convenio!E33,Convenio!$A$4:$A$16,Convenio!$F$4:$F$16),LOOKUP(Datos_Convenio!$E$3,Convenio!$A$20:$A$32,Convenio!$F$20:$F$32*Datos_Convenio!H33))</f>
        <v>70</v>
      </c>
      <c r="AA33" s="328"/>
      <c r="AB33" s="331" t="str">
        <f t="shared" ca="1" si="0"/>
        <v>NO</v>
      </c>
      <c r="AC33" s="331" t="str">
        <f t="shared" ca="1" si="1"/>
        <v>EXTRANJERO</v>
      </c>
      <c r="AD33" s="331">
        <f t="shared" ca="1" si="5"/>
        <v>7</v>
      </c>
      <c r="AE33" s="340">
        <v>0</v>
      </c>
      <c r="AF33" s="328"/>
      <c r="AG33" s="340">
        <v>170</v>
      </c>
      <c r="AH33" s="340" t="str">
        <f t="shared" ca="1" si="3"/>
        <v>NO</v>
      </c>
      <c r="AI33" s="340">
        <v>16</v>
      </c>
      <c r="AJ33" s="483"/>
      <c r="AK33" s="340"/>
      <c r="AL33" s="340"/>
      <c r="AM33" s="340"/>
      <c r="AN33" s="340"/>
      <c r="AO33" s="340"/>
    </row>
    <row r="34" spans="1:41">
      <c r="A34" s="23" t="s">
        <v>496</v>
      </c>
      <c r="B34" s="23" t="s">
        <v>409</v>
      </c>
      <c r="C34" s="508">
        <f>IF(Datos_Convenio!D34="A",LOOKUP(Datos_Convenio!E34,Convenio!$A$4:$A$16,Convenio!$L$4:$L$16),LOOKUP(Datos_Convenio!E34,Convenio!$A$20:$A$32,Convenio!$L$20:$L$32))</f>
        <v>4</v>
      </c>
      <c r="D34" s="479">
        <f>C34*Datos_Convenio!H34</f>
        <v>120</v>
      </c>
      <c r="E34" s="507">
        <f>IF(Datos_Convenio!H34="A",LOOKUP(Datos_Convenio!$E$3,Convenio!$A$4:$A$16,Convenio!$L$4:$L$16),LOOKUP(Datos_Convenio!I34,Convenio!$A$20:$A$32,Convenio!$L$20:$L$32))</f>
        <v>3.51</v>
      </c>
      <c r="F34" s="509">
        <f ca="1">IF(Datos_Convenio!H34="A",0,RANDBETWEEN(0,Datos_Convenio!H34))</f>
        <v>12</v>
      </c>
      <c r="G34" s="479">
        <f t="shared" ca="1" si="4"/>
        <v>42.12</v>
      </c>
      <c r="H34" s="480">
        <f>IF(Datos_Convenio!D34="A",0,LOOKUP(Datos_Convenio!E34,Convenio!$A$20:$A$32,Convenio!$K$20:$K$32))</f>
        <v>0</v>
      </c>
      <c r="I34" s="480">
        <f>IF(Datos_Convenio!D34="A",LOOKUP(Datos_Convenio!E34,Convenio!$A$4:$A$16,Convenio!$N$4:$N$16),LOOKUP(Datos_Convenio!E34,Convenio!$A$20:$A$32,Convenio!$N$20:$N$32))</f>
        <v>0</v>
      </c>
      <c r="J34" s="328"/>
      <c r="K34" s="509">
        <f ca="1">RANDBETWEEN(0,(Datos_Convenio!H34))</f>
        <v>15</v>
      </c>
      <c r="L34" s="480">
        <f ca="1">IF(Datos_Convenio!D34="A",LOOKUP(Datos_Convenio!E34,Convenio!$A$4:$A$16,Convenio!$L$4:$L$16*Datos_Variables!K34),LOOKUP(Datos_Convenio!E34,Convenio!$A$20:$A$32,Convenio!$L$20:$L$32*K34))</f>
        <v>60</v>
      </c>
      <c r="M34" s="509">
        <f ca="1">RANDBETWEEN(0,(Datos_Convenio!H34))</f>
        <v>27</v>
      </c>
      <c r="N34" s="480">
        <f ca="1">IF(Datos_Convenio!D34="A",LOOKUP(Datos_Convenio!E34,Convenio!$A$4:$A$16,Convenio!$I$4:$I$16*Datos_Variables!M34),LOOKUP(Datos_Convenio!E34,Convenio!$A$20:$A$32,Convenio!$I$20:$I$32*Datos_Variables!M34))</f>
        <v>552.58199999999999</v>
      </c>
      <c r="O34" s="328"/>
      <c r="P34" s="480">
        <f>IF(Datos_Convenio!D34="A",LOOKUP(Datos_Convenio!E34,Convenio!$A$4:$A$16,Convenio!$E$4:$E$16),LOOKUP(Datos_Convenio!E34,Convenio!$A$20:$A$32,Convenio!$E$20:$E$32*Datos_Convenio!H34))</f>
        <v>100</v>
      </c>
      <c r="Q34" s="480">
        <f>IF(Datos_Convenio!D34="A",0,LOOKUP(Datos_Convenio!E34,Convenio!$A$20:$A$32,Convenio!$C$20:$C$32*Datos_Convenio!H34))</f>
        <v>0</v>
      </c>
      <c r="R34" s="328"/>
      <c r="S34" s="340"/>
      <c r="T34" s="331"/>
      <c r="U34" s="340"/>
      <c r="W34" s="340"/>
      <c r="X34" s="340"/>
      <c r="Y34" s="340"/>
      <c r="Z34" s="480">
        <f>IF(Datos_Convenio!D34="A",LOOKUP(Datos_Convenio!E34,Convenio!$A$4:$A$16,Convenio!$F$4:$F$16),LOOKUP(Datos_Convenio!$E$3,Convenio!$A$20:$A$32,Convenio!$F$20:$F$32*Datos_Convenio!H34))</f>
        <v>70</v>
      </c>
      <c r="AA34" s="328"/>
      <c r="AB34" s="331" t="str">
        <f t="shared" ca="1" si="0"/>
        <v>SI</v>
      </c>
      <c r="AC34" s="331" t="str">
        <f t="shared" ca="1" si="1"/>
        <v>EXTRANJERO</v>
      </c>
      <c r="AD34" s="331">
        <f t="shared" ca="1" si="5"/>
        <v>8</v>
      </c>
      <c r="AE34" s="340">
        <v>50</v>
      </c>
      <c r="AF34" s="328"/>
      <c r="AG34" s="340">
        <v>173.15384615384599</v>
      </c>
      <c r="AH34" s="340" t="str">
        <f t="shared" ca="1" si="3"/>
        <v>SI</v>
      </c>
      <c r="AI34" s="340">
        <v>92</v>
      </c>
      <c r="AJ34" s="483"/>
      <c r="AK34" s="340"/>
      <c r="AL34" s="340"/>
      <c r="AM34" s="340"/>
      <c r="AN34" s="340"/>
      <c r="AO34" s="340"/>
    </row>
    <row r="35" spans="1:41">
      <c r="A35" s="23" t="s">
        <v>497</v>
      </c>
      <c r="B35" s="23" t="s">
        <v>407</v>
      </c>
      <c r="C35" s="508">
        <f>IF(Datos_Convenio!D35="A",LOOKUP(Datos_Convenio!E35,Convenio!$A$4:$A$16,Convenio!$L$4:$L$16),LOOKUP(Datos_Convenio!E35,Convenio!$A$20:$A$32,Convenio!$L$20:$L$32))</f>
        <v>4</v>
      </c>
      <c r="D35" s="479">
        <f>C35*Datos_Convenio!H35</f>
        <v>120</v>
      </c>
      <c r="E35" s="507">
        <f>IF(Datos_Convenio!H35="A",LOOKUP(Datos_Convenio!$E$3,Convenio!$A$4:$A$16,Convenio!$L$4:$L$16),LOOKUP(Datos_Convenio!I35,Convenio!$A$20:$A$32,Convenio!$L$20:$L$32))</f>
        <v>3.51</v>
      </c>
      <c r="F35" s="509">
        <f ca="1">IF(Datos_Convenio!H35="A",0,RANDBETWEEN(0,Datos_Convenio!H35))</f>
        <v>3</v>
      </c>
      <c r="G35" s="479">
        <f t="shared" ca="1" si="4"/>
        <v>10.53</v>
      </c>
      <c r="H35" s="480">
        <f>IF(Datos_Convenio!D35="A",0,LOOKUP(Datos_Convenio!E35,Convenio!$A$20:$A$32,Convenio!$K$20:$K$32))</f>
        <v>0</v>
      </c>
      <c r="I35" s="480">
        <f>IF(Datos_Convenio!D35="A",LOOKUP(Datos_Convenio!E35,Convenio!$A$4:$A$16,Convenio!$N$4:$N$16),LOOKUP(Datos_Convenio!E35,Convenio!$A$20:$A$32,Convenio!$N$20:$N$32))</f>
        <v>0</v>
      </c>
      <c r="J35" s="328"/>
      <c r="K35" s="509">
        <f ca="1">RANDBETWEEN(0,(Datos_Convenio!H35))</f>
        <v>2</v>
      </c>
      <c r="L35" s="480">
        <f ca="1">IF(Datos_Convenio!D35="A",LOOKUP(Datos_Convenio!E35,Convenio!$A$4:$A$16,Convenio!$L$4:$L$16*Datos_Variables!K35),LOOKUP(Datos_Convenio!E35,Convenio!$A$20:$A$32,Convenio!$L$20:$L$32*K35))</f>
        <v>8</v>
      </c>
      <c r="M35" s="509">
        <f ca="1">RANDBETWEEN(0,(Datos_Convenio!H35))</f>
        <v>27</v>
      </c>
      <c r="N35" s="480">
        <f ca="1">IF(Datos_Convenio!D35="A",LOOKUP(Datos_Convenio!E35,Convenio!$A$4:$A$16,Convenio!$I$4:$I$16*Datos_Variables!M35),LOOKUP(Datos_Convenio!E35,Convenio!$A$20:$A$32,Convenio!$I$20:$I$32*Datos_Variables!M35))</f>
        <v>552.58199999999999</v>
      </c>
      <c r="O35" s="328"/>
      <c r="P35" s="480">
        <f>IF(Datos_Convenio!D35="A",LOOKUP(Datos_Convenio!E35,Convenio!$A$4:$A$16,Convenio!$E$4:$E$16),LOOKUP(Datos_Convenio!E35,Convenio!$A$20:$A$32,Convenio!$E$20:$E$32*Datos_Convenio!H35))</f>
        <v>100</v>
      </c>
      <c r="Q35" s="480">
        <f>IF(Datos_Convenio!D35="A",0,LOOKUP(Datos_Convenio!E35,Convenio!$A$20:$A$32,Convenio!$C$20:$C$32*Datos_Convenio!H35))</f>
        <v>0</v>
      </c>
      <c r="R35" s="328"/>
      <c r="S35" s="340"/>
      <c r="T35" s="331"/>
      <c r="U35" s="340"/>
      <c r="W35" s="340"/>
      <c r="X35" s="340"/>
      <c r="Y35" s="340"/>
      <c r="Z35" s="480">
        <f>IF(Datos_Convenio!D35="A",LOOKUP(Datos_Convenio!E35,Convenio!$A$4:$A$16,Convenio!$F$4:$F$16),LOOKUP(Datos_Convenio!$E$3,Convenio!$A$20:$A$32,Convenio!$F$20:$F$32*Datos_Convenio!H35))</f>
        <v>70</v>
      </c>
      <c r="AA35" s="328"/>
      <c r="AB35" s="331" t="str">
        <f t="shared" ref="AB35:AB52" ca="1" si="6">IF(RANDBETWEEN(0,1)=0,"NO","SI")</f>
        <v>NO</v>
      </c>
      <c r="AC35" s="331" t="str">
        <f t="shared" ref="AC35:AC52" ca="1" si="7">IF(RANDBETWEEN(0,1)=0,"ESPAÑA","EXTRANJERO")</f>
        <v>ESPAÑA</v>
      </c>
      <c r="AD35" s="331">
        <f t="shared" ca="1" si="5"/>
        <v>6</v>
      </c>
      <c r="AE35" s="340">
        <v>350</v>
      </c>
      <c r="AF35" s="328"/>
      <c r="AG35" s="340">
        <v>168</v>
      </c>
      <c r="AH35" s="340" t="str">
        <f t="shared" ref="AH35:AH52" ca="1" si="8">IF(RANDBETWEEN(0,1)=1,"SI","NO")</f>
        <v>NO</v>
      </c>
      <c r="AI35" s="340">
        <v>4</v>
      </c>
      <c r="AJ35" s="483"/>
      <c r="AK35" s="340"/>
      <c r="AL35" s="340"/>
      <c r="AM35" s="340"/>
      <c r="AN35" s="340"/>
      <c r="AO35" s="340"/>
    </row>
    <row r="36" spans="1:41">
      <c r="A36" s="23" t="s">
        <v>498</v>
      </c>
      <c r="B36" s="23" t="s">
        <v>416</v>
      </c>
      <c r="C36" s="508">
        <f>IF(Datos_Convenio!D36="A",LOOKUP(Datos_Convenio!E36,Convenio!$A$4:$A$16,Convenio!$L$4:$L$16),LOOKUP(Datos_Convenio!E36,Convenio!$A$20:$A$32,Convenio!$L$20:$L$32))</f>
        <v>4</v>
      </c>
      <c r="D36" s="479">
        <f>C36*Datos_Convenio!H36</f>
        <v>120</v>
      </c>
      <c r="E36" s="507">
        <f>IF(Datos_Convenio!H36="A",LOOKUP(Datos_Convenio!$E$3,Convenio!$A$4:$A$16,Convenio!$L$4:$L$16),LOOKUP(Datos_Convenio!I36,Convenio!$A$20:$A$32,Convenio!$L$20:$L$32))</f>
        <v>3.51</v>
      </c>
      <c r="F36" s="509">
        <f ca="1">IF(Datos_Convenio!H36="A",0,RANDBETWEEN(0,Datos_Convenio!H36))</f>
        <v>0</v>
      </c>
      <c r="G36" s="479">
        <f t="shared" ca="1" si="4"/>
        <v>0</v>
      </c>
      <c r="H36" s="480">
        <f>IF(Datos_Convenio!D36="A",0,LOOKUP(Datos_Convenio!E36,Convenio!$A$20:$A$32,Convenio!$K$20:$K$32))</f>
        <v>0</v>
      </c>
      <c r="I36" s="480">
        <f>IF(Datos_Convenio!D36="A",LOOKUP(Datos_Convenio!E36,Convenio!$A$4:$A$16,Convenio!$N$4:$N$16),LOOKUP(Datos_Convenio!E36,Convenio!$A$20:$A$32,Convenio!$N$20:$N$32))</f>
        <v>0</v>
      </c>
      <c r="J36" s="328"/>
      <c r="K36" s="509">
        <f ca="1">RANDBETWEEN(0,(Datos_Convenio!H36))</f>
        <v>10</v>
      </c>
      <c r="L36" s="480">
        <f ca="1">IF(Datos_Convenio!D36="A",LOOKUP(Datos_Convenio!E36,Convenio!$A$4:$A$16,Convenio!$L$4:$L$16*Datos_Variables!K36),LOOKUP(Datos_Convenio!E36,Convenio!$A$20:$A$32,Convenio!$L$20:$L$32*K36))</f>
        <v>40</v>
      </c>
      <c r="M36" s="509">
        <f ca="1">RANDBETWEEN(0,(Datos_Convenio!H36))</f>
        <v>3</v>
      </c>
      <c r="N36" s="480">
        <f ca="1">IF(Datos_Convenio!D36="A",LOOKUP(Datos_Convenio!E36,Convenio!$A$4:$A$16,Convenio!$I$4:$I$16*Datos_Variables!M36),LOOKUP(Datos_Convenio!E36,Convenio!$A$20:$A$32,Convenio!$I$20:$I$32*Datos_Variables!M36))</f>
        <v>61.398000000000003</v>
      </c>
      <c r="O36" s="328"/>
      <c r="P36" s="480">
        <f>IF(Datos_Convenio!D36="A",LOOKUP(Datos_Convenio!E36,Convenio!$A$4:$A$16,Convenio!$E$4:$E$16),LOOKUP(Datos_Convenio!E36,Convenio!$A$20:$A$32,Convenio!$E$20:$E$32*Datos_Convenio!H36))</f>
        <v>100</v>
      </c>
      <c r="Q36" s="480">
        <f>IF(Datos_Convenio!D36="A",0,LOOKUP(Datos_Convenio!E36,Convenio!$A$20:$A$32,Convenio!$C$20:$C$32*Datos_Convenio!H36))</f>
        <v>0</v>
      </c>
      <c r="R36" s="328"/>
      <c r="S36" s="340"/>
      <c r="T36" s="331"/>
      <c r="U36" s="340"/>
      <c r="W36" s="340"/>
      <c r="X36" s="340"/>
      <c r="Y36" s="340"/>
      <c r="Z36" s="480">
        <f>IF(Datos_Convenio!D36="A",LOOKUP(Datos_Convenio!E36,Convenio!$A$4:$A$16,Convenio!$F$4:$F$16),LOOKUP(Datos_Convenio!$E$3,Convenio!$A$20:$A$32,Convenio!$F$20:$F$32*Datos_Convenio!H36))</f>
        <v>70</v>
      </c>
      <c r="AA36" s="328"/>
      <c r="AB36" s="331" t="str">
        <f t="shared" ca="1" si="6"/>
        <v>SI</v>
      </c>
      <c r="AC36" s="331" t="str">
        <f t="shared" ca="1" si="7"/>
        <v>ESPAÑA</v>
      </c>
      <c r="AD36" s="331">
        <f t="shared" ca="1" si="5"/>
        <v>4</v>
      </c>
      <c r="AE36" s="340">
        <v>0</v>
      </c>
      <c r="AF36" s="328"/>
      <c r="AG36" s="340">
        <v>171.13538461538499</v>
      </c>
      <c r="AH36" s="340" t="str">
        <f t="shared" ca="1" si="8"/>
        <v>NO</v>
      </c>
      <c r="AI36" s="340">
        <v>34</v>
      </c>
      <c r="AJ36" s="483"/>
      <c r="AK36" s="340"/>
      <c r="AL36" s="340"/>
      <c r="AM36" s="340"/>
      <c r="AN36" s="340"/>
      <c r="AO36" s="340"/>
    </row>
    <row r="37" spans="1:41">
      <c r="A37" s="23" t="s">
        <v>499</v>
      </c>
      <c r="B37" s="23" t="s">
        <v>439</v>
      </c>
      <c r="C37" s="508">
        <f>IF(Datos_Convenio!D37="A",LOOKUP(Datos_Convenio!E37,Convenio!$A$4:$A$16,Convenio!$L$4:$L$16),LOOKUP(Datos_Convenio!E37,Convenio!$A$20:$A$32,Convenio!$L$20:$L$32))</f>
        <v>4</v>
      </c>
      <c r="D37" s="479">
        <f>C37*Datos_Convenio!H37</f>
        <v>120</v>
      </c>
      <c r="E37" s="507">
        <f>IF(Datos_Convenio!H37="A",LOOKUP(Datos_Convenio!$E$3,Convenio!$A$4:$A$16,Convenio!$L$4:$L$16),LOOKUP(Datos_Convenio!I37,Convenio!$A$20:$A$32,Convenio!$L$20:$L$32))</f>
        <v>3.51</v>
      </c>
      <c r="F37" s="509">
        <f ca="1">IF(Datos_Convenio!H37="A",0,RANDBETWEEN(0,Datos_Convenio!H37))</f>
        <v>15</v>
      </c>
      <c r="G37" s="479">
        <f t="shared" ca="1" si="4"/>
        <v>52.65</v>
      </c>
      <c r="H37" s="480">
        <f>IF(Datos_Convenio!D37="A",0,LOOKUP(Datos_Convenio!E37,Convenio!$A$20:$A$32,Convenio!$K$20:$K$32))</f>
        <v>0</v>
      </c>
      <c r="I37" s="480">
        <f>IF(Datos_Convenio!D37="A",LOOKUP(Datos_Convenio!E37,Convenio!$A$4:$A$16,Convenio!$N$4:$N$16),LOOKUP(Datos_Convenio!E37,Convenio!$A$20:$A$32,Convenio!$N$20:$N$32))</f>
        <v>0</v>
      </c>
      <c r="J37" s="328"/>
      <c r="K37" s="509">
        <f ca="1">RANDBETWEEN(0,(Datos_Convenio!H37))</f>
        <v>19</v>
      </c>
      <c r="L37" s="480">
        <f ca="1">IF(Datos_Convenio!D37="A",LOOKUP(Datos_Convenio!E37,Convenio!$A$4:$A$16,Convenio!$L$4:$L$16*Datos_Variables!K37),LOOKUP(Datos_Convenio!E37,Convenio!$A$20:$A$32,Convenio!$L$20:$L$32*K37))</f>
        <v>76</v>
      </c>
      <c r="M37" s="509">
        <f ca="1">RANDBETWEEN(0,(Datos_Convenio!H37))</f>
        <v>14</v>
      </c>
      <c r="N37" s="480">
        <f ca="1">IF(Datos_Convenio!D37="A",LOOKUP(Datos_Convenio!E37,Convenio!$A$4:$A$16,Convenio!$I$4:$I$16*Datos_Variables!M37),LOOKUP(Datos_Convenio!E37,Convenio!$A$20:$A$32,Convenio!$I$20:$I$32*Datos_Variables!M37))</f>
        <v>286.524</v>
      </c>
      <c r="O37" s="328"/>
      <c r="P37" s="480">
        <f>IF(Datos_Convenio!D37="A",LOOKUP(Datos_Convenio!E37,Convenio!$A$4:$A$16,Convenio!$E$4:$E$16),LOOKUP(Datos_Convenio!E37,Convenio!$A$20:$A$32,Convenio!$E$20:$E$32*Datos_Convenio!H37))</f>
        <v>100</v>
      </c>
      <c r="Q37" s="480">
        <f>IF(Datos_Convenio!D37="A",0,LOOKUP(Datos_Convenio!E37,Convenio!$A$20:$A$32,Convenio!$C$20:$C$32*Datos_Convenio!H37))</f>
        <v>0</v>
      </c>
      <c r="R37" s="328"/>
      <c r="S37" s="340"/>
      <c r="T37" s="331"/>
      <c r="U37" s="340"/>
      <c r="W37" s="340"/>
      <c r="X37" s="340"/>
      <c r="Y37" s="340"/>
      <c r="Z37" s="480">
        <f>IF(Datos_Convenio!D37="A",LOOKUP(Datos_Convenio!E37,Convenio!$A$4:$A$16,Convenio!$F$4:$F$16),LOOKUP(Datos_Convenio!$E$3,Convenio!$A$20:$A$32,Convenio!$F$20:$F$32*Datos_Convenio!H37))</f>
        <v>70</v>
      </c>
      <c r="AA37" s="328"/>
      <c r="AB37" s="331" t="str">
        <f t="shared" ca="1" si="6"/>
        <v>NO</v>
      </c>
      <c r="AC37" s="331" t="str">
        <f t="shared" ca="1" si="7"/>
        <v>EXTRANJERO</v>
      </c>
      <c r="AD37" s="331">
        <f t="shared" ca="1" si="5"/>
        <v>4</v>
      </c>
      <c r="AE37" s="340">
        <v>157.45454545454501</v>
      </c>
      <c r="AF37" s="328"/>
      <c r="AG37" s="340">
        <v>0</v>
      </c>
      <c r="AH37" s="340" t="str">
        <f t="shared" ca="1" si="8"/>
        <v>NO</v>
      </c>
      <c r="AI37" s="340">
        <v>0</v>
      </c>
      <c r="AJ37" s="483"/>
      <c r="AK37" s="340"/>
      <c r="AL37" s="340"/>
      <c r="AM37" s="340"/>
      <c r="AN37" s="340"/>
      <c r="AO37" s="340"/>
    </row>
    <row r="38" spans="1:41">
      <c r="A38" s="23" t="s">
        <v>500</v>
      </c>
      <c r="B38" s="23" t="s">
        <v>387</v>
      </c>
      <c r="C38" s="508">
        <f>IF(Datos_Convenio!D38="A",LOOKUP(Datos_Convenio!E38,Convenio!$A$4:$A$16,Convenio!$L$4:$L$16),LOOKUP(Datos_Convenio!E38,Convenio!$A$20:$A$32,Convenio!$L$20:$L$32))</f>
        <v>3.51</v>
      </c>
      <c r="D38" s="479">
        <f>C38*Datos_Convenio!H38</f>
        <v>105.3</v>
      </c>
      <c r="E38" s="507">
        <f>IF(Datos_Convenio!H38="A",LOOKUP(Datos_Convenio!$E$3,Convenio!$A$4:$A$16,Convenio!$L$4:$L$16),LOOKUP(Datos_Convenio!I38,Convenio!$A$20:$A$32,Convenio!$L$20:$L$32))</f>
        <v>3.51</v>
      </c>
      <c r="F38" s="509">
        <f ca="1">IF(Datos_Convenio!H38="A",0,RANDBETWEEN(0,Datos_Convenio!H38))</f>
        <v>10</v>
      </c>
      <c r="G38" s="479">
        <f t="shared" ca="1" si="4"/>
        <v>35.099999999999994</v>
      </c>
      <c r="H38" s="480">
        <f>IF(Datos_Convenio!D38="A",0,LOOKUP(Datos_Convenio!E38,Convenio!$A$20:$A$32,Convenio!$K$20:$K$32))</f>
        <v>3.38</v>
      </c>
      <c r="I38" s="480">
        <f>IF(Datos_Convenio!D38="A",LOOKUP(Datos_Convenio!E38,Convenio!$A$4:$A$16,Convenio!$N$4:$N$16),LOOKUP(Datos_Convenio!E38,Convenio!$A$20:$A$32,Convenio!$N$20:$N$32))</f>
        <v>0</v>
      </c>
      <c r="J38" s="328"/>
      <c r="K38" s="509">
        <f ca="1">RANDBETWEEN(0,(Datos_Convenio!H38))</f>
        <v>5</v>
      </c>
      <c r="L38" s="480">
        <f ca="1">IF(Datos_Convenio!D38="A",LOOKUP(Datos_Convenio!E38,Convenio!$A$4:$A$16,Convenio!$L$4:$L$16*Datos_Variables!K38),LOOKUP(Datos_Convenio!E38,Convenio!$A$20:$A$32,Convenio!$L$20:$L$32*K38))</f>
        <v>17.549999999999997</v>
      </c>
      <c r="M38" s="509">
        <f ca="1">RANDBETWEEN(0,(Datos_Convenio!H38))</f>
        <v>24</v>
      </c>
      <c r="N38" s="480">
        <f ca="1">IF(Datos_Convenio!D38="A",LOOKUP(Datos_Convenio!E38,Convenio!$A$4:$A$16,Convenio!$I$4:$I$16*Datos_Variables!M38),LOOKUP(Datos_Convenio!E38,Convenio!$A$20:$A$32,Convenio!$I$20:$I$32*Datos_Variables!M38))</f>
        <v>334.88639999999998</v>
      </c>
      <c r="O38" s="328"/>
      <c r="P38" s="480">
        <f>IF(Datos_Convenio!D38="A",LOOKUP(Datos_Convenio!E38,Convenio!$A$4:$A$16,Convenio!$E$4:$E$16),LOOKUP(Datos_Convenio!E38,Convenio!$A$20:$A$32,Convenio!$E$20:$E$32*Datos_Convenio!H38))</f>
        <v>109.2</v>
      </c>
      <c r="Q38" s="480">
        <f>IF(Datos_Convenio!D38="A",0,LOOKUP(Datos_Convenio!E38,Convenio!$A$20:$A$32,Convenio!$C$20:$C$32*Datos_Convenio!H38))</f>
        <v>197.4</v>
      </c>
      <c r="R38" s="328"/>
      <c r="S38" s="340"/>
      <c r="T38" s="331"/>
      <c r="U38" s="340"/>
      <c r="W38" s="340"/>
      <c r="X38" s="340"/>
      <c r="Y38" s="340"/>
      <c r="Z38" s="480">
        <f>IF(Datos_Convenio!D38="A",LOOKUP(Datos_Convenio!E38,Convenio!$A$4:$A$16,Convenio!$F$4:$F$16),LOOKUP(Datos_Convenio!$E$3,Convenio!$A$20:$A$32,Convenio!$F$20:$F$32*Datos_Convenio!H38))</f>
        <v>62.099999999999994</v>
      </c>
      <c r="AA38" s="328"/>
      <c r="AB38" s="331" t="str">
        <f t="shared" ca="1" si="6"/>
        <v>SI</v>
      </c>
      <c r="AC38" s="331" t="str">
        <f t="shared" ca="1" si="7"/>
        <v>EXTRANJERO</v>
      </c>
      <c r="AD38" s="331">
        <f t="shared" ca="1" si="5"/>
        <v>3</v>
      </c>
      <c r="AE38" s="340">
        <v>480</v>
      </c>
      <c r="AF38" s="328"/>
      <c r="AG38" s="340">
        <v>159</v>
      </c>
      <c r="AH38" s="340" t="str">
        <f t="shared" ca="1" si="8"/>
        <v>SI</v>
      </c>
      <c r="AI38" s="340">
        <v>31</v>
      </c>
      <c r="AJ38" s="483"/>
      <c r="AK38" s="340"/>
      <c r="AL38" s="340"/>
      <c r="AM38" s="340"/>
      <c r="AN38" s="340"/>
      <c r="AO38" s="340"/>
    </row>
    <row r="39" spans="1:41">
      <c r="A39" s="23" t="s">
        <v>501</v>
      </c>
      <c r="B39" s="23" t="s">
        <v>417</v>
      </c>
      <c r="C39" s="508">
        <f>IF(Datos_Convenio!D39="A",LOOKUP(Datos_Convenio!E39,Convenio!$A$4:$A$16,Convenio!$L$4:$L$16),LOOKUP(Datos_Convenio!E39,Convenio!$A$20:$A$32,Convenio!$L$20:$L$32))</f>
        <v>3.51</v>
      </c>
      <c r="D39" s="479">
        <f>C39*Datos_Convenio!H39</f>
        <v>105.3</v>
      </c>
      <c r="E39" s="507">
        <f>IF(Datos_Convenio!H39="A",LOOKUP(Datos_Convenio!$E$3,Convenio!$A$4:$A$16,Convenio!$L$4:$L$16),LOOKUP(Datos_Convenio!I39,Convenio!$A$20:$A$32,Convenio!$L$20:$L$32))</f>
        <v>3.51</v>
      </c>
      <c r="F39" s="509">
        <f ca="1">IF(Datos_Convenio!H39="A",0,RANDBETWEEN(0,Datos_Convenio!H39))</f>
        <v>14</v>
      </c>
      <c r="G39" s="479">
        <f t="shared" ca="1" si="4"/>
        <v>49.14</v>
      </c>
      <c r="H39" s="480">
        <f>IF(Datos_Convenio!D39="A",0,LOOKUP(Datos_Convenio!E39,Convenio!$A$20:$A$32,Convenio!$K$20:$K$32))</f>
        <v>3.38</v>
      </c>
      <c r="I39" s="480">
        <f>IF(Datos_Convenio!D39="A",LOOKUP(Datos_Convenio!E39,Convenio!$A$4:$A$16,Convenio!$N$4:$N$16),LOOKUP(Datos_Convenio!E39,Convenio!$A$20:$A$32,Convenio!$N$20:$N$32))</f>
        <v>0</v>
      </c>
      <c r="J39" s="328"/>
      <c r="K39" s="509">
        <f ca="1">RANDBETWEEN(0,(Datos_Convenio!H39))</f>
        <v>13</v>
      </c>
      <c r="L39" s="480">
        <f ca="1">IF(Datos_Convenio!D39="A",LOOKUP(Datos_Convenio!E39,Convenio!$A$4:$A$16,Convenio!$L$4:$L$16*Datos_Variables!K39),LOOKUP(Datos_Convenio!E39,Convenio!$A$20:$A$32,Convenio!$L$20:$L$32*K39))</f>
        <v>45.629999999999995</v>
      </c>
      <c r="M39" s="509">
        <f ca="1">RANDBETWEEN(0,(Datos_Convenio!H39))</f>
        <v>17</v>
      </c>
      <c r="N39" s="480">
        <f ca="1">IF(Datos_Convenio!D39="A",LOOKUP(Datos_Convenio!E39,Convenio!$A$4:$A$16,Convenio!$I$4:$I$16*Datos_Variables!M39),LOOKUP(Datos_Convenio!E39,Convenio!$A$20:$A$32,Convenio!$I$20:$I$32*Datos_Variables!M39))</f>
        <v>237.21119999999999</v>
      </c>
      <c r="O39" s="328"/>
      <c r="P39" s="480">
        <f>IF(Datos_Convenio!D39="A",LOOKUP(Datos_Convenio!E39,Convenio!$A$4:$A$16,Convenio!$E$4:$E$16),LOOKUP(Datos_Convenio!E39,Convenio!$A$20:$A$32,Convenio!$E$20:$E$32*Datos_Convenio!H39))</f>
        <v>109.2</v>
      </c>
      <c r="Q39" s="480">
        <f>IF(Datos_Convenio!D39="A",0,LOOKUP(Datos_Convenio!E39,Convenio!$A$20:$A$32,Convenio!$C$20:$C$32*Datos_Convenio!H39))</f>
        <v>197.4</v>
      </c>
      <c r="R39" s="328"/>
      <c r="S39" s="340"/>
      <c r="T39" s="331"/>
      <c r="U39" s="340"/>
      <c r="W39" s="340"/>
      <c r="X39" s="340"/>
      <c r="Y39" s="340"/>
      <c r="Z39" s="480">
        <f>IF(Datos_Convenio!D39="A",LOOKUP(Datos_Convenio!E39,Convenio!$A$4:$A$16,Convenio!$F$4:$F$16),LOOKUP(Datos_Convenio!$E$3,Convenio!$A$20:$A$32,Convenio!$F$20:$F$32*Datos_Convenio!H39))</f>
        <v>62.099999999999994</v>
      </c>
      <c r="AA39" s="328"/>
      <c r="AB39" s="331" t="str">
        <f t="shared" ca="1" si="6"/>
        <v>SI</v>
      </c>
      <c r="AC39" s="331" t="str">
        <f t="shared" ca="1" si="7"/>
        <v>EXTRANJERO</v>
      </c>
      <c r="AD39" s="331">
        <f t="shared" ca="1" si="5"/>
        <v>4</v>
      </c>
      <c r="AE39" s="340">
        <v>0</v>
      </c>
      <c r="AF39" s="328"/>
      <c r="AG39" s="340">
        <v>171.00923076923101</v>
      </c>
      <c r="AH39" s="340" t="str">
        <f t="shared" ca="1" si="8"/>
        <v>NO</v>
      </c>
      <c r="AI39" s="340">
        <v>62</v>
      </c>
      <c r="AJ39" s="483"/>
      <c r="AK39" s="340"/>
      <c r="AL39" s="340"/>
      <c r="AM39" s="340"/>
      <c r="AN39" s="340"/>
      <c r="AO39" s="340"/>
    </row>
    <row r="40" spans="1:41">
      <c r="A40" s="23" t="s">
        <v>502</v>
      </c>
      <c r="B40" s="23" t="s">
        <v>435</v>
      </c>
      <c r="C40" s="508">
        <f>IF(Datos_Convenio!D40="A",LOOKUP(Datos_Convenio!E40,Convenio!$A$4:$A$16,Convenio!$L$4:$L$16),LOOKUP(Datos_Convenio!E40,Convenio!$A$20:$A$32,Convenio!$L$20:$L$32))</f>
        <v>3.51</v>
      </c>
      <c r="D40" s="479">
        <f>C40*Datos_Convenio!H40</f>
        <v>105.3</v>
      </c>
      <c r="E40" s="507">
        <f>IF(Datos_Convenio!H40="A",LOOKUP(Datos_Convenio!$E$3,Convenio!$A$4:$A$16,Convenio!$L$4:$L$16),LOOKUP(Datos_Convenio!I40,Convenio!$A$20:$A$32,Convenio!$L$20:$L$32))</f>
        <v>3.51</v>
      </c>
      <c r="F40" s="509">
        <f ca="1">IF(Datos_Convenio!H40="A",0,RANDBETWEEN(0,Datos_Convenio!H40))</f>
        <v>16</v>
      </c>
      <c r="G40" s="479">
        <f t="shared" ca="1" si="4"/>
        <v>56.16</v>
      </c>
      <c r="H40" s="480">
        <f>IF(Datos_Convenio!D40="A",0,LOOKUP(Datos_Convenio!E40,Convenio!$A$20:$A$32,Convenio!$K$20:$K$32))</f>
        <v>3.38</v>
      </c>
      <c r="I40" s="480">
        <f>IF(Datos_Convenio!D40="A",LOOKUP(Datos_Convenio!E40,Convenio!$A$4:$A$16,Convenio!$N$4:$N$16),LOOKUP(Datos_Convenio!E40,Convenio!$A$20:$A$32,Convenio!$N$20:$N$32))</f>
        <v>0</v>
      </c>
      <c r="J40" s="328"/>
      <c r="K40" s="509">
        <f ca="1">RANDBETWEEN(0,(Datos_Convenio!H40))</f>
        <v>30</v>
      </c>
      <c r="L40" s="480">
        <f ca="1">IF(Datos_Convenio!D40="A",LOOKUP(Datos_Convenio!E40,Convenio!$A$4:$A$16,Convenio!$L$4:$L$16*Datos_Variables!K40),LOOKUP(Datos_Convenio!E40,Convenio!$A$20:$A$32,Convenio!$L$20:$L$32*K40))</f>
        <v>105.3</v>
      </c>
      <c r="M40" s="509">
        <f ca="1">RANDBETWEEN(0,(Datos_Convenio!H40))</f>
        <v>11</v>
      </c>
      <c r="N40" s="480">
        <f ca="1">IF(Datos_Convenio!D40="A",LOOKUP(Datos_Convenio!E40,Convenio!$A$4:$A$16,Convenio!$I$4:$I$16*Datos_Variables!M40),LOOKUP(Datos_Convenio!E40,Convenio!$A$20:$A$32,Convenio!$I$20:$I$32*Datos_Variables!M40))</f>
        <v>153.4896</v>
      </c>
      <c r="O40" s="328"/>
      <c r="P40" s="480">
        <f>IF(Datos_Convenio!D40="A",LOOKUP(Datos_Convenio!E40,Convenio!$A$4:$A$16,Convenio!$E$4:$E$16),LOOKUP(Datos_Convenio!E40,Convenio!$A$20:$A$32,Convenio!$E$20:$E$32*Datos_Convenio!H40))</f>
        <v>109.2</v>
      </c>
      <c r="Q40" s="480">
        <f>IF(Datos_Convenio!D40="A",0,LOOKUP(Datos_Convenio!E40,Convenio!$A$20:$A$32,Convenio!$C$20:$C$32*Datos_Convenio!H40))</f>
        <v>197.4</v>
      </c>
      <c r="R40" s="328"/>
      <c r="S40" s="340"/>
      <c r="T40" s="331"/>
      <c r="U40" s="340"/>
      <c r="W40" s="340"/>
      <c r="X40" s="340"/>
      <c r="Y40" s="340"/>
      <c r="Z40" s="480">
        <f>IF(Datos_Convenio!D40="A",LOOKUP(Datos_Convenio!E40,Convenio!$A$4:$A$16,Convenio!$F$4:$F$16),LOOKUP(Datos_Convenio!$E$3,Convenio!$A$20:$A$32,Convenio!$F$20:$F$32*Datos_Convenio!H40))</f>
        <v>62.099999999999994</v>
      </c>
      <c r="AA40" s="328"/>
      <c r="AB40" s="331" t="str">
        <f t="shared" ca="1" si="6"/>
        <v>SI</v>
      </c>
      <c r="AC40" s="331" t="str">
        <f t="shared" ca="1" si="7"/>
        <v>EXTRANJERO</v>
      </c>
      <c r="AD40" s="331">
        <f t="shared" ca="1" si="5"/>
        <v>10</v>
      </c>
      <c r="AE40" s="340">
        <v>0</v>
      </c>
      <c r="AF40" s="328"/>
      <c r="AG40" s="340">
        <v>0</v>
      </c>
      <c r="AH40" s="340" t="str">
        <f t="shared" ca="1" si="8"/>
        <v>NO</v>
      </c>
      <c r="AI40" s="340">
        <v>0</v>
      </c>
      <c r="AJ40" s="483"/>
      <c r="AK40" s="340"/>
      <c r="AL40" s="340"/>
      <c r="AM40" s="340"/>
      <c r="AN40" s="340"/>
      <c r="AO40" s="340"/>
    </row>
    <row r="41" spans="1:41">
      <c r="A41" s="23" t="s">
        <v>503</v>
      </c>
      <c r="B41" s="23" t="s">
        <v>424</v>
      </c>
      <c r="C41" s="508">
        <f>IF(Datos_Convenio!D41="A",LOOKUP(Datos_Convenio!E41,Convenio!$A$4:$A$16,Convenio!$L$4:$L$16),LOOKUP(Datos_Convenio!E41,Convenio!$A$20:$A$32,Convenio!$L$20:$L$32))</f>
        <v>3.51</v>
      </c>
      <c r="D41" s="479">
        <f>C41*Datos_Convenio!H41</f>
        <v>105.3</v>
      </c>
      <c r="E41" s="507">
        <f>IF(Datos_Convenio!H41="A",LOOKUP(Datos_Convenio!$E$3,Convenio!$A$4:$A$16,Convenio!$L$4:$L$16),LOOKUP(Datos_Convenio!I41,Convenio!$A$20:$A$32,Convenio!$L$20:$L$32))</f>
        <v>3.51</v>
      </c>
      <c r="F41" s="509">
        <f ca="1">IF(Datos_Convenio!H41="A",0,RANDBETWEEN(0,Datos_Convenio!H41))</f>
        <v>20</v>
      </c>
      <c r="G41" s="479">
        <f t="shared" ca="1" si="4"/>
        <v>70.199999999999989</v>
      </c>
      <c r="H41" s="480">
        <f>IF(Datos_Convenio!D41="A",0,LOOKUP(Datos_Convenio!E41,Convenio!$A$20:$A$32,Convenio!$K$20:$K$32))</f>
        <v>3.38</v>
      </c>
      <c r="I41" s="480">
        <f>IF(Datos_Convenio!D41="A",LOOKUP(Datos_Convenio!E41,Convenio!$A$4:$A$16,Convenio!$N$4:$N$16),LOOKUP(Datos_Convenio!E41,Convenio!$A$20:$A$32,Convenio!$N$20:$N$32))</f>
        <v>75</v>
      </c>
      <c r="J41" s="328"/>
      <c r="K41" s="509">
        <f ca="1">RANDBETWEEN(0,(Datos_Convenio!H41))</f>
        <v>27</v>
      </c>
      <c r="L41" s="480">
        <f ca="1">IF(Datos_Convenio!D41="A",LOOKUP(Datos_Convenio!E41,Convenio!$A$4:$A$16,Convenio!$L$4:$L$16*Datos_Variables!K41),LOOKUP(Datos_Convenio!E41,Convenio!$A$20:$A$32,Convenio!$L$20:$L$32*K41))</f>
        <v>94.77</v>
      </c>
      <c r="M41" s="509">
        <f ca="1">RANDBETWEEN(0,(Datos_Convenio!H41))</f>
        <v>19</v>
      </c>
      <c r="N41" s="480">
        <f ca="1">IF(Datos_Convenio!D41="A",LOOKUP(Datos_Convenio!E41,Convenio!$A$4:$A$16,Convenio!$I$4:$I$16*Datos_Variables!M41),LOOKUP(Datos_Convenio!E41,Convenio!$A$20:$A$32,Convenio!$I$20:$I$32*Datos_Variables!M41))</f>
        <v>371.82240000000002</v>
      </c>
      <c r="O41" s="328"/>
      <c r="P41" s="480">
        <f>IF(Datos_Convenio!D41="A",LOOKUP(Datos_Convenio!E41,Convenio!$A$4:$A$16,Convenio!$E$4:$E$16),LOOKUP(Datos_Convenio!E41,Convenio!$A$20:$A$32,Convenio!$E$20:$E$32*Datos_Convenio!H41))</f>
        <v>154.80000000000001</v>
      </c>
      <c r="Q41" s="480">
        <f>IF(Datos_Convenio!D41="A",0,LOOKUP(Datos_Convenio!E41,Convenio!$A$20:$A$32,Convenio!$C$20:$C$32*Datos_Convenio!H41))</f>
        <v>202.5</v>
      </c>
      <c r="R41" s="328"/>
      <c r="S41" s="340"/>
      <c r="T41" s="331"/>
      <c r="U41" s="340"/>
      <c r="W41" s="340"/>
      <c r="X41" s="340"/>
      <c r="Y41" s="340"/>
      <c r="Z41" s="480">
        <f>IF(Datos_Convenio!D41="A",LOOKUP(Datos_Convenio!E41,Convenio!$A$4:$A$16,Convenio!$F$4:$F$16),LOOKUP(Datos_Convenio!$E$3,Convenio!$A$20:$A$32,Convenio!$F$20:$F$32*Datos_Convenio!H41))</f>
        <v>62.099999999999994</v>
      </c>
      <c r="AA41" s="328"/>
      <c r="AB41" s="331" t="str">
        <f t="shared" ca="1" si="6"/>
        <v>NO</v>
      </c>
      <c r="AC41" s="331" t="str">
        <f t="shared" ca="1" si="7"/>
        <v>EXTRANJERO</v>
      </c>
      <c r="AD41" s="331">
        <f t="shared" ca="1" si="5"/>
        <v>8</v>
      </c>
      <c r="AE41" s="340">
        <v>0</v>
      </c>
      <c r="AF41" s="328"/>
      <c r="AG41" s="340">
        <v>169.87384615384599</v>
      </c>
      <c r="AH41" s="340" t="str">
        <f t="shared" ca="1" si="8"/>
        <v>NO</v>
      </c>
      <c r="AI41" s="340">
        <v>69</v>
      </c>
      <c r="AJ41" s="483"/>
      <c r="AK41" s="340"/>
      <c r="AL41" s="340"/>
      <c r="AM41" s="340"/>
      <c r="AN41" s="340"/>
      <c r="AO41" s="340"/>
    </row>
    <row r="42" spans="1:41">
      <c r="A42" s="23" t="s">
        <v>504</v>
      </c>
      <c r="B42" s="23" t="s">
        <v>422</v>
      </c>
      <c r="C42" s="508">
        <f>IF(Datos_Convenio!D42="A",LOOKUP(Datos_Convenio!E42,Convenio!$A$4:$A$16,Convenio!$L$4:$L$16),LOOKUP(Datos_Convenio!E42,Convenio!$A$20:$A$32,Convenio!$L$20:$L$32))</f>
        <v>3.51</v>
      </c>
      <c r="D42" s="479">
        <f>C42*Datos_Convenio!H42</f>
        <v>105.3</v>
      </c>
      <c r="E42" s="507">
        <f>IF(Datos_Convenio!H42="A",LOOKUP(Datos_Convenio!$E$3,Convenio!$A$4:$A$16,Convenio!$L$4:$L$16),LOOKUP(Datos_Convenio!I42,Convenio!$A$20:$A$32,Convenio!$L$20:$L$32))</f>
        <v>3.51</v>
      </c>
      <c r="F42" s="509">
        <f ca="1">IF(Datos_Convenio!H42="A",0,RANDBETWEEN(0,Datos_Convenio!H42))</f>
        <v>20</v>
      </c>
      <c r="G42" s="479">
        <f t="shared" ca="1" si="4"/>
        <v>70.199999999999989</v>
      </c>
      <c r="H42" s="480">
        <f>IF(Datos_Convenio!D42="A",0,LOOKUP(Datos_Convenio!E42,Convenio!$A$20:$A$32,Convenio!$K$20:$K$32))</f>
        <v>3.38</v>
      </c>
      <c r="I42" s="480">
        <f>IF(Datos_Convenio!D42="A",LOOKUP(Datos_Convenio!E42,Convenio!$A$4:$A$16,Convenio!$N$4:$N$16),LOOKUP(Datos_Convenio!E42,Convenio!$A$20:$A$32,Convenio!$N$20:$N$32))</f>
        <v>0</v>
      </c>
      <c r="J42" s="328"/>
      <c r="K42" s="509">
        <f ca="1">RANDBETWEEN(0,(Datos_Convenio!H42))</f>
        <v>24</v>
      </c>
      <c r="L42" s="480">
        <f ca="1">IF(Datos_Convenio!D42="A",LOOKUP(Datos_Convenio!E42,Convenio!$A$4:$A$16,Convenio!$L$4:$L$16*Datos_Variables!K42),LOOKUP(Datos_Convenio!E42,Convenio!$A$20:$A$32,Convenio!$L$20:$L$32*K42))</f>
        <v>84.24</v>
      </c>
      <c r="M42" s="509">
        <f ca="1">RANDBETWEEN(0,(Datos_Convenio!H42))</f>
        <v>8</v>
      </c>
      <c r="N42" s="480">
        <f ca="1">IF(Datos_Convenio!D42="A",LOOKUP(Datos_Convenio!E42,Convenio!$A$4:$A$16,Convenio!$I$4:$I$16*Datos_Variables!M42),LOOKUP(Datos_Convenio!E42,Convenio!$A$20:$A$32,Convenio!$I$20:$I$32*Datos_Variables!M42))</f>
        <v>139.536</v>
      </c>
      <c r="O42" s="328"/>
      <c r="P42" s="480">
        <f>IF(Datos_Convenio!D42="A",LOOKUP(Datos_Convenio!E42,Convenio!$A$4:$A$16,Convenio!$E$4:$E$16),LOOKUP(Datos_Convenio!E42,Convenio!$A$20:$A$32,Convenio!$E$20:$E$32*Datos_Convenio!H42))</f>
        <v>137.69999999999999</v>
      </c>
      <c r="Q42" s="480">
        <f>IF(Datos_Convenio!D42="A",0,LOOKUP(Datos_Convenio!E42,Convenio!$A$20:$A$32,Convenio!$C$20:$C$32*Datos_Convenio!H42))</f>
        <v>199.8</v>
      </c>
      <c r="R42" s="328"/>
      <c r="S42" s="340"/>
      <c r="T42" s="331"/>
      <c r="U42" s="340"/>
      <c r="W42" s="340"/>
      <c r="X42" s="340"/>
      <c r="Y42" s="340"/>
      <c r="Z42" s="480">
        <f>IF(Datos_Convenio!D42="A",LOOKUP(Datos_Convenio!E42,Convenio!$A$4:$A$16,Convenio!$F$4:$F$16),LOOKUP(Datos_Convenio!$E$3,Convenio!$A$20:$A$32,Convenio!$F$20:$F$32*Datos_Convenio!H42))</f>
        <v>62.099999999999994</v>
      </c>
      <c r="AA42" s="328"/>
      <c r="AB42" s="331" t="str">
        <f t="shared" ca="1" si="6"/>
        <v>SI</v>
      </c>
      <c r="AC42" s="331" t="str">
        <f t="shared" ca="1" si="7"/>
        <v>ESPAÑA</v>
      </c>
      <c r="AD42" s="331">
        <f t="shared" ca="1" si="5"/>
        <v>2</v>
      </c>
      <c r="AE42" s="340">
        <v>0</v>
      </c>
      <c r="AF42" s="328"/>
      <c r="AG42" s="340">
        <v>170.12615384615401</v>
      </c>
      <c r="AH42" s="340" t="str">
        <f t="shared" ca="1" si="8"/>
        <v>NO</v>
      </c>
      <c r="AI42" s="340">
        <v>15</v>
      </c>
      <c r="AJ42" s="483"/>
      <c r="AK42" s="340"/>
      <c r="AL42" s="340"/>
      <c r="AM42" s="340"/>
      <c r="AN42" s="340"/>
      <c r="AO42" s="340"/>
    </row>
    <row r="43" spans="1:41">
      <c r="A43" s="23" t="s">
        <v>505</v>
      </c>
      <c r="B43" s="23" t="s">
        <v>419</v>
      </c>
      <c r="C43" s="508">
        <f>IF(Datos_Convenio!D43="A",LOOKUP(Datos_Convenio!E43,Convenio!$A$4:$A$16,Convenio!$L$4:$L$16),LOOKUP(Datos_Convenio!E43,Convenio!$A$20:$A$32,Convenio!$L$20:$L$32))</f>
        <v>3.51</v>
      </c>
      <c r="D43" s="479">
        <f>C43*Datos_Convenio!H43</f>
        <v>105.3</v>
      </c>
      <c r="E43" s="507">
        <f>IF(Datos_Convenio!H43="A",LOOKUP(Datos_Convenio!$E$3,Convenio!$A$4:$A$16,Convenio!$L$4:$L$16),LOOKUP(Datos_Convenio!I43,Convenio!$A$20:$A$32,Convenio!$L$20:$L$32))</f>
        <v>3.51</v>
      </c>
      <c r="F43" s="509">
        <f ca="1">IF(Datos_Convenio!H43="A",0,RANDBETWEEN(0,Datos_Convenio!H43))</f>
        <v>23</v>
      </c>
      <c r="G43" s="479">
        <f t="shared" ca="1" si="4"/>
        <v>80.72999999999999</v>
      </c>
      <c r="H43" s="480">
        <f>IF(Datos_Convenio!D43="A",0,LOOKUP(Datos_Convenio!E43,Convenio!$A$20:$A$32,Convenio!$K$20:$K$32))</f>
        <v>3.38</v>
      </c>
      <c r="I43" s="480">
        <f>IF(Datos_Convenio!D43="A",LOOKUP(Datos_Convenio!E43,Convenio!$A$4:$A$16,Convenio!$N$4:$N$16),LOOKUP(Datos_Convenio!E43,Convenio!$A$20:$A$32,Convenio!$N$20:$N$32))</f>
        <v>50</v>
      </c>
      <c r="J43" s="328"/>
      <c r="K43" s="509">
        <f ca="1">RANDBETWEEN(0,(Datos_Convenio!H43))</f>
        <v>1</v>
      </c>
      <c r="L43" s="480">
        <f ca="1">IF(Datos_Convenio!D43="A",LOOKUP(Datos_Convenio!E43,Convenio!$A$4:$A$16,Convenio!$L$4:$L$16*Datos_Variables!K43),LOOKUP(Datos_Convenio!E43,Convenio!$A$20:$A$32,Convenio!$L$20:$L$32*K43))</f>
        <v>3.51</v>
      </c>
      <c r="M43" s="509">
        <f ca="1">RANDBETWEEN(0,(Datos_Convenio!H43))</f>
        <v>13</v>
      </c>
      <c r="N43" s="480">
        <f ca="1">IF(Datos_Convenio!D43="A",LOOKUP(Datos_Convenio!E43,Convenio!$A$4:$A$16,Convenio!$I$4:$I$16*Datos_Variables!M43),LOOKUP(Datos_Convenio!E43,Convenio!$A$20:$A$32,Convenio!$I$20:$I$32*Datos_Variables!M43))</f>
        <v>239.6628</v>
      </c>
      <c r="O43" s="328"/>
      <c r="P43" s="480">
        <f>IF(Datos_Convenio!D43="A",LOOKUP(Datos_Convenio!E43,Convenio!$A$4:$A$16,Convenio!$E$4:$E$16),LOOKUP(Datos_Convenio!E43,Convenio!$A$20:$A$32,Convenio!$E$20:$E$32*Datos_Convenio!H43))</f>
        <v>146.4</v>
      </c>
      <c r="Q43" s="480">
        <f>IF(Datos_Convenio!D43="A",0,LOOKUP(Datos_Convenio!E43,Convenio!$A$20:$A$32,Convenio!$C$20:$C$32*Datos_Convenio!H43))</f>
        <v>202.5</v>
      </c>
      <c r="R43" s="328"/>
      <c r="S43" s="340"/>
      <c r="T43" s="331"/>
      <c r="U43" s="340"/>
      <c r="W43" s="340"/>
      <c r="X43" s="340"/>
      <c r="Y43" s="340"/>
      <c r="Z43" s="480">
        <f>IF(Datos_Convenio!D43="A",LOOKUP(Datos_Convenio!E43,Convenio!$A$4:$A$16,Convenio!$F$4:$F$16),LOOKUP(Datos_Convenio!$E$3,Convenio!$A$20:$A$32,Convenio!$F$20:$F$32*Datos_Convenio!H43))</f>
        <v>62.099999999999994</v>
      </c>
      <c r="AA43" s="328"/>
      <c r="AB43" s="331" t="str">
        <f t="shared" ca="1" si="6"/>
        <v>SI</v>
      </c>
      <c r="AC43" s="331" t="str">
        <f t="shared" ca="1" si="7"/>
        <v>EXTRANJERO</v>
      </c>
      <c r="AD43" s="331">
        <f t="shared" ca="1" si="5"/>
        <v>6</v>
      </c>
      <c r="AE43" s="340">
        <v>0</v>
      </c>
      <c r="AF43" s="328"/>
      <c r="AG43" s="340">
        <v>170.50461538461499</v>
      </c>
      <c r="AH43" s="340" t="str">
        <f t="shared" ca="1" si="8"/>
        <v>NO</v>
      </c>
      <c r="AI43" s="340">
        <v>50</v>
      </c>
      <c r="AJ43" s="483"/>
      <c r="AK43" s="340"/>
      <c r="AL43" s="340"/>
      <c r="AM43" s="340"/>
      <c r="AN43" s="340"/>
      <c r="AO43" s="340"/>
    </row>
    <row r="44" spans="1:41">
      <c r="A44" s="23" t="s">
        <v>506</v>
      </c>
      <c r="B44" s="23" t="s">
        <v>427</v>
      </c>
      <c r="C44" s="508">
        <f>IF(Datos_Convenio!D44="A",LOOKUP(Datos_Convenio!E44,Convenio!$A$4:$A$16,Convenio!$L$4:$L$16),LOOKUP(Datos_Convenio!E44,Convenio!$A$20:$A$32,Convenio!$L$20:$L$32))</f>
        <v>3.51</v>
      </c>
      <c r="D44" s="479">
        <f>C44*Datos_Convenio!H44</f>
        <v>105.3</v>
      </c>
      <c r="E44" s="507">
        <f>IF(Datos_Convenio!H44="A",LOOKUP(Datos_Convenio!$E$3,Convenio!$A$4:$A$16,Convenio!$L$4:$L$16),LOOKUP(Datos_Convenio!I44,Convenio!$A$20:$A$32,Convenio!$L$20:$L$32))</f>
        <v>3.51</v>
      </c>
      <c r="F44" s="509">
        <f ca="1">IF(Datos_Convenio!H44="A",0,RANDBETWEEN(0,Datos_Convenio!H44))</f>
        <v>10</v>
      </c>
      <c r="G44" s="479">
        <f t="shared" ca="1" si="4"/>
        <v>35.099999999999994</v>
      </c>
      <c r="H44" s="480">
        <f>IF(Datos_Convenio!D44="A",0,LOOKUP(Datos_Convenio!E44,Convenio!$A$20:$A$32,Convenio!$K$20:$K$32))</f>
        <v>3.38</v>
      </c>
      <c r="I44" s="480">
        <f>IF(Datos_Convenio!D44="A",LOOKUP(Datos_Convenio!E44,Convenio!$A$4:$A$16,Convenio!$N$4:$N$16),LOOKUP(Datos_Convenio!E44,Convenio!$A$20:$A$32,Convenio!$N$20:$N$32))</f>
        <v>75</v>
      </c>
      <c r="J44" s="328"/>
      <c r="K44" s="509">
        <f ca="1">RANDBETWEEN(0,(Datos_Convenio!H44))</f>
        <v>24</v>
      </c>
      <c r="L44" s="480">
        <f ca="1">IF(Datos_Convenio!D44="A",LOOKUP(Datos_Convenio!E44,Convenio!$A$4:$A$16,Convenio!$L$4:$L$16*Datos_Variables!K44),LOOKUP(Datos_Convenio!E44,Convenio!$A$20:$A$32,Convenio!$L$20:$L$32*K44))</f>
        <v>84.24</v>
      </c>
      <c r="M44" s="509">
        <f ca="1">RANDBETWEEN(0,(Datos_Convenio!H44))</f>
        <v>19</v>
      </c>
      <c r="N44" s="480">
        <f ca="1">IF(Datos_Convenio!D44="A",LOOKUP(Datos_Convenio!E44,Convenio!$A$4:$A$16,Convenio!$I$4:$I$16*Datos_Variables!M44),LOOKUP(Datos_Convenio!E44,Convenio!$A$20:$A$32,Convenio!$I$20:$I$32*Datos_Variables!M44))</f>
        <v>371.82240000000002</v>
      </c>
      <c r="O44" s="328"/>
      <c r="P44" s="480">
        <f>IF(Datos_Convenio!D44="A",LOOKUP(Datos_Convenio!E44,Convenio!$A$4:$A$16,Convenio!$E$4:$E$16),LOOKUP(Datos_Convenio!E44,Convenio!$A$20:$A$32,Convenio!$E$20:$E$32*Datos_Convenio!H44))</f>
        <v>154.80000000000001</v>
      </c>
      <c r="Q44" s="480">
        <f>IF(Datos_Convenio!D44="A",0,LOOKUP(Datos_Convenio!E44,Convenio!$A$20:$A$32,Convenio!$C$20:$C$32*Datos_Convenio!H44))</f>
        <v>202.5</v>
      </c>
      <c r="R44" s="328"/>
      <c r="S44" s="340"/>
      <c r="T44" s="331"/>
      <c r="U44" s="340"/>
      <c r="W44" s="340"/>
      <c r="X44" s="340"/>
      <c r="Y44" s="340"/>
      <c r="Z44" s="480">
        <f>IF(Datos_Convenio!D44="A",LOOKUP(Datos_Convenio!E44,Convenio!$A$4:$A$16,Convenio!$F$4:$F$16),LOOKUP(Datos_Convenio!$E$3,Convenio!$A$20:$A$32,Convenio!$F$20:$F$32*Datos_Convenio!H44))</f>
        <v>62.099999999999994</v>
      </c>
      <c r="AA44" s="328"/>
      <c r="AB44" s="331" t="str">
        <f t="shared" ca="1" si="6"/>
        <v>SI</v>
      </c>
      <c r="AC44" s="331" t="str">
        <f t="shared" ca="1" si="7"/>
        <v>ESPAÑA</v>
      </c>
      <c r="AD44" s="331">
        <f t="shared" ca="1" si="5"/>
        <v>7</v>
      </c>
      <c r="AE44" s="340">
        <v>0</v>
      </c>
      <c r="AF44" s="328"/>
      <c r="AG44" s="340">
        <v>0</v>
      </c>
      <c r="AH44" s="340" t="str">
        <f t="shared" ca="1" si="8"/>
        <v>NO</v>
      </c>
      <c r="AI44" s="340">
        <v>0</v>
      </c>
      <c r="AJ44" s="483"/>
      <c r="AK44" s="340"/>
      <c r="AL44" s="340"/>
      <c r="AM44" s="340"/>
      <c r="AN44" s="340"/>
      <c r="AO44" s="340"/>
    </row>
    <row r="45" spans="1:41">
      <c r="A45" s="23" t="s">
        <v>507</v>
      </c>
      <c r="B45" s="23" t="s">
        <v>433</v>
      </c>
      <c r="C45" s="508">
        <f>IF(Datos_Convenio!D45="A",LOOKUP(Datos_Convenio!E45,Convenio!$A$4:$A$16,Convenio!$L$4:$L$16),LOOKUP(Datos_Convenio!E45,Convenio!$A$20:$A$32,Convenio!$L$20:$L$32))</f>
        <v>3.51</v>
      </c>
      <c r="D45" s="479">
        <f>C45*Datos_Convenio!H45</f>
        <v>105.3</v>
      </c>
      <c r="E45" s="507">
        <f>IF(Datos_Convenio!H45="A",LOOKUP(Datos_Convenio!$E$3,Convenio!$A$4:$A$16,Convenio!$L$4:$L$16),LOOKUP(Datos_Convenio!I45,Convenio!$A$20:$A$32,Convenio!$L$20:$L$32))</f>
        <v>3.51</v>
      </c>
      <c r="F45" s="509">
        <f ca="1">IF(Datos_Convenio!H45="A",0,RANDBETWEEN(0,Datos_Convenio!H45))</f>
        <v>1</v>
      </c>
      <c r="G45" s="479">
        <f t="shared" ca="1" si="4"/>
        <v>3.51</v>
      </c>
      <c r="H45" s="480">
        <f>IF(Datos_Convenio!D45="A",0,LOOKUP(Datos_Convenio!E45,Convenio!$A$20:$A$32,Convenio!$K$20:$K$32))</f>
        <v>3.38</v>
      </c>
      <c r="I45" s="480">
        <f>IF(Datos_Convenio!D45="A",LOOKUP(Datos_Convenio!E45,Convenio!$A$4:$A$16,Convenio!$N$4:$N$16),LOOKUP(Datos_Convenio!E45,Convenio!$A$20:$A$32,Convenio!$N$20:$N$32))</f>
        <v>0</v>
      </c>
      <c r="J45" s="328"/>
      <c r="K45" s="509">
        <f ca="1">RANDBETWEEN(0,(Datos_Convenio!H45))</f>
        <v>23</v>
      </c>
      <c r="L45" s="480">
        <f ca="1">IF(Datos_Convenio!D45="A",LOOKUP(Datos_Convenio!E45,Convenio!$A$4:$A$16,Convenio!$L$4:$L$16*Datos_Variables!K45),LOOKUP(Datos_Convenio!E45,Convenio!$A$20:$A$32,Convenio!$L$20:$L$32*K45))</f>
        <v>80.72999999999999</v>
      </c>
      <c r="M45" s="509">
        <f ca="1">RANDBETWEEN(0,(Datos_Convenio!H45))</f>
        <v>2</v>
      </c>
      <c r="N45" s="480">
        <f ca="1">IF(Datos_Convenio!D45="A",LOOKUP(Datos_Convenio!E45,Convenio!$A$4:$A$16,Convenio!$I$4:$I$16*Datos_Variables!M45),LOOKUP(Datos_Convenio!E45,Convenio!$A$20:$A$32,Convenio!$I$20:$I$32*Datos_Variables!M45))</f>
        <v>34.884</v>
      </c>
      <c r="O45" s="328"/>
      <c r="P45" s="480">
        <f>IF(Datos_Convenio!D45="A",LOOKUP(Datos_Convenio!E45,Convenio!$A$4:$A$16,Convenio!$E$4:$E$16),LOOKUP(Datos_Convenio!E45,Convenio!$A$20:$A$32,Convenio!$E$20:$E$32*Datos_Convenio!H45))</f>
        <v>137.69999999999999</v>
      </c>
      <c r="Q45" s="480">
        <f>IF(Datos_Convenio!D45="A",0,LOOKUP(Datos_Convenio!E45,Convenio!$A$20:$A$32,Convenio!$C$20:$C$32*Datos_Convenio!H45))</f>
        <v>199.8</v>
      </c>
      <c r="R45" s="328"/>
      <c r="S45" s="340"/>
      <c r="T45" s="331"/>
      <c r="U45" s="340"/>
      <c r="W45" s="340"/>
      <c r="X45" s="340"/>
      <c r="Y45" s="340"/>
      <c r="Z45" s="480">
        <f>IF(Datos_Convenio!D45="A",LOOKUP(Datos_Convenio!E45,Convenio!$A$4:$A$16,Convenio!$F$4:$F$16),LOOKUP(Datos_Convenio!$E$3,Convenio!$A$20:$A$32,Convenio!$F$20:$F$32*Datos_Convenio!H45))</f>
        <v>62.099999999999994</v>
      </c>
      <c r="AA45" s="328"/>
      <c r="AB45" s="331" t="str">
        <f t="shared" ca="1" si="6"/>
        <v>SI</v>
      </c>
      <c r="AC45" s="331" t="str">
        <f t="shared" ca="1" si="7"/>
        <v>ESPAÑA</v>
      </c>
      <c r="AD45" s="331">
        <f t="shared" ca="1" si="5"/>
        <v>6</v>
      </c>
      <c r="AE45" s="340">
        <v>250</v>
      </c>
      <c r="AF45" s="328"/>
      <c r="AG45" s="340">
        <v>167.98153846153801</v>
      </c>
      <c r="AH45" s="340" t="str">
        <f t="shared" ca="1" si="8"/>
        <v>SI</v>
      </c>
      <c r="AI45" s="340">
        <v>28</v>
      </c>
      <c r="AJ45" s="483"/>
      <c r="AK45" s="340"/>
      <c r="AL45" s="340"/>
      <c r="AM45" s="340"/>
      <c r="AN45" s="340"/>
      <c r="AO45" s="340"/>
    </row>
    <row r="46" spans="1:41">
      <c r="A46" s="23" t="s">
        <v>508</v>
      </c>
      <c r="B46" s="23" t="s">
        <v>384</v>
      </c>
      <c r="C46" s="508">
        <f>IF(Datos_Convenio!D46="A",LOOKUP(Datos_Convenio!E46,Convenio!$A$4:$A$16,Convenio!$L$4:$L$16),LOOKUP(Datos_Convenio!E46,Convenio!$A$20:$A$32,Convenio!$L$20:$L$32))</f>
        <v>3.51</v>
      </c>
      <c r="D46" s="479">
        <v>0</v>
      </c>
      <c r="E46" s="507">
        <f>IF(Datos_Convenio!H46="A",LOOKUP(Datos_Convenio!$E$3,Convenio!$A$4:$A$16,Convenio!$L$4:$L$16),LOOKUP(Datos_Convenio!I46,Convenio!$A$20:$A$32,Convenio!$L$20:$L$32))</f>
        <v>3.51</v>
      </c>
      <c r="F46" s="509">
        <f ca="1">IF(Datos_Convenio!H46="A",0,RANDBETWEEN(0,Datos_Convenio!H46))</f>
        <v>8</v>
      </c>
      <c r="G46" s="479">
        <f t="shared" ca="1" si="4"/>
        <v>28.08</v>
      </c>
      <c r="H46" s="480">
        <f>IF(Datos_Convenio!D46="A",0,LOOKUP(Datos_Convenio!E46,Convenio!$A$20:$A$32,Convenio!$K$20:$K$32))</f>
        <v>3.38</v>
      </c>
      <c r="I46" s="480">
        <f>IF(Datos_Convenio!D46="A",LOOKUP(Datos_Convenio!E46,Convenio!$A$4:$A$16,Convenio!$N$4:$N$16),LOOKUP(Datos_Convenio!E46,Convenio!$A$20:$A$32,Convenio!$N$20:$N$32))</f>
        <v>0</v>
      </c>
      <c r="J46" s="328"/>
      <c r="K46" s="509">
        <f ca="1">RANDBETWEEN(0,(Datos_Convenio!H46))</f>
        <v>1</v>
      </c>
      <c r="L46" s="480">
        <f ca="1">IF(Datos_Convenio!D46="A",LOOKUP(Datos_Convenio!E46,Convenio!$A$4:$A$16,Convenio!$L$4:$L$16*Datos_Variables!K46),LOOKUP(Datos_Convenio!E46,Convenio!$A$20:$A$32,Convenio!$L$20:$L$32*K46))</f>
        <v>3.51</v>
      </c>
      <c r="M46" s="509">
        <f ca="1">RANDBETWEEN(0,(Datos_Convenio!H46))</f>
        <v>15</v>
      </c>
      <c r="N46" s="480">
        <f ca="1">IF(Datos_Convenio!D46="A",LOOKUP(Datos_Convenio!E46,Convenio!$A$4:$A$16,Convenio!$I$4:$I$16*Datos_Variables!M46),LOOKUP(Datos_Convenio!E46,Convenio!$A$20:$A$32,Convenio!$I$20:$I$32*Datos_Variables!M46))</f>
        <v>209.304</v>
      </c>
      <c r="O46" s="328"/>
      <c r="P46" s="480">
        <f>5*30</f>
        <v>150</v>
      </c>
      <c r="Q46" s="480">
        <f>IF(Datos_Convenio!D46="A",0,LOOKUP(Datos_Convenio!E46,Convenio!$A$20:$A$32,Convenio!$C$20:$C$32*Datos_Convenio!H46))</f>
        <v>197.4</v>
      </c>
      <c r="R46" s="328"/>
      <c r="S46" s="340"/>
      <c r="T46" s="331"/>
      <c r="U46" s="340"/>
      <c r="W46" s="340"/>
      <c r="X46" s="340"/>
      <c r="Y46" s="340"/>
      <c r="Z46" s="480">
        <v>0</v>
      </c>
      <c r="AA46" s="328"/>
      <c r="AB46" s="331" t="str">
        <f t="shared" ca="1" si="6"/>
        <v>SI</v>
      </c>
      <c r="AC46" s="331" t="str">
        <f t="shared" ca="1" si="7"/>
        <v>ESPAÑA</v>
      </c>
      <c r="AD46" s="331">
        <f t="shared" ca="1" si="5"/>
        <v>0</v>
      </c>
      <c r="AE46" s="340">
        <v>0</v>
      </c>
      <c r="AF46" s="328"/>
      <c r="AG46" s="340">
        <v>0</v>
      </c>
      <c r="AH46" s="340" t="str">
        <f t="shared" ca="1" si="8"/>
        <v>SI</v>
      </c>
      <c r="AI46" s="340">
        <v>42</v>
      </c>
      <c r="AJ46" s="483"/>
      <c r="AK46" s="340"/>
      <c r="AL46" s="340"/>
      <c r="AM46" s="340"/>
      <c r="AN46" s="340"/>
      <c r="AO46" s="340"/>
    </row>
    <row r="47" spans="1:41">
      <c r="A47" s="23" t="s">
        <v>509</v>
      </c>
      <c r="B47" s="23" t="s">
        <v>401</v>
      </c>
      <c r="C47" s="508">
        <f>IF(Datos_Convenio!D47="A",LOOKUP(Datos_Convenio!E47,Convenio!$A$4:$A$16,Convenio!$L$4:$L$16),LOOKUP(Datos_Convenio!E47,Convenio!$A$20:$A$32,Convenio!$L$20:$L$32))</f>
        <v>3.51</v>
      </c>
      <c r="D47" s="479">
        <f>C47*Datos_Convenio!H47</f>
        <v>105.3</v>
      </c>
      <c r="E47" s="507">
        <f>IF(Datos_Convenio!H47="A",LOOKUP(Datos_Convenio!$E$3,Convenio!$A$4:$A$16,Convenio!$L$4:$L$16),LOOKUP(Datos_Convenio!I47,Convenio!$A$20:$A$32,Convenio!$L$20:$L$32))</f>
        <v>3.51</v>
      </c>
      <c r="F47" s="509">
        <f ca="1">IF(Datos_Convenio!H47="A",0,RANDBETWEEN(0,Datos_Convenio!H47))</f>
        <v>29</v>
      </c>
      <c r="G47" s="479">
        <f t="shared" ca="1" si="4"/>
        <v>101.78999999999999</v>
      </c>
      <c r="H47" s="480">
        <f>IF(Datos_Convenio!D47="A",0,LOOKUP(Datos_Convenio!E47,Convenio!$A$20:$A$32,Convenio!$K$20:$K$32))</f>
        <v>3.38</v>
      </c>
      <c r="I47" s="480">
        <f>IF(Datos_Convenio!D47="A",LOOKUP(Datos_Convenio!E47,Convenio!$A$4:$A$16,Convenio!$N$4:$N$16),LOOKUP(Datos_Convenio!E47,Convenio!$A$20:$A$32,Convenio!$N$20:$N$32))</f>
        <v>75</v>
      </c>
      <c r="J47" s="328"/>
      <c r="K47" s="509">
        <f ca="1">RANDBETWEEN(0,(Datos_Convenio!H47))</f>
        <v>24</v>
      </c>
      <c r="L47" s="480">
        <f ca="1">IF(Datos_Convenio!D47="A",LOOKUP(Datos_Convenio!E47,Convenio!$A$4:$A$16,Convenio!$L$4:$L$16*Datos_Variables!K47),LOOKUP(Datos_Convenio!E47,Convenio!$A$20:$A$32,Convenio!$L$20:$L$32*K47))</f>
        <v>84.24</v>
      </c>
      <c r="M47" s="509">
        <f ca="1">RANDBETWEEN(0,(Datos_Convenio!H47))</f>
        <v>8</v>
      </c>
      <c r="N47" s="480">
        <f ca="1">IF(Datos_Convenio!D47="A",LOOKUP(Datos_Convenio!E47,Convenio!$A$4:$A$16,Convenio!$I$4:$I$16*Datos_Variables!M47),LOOKUP(Datos_Convenio!E47,Convenio!$A$20:$A$32,Convenio!$I$20:$I$32*Datos_Variables!M47))</f>
        <v>156.55680000000001</v>
      </c>
      <c r="O47" s="328"/>
      <c r="P47" s="480">
        <f>IF(Datos_Convenio!D47="A",LOOKUP(Datos_Convenio!E47,Convenio!$A$4:$A$16,Convenio!$E$4:$E$16),LOOKUP(Datos_Convenio!E47,Convenio!$A$20:$A$32,Convenio!$E$20:$E$32*Datos_Convenio!H47))</f>
        <v>154.80000000000001</v>
      </c>
      <c r="Q47" s="480">
        <f>IF(Datos_Convenio!D47="A",0,LOOKUP(Datos_Convenio!E47,Convenio!$A$20:$A$32,Convenio!$C$20:$C$32*Datos_Convenio!H47))</f>
        <v>202.5</v>
      </c>
      <c r="R47" s="328"/>
      <c r="S47" s="340"/>
      <c r="T47" s="331"/>
      <c r="U47" s="340"/>
      <c r="W47" s="340"/>
      <c r="X47" s="340"/>
      <c r="Y47" s="340"/>
      <c r="Z47" s="480">
        <f>IF(Datos_Convenio!D47="A",LOOKUP(Datos_Convenio!E47,Convenio!$A$4:$A$16,Convenio!$F$4:$F$16),LOOKUP(Datos_Convenio!$E$3,Convenio!$A$20:$A$32,Convenio!$F$20:$F$32*Datos_Convenio!H47))</f>
        <v>62.099999999999994</v>
      </c>
      <c r="AA47" s="328"/>
      <c r="AB47" s="331" t="str">
        <f t="shared" ca="1" si="6"/>
        <v>SI</v>
      </c>
      <c r="AC47" s="331" t="str">
        <f t="shared" ca="1" si="7"/>
        <v>EXTRANJERO</v>
      </c>
      <c r="AD47" s="331">
        <f t="shared" ca="1" si="5"/>
        <v>7</v>
      </c>
      <c r="AE47" s="340">
        <v>480</v>
      </c>
      <c r="AF47" s="328"/>
      <c r="AG47" s="340">
        <v>199</v>
      </c>
      <c r="AH47" s="340" t="str">
        <f t="shared" ca="1" si="8"/>
        <v>NO</v>
      </c>
      <c r="AI47" s="340">
        <v>63</v>
      </c>
      <c r="AJ47" s="483"/>
      <c r="AK47" s="340"/>
      <c r="AL47" s="340"/>
      <c r="AM47" s="340"/>
      <c r="AN47" s="340"/>
      <c r="AO47" s="340"/>
    </row>
    <row r="48" spans="1:41">
      <c r="A48" s="23" t="s">
        <v>510</v>
      </c>
      <c r="B48" s="23" t="s">
        <v>440</v>
      </c>
      <c r="C48" s="508">
        <f>IF(Datos_Convenio!D48="A",LOOKUP(Datos_Convenio!E48,Convenio!$A$4:$A$16,Convenio!$L$4:$L$16),LOOKUP(Datos_Convenio!E48,Convenio!$A$20:$A$32,Convenio!$L$20:$L$32))</f>
        <v>3.51</v>
      </c>
      <c r="D48" s="479">
        <f>C48*Datos_Convenio!H48</f>
        <v>105.3</v>
      </c>
      <c r="E48" s="507">
        <f>IF(Datos_Convenio!H48="A",LOOKUP(Datos_Convenio!$E$3,Convenio!$A$4:$A$16,Convenio!$L$4:$L$16),LOOKUP(Datos_Convenio!I48,Convenio!$A$20:$A$32,Convenio!$L$20:$L$32))</f>
        <v>3.51</v>
      </c>
      <c r="F48" s="509">
        <f ca="1">IF(Datos_Convenio!H48="A",0,RANDBETWEEN(0,Datos_Convenio!H48))</f>
        <v>7</v>
      </c>
      <c r="G48" s="479">
        <f t="shared" ca="1" si="4"/>
        <v>24.57</v>
      </c>
      <c r="H48" s="480">
        <f>IF(Datos_Convenio!D48="A",0,LOOKUP(Datos_Convenio!E48,Convenio!$A$20:$A$32,Convenio!$K$20:$K$32))</f>
        <v>3.38</v>
      </c>
      <c r="I48" s="480">
        <f>IF(Datos_Convenio!D48="A",LOOKUP(Datos_Convenio!E48,Convenio!$A$4:$A$16,Convenio!$N$4:$N$16),LOOKUP(Datos_Convenio!E48,Convenio!$A$20:$A$32,Convenio!$N$20:$N$32))</f>
        <v>50</v>
      </c>
      <c r="J48" s="328"/>
      <c r="K48" s="509">
        <f ca="1">RANDBETWEEN(0,(Datos_Convenio!H48))</f>
        <v>3</v>
      </c>
      <c r="L48" s="480">
        <f ca="1">IF(Datos_Convenio!D48="A",LOOKUP(Datos_Convenio!E48,Convenio!$A$4:$A$16,Convenio!$L$4:$L$16*Datos_Variables!K48),LOOKUP(Datos_Convenio!E48,Convenio!$A$20:$A$32,Convenio!$L$20:$L$32*K48))</f>
        <v>10.53</v>
      </c>
      <c r="M48" s="509">
        <f ca="1">RANDBETWEEN(0,(Datos_Convenio!H48))</f>
        <v>6</v>
      </c>
      <c r="N48" s="480">
        <f ca="1">IF(Datos_Convenio!D48="A",LOOKUP(Datos_Convenio!E48,Convenio!$A$4:$A$16,Convenio!$I$4:$I$16*Datos_Variables!M48),LOOKUP(Datos_Convenio!E48,Convenio!$A$20:$A$32,Convenio!$I$20:$I$32*Datos_Variables!M48))</f>
        <v>110.61360000000001</v>
      </c>
      <c r="O48" s="328"/>
      <c r="P48" s="480">
        <f>IF(Datos_Convenio!D48="A",LOOKUP(Datos_Convenio!E48,Convenio!$A$4:$A$16,Convenio!$E$4:$E$16),LOOKUP(Datos_Convenio!E48,Convenio!$A$20:$A$32,Convenio!$E$20:$E$32*Datos_Convenio!H48))</f>
        <v>146.4</v>
      </c>
      <c r="Q48" s="480">
        <f>IF(Datos_Convenio!D48="A",0,LOOKUP(Datos_Convenio!E48,Convenio!$A$20:$A$32,Convenio!$C$20:$C$32*Datos_Convenio!H48))</f>
        <v>202.5</v>
      </c>
      <c r="R48" s="328"/>
      <c r="S48" s="340"/>
      <c r="T48" s="331"/>
      <c r="U48" s="340"/>
      <c r="W48" s="340"/>
      <c r="X48" s="340"/>
      <c r="Y48" s="340"/>
      <c r="Z48" s="480">
        <f>IF(Datos_Convenio!D48="A",LOOKUP(Datos_Convenio!E48,Convenio!$A$4:$A$16,Convenio!$F$4:$F$16),LOOKUP(Datos_Convenio!$E$3,Convenio!$A$20:$A$32,Convenio!$F$20:$F$32*Datos_Convenio!H48))</f>
        <v>62.099999999999994</v>
      </c>
      <c r="AA48" s="328"/>
      <c r="AB48" s="331" t="str">
        <f t="shared" ca="1" si="6"/>
        <v>NO</v>
      </c>
      <c r="AC48" s="331" t="str">
        <f t="shared" ca="1" si="7"/>
        <v>ESPAÑA</v>
      </c>
      <c r="AD48" s="331">
        <f t="shared" ca="1" si="5"/>
        <v>10</v>
      </c>
      <c r="AE48" s="340">
        <v>156.90909090909099</v>
      </c>
      <c r="AF48" s="328"/>
      <c r="AG48" s="340">
        <v>0</v>
      </c>
      <c r="AH48" s="340" t="str">
        <f t="shared" ca="1" si="8"/>
        <v>SI</v>
      </c>
      <c r="AI48" s="340">
        <v>0</v>
      </c>
      <c r="AJ48" s="483"/>
      <c r="AK48" s="340"/>
      <c r="AL48" s="340"/>
      <c r="AM48" s="340"/>
      <c r="AN48" s="340"/>
      <c r="AO48" s="340"/>
    </row>
    <row r="49" spans="1:41">
      <c r="A49" s="23" t="s">
        <v>511</v>
      </c>
      <c r="B49" s="23" t="s">
        <v>410</v>
      </c>
      <c r="C49" s="508">
        <f>IF(Datos_Convenio!D49="A",LOOKUP(Datos_Convenio!E49,Convenio!$A$4:$A$16,Convenio!$L$4:$L$16),LOOKUP(Datos_Convenio!E49,Convenio!$A$20:$A$32,Convenio!$L$20:$L$32))</f>
        <v>3.51</v>
      </c>
      <c r="D49" s="479">
        <f>C49*Datos_Convenio!H49</f>
        <v>105.3</v>
      </c>
      <c r="E49" s="507">
        <f>IF(Datos_Convenio!H49="A",LOOKUP(Datos_Convenio!$E$3,Convenio!$A$4:$A$16,Convenio!$L$4:$L$16),LOOKUP(Datos_Convenio!I49,Convenio!$A$20:$A$32,Convenio!$L$20:$L$32))</f>
        <v>3.51</v>
      </c>
      <c r="F49" s="509">
        <f ca="1">IF(Datos_Convenio!H49="A",0,RANDBETWEEN(0,Datos_Convenio!H49))</f>
        <v>19</v>
      </c>
      <c r="G49" s="479">
        <f t="shared" ca="1" si="4"/>
        <v>66.69</v>
      </c>
      <c r="H49" s="480">
        <f>IF(Datos_Convenio!D49="A",0,LOOKUP(Datos_Convenio!E49,Convenio!$A$20:$A$32,Convenio!$K$20:$K$32))</f>
        <v>3.38</v>
      </c>
      <c r="I49" s="480">
        <f>IF(Datos_Convenio!D49="A",LOOKUP(Datos_Convenio!E49,Convenio!$A$4:$A$16,Convenio!$N$4:$N$16),LOOKUP(Datos_Convenio!E49,Convenio!$A$20:$A$32,Convenio!$N$20:$N$32))</f>
        <v>0</v>
      </c>
      <c r="J49" s="328"/>
      <c r="K49" s="509">
        <f ca="1">RANDBETWEEN(0,(Datos_Convenio!H49))</f>
        <v>27</v>
      </c>
      <c r="L49" s="480">
        <f ca="1">IF(Datos_Convenio!D49="A",LOOKUP(Datos_Convenio!E49,Convenio!$A$4:$A$16,Convenio!$L$4:$L$16*Datos_Variables!K49),LOOKUP(Datos_Convenio!E49,Convenio!$A$20:$A$32,Convenio!$L$20:$L$32*K49))</f>
        <v>94.77</v>
      </c>
      <c r="M49" s="509">
        <f ca="1">RANDBETWEEN(0,(Datos_Convenio!H49))</f>
        <v>11</v>
      </c>
      <c r="N49" s="480">
        <f ca="1">IF(Datos_Convenio!D49="A",LOOKUP(Datos_Convenio!E49,Convenio!$A$4:$A$16,Convenio!$I$4:$I$16*Datos_Variables!M49),LOOKUP(Datos_Convenio!E49,Convenio!$A$20:$A$32,Convenio!$I$20:$I$32*Datos_Variables!M49))</f>
        <v>191.86199999999999</v>
      </c>
      <c r="O49" s="328"/>
      <c r="P49" s="480">
        <f>IF(Datos_Convenio!D49="A",LOOKUP(Datos_Convenio!E49,Convenio!$A$4:$A$16,Convenio!$E$4:$E$16),LOOKUP(Datos_Convenio!E49,Convenio!$A$20:$A$32,Convenio!$E$20:$E$32*Datos_Convenio!H49))</f>
        <v>137.69999999999999</v>
      </c>
      <c r="Q49" s="480">
        <f>IF(Datos_Convenio!D49="A",0,LOOKUP(Datos_Convenio!E49,Convenio!$A$20:$A$32,Convenio!$C$20:$C$32*Datos_Convenio!H49))</f>
        <v>199.8</v>
      </c>
      <c r="R49" s="328"/>
      <c r="S49" s="340"/>
      <c r="T49" s="331"/>
      <c r="U49" s="340"/>
      <c r="W49" s="340"/>
      <c r="X49" s="340"/>
      <c r="Y49" s="340"/>
      <c r="Z49" s="480">
        <f>IF(Datos_Convenio!D49="A",LOOKUP(Datos_Convenio!E49,Convenio!$A$4:$A$16,Convenio!$F$4:$F$16),LOOKUP(Datos_Convenio!$E$3,Convenio!$A$20:$A$32,Convenio!$F$20:$F$32*Datos_Convenio!H49))</f>
        <v>62.099999999999994</v>
      </c>
      <c r="AA49" s="328"/>
      <c r="AB49" s="331" t="str">
        <f t="shared" ca="1" si="6"/>
        <v>NO</v>
      </c>
      <c r="AC49" s="331" t="str">
        <f t="shared" ca="1" si="7"/>
        <v>EXTRANJERO</v>
      </c>
      <c r="AD49" s="331">
        <f t="shared" ca="1" si="5"/>
        <v>8</v>
      </c>
      <c r="AE49" s="340">
        <v>0</v>
      </c>
      <c r="AF49" s="328"/>
      <c r="AG49" s="340">
        <v>173.02769230769201</v>
      </c>
      <c r="AH49" s="340" t="str">
        <f t="shared" ca="1" si="8"/>
        <v>SI</v>
      </c>
      <c r="AI49" s="340">
        <v>10</v>
      </c>
      <c r="AJ49" s="483"/>
      <c r="AK49" s="340"/>
      <c r="AL49" s="340"/>
      <c r="AM49" s="340"/>
      <c r="AN49" s="340"/>
      <c r="AO49" s="340"/>
    </row>
    <row r="50" spans="1:41">
      <c r="A50" s="23" t="s">
        <v>512</v>
      </c>
      <c r="B50" s="23" t="s">
        <v>418</v>
      </c>
      <c r="C50" s="508">
        <f>IF(Datos_Convenio!D50="A",LOOKUP(Datos_Convenio!E50,Convenio!$A$4:$A$16,Convenio!$L$4:$L$16),LOOKUP(Datos_Convenio!E50,Convenio!$A$20:$A$32,Convenio!$L$20:$L$32))</f>
        <v>3.51</v>
      </c>
      <c r="D50" s="479">
        <f>C50*Datos_Convenio!H50</f>
        <v>105.3</v>
      </c>
      <c r="E50" s="507">
        <f>IF(Datos_Convenio!H50="A",LOOKUP(Datos_Convenio!$E$3,Convenio!$A$4:$A$16,Convenio!$L$4:$L$16),LOOKUP(Datos_Convenio!I50,Convenio!$A$20:$A$32,Convenio!$L$20:$L$32))</f>
        <v>3.51</v>
      </c>
      <c r="F50" s="509">
        <f ca="1">IF(Datos_Convenio!H50="A",0,RANDBETWEEN(0,Datos_Convenio!H50))</f>
        <v>20</v>
      </c>
      <c r="G50" s="479">
        <f t="shared" ca="1" si="4"/>
        <v>70.199999999999989</v>
      </c>
      <c r="H50" s="480">
        <f>IF(Datos_Convenio!D50="A",0,LOOKUP(Datos_Convenio!E50,Convenio!$A$20:$A$32,Convenio!$K$20:$K$32))</f>
        <v>3.38</v>
      </c>
      <c r="I50" s="480">
        <f>IF(Datos_Convenio!D50="A",LOOKUP(Datos_Convenio!E50,Convenio!$A$4:$A$16,Convenio!$N$4:$N$16),LOOKUP(Datos_Convenio!E50,Convenio!$A$20:$A$32,Convenio!$N$20:$N$32))</f>
        <v>75</v>
      </c>
      <c r="J50" s="328"/>
      <c r="K50" s="509">
        <f ca="1">RANDBETWEEN(0,(Datos_Convenio!H50))</f>
        <v>16</v>
      </c>
      <c r="L50" s="480">
        <f ca="1">IF(Datos_Convenio!D50="A",LOOKUP(Datos_Convenio!E50,Convenio!$A$4:$A$16,Convenio!$L$4:$L$16*Datos_Variables!K50),LOOKUP(Datos_Convenio!E50,Convenio!$A$20:$A$32,Convenio!$L$20:$L$32*K50))</f>
        <v>56.16</v>
      </c>
      <c r="M50" s="509">
        <f ca="1">RANDBETWEEN(0,(Datos_Convenio!H50))</f>
        <v>2</v>
      </c>
      <c r="N50" s="480">
        <f ca="1">IF(Datos_Convenio!D50="A",LOOKUP(Datos_Convenio!E50,Convenio!$A$4:$A$16,Convenio!$I$4:$I$16*Datos_Variables!M50),LOOKUP(Datos_Convenio!E50,Convenio!$A$20:$A$32,Convenio!$I$20:$I$32*Datos_Variables!M50))</f>
        <v>39.139200000000002</v>
      </c>
      <c r="O50" s="328"/>
      <c r="P50" s="480">
        <f>IF(Datos_Convenio!D50="A",LOOKUP(Datos_Convenio!E50,Convenio!$A$4:$A$16,Convenio!$E$4:$E$16),LOOKUP(Datos_Convenio!E50,Convenio!$A$20:$A$32,Convenio!$E$20:$E$32*Datos_Convenio!H50))</f>
        <v>154.80000000000001</v>
      </c>
      <c r="Q50" s="480">
        <f>IF(Datos_Convenio!D50="A",0,LOOKUP(Datos_Convenio!E50,Convenio!$A$20:$A$32,Convenio!$C$20:$C$32*Datos_Convenio!H50))</f>
        <v>202.5</v>
      </c>
      <c r="R50" s="328"/>
      <c r="S50" s="340"/>
      <c r="T50" s="331"/>
      <c r="U50" s="340"/>
      <c r="W50" s="340"/>
      <c r="X50" s="340"/>
      <c r="Y50" s="340"/>
      <c r="Z50" s="480">
        <f>IF(Datos_Convenio!D50="A",LOOKUP(Datos_Convenio!E50,Convenio!$A$4:$A$16,Convenio!$F$4:$F$16),LOOKUP(Datos_Convenio!$E$3,Convenio!$A$20:$A$32,Convenio!$F$20:$F$32*Datos_Convenio!H50))</f>
        <v>62.099999999999994</v>
      </c>
      <c r="AA50" s="328"/>
      <c r="AB50" s="331" t="str">
        <f t="shared" ca="1" si="6"/>
        <v>SI</v>
      </c>
      <c r="AC50" s="331" t="str">
        <f t="shared" ca="1" si="7"/>
        <v>EXTRANJERO</v>
      </c>
      <c r="AD50" s="331">
        <f t="shared" ca="1" si="5"/>
        <v>5</v>
      </c>
      <c r="AE50" s="340">
        <v>0</v>
      </c>
      <c r="AF50" s="328"/>
      <c r="AG50" s="340">
        <v>170.75692307692299</v>
      </c>
      <c r="AH50" s="340" t="str">
        <f t="shared" ca="1" si="8"/>
        <v>SI</v>
      </c>
      <c r="AI50" s="340">
        <v>55</v>
      </c>
      <c r="AJ50" s="483"/>
      <c r="AK50" s="340"/>
      <c r="AL50" s="340"/>
      <c r="AM50" s="340"/>
      <c r="AN50" s="340"/>
      <c r="AO50" s="340"/>
    </row>
    <row r="51" spans="1:41">
      <c r="A51" s="23" t="s">
        <v>513</v>
      </c>
      <c r="B51" s="23" t="s">
        <v>415</v>
      </c>
      <c r="C51" s="508">
        <f>IF(Datos_Convenio!D51="A",LOOKUP(Datos_Convenio!E51,Convenio!$A$4:$A$16,Convenio!$L$4:$L$16),LOOKUP(Datos_Convenio!E51,Convenio!$A$20:$A$32,Convenio!$L$20:$L$32))</f>
        <v>3.51</v>
      </c>
      <c r="D51" s="479">
        <f>C51*Datos_Convenio!H51</f>
        <v>105.3</v>
      </c>
      <c r="E51" s="507">
        <f>IF(Datos_Convenio!H51="A",LOOKUP(Datos_Convenio!$E$3,Convenio!$A$4:$A$16,Convenio!$L$4:$L$16),LOOKUP(Datos_Convenio!I51,Convenio!$A$20:$A$32,Convenio!$L$20:$L$32))</f>
        <v>3.51</v>
      </c>
      <c r="F51" s="509">
        <f ca="1">IF(Datos_Convenio!H51="A",0,RANDBETWEEN(0,Datos_Convenio!H51))</f>
        <v>26</v>
      </c>
      <c r="G51" s="479">
        <f t="shared" ca="1" si="4"/>
        <v>91.259999999999991</v>
      </c>
      <c r="H51" s="480">
        <f>IF(Datos_Convenio!D51="A",0,LOOKUP(Datos_Convenio!E51,Convenio!$A$20:$A$32,Convenio!$K$20:$K$32))</f>
        <v>3.38</v>
      </c>
      <c r="I51" s="480">
        <f>IF(Datos_Convenio!D51="A",LOOKUP(Datos_Convenio!E51,Convenio!$A$4:$A$16,Convenio!$N$4:$N$16),LOOKUP(Datos_Convenio!E51,Convenio!$A$20:$A$32,Convenio!$N$20:$N$32))</f>
        <v>0</v>
      </c>
      <c r="J51" s="328"/>
      <c r="K51" s="509">
        <f ca="1">RANDBETWEEN(0,(Datos_Convenio!H51))</f>
        <v>20</v>
      </c>
      <c r="L51" s="480">
        <f ca="1">IF(Datos_Convenio!D51="A",LOOKUP(Datos_Convenio!E51,Convenio!$A$4:$A$16,Convenio!$L$4:$L$16*Datos_Variables!K51),LOOKUP(Datos_Convenio!E51,Convenio!$A$20:$A$32,Convenio!$L$20:$L$32*K51))</f>
        <v>70.199999999999989</v>
      </c>
      <c r="M51" s="509">
        <f ca="1">RANDBETWEEN(0,(Datos_Convenio!H51))</f>
        <v>10</v>
      </c>
      <c r="N51" s="480">
        <f ca="1">IF(Datos_Convenio!D51="A",LOOKUP(Datos_Convenio!E51,Convenio!$A$4:$A$16,Convenio!$I$4:$I$16*Datos_Variables!M51),LOOKUP(Datos_Convenio!E51,Convenio!$A$20:$A$32,Convenio!$I$20:$I$32*Datos_Variables!M51))</f>
        <v>174.42000000000002</v>
      </c>
      <c r="O51" s="328"/>
      <c r="P51" s="480">
        <f>IF(Datos_Convenio!D51="A",LOOKUP(Datos_Convenio!E51,Convenio!$A$4:$A$16,Convenio!$E$4:$E$16),LOOKUP(Datos_Convenio!E51,Convenio!$A$20:$A$32,Convenio!$E$20:$E$32*Datos_Convenio!H51))</f>
        <v>137.69999999999999</v>
      </c>
      <c r="Q51" s="480">
        <f>IF(Datos_Convenio!D51="A",0,LOOKUP(Datos_Convenio!E51,Convenio!$A$20:$A$32,Convenio!$C$20:$C$32*Datos_Convenio!H51))</f>
        <v>199.8</v>
      </c>
      <c r="R51" s="328"/>
      <c r="S51" s="340"/>
      <c r="T51" s="331"/>
      <c r="U51" s="340"/>
      <c r="W51" s="340"/>
      <c r="X51" s="340"/>
      <c r="Y51" s="340"/>
      <c r="Z51" s="480">
        <f>IF(Datos_Convenio!D51="A",LOOKUP(Datos_Convenio!E51,Convenio!$A$4:$A$16,Convenio!$F$4:$F$16),LOOKUP(Datos_Convenio!$E$3,Convenio!$A$20:$A$32,Convenio!$F$20:$F$32*Datos_Convenio!H51))</f>
        <v>62.099999999999994</v>
      </c>
      <c r="AA51" s="328"/>
      <c r="AB51" s="331" t="str">
        <f t="shared" ca="1" si="6"/>
        <v>NO</v>
      </c>
      <c r="AC51" s="331" t="str">
        <f t="shared" ca="1" si="7"/>
        <v>ESPAÑA</v>
      </c>
      <c r="AD51" s="331">
        <f t="shared" ca="1" si="5"/>
        <v>6</v>
      </c>
      <c r="AE51" s="340">
        <v>0</v>
      </c>
      <c r="AF51" s="328"/>
      <c r="AG51" s="340">
        <v>171.513846153846</v>
      </c>
      <c r="AH51" s="340" t="str">
        <f t="shared" ca="1" si="8"/>
        <v>SI</v>
      </c>
      <c r="AI51" s="340">
        <v>78</v>
      </c>
      <c r="AJ51" s="483"/>
      <c r="AK51" s="340"/>
      <c r="AL51" s="340"/>
      <c r="AM51" s="340"/>
      <c r="AN51" s="340"/>
      <c r="AO51" s="340"/>
    </row>
    <row r="52" spans="1:41">
      <c r="A52" s="23" t="s">
        <v>514</v>
      </c>
      <c r="B52" s="23" t="s">
        <v>426</v>
      </c>
      <c r="C52" s="508">
        <f>IF(Datos_Convenio!D52="A",LOOKUP(Datos_Convenio!E52,Convenio!$A$4:$A$16,Convenio!$L$4:$L$16),LOOKUP(Datos_Convenio!E52,Convenio!$A$20:$A$32,Convenio!$L$20:$L$32))</f>
        <v>3.51</v>
      </c>
      <c r="D52" s="479">
        <f>C52*Datos_Convenio!H52</f>
        <v>105.3</v>
      </c>
      <c r="E52" s="507">
        <f>IF(Datos_Convenio!H52="A",LOOKUP(Datos_Convenio!$E$3,Convenio!$A$4:$A$16,Convenio!$L$4:$L$16),LOOKUP(Datos_Convenio!I52,Convenio!$A$20:$A$32,Convenio!$L$20:$L$32))</f>
        <v>3.51</v>
      </c>
      <c r="F52" s="509">
        <f ca="1">IF(Datos_Convenio!H52="A",0,RANDBETWEEN(0,Datos_Convenio!H52))</f>
        <v>21</v>
      </c>
      <c r="G52" s="479">
        <f t="shared" ca="1" si="4"/>
        <v>73.709999999999994</v>
      </c>
      <c r="H52" s="480">
        <f>IF(Datos_Convenio!D52="A",0,LOOKUP(Datos_Convenio!E52,Convenio!$A$20:$A$32,Convenio!$K$20:$K$32))</f>
        <v>3.38</v>
      </c>
      <c r="I52" s="480">
        <f>IF(Datos_Convenio!D52="A",LOOKUP(Datos_Convenio!E52,Convenio!$A$4:$A$16,Convenio!$N$4:$N$16),LOOKUP(Datos_Convenio!E52,Convenio!$A$20:$A$32,Convenio!$N$20:$N$32))</f>
        <v>0</v>
      </c>
      <c r="J52" s="328"/>
      <c r="K52" s="509">
        <f ca="1">RANDBETWEEN(0,(Datos_Convenio!H52))</f>
        <v>8</v>
      </c>
      <c r="L52" s="480">
        <f ca="1">IF(Datos_Convenio!D52="A",LOOKUP(Datos_Convenio!E52,Convenio!$A$4:$A$16,Convenio!$L$4:$L$16*Datos_Variables!K52),LOOKUP(Datos_Convenio!E52,Convenio!$A$20:$A$32,Convenio!$L$20:$L$32*K52))</f>
        <v>28.08</v>
      </c>
      <c r="M52" s="509">
        <f ca="1">RANDBETWEEN(0,(Datos_Convenio!H52))</f>
        <v>2</v>
      </c>
      <c r="N52" s="480">
        <f ca="1">IF(Datos_Convenio!D52="A",LOOKUP(Datos_Convenio!E52,Convenio!$A$4:$A$16,Convenio!$I$4:$I$16*Datos_Variables!M52),LOOKUP(Datos_Convenio!E52,Convenio!$A$20:$A$32,Convenio!$I$20:$I$32*Datos_Variables!M52))</f>
        <v>34.884</v>
      </c>
      <c r="O52" s="328"/>
      <c r="P52" s="480">
        <f>IF(Datos_Convenio!D52="A",LOOKUP(Datos_Convenio!E52,Convenio!$A$4:$A$16,Convenio!$E$4:$E$16),LOOKUP(Datos_Convenio!E52,Convenio!$A$20:$A$32,Convenio!$E$20:$E$32*Datos_Convenio!H52))</f>
        <v>137.69999999999999</v>
      </c>
      <c r="Q52" s="480">
        <f>IF(Datos_Convenio!D52="A",0,LOOKUP(Datos_Convenio!E52,Convenio!$A$20:$A$32,Convenio!$C$20:$C$32*Datos_Convenio!H52))</f>
        <v>199.8</v>
      </c>
      <c r="R52" s="328"/>
      <c r="S52" s="340"/>
      <c r="T52" s="331"/>
      <c r="U52" s="340"/>
      <c r="W52" s="340"/>
      <c r="X52" s="340"/>
      <c r="Y52" s="340"/>
      <c r="Z52" s="480">
        <f>IF(Datos_Convenio!D52="A",LOOKUP(Datos_Convenio!E52,Convenio!$A$4:$A$16,Convenio!$F$4:$F$16),LOOKUP(Datos_Convenio!$E$3,Convenio!$A$20:$A$32,Convenio!$F$20:$F$32*Datos_Convenio!H52))</f>
        <v>62.099999999999994</v>
      </c>
      <c r="AA52" s="328"/>
      <c r="AB52" s="331" t="str">
        <f t="shared" ca="1" si="6"/>
        <v>SI</v>
      </c>
      <c r="AC52" s="331" t="str">
        <f t="shared" ca="1" si="7"/>
        <v>EXTRANJERO</v>
      </c>
      <c r="AD52" s="331">
        <f t="shared" ca="1" si="5"/>
        <v>7</v>
      </c>
      <c r="AE52" s="340">
        <v>0</v>
      </c>
      <c r="AF52" s="328"/>
      <c r="AG52" s="340">
        <v>169.49538461538501</v>
      </c>
      <c r="AH52" s="340" t="str">
        <f t="shared" ca="1" si="8"/>
        <v>SI</v>
      </c>
      <c r="AI52" s="340">
        <v>68</v>
      </c>
      <c r="AJ52" s="483"/>
      <c r="AK52" s="340"/>
      <c r="AL52" s="340"/>
      <c r="AM52" s="340"/>
      <c r="AN52" s="340"/>
      <c r="AO52" s="340"/>
    </row>
    <row r="54" spans="1:41">
      <c r="AB54" s="23" t="s">
        <v>109</v>
      </c>
      <c r="AC54" s="23" t="s">
        <v>604</v>
      </c>
      <c r="AH54" s="23" t="s">
        <v>109</v>
      </c>
    </row>
    <row r="55" spans="1:41">
      <c r="AB55" s="23" t="s">
        <v>133</v>
      </c>
      <c r="AC55" s="23" t="s">
        <v>605</v>
      </c>
      <c r="AH55" s="23" t="s">
        <v>133</v>
      </c>
    </row>
  </sheetData>
  <mergeCells count="8">
    <mergeCell ref="C1:I1"/>
    <mergeCell ref="K1:Q1"/>
    <mergeCell ref="AN2:AO2"/>
    <mergeCell ref="AK1:AO1"/>
    <mergeCell ref="S1:U1"/>
    <mergeCell ref="AB1:AE1"/>
    <mergeCell ref="AG1:AI1"/>
    <mergeCell ref="W1:Z1"/>
  </mergeCells>
  <dataValidations count="3">
    <dataValidation type="list" allowBlank="1" showInputMessage="1" showErrorMessage="1" sqref="AB3:AB52">
      <formula1>$AB$53:$AB$55</formula1>
    </dataValidation>
    <dataValidation type="list" allowBlank="1" showInputMessage="1" showErrorMessage="1" sqref="AC3:AC52">
      <formula1>$AC$53:$AC$55</formula1>
    </dataValidation>
    <dataValidation type="list" allowBlank="1" showInputMessage="1" showErrorMessage="1" sqref="AH3:AH52">
      <formula1>$AH$53:$AH$55</formula1>
    </dataValidation>
  </dataValidations>
  <pageMargins left="0.7" right="0.7" top="0.75" bottom="0.75" header="0.3" footer="0.3"/>
  <pageSetup paperSize="9" scale="31" fitToHeight="0" orientation="landscape" r:id="rId1"/>
  <ignoredErrors>
    <ignoredError sqref="L3:L5 L8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workbookViewId="0"/>
  </sheetViews>
  <sheetFormatPr baseColWidth="10" defaultRowHeight="15" outlineLevelCol="1"/>
  <cols>
    <col min="1" max="1" width="15.85546875" style="17" bestFit="1" customWidth="1"/>
    <col min="2" max="2" width="25.7109375" style="17" bestFit="1" customWidth="1"/>
    <col min="3" max="3" width="16.7109375" style="23" customWidth="1"/>
    <col min="4" max="5" width="10.7109375" style="23" hidden="1" customWidth="1" outlineLevel="1"/>
    <col min="6" max="6" width="10.5703125" style="346" hidden="1" customWidth="1" outlineLevel="1"/>
    <col min="7" max="7" width="11.42578125" style="23" hidden="1" customWidth="1" outlineLevel="1"/>
    <col min="8" max="8" width="16.7109375" style="23" customWidth="1" collapsed="1"/>
    <col min="9" max="9" width="10.7109375" style="23" hidden="1" customWidth="1" outlineLevel="1"/>
    <col min="10" max="10" width="11.42578125" style="23" hidden="1" customWidth="1" outlineLevel="1"/>
    <col min="11" max="11" width="10.5703125" style="23" hidden="1" customWidth="1" outlineLevel="1"/>
    <col min="12" max="13" width="11" style="23" hidden="1" customWidth="1" outlineLevel="1"/>
    <col min="14" max="14" width="11.42578125" style="23" hidden="1" customWidth="1" outlineLevel="1"/>
    <col min="15" max="15" width="12.140625" style="23" hidden="1" customWidth="1" outlineLevel="1"/>
    <col min="16" max="16" width="16.7109375" style="23" customWidth="1" collapsed="1"/>
    <col min="17" max="21" width="11.42578125" style="23" hidden="1" customWidth="1" outlineLevel="1"/>
    <col min="22" max="22" width="12.140625" style="23" hidden="1" customWidth="1" outlineLevel="1"/>
    <col min="23" max="23" width="10.5703125" style="346" hidden="1" customWidth="1" outlineLevel="1"/>
    <col min="24" max="24" width="2.7109375" style="17" customWidth="1" collapsed="1"/>
  </cols>
  <sheetData>
    <row r="1" spans="1:24" s="500" customFormat="1" ht="43.5" customHeight="1">
      <c r="A1" s="501">
        <v>40330</v>
      </c>
      <c r="B1" s="501" t="s">
        <v>600</v>
      </c>
      <c r="C1" s="499" t="s">
        <v>582</v>
      </c>
      <c r="D1" s="521" t="s">
        <v>331</v>
      </c>
      <c r="E1" s="521"/>
      <c r="F1" s="521"/>
      <c r="G1" s="521"/>
      <c r="H1" s="499" t="s">
        <v>583</v>
      </c>
      <c r="I1" s="521" t="s">
        <v>589</v>
      </c>
      <c r="J1" s="521"/>
      <c r="K1" s="521"/>
      <c r="L1" s="521"/>
      <c r="M1" s="521"/>
      <c r="N1" s="521"/>
      <c r="O1" s="521"/>
      <c r="P1" s="499" t="s">
        <v>584</v>
      </c>
      <c r="Q1" s="521" t="s">
        <v>590</v>
      </c>
      <c r="R1" s="521"/>
      <c r="S1" s="521"/>
      <c r="T1" s="521"/>
      <c r="U1" s="521"/>
      <c r="V1" s="521"/>
      <c r="W1" s="521"/>
      <c r="X1" s="467"/>
    </row>
    <row r="2" spans="1:24" ht="36">
      <c r="A2" s="484" t="s">
        <v>571</v>
      </c>
      <c r="B2" s="485" t="s">
        <v>572</v>
      </c>
      <c r="C2" s="488" t="s">
        <v>463</v>
      </c>
      <c r="D2" s="486" t="s">
        <v>352</v>
      </c>
      <c r="E2" s="486" t="s">
        <v>351</v>
      </c>
      <c r="F2" s="486" t="s">
        <v>534</v>
      </c>
      <c r="G2" s="486" t="s">
        <v>574</v>
      </c>
      <c r="H2" s="488" t="s">
        <v>463</v>
      </c>
      <c r="I2" s="486" t="s">
        <v>352</v>
      </c>
      <c r="J2" s="486" t="s">
        <v>351</v>
      </c>
      <c r="K2" s="486" t="s">
        <v>535</v>
      </c>
      <c r="L2" s="486" t="s">
        <v>555</v>
      </c>
      <c r="M2" s="486" t="s">
        <v>556</v>
      </c>
      <c r="N2" s="486" t="s">
        <v>567</v>
      </c>
      <c r="O2" s="486" t="s">
        <v>566</v>
      </c>
      <c r="P2" s="488" t="s">
        <v>463</v>
      </c>
      <c r="Q2" s="486" t="s">
        <v>352</v>
      </c>
      <c r="R2" s="486" t="s">
        <v>351</v>
      </c>
      <c r="S2" s="486" t="s">
        <v>555</v>
      </c>
      <c r="T2" s="486" t="s">
        <v>556</v>
      </c>
      <c r="U2" s="486" t="s">
        <v>567</v>
      </c>
      <c r="V2" s="486" t="s">
        <v>566</v>
      </c>
      <c r="W2" s="486" t="s">
        <v>535</v>
      </c>
      <c r="X2" s="326"/>
    </row>
    <row r="3" spans="1:24">
      <c r="A3" s="17" t="s">
        <v>461</v>
      </c>
      <c r="B3" s="17" t="s">
        <v>379</v>
      </c>
      <c r="C3" s="347" t="s">
        <v>109</v>
      </c>
      <c r="D3" s="342"/>
      <c r="E3" s="342"/>
      <c r="F3" s="487">
        <f t="shared" ref="F3:F34" si="0">E3-D3</f>
        <v>0</v>
      </c>
      <c r="G3" s="338"/>
      <c r="H3" s="347" t="s">
        <v>133</v>
      </c>
      <c r="I3" s="342">
        <v>40308</v>
      </c>
      <c r="J3" s="342">
        <v>40328</v>
      </c>
      <c r="K3" s="487">
        <f t="shared" ref="K3:K34" si="1">IF(J3-I3=0,0,J3-I3+1)</f>
        <v>21</v>
      </c>
      <c r="L3" s="328">
        <v>1750</v>
      </c>
      <c r="M3" s="328">
        <v>1750</v>
      </c>
      <c r="N3" s="328"/>
      <c r="O3" s="328"/>
      <c r="P3" s="347" t="s">
        <v>109</v>
      </c>
      <c r="Q3" s="342"/>
      <c r="R3" s="342"/>
      <c r="S3" s="328"/>
      <c r="T3" s="328"/>
      <c r="U3" s="328"/>
      <c r="V3" s="328"/>
      <c r="W3" s="487">
        <f t="shared" ref="W3:W34" si="2">R3-Q3</f>
        <v>0</v>
      </c>
      <c r="X3" s="327"/>
    </row>
    <row r="4" spans="1:24">
      <c r="A4" s="17" t="s">
        <v>466</v>
      </c>
      <c r="B4" s="17" t="s">
        <v>411</v>
      </c>
      <c r="C4" s="347" t="s">
        <v>109</v>
      </c>
      <c r="F4" s="487">
        <f t="shared" si="0"/>
        <v>0</v>
      </c>
      <c r="G4" s="338"/>
      <c r="H4" s="347" t="s">
        <v>133</v>
      </c>
      <c r="I4" s="342">
        <v>40278</v>
      </c>
      <c r="J4" s="342">
        <v>40298</v>
      </c>
      <c r="K4" s="487">
        <f t="shared" si="1"/>
        <v>21</v>
      </c>
      <c r="L4" s="347">
        <v>1691.67</v>
      </c>
      <c r="M4" s="347">
        <v>1691.67</v>
      </c>
      <c r="N4" s="328"/>
      <c r="O4" s="328"/>
      <c r="P4" s="347" t="s">
        <v>109</v>
      </c>
      <c r="S4" s="328"/>
      <c r="T4" s="328"/>
      <c r="U4" s="328"/>
      <c r="V4" s="328"/>
      <c r="W4" s="487">
        <f t="shared" si="2"/>
        <v>0</v>
      </c>
    </row>
    <row r="5" spans="1:24">
      <c r="A5" s="17" t="s">
        <v>467</v>
      </c>
      <c r="B5" s="17" t="s">
        <v>428</v>
      </c>
      <c r="C5" s="347" t="s">
        <v>109</v>
      </c>
      <c r="F5" s="487">
        <f t="shared" si="0"/>
        <v>0</v>
      </c>
      <c r="G5" s="338"/>
      <c r="H5" s="347" t="s">
        <v>133</v>
      </c>
      <c r="I5" s="312">
        <v>40365</v>
      </c>
      <c r="J5" s="312">
        <v>40371</v>
      </c>
      <c r="K5" s="487">
        <f t="shared" si="1"/>
        <v>7</v>
      </c>
      <c r="L5" s="347">
        <v>1768.33</v>
      </c>
      <c r="M5" s="347">
        <v>1918.33</v>
      </c>
      <c r="N5" s="328">
        <v>870</v>
      </c>
      <c r="O5" s="328">
        <v>150</v>
      </c>
      <c r="P5" s="347" t="s">
        <v>109</v>
      </c>
      <c r="Q5" s="342"/>
      <c r="R5" s="342"/>
      <c r="S5" s="328"/>
      <c r="T5" s="328"/>
      <c r="U5" s="328"/>
      <c r="V5" s="328"/>
      <c r="W5" s="487">
        <f t="shared" si="2"/>
        <v>0</v>
      </c>
    </row>
    <row r="6" spans="1:24">
      <c r="A6" s="17" t="s">
        <v>468</v>
      </c>
      <c r="B6" s="17" t="s">
        <v>380</v>
      </c>
      <c r="C6" s="347" t="s">
        <v>109</v>
      </c>
      <c r="F6" s="487">
        <f t="shared" si="0"/>
        <v>0</v>
      </c>
      <c r="G6" s="338"/>
      <c r="H6" s="347" t="s">
        <v>133</v>
      </c>
      <c r="I6" s="342">
        <v>40623</v>
      </c>
      <c r="J6" s="342">
        <v>40639</v>
      </c>
      <c r="K6" s="487">
        <f t="shared" si="1"/>
        <v>17</v>
      </c>
      <c r="L6" s="347">
        <v>3230.1</v>
      </c>
      <c r="M6" s="347">
        <v>3230.1</v>
      </c>
      <c r="N6" s="328"/>
      <c r="O6" s="328">
        <v>300</v>
      </c>
      <c r="P6" s="347" t="s">
        <v>133</v>
      </c>
      <c r="Q6" s="342">
        <v>40658</v>
      </c>
      <c r="R6" s="342">
        <v>40661</v>
      </c>
      <c r="S6" s="328">
        <v>3230.1</v>
      </c>
      <c r="T6" s="328">
        <v>3230.1</v>
      </c>
      <c r="U6" s="328"/>
      <c r="V6" s="328">
        <v>300</v>
      </c>
      <c r="W6" s="487">
        <f t="shared" si="2"/>
        <v>3</v>
      </c>
    </row>
    <row r="7" spans="1:24">
      <c r="A7" s="17" t="s">
        <v>469</v>
      </c>
      <c r="B7" s="17" t="s">
        <v>402</v>
      </c>
      <c r="C7" s="347" t="s">
        <v>109</v>
      </c>
      <c r="F7" s="487">
        <f t="shared" si="0"/>
        <v>0</v>
      </c>
      <c r="G7" s="338"/>
      <c r="H7" s="347" t="s">
        <v>109</v>
      </c>
      <c r="K7" s="487">
        <f t="shared" si="1"/>
        <v>0</v>
      </c>
      <c r="L7" s="347"/>
      <c r="M7" s="347"/>
      <c r="N7" s="328"/>
      <c r="O7" s="347"/>
      <c r="P7" s="347" t="s">
        <v>133</v>
      </c>
      <c r="Q7" s="312">
        <v>40335</v>
      </c>
      <c r="R7" s="312">
        <v>40346</v>
      </c>
      <c r="S7" s="328">
        <v>1047.18</v>
      </c>
      <c r="T7" s="328">
        <v>1047.18</v>
      </c>
      <c r="U7" s="328">
        <v>160</v>
      </c>
      <c r="V7" s="347">
        <v>450</v>
      </c>
      <c r="W7" s="487">
        <f t="shared" si="2"/>
        <v>11</v>
      </c>
      <c r="X7" s="327"/>
    </row>
    <row r="8" spans="1:24">
      <c r="A8" s="17" t="s">
        <v>470</v>
      </c>
      <c r="B8" s="17" t="s">
        <v>413</v>
      </c>
      <c r="C8" s="347" t="s">
        <v>109</v>
      </c>
      <c r="F8" s="487">
        <f t="shared" si="0"/>
        <v>0</v>
      </c>
      <c r="G8" s="338"/>
      <c r="H8" s="347" t="s">
        <v>109</v>
      </c>
      <c r="K8" s="487">
        <f t="shared" si="1"/>
        <v>0</v>
      </c>
      <c r="L8" s="347"/>
      <c r="M8" s="347"/>
      <c r="N8" s="328"/>
      <c r="O8" s="328"/>
      <c r="P8" s="347" t="s">
        <v>109</v>
      </c>
      <c r="S8" s="328"/>
      <c r="T8" s="328"/>
      <c r="U8" s="328"/>
      <c r="V8" s="328"/>
      <c r="W8" s="487">
        <f t="shared" si="2"/>
        <v>0</v>
      </c>
    </row>
    <row r="9" spans="1:24">
      <c r="A9" s="17" t="s">
        <v>471</v>
      </c>
      <c r="B9" s="17" t="s">
        <v>381</v>
      </c>
      <c r="C9" s="347" t="s">
        <v>109</v>
      </c>
      <c r="F9" s="487">
        <f t="shared" si="0"/>
        <v>0</v>
      </c>
      <c r="G9" s="338"/>
      <c r="H9" s="347" t="s">
        <v>109</v>
      </c>
      <c r="K9" s="487">
        <f t="shared" si="1"/>
        <v>0</v>
      </c>
      <c r="L9" s="347"/>
      <c r="M9" s="347"/>
      <c r="N9" s="328"/>
      <c r="O9" s="328"/>
      <c r="P9" s="347" t="s">
        <v>109</v>
      </c>
      <c r="S9" s="328"/>
      <c r="T9" s="328"/>
      <c r="U9" s="328"/>
      <c r="V9" s="328"/>
      <c r="W9" s="487">
        <f t="shared" si="2"/>
        <v>0</v>
      </c>
    </row>
    <row r="10" spans="1:24">
      <c r="A10" s="17" t="s">
        <v>472</v>
      </c>
      <c r="B10" s="17" t="s">
        <v>414</v>
      </c>
      <c r="C10" s="347" t="s">
        <v>109</v>
      </c>
      <c r="F10" s="487">
        <f t="shared" si="0"/>
        <v>0</v>
      </c>
      <c r="G10" s="338"/>
      <c r="H10" s="347" t="s">
        <v>109</v>
      </c>
      <c r="K10" s="487">
        <f t="shared" si="1"/>
        <v>0</v>
      </c>
      <c r="L10" s="347"/>
      <c r="M10" s="347"/>
      <c r="N10" s="328"/>
      <c r="O10" s="328"/>
      <c r="P10" s="347" t="s">
        <v>109</v>
      </c>
      <c r="S10" s="328"/>
      <c r="T10" s="328"/>
      <c r="U10" s="328"/>
      <c r="V10" s="328"/>
      <c r="W10" s="487">
        <f t="shared" si="2"/>
        <v>0</v>
      </c>
    </row>
    <row r="11" spans="1:24">
      <c r="A11" s="17" t="s">
        <v>473</v>
      </c>
      <c r="B11" s="17" t="s">
        <v>432</v>
      </c>
      <c r="C11" s="347" t="s">
        <v>109</v>
      </c>
      <c r="F11" s="487">
        <f t="shared" si="0"/>
        <v>0</v>
      </c>
      <c r="G11" s="338"/>
      <c r="H11" s="347" t="s">
        <v>109</v>
      </c>
      <c r="K11" s="487">
        <f t="shared" si="1"/>
        <v>0</v>
      </c>
      <c r="L11" s="347"/>
      <c r="M11" s="347"/>
      <c r="N11" s="328"/>
      <c r="O11" s="328"/>
      <c r="P11" s="347" t="s">
        <v>109</v>
      </c>
      <c r="S11" s="328"/>
      <c r="T11" s="328"/>
      <c r="U11" s="328"/>
      <c r="V11" s="328"/>
      <c r="W11" s="487">
        <f t="shared" si="2"/>
        <v>0</v>
      </c>
    </row>
    <row r="12" spans="1:24">
      <c r="A12" s="17" t="s">
        <v>474</v>
      </c>
      <c r="B12" s="17" t="s">
        <v>421</v>
      </c>
      <c r="C12" s="347" t="s">
        <v>109</v>
      </c>
      <c r="F12" s="487">
        <f t="shared" si="0"/>
        <v>0</v>
      </c>
      <c r="G12" s="338"/>
      <c r="H12" s="347" t="s">
        <v>109</v>
      </c>
      <c r="K12" s="487">
        <f t="shared" si="1"/>
        <v>0</v>
      </c>
      <c r="L12" s="347"/>
      <c r="M12" s="347"/>
      <c r="N12" s="328"/>
      <c r="O12" s="328"/>
      <c r="P12" s="347" t="s">
        <v>109</v>
      </c>
      <c r="S12" s="328"/>
      <c r="T12" s="328"/>
      <c r="U12" s="328"/>
      <c r="V12" s="328"/>
      <c r="W12" s="487">
        <f t="shared" si="2"/>
        <v>0</v>
      </c>
    </row>
    <row r="13" spans="1:24">
      <c r="A13" s="17" t="s">
        <v>475</v>
      </c>
      <c r="B13" s="17" t="s">
        <v>438</v>
      </c>
      <c r="C13" s="347" t="s">
        <v>109</v>
      </c>
      <c r="F13" s="487">
        <f t="shared" si="0"/>
        <v>0</v>
      </c>
      <c r="G13" s="338"/>
      <c r="H13" s="347" t="s">
        <v>109</v>
      </c>
      <c r="K13" s="487">
        <f t="shared" si="1"/>
        <v>0</v>
      </c>
      <c r="L13" s="347"/>
      <c r="M13" s="347"/>
      <c r="N13" s="328"/>
      <c r="O13" s="328"/>
      <c r="P13" s="347" t="s">
        <v>109</v>
      </c>
      <c r="S13" s="328"/>
      <c r="T13" s="328"/>
      <c r="U13" s="328"/>
      <c r="V13" s="328"/>
      <c r="W13" s="487">
        <f t="shared" si="2"/>
        <v>0</v>
      </c>
    </row>
    <row r="14" spans="1:24">
      <c r="A14" s="17" t="s">
        <v>476</v>
      </c>
      <c r="B14" s="17" t="s">
        <v>436</v>
      </c>
      <c r="C14" s="347" t="s">
        <v>109</v>
      </c>
      <c r="F14" s="487">
        <f t="shared" si="0"/>
        <v>0</v>
      </c>
      <c r="G14" s="338"/>
      <c r="H14" s="347" t="s">
        <v>109</v>
      </c>
      <c r="K14" s="487">
        <f t="shared" si="1"/>
        <v>0</v>
      </c>
      <c r="L14" s="347"/>
      <c r="M14" s="347"/>
      <c r="N14" s="328"/>
      <c r="O14" s="328"/>
      <c r="P14" s="347" t="s">
        <v>109</v>
      </c>
      <c r="S14" s="328"/>
      <c r="T14" s="328"/>
      <c r="U14" s="328"/>
      <c r="V14" s="328"/>
      <c r="W14" s="487">
        <f t="shared" si="2"/>
        <v>0</v>
      </c>
    </row>
    <row r="15" spans="1:24">
      <c r="A15" s="17" t="s">
        <v>477</v>
      </c>
      <c r="B15" s="17" t="s">
        <v>431</v>
      </c>
      <c r="C15" s="347" t="s">
        <v>109</v>
      </c>
      <c r="F15" s="487">
        <f t="shared" si="0"/>
        <v>0</v>
      </c>
      <c r="G15" s="338"/>
      <c r="H15" s="347" t="s">
        <v>109</v>
      </c>
      <c r="K15" s="487">
        <f t="shared" si="1"/>
        <v>0</v>
      </c>
      <c r="L15" s="347"/>
      <c r="M15" s="347"/>
      <c r="N15" s="328"/>
      <c r="O15" s="328"/>
      <c r="P15" s="347" t="s">
        <v>109</v>
      </c>
      <c r="S15" s="328"/>
      <c r="T15" s="328"/>
      <c r="U15" s="328"/>
      <c r="V15" s="328"/>
      <c r="W15" s="487">
        <f t="shared" si="2"/>
        <v>0</v>
      </c>
    </row>
    <row r="16" spans="1:24">
      <c r="A16" s="17" t="s">
        <v>478</v>
      </c>
      <c r="B16" s="17" t="s">
        <v>430</v>
      </c>
      <c r="C16" s="347" t="s">
        <v>109</v>
      </c>
      <c r="F16" s="487">
        <f t="shared" si="0"/>
        <v>0</v>
      </c>
      <c r="G16" s="338"/>
      <c r="H16" s="347" t="s">
        <v>109</v>
      </c>
      <c r="K16" s="487">
        <f t="shared" si="1"/>
        <v>0</v>
      </c>
      <c r="L16" s="347"/>
      <c r="M16" s="347"/>
      <c r="N16" s="328"/>
      <c r="O16" s="328"/>
      <c r="P16" s="347" t="s">
        <v>109</v>
      </c>
      <c r="S16" s="328"/>
      <c r="T16" s="328"/>
      <c r="U16" s="328"/>
      <c r="V16" s="328"/>
      <c r="W16" s="487">
        <f t="shared" si="2"/>
        <v>0</v>
      </c>
    </row>
    <row r="17" spans="1:23">
      <c r="A17" s="17" t="s">
        <v>479</v>
      </c>
      <c r="B17" s="17" t="s">
        <v>383</v>
      </c>
      <c r="C17" s="347" t="s">
        <v>109</v>
      </c>
      <c r="F17" s="487">
        <f t="shared" si="0"/>
        <v>0</v>
      </c>
      <c r="G17" s="338"/>
      <c r="H17" s="347" t="s">
        <v>109</v>
      </c>
      <c r="K17" s="487">
        <f t="shared" si="1"/>
        <v>0</v>
      </c>
      <c r="L17" s="347"/>
      <c r="M17" s="347"/>
      <c r="N17" s="328"/>
      <c r="O17" s="328"/>
      <c r="P17" s="347" t="s">
        <v>109</v>
      </c>
      <c r="S17" s="328"/>
      <c r="T17" s="328"/>
      <c r="U17" s="328"/>
      <c r="V17" s="328"/>
      <c r="W17" s="487">
        <f t="shared" si="2"/>
        <v>0</v>
      </c>
    </row>
    <row r="18" spans="1:23">
      <c r="A18" s="17" t="s">
        <v>480</v>
      </c>
      <c r="B18" s="17" t="s">
        <v>405</v>
      </c>
      <c r="C18" s="347" t="s">
        <v>109</v>
      </c>
      <c r="F18" s="487">
        <f t="shared" si="0"/>
        <v>0</v>
      </c>
      <c r="G18" s="338"/>
      <c r="H18" s="347" t="s">
        <v>133</v>
      </c>
      <c r="I18" s="342">
        <v>40396</v>
      </c>
      <c r="J18" s="342">
        <v>40402</v>
      </c>
      <c r="K18" s="487">
        <f t="shared" si="1"/>
        <v>7</v>
      </c>
      <c r="L18" s="347">
        <v>1650</v>
      </c>
      <c r="M18" s="347">
        <v>1650</v>
      </c>
      <c r="N18" s="328"/>
      <c r="O18" s="328"/>
      <c r="P18" s="347" t="s">
        <v>109</v>
      </c>
      <c r="S18" s="328"/>
      <c r="T18" s="328"/>
      <c r="U18" s="328"/>
      <c r="V18" s="328"/>
      <c r="W18" s="487">
        <f t="shared" si="2"/>
        <v>0</v>
      </c>
    </row>
    <row r="19" spans="1:23">
      <c r="A19" s="17" t="s">
        <v>481</v>
      </c>
      <c r="B19" s="17" t="s">
        <v>425</v>
      </c>
      <c r="C19" s="347" t="s">
        <v>109</v>
      </c>
      <c r="F19" s="487">
        <f t="shared" si="0"/>
        <v>0</v>
      </c>
      <c r="G19" s="338"/>
      <c r="H19" s="347" t="s">
        <v>109</v>
      </c>
      <c r="K19" s="487">
        <f t="shared" si="1"/>
        <v>0</v>
      </c>
      <c r="L19" s="347"/>
      <c r="M19" s="347"/>
      <c r="N19" s="328"/>
      <c r="O19" s="328"/>
      <c r="P19" s="347" t="s">
        <v>109</v>
      </c>
      <c r="S19" s="328"/>
      <c r="T19" s="328"/>
      <c r="U19" s="328"/>
      <c r="V19" s="328"/>
      <c r="W19" s="487">
        <f t="shared" si="2"/>
        <v>0</v>
      </c>
    </row>
    <row r="20" spans="1:23">
      <c r="A20" s="17" t="s">
        <v>482</v>
      </c>
      <c r="B20" s="17" t="s">
        <v>434</v>
      </c>
      <c r="C20" s="347" t="s">
        <v>109</v>
      </c>
      <c r="F20" s="487">
        <f t="shared" si="0"/>
        <v>0</v>
      </c>
      <c r="G20" s="338"/>
      <c r="H20" s="347" t="s">
        <v>109</v>
      </c>
      <c r="K20" s="487">
        <f t="shared" si="1"/>
        <v>0</v>
      </c>
      <c r="L20" s="347"/>
      <c r="M20" s="347"/>
      <c r="N20" s="328"/>
      <c r="O20" s="328"/>
      <c r="P20" s="347" t="s">
        <v>109</v>
      </c>
      <c r="S20" s="328"/>
      <c r="T20" s="328"/>
      <c r="U20" s="328"/>
      <c r="V20" s="328"/>
      <c r="W20" s="487">
        <f t="shared" si="2"/>
        <v>0</v>
      </c>
    </row>
    <row r="21" spans="1:23">
      <c r="A21" s="17" t="s">
        <v>483</v>
      </c>
      <c r="B21" s="17" t="s">
        <v>406</v>
      </c>
      <c r="C21" s="347" t="s">
        <v>109</v>
      </c>
      <c r="F21" s="487">
        <f t="shared" si="0"/>
        <v>0</v>
      </c>
      <c r="G21" s="338"/>
      <c r="H21" s="347" t="s">
        <v>109</v>
      </c>
      <c r="K21" s="487">
        <f t="shared" si="1"/>
        <v>0</v>
      </c>
      <c r="L21" s="347"/>
      <c r="M21" s="347"/>
      <c r="N21" s="328"/>
      <c r="O21" s="328"/>
      <c r="P21" s="347" t="s">
        <v>109</v>
      </c>
      <c r="S21" s="328"/>
      <c r="T21" s="328"/>
      <c r="U21" s="328"/>
      <c r="V21" s="328"/>
      <c r="W21" s="487">
        <f t="shared" si="2"/>
        <v>0</v>
      </c>
    </row>
    <row r="22" spans="1:23">
      <c r="A22" s="17" t="s">
        <v>484</v>
      </c>
      <c r="B22" s="17" t="s">
        <v>386</v>
      </c>
      <c r="C22" s="347" t="s">
        <v>109</v>
      </c>
      <c r="F22" s="487">
        <f t="shared" si="0"/>
        <v>0</v>
      </c>
      <c r="G22" s="338"/>
      <c r="H22" s="347" t="s">
        <v>109</v>
      </c>
      <c r="K22" s="487">
        <f t="shared" si="1"/>
        <v>0</v>
      </c>
      <c r="L22" s="347"/>
      <c r="M22" s="347"/>
      <c r="N22" s="328"/>
      <c r="O22" s="328"/>
      <c r="P22" s="347" t="s">
        <v>109</v>
      </c>
      <c r="S22" s="328"/>
      <c r="T22" s="328"/>
      <c r="U22" s="328"/>
      <c r="V22" s="328"/>
      <c r="W22" s="487">
        <f t="shared" si="2"/>
        <v>0</v>
      </c>
    </row>
    <row r="23" spans="1:23">
      <c r="A23" s="17" t="s">
        <v>485</v>
      </c>
      <c r="B23" s="17" t="s">
        <v>408</v>
      </c>
      <c r="C23" s="347" t="s">
        <v>109</v>
      </c>
      <c r="F23" s="487">
        <f t="shared" si="0"/>
        <v>0</v>
      </c>
      <c r="G23" s="338"/>
      <c r="H23" s="347" t="s">
        <v>109</v>
      </c>
      <c r="K23" s="487">
        <f t="shared" si="1"/>
        <v>0</v>
      </c>
      <c r="L23" s="347"/>
      <c r="M23" s="347"/>
      <c r="N23" s="328"/>
      <c r="O23" s="328"/>
      <c r="P23" s="347" t="s">
        <v>109</v>
      </c>
      <c r="S23" s="328"/>
      <c r="T23" s="328"/>
      <c r="U23" s="328"/>
      <c r="V23" s="328"/>
      <c r="W23" s="487">
        <f t="shared" si="2"/>
        <v>0</v>
      </c>
    </row>
    <row r="24" spans="1:23">
      <c r="A24" s="17" t="s">
        <v>486</v>
      </c>
      <c r="B24" s="17" t="s">
        <v>420</v>
      </c>
      <c r="C24" s="347" t="s">
        <v>109</v>
      </c>
      <c r="F24" s="487">
        <f t="shared" si="0"/>
        <v>0</v>
      </c>
      <c r="G24" s="338"/>
      <c r="H24" s="347" t="s">
        <v>109</v>
      </c>
      <c r="K24" s="487">
        <f t="shared" si="1"/>
        <v>0</v>
      </c>
      <c r="L24" s="347"/>
      <c r="M24" s="347"/>
      <c r="N24" s="328"/>
      <c r="O24" s="328"/>
      <c r="P24" s="347" t="s">
        <v>109</v>
      </c>
      <c r="S24" s="328"/>
      <c r="T24" s="328"/>
      <c r="U24" s="328"/>
      <c r="V24" s="328"/>
      <c r="W24" s="487">
        <f t="shared" si="2"/>
        <v>0</v>
      </c>
    </row>
    <row r="25" spans="1:23">
      <c r="A25" s="17" t="s">
        <v>487</v>
      </c>
      <c r="B25" s="17" t="s">
        <v>593</v>
      </c>
      <c r="C25" s="347" t="s">
        <v>109</v>
      </c>
      <c r="F25" s="487">
        <f t="shared" si="0"/>
        <v>0</v>
      </c>
      <c r="G25" s="338"/>
      <c r="H25" s="347" t="s">
        <v>109</v>
      </c>
      <c r="K25" s="487">
        <f t="shared" si="1"/>
        <v>0</v>
      </c>
      <c r="L25" s="347"/>
      <c r="M25" s="347"/>
      <c r="N25" s="328"/>
      <c r="O25" s="328"/>
      <c r="P25" s="347" t="s">
        <v>109</v>
      </c>
      <c r="S25" s="328"/>
      <c r="T25" s="328"/>
      <c r="U25" s="328"/>
      <c r="V25" s="328"/>
      <c r="W25" s="487">
        <f t="shared" si="2"/>
        <v>0</v>
      </c>
    </row>
    <row r="26" spans="1:23">
      <c r="A26" s="17" t="s">
        <v>488</v>
      </c>
      <c r="B26" s="17" t="s">
        <v>412</v>
      </c>
      <c r="C26" s="347" t="s">
        <v>109</v>
      </c>
      <c r="F26" s="487">
        <f t="shared" si="0"/>
        <v>0</v>
      </c>
      <c r="G26" s="338"/>
      <c r="H26" s="347" t="s">
        <v>109</v>
      </c>
      <c r="K26" s="487">
        <f t="shared" si="1"/>
        <v>0</v>
      </c>
      <c r="L26" s="347"/>
      <c r="M26" s="347"/>
      <c r="N26" s="328"/>
      <c r="O26" s="328"/>
      <c r="P26" s="347" t="s">
        <v>109</v>
      </c>
      <c r="S26" s="328"/>
      <c r="T26" s="328"/>
      <c r="U26" s="328"/>
      <c r="V26" s="328"/>
      <c r="W26" s="487">
        <f t="shared" si="2"/>
        <v>0</v>
      </c>
    </row>
    <row r="27" spans="1:23">
      <c r="A27" s="17" t="s">
        <v>489</v>
      </c>
      <c r="B27" s="17" t="s">
        <v>385</v>
      </c>
      <c r="C27" s="347" t="s">
        <v>109</v>
      </c>
      <c r="F27" s="487">
        <f t="shared" si="0"/>
        <v>0</v>
      </c>
      <c r="G27" s="338"/>
      <c r="H27" s="347" t="s">
        <v>109</v>
      </c>
      <c r="K27" s="487">
        <f t="shared" si="1"/>
        <v>0</v>
      </c>
      <c r="L27" s="347"/>
      <c r="M27" s="347"/>
      <c r="N27" s="328"/>
      <c r="O27" s="328"/>
      <c r="P27" s="347" t="s">
        <v>109</v>
      </c>
      <c r="S27" s="328"/>
      <c r="T27" s="328"/>
      <c r="U27" s="328"/>
      <c r="V27" s="328"/>
      <c r="W27" s="487">
        <f t="shared" si="2"/>
        <v>0</v>
      </c>
    </row>
    <row r="28" spans="1:23">
      <c r="A28" s="17" t="s">
        <v>490</v>
      </c>
      <c r="B28" s="17" t="s">
        <v>404</v>
      </c>
      <c r="C28" s="347" t="s">
        <v>109</v>
      </c>
      <c r="F28" s="487">
        <f t="shared" si="0"/>
        <v>0</v>
      </c>
      <c r="G28" s="338"/>
      <c r="H28" s="347" t="s">
        <v>109</v>
      </c>
      <c r="K28" s="487">
        <f t="shared" si="1"/>
        <v>0</v>
      </c>
      <c r="L28" s="347"/>
      <c r="M28" s="347"/>
      <c r="N28" s="328"/>
      <c r="O28" s="328"/>
      <c r="P28" s="347" t="s">
        <v>109</v>
      </c>
      <c r="S28" s="328"/>
      <c r="T28" s="328"/>
      <c r="U28" s="328"/>
      <c r="V28" s="328"/>
      <c r="W28" s="487">
        <f t="shared" si="2"/>
        <v>0</v>
      </c>
    </row>
    <row r="29" spans="1:23">
      <c r="A29" s="17" t="s">
        <v>491</v>
      </c>
      <c r="B29" s="17" t="s">
        <v>429</v>
      </c>
      <c r="C29" s="347" t="s">
        <v>109</v>
      </c>
      <c r="F29" s="487">
        <f t="shared" si="0"/>
        <v>0</v>
      </c>
      <c r="G29" s="338"/>
      <c r="H29" s="347" t="s">
        <v>109</v>
      </c>
      <c r="K29" s="487">
        <f t="shared" si="1"/>
        <v>0</v>
      </c>
      <c r="L29" s="347"/>
      <c r="M29" s="347"/>
      <c r="N29" s="328"/>
      <c r="O29" s="328"/>
      <c r="P29" s="347" t="s">
        <v>109</v>
      </c>
      <c r="S29" s="328"/>
      <c r="T29" s="328"/>
      <c r="U29" s="328"/>
      <c r="V29" s="328"/>
      <c r="W29" s="487">
        <f t="shared" si="2"/>
        <v>0</v>
      </c>
    </row>
    <row r="30" spans="1:23">
      <c r="A30" s="17" t="s">
        <v>492</v>
      </c>
      <c r="B30" s="17" t="s">
        <v>403</v>
      </c>
      <c r="C30" s="347" t="s">
        <v>133</v>
      </c>
      <c r="D30" s="342">
        <v>40312</v>
      </c>
      <c r="E30" s="342">
        <v>40329</v>
      </c>
      <c r="F30" s="487">
        <f t="shared" si="0"/>
        <v>17</v>
      </c>
      <c r="G30" s="338">
        <v>1775</v>
      </c>
      <c r="H30" s="347" t="s">
        <v>109</v>
      </c>
      <c r="K30" s="487">
        <f t="shared" si="1"/>
        <v>0</v>
      </c>
      <c r="L30" s="347"/>
      <c r="M30" s="347"/>
      <c r="N30" s="328"/>
      <c r="O30" s="328"/>
      <c r="P30" s="347" t="s">
        <v>109</v>
      </c>
      <c r="S30" s="328"/>
      <c r="T30" s="328"/>
      <c r="U30" s="328"/>
      <c r="V30" s="328"/>
      <c r="W30" s="487">
        <f t="shared" si="2"/>
        <v>0</v>
      </c>
    </row>
    <row r="31" spans="1:23">
      <c r="A31" s="17" t="s">
        <v>493</v>
      </c>
      <c r="B31" s="17" t="s">
        <v>382</v>
      </c>
      <c r="C31" s="347" t="s">
        <v>109</v>
      </c>
      <c r="F31" s="487">
        <f t="shared" si="0"/>
        <v>0</v>
      </c>
      <c r="G31" s="338"/>
      <c r="H31" s="347" t="s">
        <v>133</v>
      </c>
      <c r="I31" s="342">
        <v>40426</v>
      </c>
      <c r="J31" s="342">
        <v>40451</v>
      </c>
      <c r="K31" s="487">
        <f t="shared" si="1"/>
        <v>26</v>
      </c>
      <c r="L31" s="347">
        <v>1763.4</v>
      </c>
      <c r="M31" s="347">
        <v>1763.4</v>
      </c>
      <c r="N31" s="328">
        <v>0</v>
      </c>
      <c r="O31" s="328">
        <v>0</v>
      </c>
      <c r="P31" s="347" t="s">
        <v>109</v>
      </c>
      <c r="S31" s="328"/>
      <c r="T31" s="328"/>
      <c r="U31" s="328"/>
      <c r="V31" s="328"/>
      <c r="W31" s="487">
        <f t="shared" si="2"/>
        <v>0</v>
      </c>
    </row>
    <row r="32" spans="1:23">
      <c r="A32" s="17" t="s">
        <v>494</v>
      </c>
      <c r="B32" s="17" t="s">
        <v>437</v>
      </c>
      <c r="C32" s="347" t="s">
        <v>109</v>
      </c>
      <c r="F32" s="487">
        <f t="shared" si="0"/>
        <v>0</v>
      </c>
      <c r="G32" s="338"/>
      <c r="H32" s="347" t="s">
        <v>109</v>
      </c>
      <c r="K32" s="487">
        <f t="shared" si="1"/>
        <v>0</v>
      </c>
      <c r="L32" s="347"/>
      <c r="M32" s="347"/>
      <c r="N32" s="328"/>
      <c r="O32" s="328"/>
      <c r="P32" s="347" t="s">
        <v>133</v>
      </c>
      <c r="Q32" s="342">
        <v>40335</v>
      </c>
      <c r="R32" s="342">
        <v>40346</v>
      </c>
      <c r="S32" s="328"/>
      <c r="T32" s="328">
        <v>1025</v>
      </c>
      <c r="U32" s="328">
        <v>550</v>
      </c>
      <c r="V32" s="328"/>
      <c r="W32" s="487">
        <f t="shared" si="2"/>
        <v>11</v>
      </c>
    </row>
    <row r="33" spans="1:23">
      <c r="A33" s="17" t="s">
        <v>495</v>
      </c>
      <c r="B33" s="17" t="s">
        <v>423</v>
      </c>
      <c r="C33" s="347" t="s">
        <v>109</v>
      </c>
      <c r="F33" s="487">
        <f t="shared" si="0"/>
        <v>0</v>
      </c>
      <c r="G33" s="338"/>
      <c r="H33" s="347" t="s">
        <v>109</v>
      </c>
      <c r="K33" s="487">
        <f t="shared" si="1"/>
        <v>0</v>
      </c>
      <c r="L33" s="347"/>
      <c r="M33" s="347"/>
      <c r="N33" s="328"/>
      <c r="O33" s="328"/>
      <c r="P33" s="347" t="s">
        <v>109</v>
      </c>
      <c r="S33" s="328"/>
      <c r="T33" s="328"/>
      <c r="U33" s="328"/>
      <c r="V33" s="328"/>
      <c r="W33" s="487">
        <f t="shared" si="2"/>
        <v>0</v>
      </c>
    </row>
    <row r="34" spans="1:23">
      <c r="A34" s="17" t="s">
        <v>496</v>
      </c>
      <c r="B34" s="17" t="s">
        <v>409</v>
      </c>
      <c r="C34" s="347" t="s">
        <v>109</v>
      </c>
      <c r="F34" s="487">
        <f t="shared" si="0"/>
        <v>0</v>
      </c>
      <c r="G34" s="338"/>
      <c r="H34" s="347" t="s">
        <v>109</v>
      </c>
      <c r="K34" s="487">
        <f t="shared" si="1"/>
        <v>0</v>
      </c>
      <c r="L34" s="347"/>
      <c r="M34" s="347"/>
      <c r="N34" s="328"/>
      <c r="O34" s="328"/>
      <c r="P34" s="347" t="s">
        <v>109</v>
      </c>
      <c r="S34" s="328"/>
      <c r="T34" s="328"/>
      <c r="U34" s="328"/>
      <c r="V34" s="328"/>
      <c r="W34" s="487">
        <f t="shared" si="2"/>
        <v>0</v>
      </c>
    </row>
    <row r="35" spans="1:23">
      <c r="A35" s="17" t="s">
        <v>497</v>
      </c>
      <c r="B35" s="17" t="s">
        <v>407</v>
      </c>
      <c r="C35" s="347" t="s">
        <v>109</v>
      </c>
      <c r="F35" s="487">
        <f t="shared" ref="F35:F52" si="3">E35-D35</f>
        <v>0</v>
      </c>
      <c r="G35" s="338"/>
      <c r="H35" s="347" t="s">
        <v>109</v>
      </c>
      <c r="K35" s="487">
        <f t="shared" ref="K35:K52" si="4">IF(J35-I35=0,0,J35-I35+1)</f>
        <v>0</v>
      </c>
      <c r="L35" s="347"/>
      <c r="M35" s="347"/>
      <c r="N35" s="328"/>
      <c r="O35" s="328"/>
      <c r="P35" s="347" t="s">
        <v>109</v>
      </c>
      <c r="S35" s="328"/>
      <c r="T35" s="328"/>
      <c r="U35" s="328"/>
      <c r="V35" s="328"/>
      <c r="W35" s="487">
        <f t="shared" ref="W35:W52" si="5">R35-Q35</f>
        <v>0</v>
      </c>
    </row>
    <row r="36" spans="1:23">
      <c r="A36" s="17" t="s">
        <v>498</v>
      </c>
      <c r="B36" s="17" t="s">
        <v>416</v>
      </c>
      <c r="C36" s="347" t="s">
        <v>109</v>
      </c>
      <c r="F36" s="487">
        <f t="shared" si="3"/>
        <v>0</v>
      </c>
      <c r="G36" s="338"/>
      <c r="H36" s="347" t="s">
        <v>109</v>
      </c>
      <c r="K36" s="487">
        <f t="shared" si="4"/>
        <v>0</v>
      </c>
      <c r="L36" s="347"/>
      <c r="M36" s="347"/>
      <c r="N36" s="328"/>
      <c r="O36" s="328"/>
      <c r="P36" s="347" t="s">
        <v>109</v>
      </c>
      <c r="S36" s="328"/>
      <c r="T36" s="328"/>
      <c r="U36" s="328"/>
      <c r="V36" s="328"/>
      <c r="W36" s="487">
        <f t="shared" si="5"/>
        <v>0</v>
      </c>
    </row>
    <row r="37" spans="1:23">
      <c r="A37" s="17" t="s">
        <v>499</v>
      </c>
      <c r="B37" s="17" t="s">
        <v>439</v>
      </c>
      <c r="C37" s="347" t="s">
        <v>109</v>
      </c>
      <c r="F37" s="487">
        <f t="shared" si="3"/>
        <v>0</v>
      </c>
      <c r="G37" s="338"/>
      <c r="H37" s="347" t="s">
        <v>109</v>
      </c>
      <c r="K37" s="487">
        <f t="shared" si="4"/>
        <v>0</v>
      </c>
      <c r="L37" s="347"/>
      <c r="M37" s="347"/>
      <c r="N37" s="328"/>
      <c r="O37" s="328"/>
      <c r="P37" s="347" t="s">
        <v>109</v>
      </c>
      <c r="S37" s="328"/>
      <c r="T37" s="328"/>
      <c r="U37" s="328"/>
      <c r="V37" s="328"/>
      <c r="W37" s="487">
        <f t="shared" si="5"/>
        <v>0</v>
      </c>
    </row>
    <row r="38" spans="1:23">
      <c r="A38" s="17" t="s">
        <v>500</v>
      </c>
      <c r="B38" s="17" t="s">
        <v>387</v>
      </c>
      <c r="C38" s="347" t="s">
        <v>109</v>
      </c>
      <c r="F38" s="487">
        <f t="shared" si="3"/>
        <v>0</v>
      </c>
      <c r="G38" s="338"/>
      <c r="H38" s="347" t="s">
        <v>109</v>
      </c>
      <c r="K38" s="487">
        <f t="shared" si="4"/>
        <v>0</v>
      </c>
      <c r="L38" s="347"/>
      <c r="M38" s="347"/>
      <c r="N38" s="328"/>
      <c r="O38" s="328"/>
      <c r="P38" s="347" t="s">
        <v>109</v>
      </c>
      <c r="S38" s="328"/>
      <c r="T38" s="328"/>
      <c r="U38" s="328"/>
      <c r="V38" s="328"/>
      <c r="W38" s="487">
        <f t="shared" si="5"/>
        <v>0</v>
      </c>
    </row>
    <row r="39" spans="1:23">
      <c r="A39" s="17" t="s">
        <v>501</v>
      </c>
      <c r="B39" s="17" t="s">
        <v>417</v>
      </c>
      <c r="C39" s="347" t="s">
        <v>109</v>
      </c>
      <c r="F39" s="487">
        <f t="shared" si="3"/>
        <v>0</v>
      </c>
      <c r="G39" s="338"/>
      <c r="H39" s="347" t="s">
        <v>109</v>
      </c>
      <c r="K39" s="487">
        <f t="shared" si="4"/>
        <v>0</v>
      </c>
      <c r="L39" s="347"/>
      <c r="M39" s="347"/>
      <c r="N39" s="328"/>
      <c r="O39" s="328"/>
      <c r="P39" s="347" t="s">
        <v>109</v>
      </c>
      <c r="S39" s="328"/>
      <c r="T39" s="328"/>
      <c r="U39" s="328"/>
      <c r="V39" s="328"/>
      <c r="W39" s="487">
        <f t="shared" si="5"/>
        <v>0</v>
      </c>
    </row>
    <row r="40" spans="1:23">
      <c r="A40" s="17" t="s">
        <v>502</v>
      </c>
      <c r="B40" s="17" t="s">
        <v>435</v>
      </c>
      <c r="C40" s="347" t="s">
        <v>109</v>
      </c>
      <c r="F40" s="487">
        <f t="shared" si="3"/>
        <v>0</v>
      </c>
      <c r="G40" s="338"/>
      <c r="H40" s="347" t="s">
        <v>109</v>
      </c>
      <c r="K40" s="487">
        <f t="shared" si="4"/>
        <v>0</v>
      </c>
      <c r="L40" s="347"/>
      <c r="M40" s="347"/>
      <c r="N40" s="328"/>
      <c r="O40" s="328"/>
      <c r="P40" s="347" t="s">
        <v>109</v>
      </c>
      <c r="S40" s="328"/>
      <c r="T40" s="328"/>
      <c r="U40" s="328"/>
      <c r="V40" s="328"/>
      <c r="W40" s="487">
        <f t="shared" si="5"/>
        <v>0</v>
      </c>
    </row>
    <row r="41" spans="1:23">
      <c r="A41" s="17" t="s">
        <v>503</v>
      </c>
      <c r="B41" s="17" t="s">
        <v>424</v>
      </c>
      <c r="C41" s="347" t="s">
        <v>109</v>
      </c>
      <c r="F41" s="487">
        <f t="shared" si="3"/>
        <v>0</v>
      </c>
      <c r="G41" s="338"/>
      <c r="H41" s="347" t="s">
        <v>109</v>
      </c>
      <c r="K41" s="487">
        <f t="shared" si="4"/>
        <v>0</v>
      </c>
      <c r="L41" s="347"/>
      <c r="M41" s="347"/>
      <c r="N41" s="328"/>
      <c r="O41" s="328"/>
      <c r="P41" s="347" t="s">
        <v>109</v>
      </c>
      <c r="S41" s="328"/>
      <c r="T41" s="328"/>
      <c r="U41" s="328"/>
      <c r="V41" s="328"/>
      <c r="W41" s="487">
        <f t="shared" si="5"/>
        <v>0</v>
      </c>
    </row>
    <row r="42" spans="1:23">
      <c r="A42" s="17" t="s">
        <v>504</v>
      </c>
      <c r="B42" s="17" t="s">
        <v>422</v>
      </c>
      <c r="C42" s="347" t="s">
        <v>109</v>
      </c>
      <c r="F42" s="487">
        <f t="shared" si="3"/>
        <v>0</v>
      </c>
      <c r="G42" s="338"/>
      <c r="H42" s="347" t="s">
        <v>109</v>
      </c>
      <c r="K42" s="487">
        <f t="shared" si="4"/>
        <v>0</v>
      </c>
      <c r="L42" s="347"/>
      <c r="M42" s="347"/>
      <c r="N42" s="328"/>
      <c r="O42" s="328"/>
      <c r="P42" s="347" t="s">
        <v>109</v>
      </c>
      <c r="S42" s="328"/>
      <c r="T42" s="328"/>
      <c r="U42" s="328"/>
      <c r="V42" s="328"/>
      <c r="W42" s="487">
        <f t="shared" si="5"/>
        <v>0</v>
      </c>
    </row>
    <row r="43" spans="1:23">
      <c r="A43" s="17" t="s">
        <v>505</v>
      </c>
      <c r="B43" s="17" t="s">
        <v>419</v>
      </c>
      <c r="C43" s="347" t="s">
        <v>109</v>
      </c>
      <c r="F43" s="487">
        <f t="shared" si="3"/>
        <v>0</v>
      </c>
      <c r="G43" s="338"/>
      <c r="H43" s="347" t="s">
        <v>109</v>
      </c>
      <c r="K43" s="487">
        <f t="shared" si="4"/>
        <v>0</v>
      </c>
      <c r="L43" s="347"/>
      <c r="M43" s="347"/>
      <c r="N43" s="328"/>
      <c r="O43" s="328"/>
      <c r="P43" s="347" t="s">
        <v>109</v>
      </c>
      <c r="S43" s="328"/>
      <c r="T43" s="328"/>
      <c r="U43" s="328"/>
      <c r="V43" s="328"/>
      <c r="W43" s="487">
        <f t="shared" si="5"/>
        <v>0</v>
      </c>
    </row>
    <row r="44" spans="1:23">
      <c r="A44" s="17" t="s">
        <v>506</v>
      </c>
      <c r="B44" s="17" t="s">
        <v>427</v>
      </c>
      <c r="C44" s="347" t="s">
        <v>109</v>
      </c>
      <c r="F44" s="487">
        <f t="shared" si="3"/>
        <v>0</v>
      </c>
      <c r="G44" s="338"/>
      <c r="H44" s="347" t="s">
        <v>109</v>
      </c>
      <c r="K44" s="487">
        <f t="shared" si="4"/>
        <v>0</v>
      </c>
      <c r="L44" s="347"/>
      <c r="M44" s="347"/>
      <c r="N44" s="328"/>
      <c r="O44" s="328"/>
      <c r="P44" s="347" t="s">
        <v>109</v>
      </c>
      <c r="S44" s="328"/>
      <c r="T44" s="328"/>
      <c r="U44" s="328"/>
      <c r="V44" s="328"/>
      <c r="W44" s="487">
        <f t="shared" si="5"/>
        <v>0</v>
      </c>
    </row>
    <row r="45" spans="1:23">
      <c r="A45" s="17" t="s">
        <v>507</v>
      </c>
      <c r="B45" s="17" t="s">
        <v>433</v>
      </c>
      <c r="C45" s="347" t="s">
        <v>109</v>
      </c>
      <c r="F45" s="487">
        <f t="shared" si="3"/>
        <v>0</v>
      </c>
      <c r="G45" s="338"/>
      <c r="H45" s="347" t="s">
        <v>109</v>
      </c>
      <c r="K45" s="487">
        <f t="shared" si="4"/>
        <v>0</v>
      </c>
      <c r="L45" s="347"/>
      <c r="M45" s="347"/>
      <c r="N45" s="328"/>
      <c r="O45" s="328"/>
      <c r="P45" s="347" t="s">
        <v>109</v>
      </c>
      <c r="S45" s="328"/>
      <c r="T45" s="328"/>
      <c r="U45" s="328"/>
      <c r="V45" s="328"/>
      <c r="W45" s="487">
        <f t="shared" si="5"/>
        <v>0</v>
      </c>
    </row>
    <row r="46" spans="1:23">
      <c r="A46" s="17" t="s">
        <v>508</v>
      </c>
      <c r="B46" s="17" t="s">
        <v>384</v>
      </c>
      <c r="C46" s="347" t="s">
        <v>109</v>
      </c>
      <c r="F46" s="487">
        <f t="shared" si="3"/>
        <v>0</v>
      </c>
      <c r="G46" s="338"/>
      <c r="H46" s="347" t="s">
        <v>109</v>
      </c>
      <c r="K46" s="487">
        <f t="shared" si="4"/>
        <v>0</v>
      </c>
      <c r="L46" s="347"/>
      <c r="M46" s="347"/>
      <c r="N46" s="328"/>
      <c r="O46" s="328"/>
      <c r="P46" s="347" t="s">
        <v>133</v>
      </c>
      <c r="Q46" s="342">
        <v>40429</v>
      </c>
      <c r="R46" s="342">
        <v>40441</v>
      </c>
      <c r="S46" s="328">
        <v>1310.06</v>
      </c>
      <c r="T46" s="328">
        <v>1408.06</v>
      </c>
      <c r="U46" s="328">
        <v>480</v>
      </c>
      <c r="V46" s="328">
        <v>98</v>
      </c>
      <c r="W46" s="487">
        <f t="shared" si="5"/>
        <v>12</v>
      </c>
    </row>
    <row r="47" spans="1:23">
      <c r="A47" s="17" t="s">
        <v>509</v>
      </c>
      <c r="B47" s="17" t="s">
        <v>401</v>
      </c>
      <c r="C47" s="347" t="s">
        <v>109</v>
      </c>
      <c r="F47" s="487">
        <f t="shared" si="3"/>
        <v>0</v>
      </c>
      <c r="G47" s="338"/>
      <c r="H47" s="347" t="s">
        <v>109</v>
      </c>
      <c r="K47" s="487">
        <f t="shared" si="4"/>
        <v>0</v>
      </c>
      <c r="L47" s="347"/>
      <c r="M47" s="347"/>
      <c r="N47" s="328"/>
      <c r="O47" s="328"/>
      <c r="P47" s="347" t="s">
        <v>109</v>
      </c>
      <c r="S47" s="328"/>
      <c r="T47" s="328"/>
      <c r="U47" s="328"/>
      <c r="V47" s="328"/>
      <c r="W47" s="487">
        <f t="shared" si="5"/>
        <v>0</v>
      </c>
    </row>
    <row r="48" spans="1:23">
      <c r="A48" s="17" t="s">
        <v>510</v>
      </c>
      <c r="B48" s="17" t="s">
        <v>440</v>
      </c>
      <c r="C48" s="347" t="s">
        <v>109</v>
      </c>
      <c r="F48" s="487">
        <f t="shared" si="3"/>
        <v>0</v>
      </c>
      <c r="G48" s="338"/>
      <c r="H48" s="347" t="s">
        <v>109</v>
      </c>
      <c r="K48" s="487">
        <f t="shared" si="4"/>
        <v>0</v>
      </c>
      <c r="L48" s="347"/>
      <c r="M48" s="347"/>
      <c r="N48" s="328"/>
      <c r="O48" s="328"/>
      <c r="P48" s="347" t="s">
        <v>109</v>
      </c>
      <c r="S48" s="328"/>
      <c r="T48" s="328"/>
      <c r="U48" s="328"/>
      <c r="V48" s="328"/>
      <c r="W48" s="487">
        <f t="shared" si="5"/>
        <v>0</v>
      </c>
    </row>
    <row r="49" spans="1:23">
      <c r="A49" s="17" t="s">
        <v>511</v>
      </c>
      <c r="B49" s="17" t="s">
        <v>410</v>
      </c>
      <c r="C49" s="347" t="s">
        <v>109</v>
      </c>
      <c r="F49" s="487">
        <f t="shared" si="3"/>
        <v>0</v>
      </c>
      <c r="G49" s="338"/>
      <c r="H49" s="347" t="s">
        <v>109</v>
      </c>
      <c r="K49" s="487">
        <f t="shared" si="4"/>
        <v>0</v>
      </c>
      <c r="L49" s="347"/>
      <c r="M49" s="347"/>
      <c r="N49" s="328"/>
      <c r="O49" s="328"/>
      <c r="P49" s="347" t="s">
        <v>109</v>
      </c>
      <c r="S49" s="328"/>
      <c r="T49" s="328"/>
      <c r="U49" s="328"/>
      <c r="V49" s="328"/>
      <c r="W49" s="487">
        <f t="shared" si="5"/>
        <v>0</v>
      </c>
    </row>
    <row r="50" spans="1:23">
      <c r="A50" s="17" t="s">
        <v>512</v>
      </c>
      <c r="B50" s="17" t="s">
        <v>418</v>
      </c>
      <c r="C50" s="347" t="s">
        <v>109</v>
      </c>
      <c r="F50" s="487">
        <f t="shared" si="3"/>
        <v>0</v>
      </c>
      <c r="G50" s="338"/>
      <c r="H50" s="347" t="s">
        <v>109</v>
      </c>
      <c r="K50" s="487">
        <f t="shared" si="4"/>
        <v>0</v>
      </c>
      <c r="L50" s="347"/>
      <c r="M50" s="347"/>
      <c r="N50" s="328"/>
      <c r="O50" s="328"/>
      <c r="P50" s="347" t="s">
        <v>109</v>
      </c>
      <c r="S50" s="328"/>
      <c r="T50" s="328"/>
      <c r="U50" s="328"/>
      <c r="V50" s="328"/>
      <c r="W50" s="487">
        <f t="shared" si="5"/>
        <v>0</v>
      </c>
    </row>
    <row r="51" spans="1:23">
      <c r="A51" s="17" t="s">
        <v>513</v>
      </c>
      <c r="B51" s="17" t="s">
        <v>415</v>
      </c>
      <c r="C51" s="347" t="s">
        <v>133</v>
      </c>
      <c r="D51" s="342">
        <v>40374</v>
      </c>
      <c r="E51" s="342">
        <v>40390</v>
      </c>
      <c r="F51" s="487">
        <f t="shared" si="3"/>
        <v>16</v>
      </c>
      <c r="G51" s="338">
        <v>1560</v>
      </c>
      <c r="H51" s="347" t="s">
        <v>109</v>
      </c>
      <c r="K51" s="487">
        <f t="shared" si="4"/>
        <v>0</v>
      </c>
      <c r="L51" s="347"/>
      <c r="M51" s="347"/>
      <c r="N51" s="328"/>
      <c r="O51" s="328"/>
      <c r="P51" s="347" t="s">
        <v>109</v>
      </c>
      <c r="S51" s="328"/>
      <c r="T51" s="328"/>
      <c r="U51" s="328"/>
      <c r="V51" s="328"/>
      <c r="W51" s="487">
        <f t="shared" si="5"/>
        <v>0</v>
      </c>
    </row>
    <row r="52" spans="1:23">
      <c r="A52" s="17" t="s">
        <v>514</v>
      </c>
      <c r="B52" s="17" t="s">
        <v>426</v>
      </c>
      <c r="C52" s="347" t="s">
        <v>109</v>
      </c>
      <c r="F52" s="487">
        <f t="shared" si="3"/>
        <v>0</v>
      </c>
      <c r="G52" s="338"/>
      <c r="H52" s="347" t="s">
        <v>109</v>
      </c>
      <c r="K52" s="487">
        <f t="shared" si="4"/>
        <v>0</v>
      </c>
      <c r="L52" s="347"/>
      <c r="M52" s="347"/>
      <c r="N52" s="328"/>
      <c r="O52" s="328"/>
      <c r="P52" s="347" t="s">
        <v>109</v>
      </c>
      <c r="S52" s="328"/>
      <c r="T52" s="328"/>
      <c r="U52" s="328"/>
      <c r="V52" s="328"/>
      <c r="W52" s="487">
        <f t="shared" si="5"/>
        <v>0</v>
      </c>
    </row>
  </sheetData>
  <mergeCells count="3">
    <mergeCell ref="D1:G1"/>
    <mergeCell ref="I1:O1"/>
    <mergeCell ref="Q1:W1"/>
  </mergeCells>
  <dataValidations count="1">
    <dataValidation allowBlank="1" sqref="C3:W52"/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showGridLines="0" workbookViewId="0">
      <selection activeCell="G11" sqref="G11:H11"/>
    </sheetView>
  </sheetViews>
  <sheetFormatPr baseColWidth="10" defaultRowHeight="15"/>
  <cols>
    <col min="7" max="7" width="23.85546875" bestFit="1" customWidth="1"/>
    <col min="8" max="8" width="3.140625" style="17" customWidth="1"/>
  </cols>
  <sheetData>
    <row r="2" spans="2:9" s="17" customFormat="1"/>
    <row r="3" spans="2:9" ht="18.75">
      <c r="B3" s="525" t="s">
        <v>27</v>
      </c>
      <c r="C3" s="525"/>
      <c r="D3" s="525"/>
      <c r="E3" s="525"/>
      <c r="F3" s="525"/>
      <c r="G3" s="526"/>
      <c r="H3" s="290"/>
    </row>
    <row r="4" spans="2:9">
      <c r="B4" s="523" t="s">
        <v>28</v>
      </c>
      <c r="C4" s="523"/>
      <c r="D4" s="523"/>
      <c r="E4" s="523"/>
      <c r="F4" s="527"/>
      <c r="G4" s="43" t="s">
        <v>388</v>
      </c>
      <c r="H4" s="267"/>
      <c r="I4" s="117" t="s">
        <v>133</v>
      </c>
    </row>
    <row r="5" spans="2:9">
      <c r="B5" s="523" t="s">
        <v>29</v>
      </c>
      <c r="C5" s="523"/>
      <c r="D5" s="523"/>
      <c r="E5" s="523"/>
      <c r="F5" s="527"/>
      <c r="G5" s="43" t="s">
        <v>389</v>
      </c>
      <c r="H5" s="267"/>
      <c r="I5" s="117" t="s">
        <v>109</v>
      </c>
    </row>
    <row r="6" spans="2:9">
      <c r="B6" s="523" t="s">
        <v>30</v>
      </c>
      <c r="C6" s="523"/>
      <c r="D6" s="523"/>
      <c r="E6" s="523"/>
      <c r="F6" s="527"/>
      <c r="G6" s="43" t="s">
        <v>306</v>
      </c>
      <c r="H6" s="267"/>
    </row>
    <row r="7" spans="2:9">
      <c r="B7" s="523" t="s">
        <v>31</v>
      </c>
      <c r="C7" s="523"/>
      <c r="D7" s="523"/>
      <c r="E7" s="523"/>
      <c r="F7" s="527"/>
      <c r="G7" s="43" t="s">
        <v>305</v>
      </c>
      <c r="H7" s="267"/>
    </row>
    <row r="8" spans="2:9" s="17" customFormat="1">
      <c r="B8" s="523" t="s">
        <v>304</v>
      </c>
      <c r="C8" s="523"/>
      <c r="D8" s="523"/>
      <c r="E8" s="523"/>
      <c r="F8" s="527"/>
      <c r="G8" s="43" t="s">
        <v>181</v>
      </c>
      <c r="H8" s="267"/>
    </row>
    <row r="10" spans="2:9" ht="18.75">
      <c r="B10" s="525" t="s">
        <v>32</v>
      </c>
      <c r="C10" s="525"/>
      <c r="D10" s="525"/>
      <c r="E10" s="525"/>
      <c r="F10" s="525"/>
      <c r="G10" s="525"/>
      <c r="H10" s="525"/>
    </row>
    <row r="11" spans="2:9">
      <c r="B11" s="523" t="s">
        <v>33</v>
      </c>
      <c r="C11" s="523"/>
      <c r="D11" s="523"/>
      <c r="E11" s="523"/>
      <c r="F11" s="523"/>
      <c r="G11" s="528" t="s">
        <v>430</v>
      </c>
      <c r="H11" s="528"/>
    </row>
    <row r="12" spans="2:9">
      <c r="B12" s="523" t="s">
        <v>34</v>
      </c>
      <c r="C12" s="523"/>
      <c r="D12" s="523"/>
      <c r="E12" s="523"/>
      <c r="F12" s="523"/>
      <c r="G12" s="313">
        <f>LOOKUP(G11,Datos_personales!B3:B52,Datos_personales!D3:D52)</f>
        <v>87060147</v>
      </c>
      <c r="H12" s="314" t="str">
        <f>LOOKUP(G11,Datos_personales!B3:B52,Datos_personales!E3:E52)</f>
        <v>I</v>
      </c>
    </row>
    <row r="13" spans="2:9">
      <c r="B13" s="523" t="s">
        <v>214</v>
      </c>
      <c r="C13" s="523"/>
      <c r="D13" s="523"/>
      <c r="E13" s="523"/>
      <c r="F13" s="523"/>
      <c r="G13" s="522">
        <f>LOOKUP('1'!G11,Datos_personales!B3:B52,Datos_personales!F3:F52)</f>
        <v>60096575824</v>
      </c>
      <c r="H13" s="522"/>
    </row>
    <row r="14" spans="2:9">
      <c r="B14" s="523" t="s">
        <v>35</v>
      </c>
      <c r="C14" s="523"/>
      <c r="D14" s="523"/>
      <c r="E14" s="523"/>
      <c r="F14" s="523"/>
      <c r="G14" s="522">
        <f>LOOKUP(G11,Datos_personales!B3:B52,Datos_Convenio!E3:E52)</f>
        <v>3</v>
      </c>
      <c r="H14" s="522"/>
    </row>
    <row r="15" spans="2:9" s="17" customFormat="1">
      <c r="B15" s="523" t="s">
        <v>100</v>
      </c>
      <c r="C15" s="523"/>
      <c r="D15" s="523"/>
      <c r="E15" s="523"/>
      <c r="F15" s="523"/>
      <c r="G15" s="522">
        <f ca="1">LOOKUP('1'!G11,Datos_personales!B3:B52,Datos_personales!C3:C52)</f>
        <v>66</v>
      </c>
      <c r="H15" s="522"/>
    </row>
    <row r="16" spans="2:9" s="17" customFormat="1">
      <c r="G16" s="267"/>
      <c r="H16" s="267"/>
    </row>
    <row r="18" spans="2:9" ht="18.75">
      <c r="B18" s="525" t="s">
        <v>36</v>
      </c>
      <c r="C18" s="525"/>
      <c r="D18" s="525"/>
      <c r="E18" s="525"/>
      <c r="F18" s="18"/>
      <c r="G18" s="86" t="s">
        <v>204</v>
      </c>
      <c r="H18" s="290"/>
      <c r="I18" s="181"/>
    </row>
    <row r="19" spans="2:9">
      <c r="B19" s="524" t="s">
        <v>37</v>
      </c>
      <c r="C19" s="524"/>
      <c r="D19" s="524" t="s">
        <v>38</v>
      </c>
      <c r="E19" s="524"/>
      <c r="F19" s="183">
        <f>NETWORKDAYS(B20,D20)</f>
        <v>21</v>
      </c>
      <c r="G19" s="182">
        <v>32387</v>
      </c>
      <c r="H19" s="315"/>
    </row>
    <row r="20" spans="2:9" ht="18.75">
      <c r="B20" s="445">
        <v>1</v>
      </c>
      <c r="C20" s="446" t="s">
        <v>601</v>
      </c>
      <c r="D20" s="447">
        <v>30</v>
      </c>
      <c r="E20" s="448" t="s">
        <v>601</v>
      </c>
      <c r="F20" s="183">
        <f>D20-B20+1</f>
        <v>30</v>
      </c>
      <c r="G20" s="191" t="s">
        <v>237</v>
      </c>
      <c r="H20" s="290"/>
    </row>
    <row r="21" spans="2:9">
      <c r="F21" s="295">
        <f>DAYS360(G19,B20)/30</f>
        <v>-1064</v>
      </c>
      <c r="G21" s="16" t="str">
        <f>LOOKUP(G11,Datos_personales!B3:B52,Datos_Convenio!G3:G52)</f>
        <v>INDEFINIDO</v>
      </c>
      <c r="H21" s="312"/>
    </row>
    <row r="22" spans="2:9">
      <c r="G22" s="117" t="s">
        <v>238</v>
      </c>
      <c r="H22" s="117"/>
    </row>
    <row r="23" spans="2:9">
      <c r="G23" s="117" t="s">
        <v>239</v>
      </c>
      <c r="H23" s="117"/>
    </row>
  </sheetData>
  <mergeCells count="19">
    <mergeCell ref="B3:G3"/>
    <mergeCell ref="B13:F13"/>
    <mergeCell ref="B4:F4"/>
    <mergeCell ref="B5:F5"/>
    <mergeCell ref="B6:F6"/>
    <mergeCell ref="B11:F11"/>
    <mergeCell ref="G13:H13"/>
    <mergeCell ref="B12:F12"/>
    <mergeCell ref="B7:F7"/>
    <mergeCell ref="B10:H10"/>
    <mergeCell ref="G11:H11"/>
    <mergeCell ref="B8:F8"/>
    <mergeCell ref="G14:H14"/>
    <mergeCell ref="G15:H15"/>
    <mergeCell ref="B15:F15"/>
    <mergeCell ref="B19:C19"/>
    <mergeCell ref="D19:E19"/>
    <mergeCell ref="B14:F14"/>
    <mergeCell ref="B18:E18"/>
  </mergeCells>
  <dataValidations count="1">
    <dataValidation type="list" allowBlank="1" showInputMessage="1" showErrorMessage="1" sqref="H21">
      <formula1>$G$22:$G$23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Datos_Auxiliares!$B$30:$B$36</xm:f>
          </x14:formula1>
          <xm:sqref>G8:H8</xm:sqref>
        </x14:dataValidation>
        <x14:dataValidation type="list" allowBlank="1" showInputMessage="1" showErrorMessage="1">
          <x14:formula1>
            <xm:f>Datos_personales!$B$3:$B$52</xm:f>
          </x14:formula1>
          <xm:sqref>G11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"/>
  <sheetViews>
    <sheetView zoomScale="80" zoomScaleNormal="80" workbookViewId="0">
      <pane ySplit="1" topLeftCell="A24" activePane="bottomLeft" state="frozen"/>
      <selection pane="bottomLeft" activeCell="E28" sqref="E28"/>
    </sheetView>
  </sheetViews>
  <sheetFormatPr baseColWidth="10" defaultRowHeight="12.75"/>
  <cols>
    <col min="1" max="1" width="11.42578125" style="46"/>
    <col min="2" max="2" width="42.7109375" style="46" customWidth="1"/>
    <col min="3" max="3" width="5.140625" style="47" customWidth="1"/>
    <col min="4" max="4" width="14.140625" style="46" bestFit="1" customWidth="1"/>
    <col min="5" max="5" width="11.42578125" style="46"/>
    <col min="6" max="7" width="12.7109375" style="46" customWidth="1"/>
    <col min="8" max="8" width="13.85546875" style="46" customWidth="1"/>
    <col min="9" max="10" width="12.7109375" style="46" customWidth="1"/>
    <col min="11" max="254" width="11.42578125" style="46"/>
    <col min="255" max="255" width="39.28515625" style="46" customWidth="1"/>
    <col min="256" max="256" width="5.140625" style="46" customWidth="1"/>
    <col min="257" max="257" width="13" style="46" bestFit="1" customWidth="1"/>
    <col min="258" max="258" width="11.42578125" style="46"/>
    <col min="259" max="260" width="12.7109375" style="46" customWidth="1"/>
    <col min="261" max="510" width="11.42578125" style="46"/>
    <col min="511" max="511" width="39.28515625" style="46" customWidth="1"/>
    <col min="512" max="512" width="5.140625" style="46" customWidth="1"/>
    <col min="513" max="513" width="13" style="46" bestFit="1" customWidth="1"/>
    <col min="514" max="514" width="11.42578125" style="46"/>
    <col min="515" max="516" width="12.7109375" style="46" customWidth="1"/>
    <col min="517" max="766" width="11.42578125" style="46"/>
    <col min="767" max="767" width="39.28515625" style="46" customWidth="1"/>
    <col min="768" max="768" width="5.140625" style="46" customWidth="1"/>
    <col min="769" max="769" width="13" style="46" bestFit="1" customWidth="1"/>
    <col min="770" max="770" width="11.42578125" style="46"/>
    <col min="771" max="772" width="12.7109375" style="46" customWidth="1"/>
    <col min="773" max="1022" width="11.42578125" style="46"/>
    <col min="1023" max="1023" width="39.28515625" style="46" customWidth="1"/>
    <col min="1024" max="1024" width="5.140625" style="46" customWidth="1"/>
    <col min="1025" max="1025" width="13" style="46" bestFit="1" customWidth="1"/>
    <col min="1026" max="1026" width="11.42578125" style="46"/>
    <col min="1027" max="1028" width="12.7109375" style="46" customWidth="1"/>
    <col min="1029" max="1278" width="11.42578125" style="46"/>
    <col min="1279" max="1279" width="39.28515625" style="46" customWidth="1"/>
    <col min="1280" max="1280" width="5.140625" style="46" customWidth="1"/>
    <col min="1281" max="1281" width="13" style="46" bestFit="1" customWidth="1"/>
    <col min="1282" max="1282" width="11.42578125" style="46"/>
    <col min="1283" max="1284" width="12.7109375" style="46" customWidth="1"/>
    <col min="1285" max="1534" width="11.42578125" style="46"/>
    <col min="1535" max="1535" width="39.28515625" style="46" customWidth="1"/>
    <col min="1536" max="1536" width="5.140625" style="46" customWidth="1"/>
    <col min="1537" max="1537" width="13" style="46" bestFit="1" customWidth="1"/>
    <col min="1538" max="1538" width="11.42578125" style="46"/>
    <col min="1539" max="1540" width="12.7109375" style="46" customWidth="1"/>
    <col min="1541" max="1790" width="11.42578125" style="46"/>
    <col min="1791" max="1791" width="39.28515625" style="46" customWidth="1"/>
    <col min="1792" max="1792" width="5.140625" style="46" customWidth="1"/>
    <col min="1793" max="1793" width="13" style="46" bestFit="1" customWidth="1"/>
    <col min="1794" max="1794" width="11.42578125" style="46"/>
    <col min="1795" max="1796" width="12.7109375" style="46" customWidth="1"/>
    <col min="1797" max="2046" width="11.42578125" style="46"/>
    <col min="2047" max="2047" width="39.28515625" style="46" customWidth="1"/>
    <col min="2048" max="2048" width="5.140625" style="46" customWidth="1"/>
    <col min="2049" max="2049" width="13" style="46" bestFit="1" customWidth="1"/>
    <col min="2050" max="2050" width="11.42578125" style="46"/>
    <col min="2051" max="2052" width="12.7109375" style="46" customWidth="1"/>
    <col min="2053" max="2302" width="11.42578125" style="46"/>
    <col min="2303" max="2303" width="39.28515625" style="46" customWidth="1"/>
    <col min="2304" max="2304" width="5.140625" style="46" customWidth="1"/>
    <col min="2305" max="2305" width="13" style="46" bestFit="1" customWidth="1"/>
    <col min="2306" max="2306" width="11.42578125" style="46"/>
    <col min="2307" max="2308" width="12.7109375" style="46" customWidth="1"/>
    <col min="2309" max="2558" width="11.42578125" style="46"/>
    <col min="2559" max="2559" width="39.28515625" style="46" customWidth="1"/>
    <col min="2560" max="2560" width="5.140625" style="46" customWidth="1"/>
    <col min="2561" max="2561" width="13" style="46" bestFit="1" customWidth="1"/>
    <col min="2562" max="2562" width="11.42578125" style="46"/>
    <col min="2563" max="2564" width="12.7109375" style="46" customWidth="1"/>
    <col min="2565" max="2814" width="11.42578125" style="46"/>
    <col min="2815" max="2815" width="39.28515625" style="46" customWidth="1"/>
    <col min="2816" max="2816" width="5.140625" style="46" customWidth="1"/>
    <col min="2817" max="2817" width="13" style="46" bestFit="1" customWidth="1"/>
    <col min="2818" max="2818" width="11.42578125" style="46"/>
    <col min="2819" max="2820" width="12.7109375" style="46" customWidth="1"/>
    <col min="2821" max="3070" width="11.42578125" style="46"/>
    <col min="3071" max="3071" width="39.28515625" style="46" customWidth="1"/>
    <col min="3072" max="3072" width="5.140625" style="46" customWidth="1"/>
    <col min="3073" max="3073" width="13" style="46" bestFit="1" customWidth="1"/>
    <col min="3074" max="3074" width="11.42578125" style="46"/>
    <col min="3075" max="3076" width="12.7109375" style="46" customWidth="1"/>
    <col min="3077" max="3326" width="11.42578125" style="46"/>
    <col min="3327" max="3327" width="39.28515625" style="46" customWidth="1"/>
    <col min="3328" max="3328" width="5.140625" style="46" customWidth="1"/>
    <col min="3329" max="3329" width="13" style="46" bestFit="1" customWidth="1"/>
    <col min="3330" max="3330" width="11.42578125" style="46"/>
    <col min="3331" max="3332" width="12.7109375" style="46" customWidth="1"/>
    <col min="3333" max="3582" width="11.42578125" style="46"/>
    <col min="3583" max="3583" width="39.28515625" style="46" customWidth="1"/>
    <col min="3584" max="3584" width="5.140625" style="46" customWidth="1"/>
    <col min="3585" max="3585" width="13" style="46" bestFit="1" customWidth="1"/>
    <col min="3586" max="3586" width="11.42578125" style="46"/>
    <col min="3587" max="3588" width="12.7109375" style="46" customWidth="1"/>
    <col min="3589" max="3838" width="11.42578125" style="46"/>
    <col min="3839" max="3839" width="39.28515625" style="46" customWidth="1"/>
    <col min="3840" max="3840" width="5.140625" style="46" customWidth="1"/>
    <col min="3841" max="3841" width="13" style="46" bestFit="1" customWidth="1"/>
    <col min="3842" max="3842" width="11.42578125" style="46"/>
    <col min="3843" max="3844" width="12.7109375" style="46" customWidth="1"/>
    <col min="3845" max="4094" width="11.42578125" style="46"/>
    <col min="4095" max="4095" width="39.28515625" style="46" customWidth="1"/>
    <col min="4096" max="4096" width="5.140625" style="46" customWidth="1"/>
    <col min="4097" max="4097" width="13" style="46" bestFit="1" customWidth="1"/>
    <col min="4098" max="4098" width="11.42578125" style="46"/>
    <col min="4099" max="4100" width="12.7109375" style="46" customWidth="1"/>
    <col min="4101" max="4350" width="11.42578125" style="46"/>
    <col min="4351" max="4351" width="39.28515625" style="46" customWidth="1"/>
    <col min="4352" max="4352" width="5.140625" style="46" customWidth="1"/>
    <col min="4353" max="4353" width="13" style="46" bestFit="1" customWidth="1"/>
    <col min="4354" max="4354" width="11.42578125" style="46"/>
    <col min="4355" max="4356" width="12.7109375" style="46" customWidth="1"/>
    <col min="4357" max="4606" width="11.42578125" style="46"/>
    <col min="4607" max="4607" width="39.28515625" style="46" customWidth="1"/>
    <col min="4608" max="4608" width="5.140625" style="46" customWidth="1"/>
    <col min="4609" max="4609" width="13" style="46" bestFit="1" customWidth="1"/>
    <col min="4610" max="4610" width="11.42578125" style="46"/>
    <col min="4611" max="4612" width="12.7109375" style="46" customWidth="1"/>
    <col min="4613" max="4862" width="11.42578125" style="46"/>
    <col min="4863" max="4863" width="39.28515625" style="46" customWidth="1"/>
    <col min="4864" max="4864" width="5.140625" style="46" customWidth="1"/>
    <col min="4865" max="4865" width="13" style="46" bestFit="1" customWidth="1"/>
    <col min="4866" max="4866" width="11.42578125" style="46"/>
    <col min="4867" max="4868" width="12.7109375" style="46" customWidth="1"/>
    <col min="4869" max="5118" width="11.42578125" style="46"/>
    <col min="5119" max="5119" width="39.28515625" style="46" customWidth="1"/>
    <col min="5120" max="5120" width="5.140625" style="46" customWidth="1"/>
    <col min="5121" max="5121" width="13" style="46" bestFit="1" customWidth="1"/>
    <col min="5122" max="5122" width="11.42578125" style="46"/>
    <col min="5123" max="5124" width="12.7109375" style="46" customWidth="1"/>
    <col min="5125" max="5374" width="11.42578125" style="46"/>
    <col min="5375" max="5375" width="39.28515625" style="46" customWidth="1"/>
    <col min="5376" max="5376" width="5.140625" style="46" customWidth="1"/>
    <col min="5377" max="5377" width="13" style="46" bestFit="1" customWidth="1"/>
    <col min="5378" max="5378" width="11.42578125" style="46"/>
    <col min="5379" max="5380" width="12.7109375" style="46" customWidth="1"/>
    <col min="5381" max="5630" width="11.42578125" style="46"/>
    <col min="5631" max="5631" width="39.28515625" style="46" customWidth="1"/>
    <col min="5632" max="5632" width="5.140625" style="46" customWidth="1"/>
    <col min="5633" max="5633" width="13" style="46" bestFit="1" customWidth="1"/>
    <col min="5634" max="5634" width="11.42578125" style="46"/>
    <col min="5635" max="5636" width="12.7109375" style="46" customWidth="1"/>
    <col min="5637" max="5886" width="11.42578125" style="46"/>
    <col min="5887" max="5887" width="39.28515625" style="46" customWidth="1"/>
    <col min="5888" max="5888" width="5.140625" style="46" customWidth="1"/>
    <col min="5889" max="5889" width="13" style="46" bestFit="1" customWidth="1"/>
    <col min="5890" max="5890" width="11.42578125" style="46"/>
    <col min="5891" max="5892" width="12.7109375" style="46" customWidth="1"/>
    <col min="5893" max="6142" width="11.42578125" style="46"/>
    <col min="6143" max="6143" width="39.28515625" style="46" customWidth="1"/>
    <col min="6144" max="6144" width="5.140625" style="46" customWidth="1"/>
    <col min="6145" max="6145" width="13" style="46" bestFit="1" customWidth="1"/>
    <col min="6146" max="6146" width="11.42578125" style="46"/>
    <col min="6147" max="6148" width="12.7109375" style="46" customWidth="1"/>
    <col min="6149" max="6398" width="11.42578125" style="46"/>
    <col min="6399" max="6399" width="39.28515625" style="46" customWidth="1"/>
    <col min="6400" max="6400" width="5.140625" style="46" customWidth="1"/>
    <col min="6401" max="6401" width="13" style="46" bestFit="1" customWidth="1"/>
    <col min="6402" max="6402" width="11.42578125" style="46"/>
    <col min="6403" max="6404" width="12.7109375" style="46" customWidth="1"/>
    <col min="6405" max="6654" width="11.42578125" style="46"/>
    <col min="6655" max="6655" width="39.28515625" style="46" customWidth="1"/>
    <col min="6656" max="6656" width="5.140625" style="46" customWidth="1"/>
    <col min="6657" max="6657" width="13" style="46" bestFit="1" customWidth="1"/>
    <col min="6658" max="6658" width="11.42578125" style="46"/>
    <col min="6659" max="6660" width="12.7109375" style="46" customWidth="1"/>
    <col min="6661" max="6910" width="11.42578125" style="46"/>
    <col min="6911" max="6911" width="39.28515625" style="46" customWidth="1"/>
    <col min="6912" max="6912" width="5.140625" style="46" customWidth="1"/>
    <col min="6913" max="6913" width="13" style="46" bestFit="1" customWidth="1"/>
    <col min="6914" max="6914" width="11.42578125" style="46"/>
    <col min="6915" max="6916" width="12.7109375" style="46" customWidth="1"/>
    <col min="6917" max="7166" width="11.42578125" style="46"/>
    <col min="7167" max="7167" width="39.28515625" style="46" customWidth="1"/>
    <col min="7168" max="7168" width="5.140625" style="46" customWidth="1"/>
    <col min="7169" max="7169" width="13" style="46" bestFit="1" customWidth="1"/>
    <col min="7170" max="7170" width="11.42578125" style="46"/>
    <col min="7171" max="7172" width="12.7109375" style="46" customWidth="1"/>
    <col min="7173" max="7422" width="11.42578125" style="46"/>
    <col min="7423" max="7423" width="39.28515625" style="46" customWidth="1"/>
    <col min="7424" max="7424" width="5.140625" style="46" customWidth="1"/>
    <col min="7425" max="7425" width="13" style="46" bestFit="1" customWidth="1"/>
    <col min="7426" max="7426" width="11.42578125" style="46"/>
    <col min="7427" max="7428" width="12.7109375" style="46" customWidth="1"/>
    <col min="7429" max="7678" width="11.42578125" style="46"/>
    <col min="7679" max="7679" width="39.28515625" style="46" customWidth="1"/>
    <col min="7680" max="7680" width="5.140625" style="46" customWidth="1"/>
    <col min="7681" max="7681" width="13" style="46" bestFit="1" customWidth="1"/>
    <col min="7682" max="7682" width="11.42578125" style="46"/>
    <col min="7683" max="7684" width="12.7109375" style="46" customWidth="1"/>
    <col min="7685" max="7934" width="11.42578125" style="46"/>
    <col min="7935" max="7935" width="39.28515625" style="46" customWidth="1"/>
    <col min="7936" max="7936" width="5.140625" style="46" customWidth="1"/>
    <col min="7937" max="7937" width="13" style="46" bestFit="1" customWidth="1"/>
    <col min="7938" max="7938" width="11.42578125" style="46"/>
    <col min="7939" max="7940" width="12.7109375" style="46" customWidth="1"/>
    <col min="7941" max="8190" width="11.42578125" style="46"/>
    <col min="8191" max="8191" width="39.28515625" style="46" customWidth="1"/>
    <col min="8192" max="8192" width="5.140625" style="46" customWidth="1"/>
    <col min="8193" max="8193" width="13" style="46" bestFit="1" customWidth="1"/>
    <col min="8194" max="8194" width="11.42578125" style="46"/>
    <col min="8195" max="8196" width="12.7109375" style="46" customWidth="1"/>
    <col min="8197" max="8446" width="11.42578125" style="46"/>
    <col min="8447" max="8447" width="39.28515625" style="46" customWidth="1"/>
    <col min="8448" max="8448" width="5.140625" style="46" customWidth="1"/>
    <col min="8449" max="8449" width="13" style="46" bestFit="1" customWidth="1"/>
    <col min="8450" max="8450" width="11.42578125" style="46"/>
    <col min="8451" max="8452" width="12.7109375" style="46" customWidth="1"/>
    <col min="8453" max="8702" width="11.42578125" style="46"/>
    <col min="8703" max="8703" width="39.28515625" style="46" customWidth="1"/>
    <col min="8704" max="8704" width="5.140625" style="46" customWidth="1"/>
    <col min="8705" max="8705" width="13" style="46" bestFit="1" customWidth="1"/>
    <col min="8706" max="8706" width="11.42578125" style="46"/>
    <col min="8707" max="8708" width="12.7109375" style="46" customWidth="1"/>
    <col min="8709" max="8958" width="11.42578125" style="46"/>
    <col min="8959" max="8959" width="39.28515625" style="46" customWidth="1"/>
    <col min="8960" max="8960" width="5.140625" style="46" customWidth="1"/>
    <col min="8961" max="8961" width="13" style="46" bestFit="1" customWidth="1"/>
    <col min="8962" max="8962" width="11.42578125" style="46"/>
    <col min="8963" max="8964" width="12.7109375" style="46" customWidth="1"/>
    <col min="8965" max="9214" width="11.42578125" style="46"/>
    <col min="9215" max="9215" width="39.28515625" style="46" customWidth="1"/>
    <col min="9216" max="9216" width="5.140625" style="46" customWidth="1"/>
    <col min="9217" max="9217" width="13" style="46" bestFit="1" customWidth="1"/>
    <col min="9218" max="9218" width="11.42578125" style="46"/>
    <col min="9219" max="9220" width="12.7109375" style="46" customWidth="1"/>
    <col min="9221" max="9470" width="11.42578125" style="46"/>
    <col min="9471" max="9471" width="39.28515625" style="46" customWidth="1"/>
    <col min="9472" max="9472" width="5.140625" style="46" customWidth="1"/>
    <col min="9473" max="9473" width="13" style="46" bestFit="1" customWidth="1"/>
    <col min="9474" max="9474" width="11.42578125" style="46"/>
    <col min="9475" max="9476" width="12.7109375" style="46" customWidth="1"/>
    <col min="9477" max="9726" width="11.42578125" style="46"/>
    <col min="9727" max="9727" width="39.28515625" style="46" customWidth="1"/>
    <col min="9728" max="9728" width="5.140625" style="46" customWidth="1"/>
    <col min="9729" max="9729" width="13" style="46" bestFit="1" customWidth="1"/>
    <col min="9730" max="9730" width="11.42578125" style="46"/>
    <col min="9731" max="9732" width="12.7109375" style="46" customWidth="1"/>
    <col min="9733" max="9982" width="11.42578125" style="46"/>
    <col min="9983" max="9983" width="39.28515625" style="46" customWidth="1"/>
    <col min="9984" max="9984" width="5.140625" style="46" customWidth="1"/>
    <col min="9985" max="9985" width="13" style="46" bestFit="1" customWidth="1"/>
    <col min="9986" max="9986" width="11.42578125" style="46"/>
    <col min="9987" max="9988" width="12.7109375" style="46" customWidth="1"/>
    <col min="9989" max="10238" width="11.42578125" style="46"/>
    <col min="10239" max="10239" width="39.28515625" style="46" customWidth="1"/>
    <col min="10240" max="10240" width="5.140625" style="46" customWidth="1"/>
    <col min="10241" max="10241" width="13" style="46" bestFit="1" customWidth="1"/>
    <col min="10242" max="10242" width="11.42578125" style="46"/>
    <col min="10243" max="10244" width="12.7109375" style="46" customWidth="1"/>
    <col min="10245" max="10494" width="11.42578125" style="46"/>
    <col min="10495" max="10495" width="39.28515625" style="46" customWidth="1"/>
    <col min="10496" max="10496" width="5.140625" style="46" customWidth="1"/>
    <col min="10497" max="10497" width="13" style="46" bestFit="1" customWidth="1"/>
    <col min="10498" max="10498" width="11.42578125" style="46"/>
    <col min="10499" max="10500" width="12.7109375" style="46" customWidth="1"/>
    <col min="10501" max="10750" width="11.42578125" style="46"/>
    <col min="10751" max="10751" width="39.28515625" style="46" customWidth="1"/>
    <col min="10752" max="10752" width="5.140625" style="46" customWidth="1"/>
    <col min="10753" max="10753" width="13" style="46" bestFit="1" customWidth="1"/>
    <col min="10754" max="10754" width="11.42578125" style="46"/>
    <col min="10755" max="10756" width="12.7109375" style="46" customWidth="1"/>
    <col min="10757" max="11006" width="11.42578125" style="46"/>
    <col min="11007" max="11007" width="39.28515625" style="46" customWidth="1"/>
    <col min="11008" max="11008" width="5.140625" style="46" customWidth="1"/>
    <col min="11009" max="11009" width="13" style="46" bestFit="1" customWidth="1"/>
    <col min="11010" max="11010" width="11.42578125" style="46"/>
    <col min="11011" max="11012" width="12.7109375" style="46" customWidth="1"/>
    <col min="11013" max="11262" width="11.42578125" style="46"/>
    <col min="11263" max="11263" width="39.28515625" style="46" customWidth="1"/>
    <col min="11264" max="11264" width="5.140625" style="46" customWidth="1"/>
    <col min="11265" max="11265" width="13" style="46" bestFit="1" customWidth="1"/>
    <col min="11266" max="11266" width="11.42578125" style="46"/>
    <col min="11267" max="11268" width="12.7109375" style="46" customWidth="1"/>
    <col min="11269" max="11518" width="11.42578125" style="46"/>
    <col min="11519" max="11519" width="39.28515625" style="46" customWidth="1"/>
    <col min="11520" max="11520" width="5.140625" style="46" customWidth="1"/>
    <col min="11521" max="11521" width="13" style="46" bestFit="1" customWidth="1"/>
    <col min="11522" max="11522" width="11.42578125" style="46"/>
    <col min="11523" max="11524" width="12.7109375" style="46" customWidth="1"/>
    <col min="11525" max="11774" width="11.42578125" style="46"/>
    <col min="11775" max="11775" width="39.28515625" style="46" customWidth="1"/>
    <col min="11776" max="11776" width="5.140625" style="46" customWidth="1"/>
    <col min="11777" max="11777" width="13" style="46" bestFit="1" customWidth="1"/>
    <col min="11778" max="11778" width="11.42578125" style="46"/>
    <col min="11779" max="11780" width="12.7109375" style="46" customWidth="1"/>
    <col min="11781" max="12030" width="11.42578125" style="46"/>
    <col min="12031" max="12031" width="39.28515625" style="46" customWidth="1"/>
    <col min="12032" max="12032" width="5.140625" style="46" customWidth="1"/>
    <col min="12033" max="12033" width="13" style="46" bestFit="1" customWidth="1"/>
    <col min="12034" max="12034" width="11.42578125" style="46"/>
    <col min="12035" max="12036" width="12.7109375" style="46" customWidth="1"/>
    <col min="12037" max="12286" width="11.42578125" style="46"/>
    <col min="12287" max="12287" width="39.28515625" style="46" customWidth="1"/>
    <col min="12288" max="12288" width="5.140625" style="46" customWidth="1"/>
    <col min="12289" max="12289" width="13" style="46" bestFit="1" customWidth="1"/>
    <col min="12290" max="12290" width="11.42578125" style="46"/>
    <col min="12291" max="12292" width="12.7109375" style="46" customWidth="1"/>
    <col min="12293" max="12542" width="11.42578125" style="46"/>
    <col min="12543" max="12543" width="39.28515625" style="46" customWidth="1"/>
    <col min="12544" max="12544" width="5.140625" style="46" customWidth="1"/>
    <col min="12545" max="12545" width="13" style="46" bestFit="1" customWidth="1"/>
    <col min="12546" max="12546" width="11.42578125" style="46"/>
    <col min="12547" max="12548" width="12.7109375" style="46" customWidth="1"/>
    <col min="12549" max="12798" width="11.42578125" style="46"/>
    <col min="12799" max="12799" width="39.28515625" style="46" customWidth="1"/>
    <col min="12800" max="12800" width="5.140625" style="46" customWidth="1"/>
    <col min="12801" max="12801" width="13" style="46" bestFit="1" customWidth="1"/>
    <col min="12802" max="12802" width="11.42578125" style="46"/>
    <col min="12803" max="12804" width="12.7109375" style="46" customWidth="1"/>
    <col min="12805" max="13054" width="11.42578125" style="46"/>
    <col min="13055" max="13055" width="39.28515625" style="46" customWidth="1"/>
    <col min="13056" max="13056" width="5.140625" style="46" customWidth="1"/>
    <col min="13057" max="13057" width="13" style="46" bestFit="1" customWidth="1"/>
    <col min="13058" max="13058" width="11.42578125" style="46"/>
    <col min="13059" max="13060" width="12.7109375" style="46" customWidth="1"/>
    <col min="13061" max="13310" width="11.42578125" style="46"/>
    <col min="13311" max="13311" width="39.28515625" style="46" customWidth="1"/>
    <col min="13312" max="13312" width="5.140625" style="46" customWidth="1"/>
    <col min="13313" max="13313" width="13" style="46" bestFit="1" customWidth="1"/>
    <col min="13314" max="13314" width="11.42578125" style="46"/>
    <col min="13315" max="13316" width="12.7109375" style="46" customWidth="1"/>
    <col min="13317" max="13566" width="11.42578125" style="46"/>
    <col min="13567" max="13567" width="39.28515625" style="46" customWidth="1"/>
    <col min="13568" max="13568" width="5.140625" style="46" customWidth="1"/>
    <col min="13569" max="13569" width="13" style="46" bestFit="1" customWidth="1"/>
    <col min="13570" max="13570" width="11.42578125" style="46"/>
    <col min="13571" max="13572" width="12.7109375" style="46" customWidth="1"/>
    <col min="13573" max="13822" width="11.42578125" style="46"/>
    <col min="13823" max="13823" width="39.28515625" style="46" customWidth="1"/>
    <col min="13824" max="13824" width="5.140625" style="46" customWidth="1"/>
    <col min="13825" max="13825" width="13" style="46" bestFit="1" customWidth="1"/>
    <col min="13826" max="13826" width="11.42578125" style="46"/>
    <col min="13827" max="13828" width="12.7109375" style="46" customWidth="1"/>
    <col min="13829" max="14078" width="11.42578125" style="46"/>
    <col min="14079" max="14079" width="39.28515625" style="46" customWidth="1"/>
    <col min="14080" max="14080" width="5.140625" style="46" customWidth="1"/>
    <col min="14081" max="14081" width="13" style="46" bestFit="1" customWidth="1"/>
    <col min="14082" max="14082" width="11.42578125" style="46"/>
    <col min="14083" max="14084" width="12.7109375" style="46" customWidth="1"/>
    <col min="14085" max="14334" width="11.42578125" style="46"/>
    <col min="14335" max="14335" width="39.28515625" style="46" customWidth="1"/>
    <col min="14336" max="14336" width="5.140625" style="46" customWidth="1"/>
    <col min="14337" max="14337" width="13" style="46" bestFit="1" customWidth="1"/>
    <col min="14338" max="14338" width="11.42578125" style="46"/>
    <col min="14339" max="14340" width="12.7109375" style="46" customWidth="1"/>
    <col min="14341" max="14590" width="11.42578125" style="46"/>
    <col min="14591" max="14591" width="39.28515625" style="46" customWidth="1"/>
    <col min="14592" max="14592" width="5.140625" style="46" customWidth="1"/>
    <col min="14593" max="14593" width="13" style="46" bestFit="1" customWidth="1"/>
    <col min="14594" max="14594" width="11.42578125" style="46"/>
    <col min="14595" max="14596" width="12.7109375" style="46" customWidth="1"/>
    <col min="14597" max="14846" width="11.42578125" style="46"/>
    <col min="14847" max="14847" width="39.28515625" style="46" customWidth="1"/>
    <col min="14848" max="14848" width="5.140625" style="46" customWidth="1"/>
    <col min="14849" max="14849" width="13" style="46" bestFit="1" customWidth="1"/>
    <col min="14850" max="14850" width="11.42578125" style="46"/>
    <col min="14851" max="14852" width="12.7109375" style="46" customWidth="1"/>
    <col min="14853" max="15101" width="11.42578125" style="46"/>
    <col min="15102" max="15102" width="39.28515625" style="46" customWidth="1"/>
    <col min="15103" max="15103" width="5.140625" style="46" customWidth="1"/>
    <col min="15104" max="15104" width="13" style="46" bestFit="1" customWidth="1"/>
    <col min="15105" max="15105" width="11.42578125" style="46"/>
    <col min="15106" max="15107" width="12.7109375" style="46" customWidth="1"/>
    <col min="15108" max="15357" width="11.42578125" style="46"/>
    <col min="15358" max="15358" width="39.28515625" style="46" customWidth="1"/>
    <col min="15359" max="15359" width="5.140625" style="46" customWidth="1"/>
    <col min="15360" max="15360" width="13" style="46" bestFit="1" customWidth="1"/>
    <col min="15361" max="15361" width="11.42578125" style="46"/>
    <col min="15362" max="15363" width="12.7109375" style="46" customWidth="1"/>
    <col min="15364" max="15613" width="11.42578125" style="46"/>
    <col min="15614" max="15614" width="39.28515625" style="46" customWidth="1"/>
    <col min="15615" max="15615" width="5.140625" style="46" customWidth="1"/>
    <col min="15616" max="15616" width="13" style="46" bestFit="1" customWidth="1"/>
    <col min="15617" max="15617" width="11.42578125" style="46"/>
    <col min="15618" max="15619" width="12.7109375" style="46" customWidth="1"/>
    <col min="15620" max="15869" width="11.42578125" style="46"/>
    <col min="15870" max="15870" width="39.28515625" style="46" customWidth="1"/>
    <col min="15871" max="15871" width="5.140625" style="46" customWidth="1"/>
    <col min="15872" max="15872" width="13" style="46" bestFit="1" customWidth="1"/>
    <col min="15873" max="15873" width="11.42578125" style="46"/>
    <col min="15874" max="15875" width="12.7109375" style="46" customWidth="1"/>
    <col min="15876" max="16125" width="11.42578125" style="46"/>
    <col min="16126" max="16126" width="39.28515625" style="46" customWidth="1"/>
    <col min="16127" max="16127" width="5.140625" style="46" customWidth="1"/>
    <col min="16128" max="16128" width="13" style="46" bestFit="1" customWidth="1"/>
    <col min="16129" max="16129" width="11.42578125" style="46"/>
    <col min="16130" max="16131" width="12.7109375" style="46" customWidth="1"/>
    <col min="16132" max="16384" width="11.42578125" style="46"/>
  </cols>
  <sheetData>
    <row r="1" spans="2:20" ht="20.100000000000001" customHeight="1" thickBot="1">
      <c r="B1" s="46" t="str">
        <f>'1'!G11</f>
        <v>Felipe González López</v>
      </c>
    </row>
    <row r="2" spans="2:20" ht="20.100000000000001" customHeight="1">
      <c r="B2" s="531" t="s">
        <v>98</v>
      </c>
      <c r="C2" s="532"/>
      <c r="D2" s="58">
        <f ca="1">SUM(D4:D5)</f>
        <v>918</v>
      </c>
      <c r="F2" s="533" t="s">
        <v>99</v>
      </c>
      <c r="G2" s="533"/>
      <c r="H2" s="60">
        <f>LOOKUP(B1,Datos_personales!B3:B52,Datos_Convenio!L3:L52)</f>
        <v>24190.32</v>
      </c>
      <c r="I2" s="533" t="s">
        <v>544</v>
      </c>
      <c r="J2" s="533"/>
      <c r="K2" s="60">
        <f>LOOKUP(B1,Datos_personales!B3:B52,Datos_Convenio!J3:J52)</f>
        <v>1727.88</v>
      </c>
    </row>
    <row r="3" spans="2:20" ht="20.100000000000001" customHeight="1" thickBot="1">
      <c r="B3" s="48" t="s">
        <v>100</v>
      </c>
      <c r="C3" s="49">
        <f ca="1">'1'!G15</f>
        <v>66</v>
      </c>
      <c r="D3" s="50" t="s">
        <v>101</v>
      </c>
      <c r="F3" s="533" t="s">
        <v>102</v>
      </c>
      <c r="G3" s="533"/>
      <c r="H3" s="60"/>
      <c r="I3" s="533" t="s">
        <v>134</v>
      </c>
      <c r="J3" s="533"/>
      <c r="K3" s="60">
        <f>LOOKUP(B1,Datos_personales!B3:B52,Datos_Convenio!R3:R52)</f>
        <v>1295.9100000000001</v>
      </c>
    </row>
    <row r="4" spans="2:20" ht="20.100000000000001" hidden="1" customHeight="1">
      <c r="B4" s="51"/>
      <c r="C4" s="52"/>
      <c r="D4" s="53">
        <f ca="1">IF(AND(C3&gt;65,C3&lt;76),Datos_Auxiliares!I3,0)</f>
        <v>918</v>
      </c>
      <c r="F4" s="533" t="s">
        <v>102</v>
      </c>
      <c r="G4" s="533"/>
      <c r="H4" s="61">
        <v>2437.88</v>
      </c>
      <c r="I4" s="533" t="s">
        <v>102</v>
      </c>
      <c r="J4" s="533"/>
      <c r="K4" s="61">
        <v>2437.88</v>
      </c>
    </row>
    <row r="5" spans="2:20" ht="20.100000000000001" hidden="1" customHeight="1">
      <c r="B5" s="51"/>
      <c r="C5" s="52"/>
      <c r="D5" s="53">
        <f ca="1">IF(C3&gt;75,Datos_Auxiliares!I4,0)</f>
        <v>0</v>
      </c>
      <c r="F5" s="533" t="s">
        <v>102</v>
      </c>
      <c r="G5" s="533"/>
      <c r="H5" s="61">
        <v>2438.88</v>
      </c>
      <c r="I5" s="533" t="s">
        <v>102</v>
      </c>
      <c r="J5" s="533"/>
      <c r="K5" s="61">
        <v>2438.88</v>
      </c>
    </row>
    <row r="6" spans="2:20" ht="20.100000000000001" customHeight="1" thickBot="1">
      <c r="F6" s="533" t="s">
        <v>87</v>
      </c>
      <c r="G6" s="533"/>
      <c r="H6" s="187">
        <f>'1'!G14</f>
        <v>3</v>
      </c>
      <c r="I6" s="533" t="s">
        <v>135</v>
      </c>
      <c r="J6" s="533"/>
      <c r="K6" s="62">
        <f>LOOKUP(B1,Datos_personales!B3:B52,Datos_Convenio!T3:T52)</f>
        <v>2</v>
      </c>
    </row>
    <row r="7" spans="2:20" ht="20.100000000000001" customHeight="1">
      <c r="B7" s="529" t="s">
        <v>103</v>
      </c>
      <c r="C7" s="530"/>
      <c r="D7" s="63">
        <f ca="1">IF(C16="no",(SUM(D10:D13)+D15)/2,SUM(D10:D13)+D15)</f>
        <v>0</v>
      </c>
    </row>
    <row r="8" spans="2:20" ht="25.5" customHeight="1">
      <c r="B8" s="54" t="s">
        <v>104</v>
      </c>
      <c r="C8" s="64">
        <f ca="1">LOOKUP('1'!G11,Datos_personales!B3:B52,Datos_personales!K3:K52)</f>
        <v>0</v>
      </c>
      <c r="D8" s="65" t="s">
        <v>105</v>
      </c>
    </row>
    <row r="9" spans="2:20" ht="38.25" customHeight="1">
      <c r="B9" s="55" t="s">
        <v>106</v>
      </c>
      <c r="C9" s="66">
        <f>LOOKUP('1'!G11,Datos_personales!B3:B52,Datos_personales!L3:L52)</f>
        <v>0</v>
      </c>
      <c r="D9" s="67" t="s">
        <v>105</v>
      </c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</row>
    <row r="10" spans="2:20" ht="20.100000000000001" hidden="1" customHeight="1">
      <c r="B10" s="68"/>
      <c r="C10" s="66"/>
      <c r="D10" s="67">
        <f ca="1">IF(C8+C9=1,Datos_Auxiliares!J6,0)</f>
        <v>0</v>
      </c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</row>
    <row r="11" spans="2:20" ht="20.100000000000001" hidden="1" customHeight="1">
      <c r="B11" s="68"/>
      <c r="C11" s="66"/>
      <c r="D11" s="67">
        <f ca="1">IF(C8+C9=2,Datos_Auxiliares!J7,0)</f>
        <v>0</v>
      </c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</row>
    <row r="12" spans="2:20" ht="20.100000000000001" hidden="1" customHeight="1">
      <c r="B12" s="68"/>
      <c r="C12" s="66"/>
      <c r="D12" s="67">
        <f ca="1">IF(C8+C9=3,Datos_Auxiliares!J8,0)</f>
        <v>0</v>
      </c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</row>
    <row r="13" spans="2:20" ht="20.100000000000001" hidden="1" customHeight="1">
      <c r="B13" s="68"/>
      <c r="C13" s="66"/>
      <c r="D13" s="69">
        <f ca="1">IF(C8+C9&gt;3,(Datos_Auxiliares!J8+(C8+C9-3)*Datos_Auxiliares!I9),0)</f>
        <v>0</v>
      </c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</row>
    <row r="14" spans="2:20" ht="38.25" customHeight="1" thickBot="1">
      <c r="B14" s="56" t="s">
        <v>107</v>
      </c>
      <c r="C14" s="70">
        <f ca="1">LOOKUP('1'!G11,Datos_personales!B3:B52,Datos_personales!M3:M52)</f>
        <v>0</v>
      </c>
      <c r="D14" s="71" t="s">
        <v>105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</row>
    <row r="15" spans="2:20" ht="20.100000000000001" hidden="1" customHeight="1" thickBot="1">
      <c r="B15" s="72"/>
      <c r="C15" s="70"/>
      <c r="D15" s="73">
        <f ca="1">IF(C14&gt;0,C14*Datos_Auxiliares!J10,0)</f>
        <v>0</v>
      </c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</row>
    <row r="16" spans="2:20" ht="26.25" customHeight="1" thickBot="1">
      <c r="B16" s="74" t="s">
        <v>108</v>
      </c>
      <c r="C16" s="75" t="str">
        <f ca="1">LOOKUP(B1,Datos_personales!B3:B52,Datos_personales!N3:N52)</f>
        <v>SI</v>
      </c>
      <c r="D16" s="76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0"/>
      <c r="Q16" s="270"/>
      <c r="R16" s="270"/>
      <c r="S16" s="270"/>
      <c r="T16" s="270"/>
    </row>
    <row r="17" spans="2:20" ht="20.100000000000001" customHeight="1" thickBot="1">
      <c r="B17" s="77" t="s">
        <v>129</v>
      </c>
      <c r="C17" s="78"/>
      <c r="D17" s="79"/>
      <c r="F17" s="270"/>
      <c r="G17" s="270"/>
      <c r="H17" s="270"/>
      <c r="I17" s="270"/>
      <c r="J17" s="270"/>
      <c r="K17" s="270"/>
      <c r="L17" s="270"/>
      <c r="M17" s="270"/>
      <c r="N17" s="270"/>
      <c r="O17" s="270"/>
      <c r="P17" s="270"/>
      <c r="Q17" s="270"/>
      <c r="R17" s="270"/>
      <c r="S17" s="270"/>
      <c r="T17" s="270"/>
    </row>
    <row r="18" spans="2:20" ht="15">
      <c r="B18" s="529" t="s">
        <v>110</v>
      </c>
      <c r="C18" s="530"/>
      <c r="D18" s="63">
        <f ca="1">IF(C24=0,0,(D22+D23)/(C24))</f>
        <v>0</v>
      </c>
      <c r="F18" s="270"/>
      <c r="G18" s="270"/>
      <c r="H18" s="270"/>
      <c r="I18" s="270"/>
      <c r="J18" s="270"/>
      <c r="K18" s="270"/>
      <c r="L18" s="271"/>
      <c r="M18" s="271"/>
      <c r="N18" s="270"/>
      <c r="O18" s="270"/>
      <c r="P18" s="270"/>
      <c r="Q18" s="270"/>
      <c r="R18" s="270"/>
      <c r="S18" s="270"/>
      <c r="T18" s="270"/>
    </row>
    <row r="19" spans="2:20" ht="38.25" customHeight="1">
      <c r="B19" s="54" t="s">
        <v>111</v>
      </c>
      <c r="C19" s="64">
        <v>0</v>
      </c>
      <c r="D19" s="65" t="s">
        <v>112</v>
      </c>
      <c r="F19" s="270"/>
      <c r="G19" s="270"/>
      <c r="H19" s="270"/>
      <c r="I19" s="270"/>
      <c r="J19" s="270"/>
      <c r="K19" s="270"/>
      <c r="L19" s="272"/>
      <c r="M19" s="272"/>
      <c r="N19" s="184"/>
      <c r="O19" s="270"/>
      <c r="P19" s="270"/>
      <c r="Q19" s="270"/>
      <c r="R19" s="270"/>
      <c r="S19" s="270"/>
      <c r="T19" s="270"/>
    </row>
    <row r="20" spans="2:20" ht="38.25">
      <c r="B20" s="55" t="s">
        <v>113</v>
      </c>
      <c r="C20" s="66">
        <v>0</v>
      </c>
      <c r="D20" s="67" t="s">
        <v>112</v>
      </c>
      <c r="F20" s="270"/>
      <c r="G20" s="270"/>
      <c r="H20" s="270"/>
      <c r="I20" s="270"/>
      <c r="J20" s="270"/>
      <c r="K20" s="270"/>
      <c r="L20" s="273"/>
      <c r="M20" s="273"/>
      <c r="N20" s="273"/>
      <c r="O20" s="270"/>
      <c r="P20" s="270"/>
      <c r="Q20" s="270"/>
      <c r="R20" s="270"/>
      <c r="S20" s="270"/>
      <c r="T20" s="270"/>
    </row>
    <row r="21" spans="2:20" ht="39" customHeight="1" thickBot="1">
      <c r="B21" s="55" t="s">
        <v>114</v>
      </c>
      <c r="C21" s="66">
        <v>0</v>
      </c>
      <c r="D21" s="73" t="s">
        <v>112</v>
      </c>
      <c r="F21" s="270"/>
      <c r="G21" s="270"/>
      <c r="H21" s="270"/>
      <c r="I21" s="270"/>
      <c r="J21" s="270"/>
      <c r="K21" s="270"/>
      <c r="L21" s="272"/>
      <c r="M21" s="272"/>
      <c r="N21" s="184"/>
      <c r="O21" s="270"/>
      <c r="P21" s="270"/>
      <c r="Q21" s="270"/>
      <c r="R21" s="270"/>
      <c r="S21" s="270"/>
      <c r="T21" s="270"/>
    </row>
    <row r="22" spans="2:20" ht="20.100000000000001" hidden="1" customHeight="1">
      <c r="B22" s="68"/>
      <c r="C22" s="66"/>
      <c r="D22" s="67">
        <f>IF(C19+C21&gt;0,Datos_Auxiliares!I12*(C19+C21),0)</f>
        <v>0</v>
      </c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Q22" s="270"/>
      <c r="R22" s="270"/>
      <c r="S22" s="270"/>
      <c r="T22" s="270"/>
    </row>
    <row r="23" spans="2:20" ht="20.100000000000001" hidden="1" customHeight="1" thickBot="1">
      <c r="B23" s="68"/>
      <c r="C23" s="66"/>
      <c r="D23" s="73">
        <f>IF(C20&gt;0,Datos_Auxiliares!I13*C20,0)</f>
        <v>0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</row>
    <row r="24" spans="2:20" ht="26.25" customHeight="1" thickBot="1">
      <c r="B24" s="74" t="s">
        <v>115</v>
      </c>
      <c r="C24" s="75">
        <f ca="1">IF(D24="SI",1,2)</f>
        <v>1</v>
      </c>
      <c r="D24" s="78" t="str">
        <f ca="1">LOOKUP(B1,Datos_personales!B3:B52,Datos_personales!R3:R52)</f>
        <v>SI</v>
      </c>
      <c r="F24" s="270"/>
      <c r="G24" s="270"/>
      <c r="H24" s="270"/>
      <c r="I24" s="270"/>
      <c r="J24" s="270"/>
      <c r="K24" s="270"/>
      <c r="L24" s="270"/>
      <c r="M24" s="270"/>
      <c r="N24" s="270"/>
      <c r="O24" s="270"/>
      <c r="P24" s="270"/>
      <c r="Q24" s="270"/>
      <c r="R24" s="270"/>
      <c r="S24" s="270"/>
      <c r="T24" s="270"/>
    </row>
    <row r="25" spans="2:20" ht="20.100000000000001" customHeight="1">
      <c r="B25" s="77" t="s">
        <v>130</v>
      </c>
      <c r="C25" s="80"/>
      <c r="D25" s="79"/>
      <c r="F25" s="270"/>
      <c r="G25" s="270"/>
      <c r="H25" s="270"/>
      <c r="I25" s="270"/>
      <c r="J25" s="270"/>
      <c r="K25" s="270"/>
      <c r="L25" s="270"/>
      <c r="M25" s="270"/>
      <c r="N25" s="270"/>
      <c r="O25" s="270"/>
      <c r="P25" s="270"/>
      <c r="Q25" s="270"/>
      <c r="R25" s="270"/>
      <c r="S25" s="270"/>
      <c r="T25" s="270"/>
    </row>
    <row r="26" spans="2:20" ht="20.100000000000001" customHeight="1" thickBot="1">
      <c r="B26" s="77" t="s">
        <v>131</v>
      </c>
      <c r="C26" s="78"/>
      <c r="D26" s="79"/>
      <c r="F26" s="270"/>
      <c r="G26" s="270"/>
      <c r="H26" s="270"/>
      <c r="I26" s="270"/>
      <c r="J26" s="270"/>
      <c r="K26" s="270"/>
      <c r="L26" s="270"/>
      <c r="M26" s="270"/>
      <c r="N26" s="270"/>
      <c r="O26" s="270"/>
      <c r="P26" s="270"/>
      <c r="Q26" s="270"/>
      <c r="R26" s="270"/>
      <c r="S26" s="270"/>
      <c r="T26" s="270"/>
    </row>
    <row r="27" spans="2:20" ht="20.100000000000001" customHeight="1">
      <c r="B27" s="529" t="s">
        <v>116</v>
      </c>
      <c r="C27" s="530"/>
      <c r="D27" s="63">
        <f ca="1">SUM(D36:D39)</f>
        <v>3246</v>
      </c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</row>
    <row r="28" spans="2:20" ht="25.5" customHeight="1">
      <c r="B28" s="54" t="s">
        <v>117</v>
      </c>
      <c r="C28" s="64">
        <f>LOOKUP(B1,Datos_personales!B3:B52,Datos_personales!S3:S52)</f>
        <v>0</v>
      </c>
      <c r="D28" s="65" t="s">
        <v>118</v>
      </c>
      <c r="F28" s="270"/>
      <c r="G28" s="270"/>
      <c r="H28" s="270"/>
      <c r="I28" s="270"/>
      <c r="J28" s="270"/>
      <c r="K28" s="270"/>
      <c r="L28" s="270"/>
      <c r="M28" s="270"/>
      <c r="N28" s="270"/>
      <c r="O28" s="270"/>
      <c r="P28" s="270"/>
      <c r="Q28" s="270"/>
      <c r="R28" s="270"/>
      <c r="S28" s="270"/>
      <c r="T28" s="270"/>
    </row>
    <row r="29" spans="2:20" ht="25.5">
      <c r="B29" s="55" t="s">
        <v>119</v>
      </c>
      <c r="C29" s="66">
        <f>LOOKUP(B1,Datos_personales!B3:B52,Datos_personales!T3:T52)</f>
        <v>0</v>
      </c>
      <c r="D29" s="69" t="s">
        <v>118</v>
      </c>
      <c r="F29" s="270"/>
      <c r="G29" s="270"/>
      <c r="H29" s="270"/>
      <c r="I29" s="270"/>
      <c r="J29" s="270"/>
      <c r="K29" s="270"/>
      <c r="L29" s="270"/>
      <c r="M29" s="270"/>
      <c r="N29" s="270"/>
      <c r="O29" s="270"/>
      <c r="P29" s="270"/>
      <c r="Q29" s="270"/>
      <c r="R29" s="270"/>
      <c r="S29" s="270"/>
      <c r="T29" s="270"/>
    </row>
    <row r="30" spans="2:20" ht="25.5" customHeight="1">
      <c r="B30" s="55" t="s">
        <v>120</v>
      </c>
      <c r="C30" s="66">
        <f>LOOKUP(B1,Datos_personales!B3:B52,Datos_personales!U3:U52)</f>
        <v>0</v>
      </c>
      <c r="D30" s="69" t="s">
        <v>112</v>
      </c>
      <c r="F30" s="270"/>
      <c r="G30" s="270"/>
      <c r="H30" s="270"/>
      <c r="I30" s="270"/>
      <c r="J30" s="270"/>
      <c r="K30" s="270"/>
      <c r="L30" s="270"/>
      <c r="M30" s="270"/>
      <c r="N30" s="270"/>
      <c r="O30" s="270"/>
      <c r="P30" s="270"/>
      <c r="Q30" s="270"/>
      <c r="R30" s="270"/>
      <c r="S30" s="270"/>
      <c r="T30" s="270"/>
    </row>
    <row r="31" spans="2:20" ht="26.25" thickBot="1">
      <c r="B31" s="56" t="s">
        <v>121</v>
      </c>
      <c r="C31" s="70">
        <f>LOOKUP(B1,Datos_personales!B3:B52,Datos_personales!V3:V52)</f>
        <v>0</v>
      </c>
      <c r="D31" s="71" t="s">
        <v>112</v>
      </c>
      <c r="F31" s="270"/>
      <c r="G31" s="270"/>
      <c r="H31" s="270"/>
      <c r="I31" s="270"/>
      <c r="J31" s="270"/>
      <c r="K31" s="270"/>
      <c r="L31" s="270"/>
      <c r="M31" s="270"/>
      <c r="N31" s="270"/>
      <c r="O31" s="270"/>
      <c r="P31" s="270"/>
      <c r="Q31" s="270"/>
      <c r="R31" s="270"/>
      <c r="S31" s="270"/>
      <c r="T31" s="270"/>
    </row>
    <row r="32" spans="2:20" ht="15" hidden="1" customHeight="1">
      <c r="B32" s="81"/>
      <c r="C32" s="66"/>
      <c r="D32" s="67">
        <f>C28*Datos_Auxiliares!J19</f>
        <v>0</v>
      </c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R32" s="270"/>
      <c r="S32" s="270"/>
      <c r="T32" s="270"/>
    </row>
    <row r="33" spans="1:20" ht="15" hidden="1" customHeight="1">
      <c r="B33" s="81"/>
      <c r="C33" s="66"/>
      <c r="D33" s="67">
        <f>C29*Datos_Auxiliares!J21</f>
        <v>0</v>
      </c>
      <c r="F33" s="270"/>
      <c r="G33" s="270"/>
      <c r="H33" s="270"/>
      <c r="I33" s="270"/>
      <c r="J33" s="270"/>
      <c r="K33" s="270"/>
      <c r="L33" s="270"/>
      <c r="M33" s="270"/>
      <c r="N33" s="270"/>
      <c r="O33" s="270"/>
      <c r="P33" s="270"/>
      <c r="Q33" s="270"/>
      <c r="R33" s="270"/>
      <c r="S33" s="270"/>
      <c r="T33" s="270"/>
    </row>
    <row r="34" spans="1:20" ht="15" hidden="1" customHeight="1">
      <c r="B34" s="81"/>
      <c r="C34" s="66"/>
      <c r="D34" s="67">
        <f>C30*Datos_Auxiliares!J19</f>
        <v>0</v>
      </c>
      <c r="F34" s="270"/>
      <c r="G34" s="270"/>
      <c r="H34" s="270"/>
      <c r="I34" s="270"/>
      <c r="J34" s="270"/>
      <c r="K34" s="270"/>
      <c r="L34" s="270"/>
      <c r="M34" s="270"/>
      <c r="N34" s="270"/>
      <c r="O34" s="270"/>
      <c r="P34" s="270"/>
      <c r="Q34" s="270"/>
      <c r="R34" s="270"/>
      <c r="S34" s="270"/>
      <c r="T34" s="270"/>
    </row>
    <row r="35" spans="1:20" ht="15" hidden="1" customHeight="1" thickBot="1">
      <c r="B35" s="72"/>
      <c r="C35" s="70"/>
      <c r="D35" s="73">
        <f>C31*Datos_Auxiliares!J21</f>
        <v>0</v>
      </c>
      <c r="F35" s="270"/>
      <c r="G35" s="270"/>
      <c r="H35" s="270"/>
      <c r="I35" s="270"/>
      <c r="J35" s="270"/>
      <c r="K35" s="270"/>
      <c r="L35" s="270"/>
      <c r="M35" s="270"/>
      <c r="N35" s="270"/>
      <c r="O35" s="270"/>
      <c r="P35" s="270"/>
      <c r="Q35" s="270"/>
      <c r="R35" s="270"/>
      <c r="S35" s="270"/>
      <c r="T35" s="270"/>
    </row>
    <row r="36" spans="1:20" ht="15" hidden="1" customHeight="1">
      <c r="B36" s="82"/>
      <c r="C36" s="83"/>
      <c r="D36" s="84">
        <f ca="1">IF(C16="No",(D32+D33)/2,D32+D33)</f>
        <v>0</v>
      </c>
      <c r="F36" s="270"/>
      <c r="G36" s="270"/>
      <c r="H36" s="270"/>
      <c r="I36" s="270"/>
      <c r="J36" s="270"/>
      <c r="K36" s="270"/>
      <c r="L36" s="270"/>
      <c r="M36" s="270"/>
      <c r="N36" s="270"/>
      <c r="O36" s="270"/>
      <c r="P36" s="270"/>
      <c r="Q36" s="270"/>
      <c r="R36" s="270"/>
      <c r="S36" s="270"/>
      <c r="T36" s="270"/>
    </row>
    <row r="37" spans="1:20" ht="15" hidden="1" customHeight="1">
      <c r="B37" s="85"/>
      <c r="C37" s="66"/>
      <c r="D37" s="69">
        <f ca="1">IF(C24=0,0,(D34+D35)/(C24))</f>
        <v>0</v>
      </c>
      <c r="F37" s="270"/>
      <c r="G37" s="270"/>
      <c r="H37" s="270"/>
      <c r="I37" s="270"/>
      <c r="J37" s="270"/>
      <c r="K37" s="270"/>
      <c r="L37" s="270"/>
      <c r="M37" s="270"/>
      <c r="N37" s="270"/>
      <c r="O37" s="270"/>
      <c r="P37" s="270"/>
      <c r="Q37" s="270"/>
      <c r="R37" s="270"/>
      <c r="S37" s="270"/>
      <c r="T37" s="270"/>
    </row>
    <row r="38" spans="1:20" ht="15" hidden="1" customHeight="1">
      <c r="A38" s="57"/>
      <c r="B38" s="85"/>
      <c r="C38" s="66"/>
      <c r="D38" s="69">
        <f ca="1">IF(C42="no",0,Datos_Auxiliares!J15)</f>
        <v>3246</v>
      </c>
      <c r="F38" s="270"/>
      <c r="G38" s="270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70"/>
    </row>
    <row r="39" spans="1:20" ht="15" hidden="1" customHeight="1" thickBot="1">
      <c r="A39" s="57"/>
      <c r="B39" s="56"/>
      <c r="C39" s="70"/>
      <c r="D39" s="73">
        <f ca="1">IF(C44="No",0,Datos_Auxiliares!J17)</f>
        <v>0</v>
      </c>
      <c r="F39" s="270"/>
      <c r="G39" s="270"/>
      <c r="H39" s="270"/>
      <c r="I39" s="270"/>
      <c r="J39" s="270"/>
      <c r="K39" s="270"/>
      <c r="L39" s="270"/>
      <c r="M39" s="270"/>
      <c r="N39" s="270"/>
      <c r="O39" s="270"/>
      <c r="P39" s="270"/>
      <c r="Q39" s="270"/>
      <c r="R39" s="270"/>
      <c r="S39" s="270"/>
      <c r="T39" s="270"/>
    </row>
    <row r="40" spans="1:20" ht="20.100000000000001" customHeight="1" thickBot="1">
      <c r="B40" s="77" t="s">
        <v>132</v>
      </c>
      <c r="C40" s="77"/>
      <c r="D40" s="77"/>
      <c r="E40" s="59"/>
      <c r="F40" s="270"/>
      <c r="G40" s="270"/>
      <c r="H40" s="270"/>
      <c r="I40" s="270"/>
      <c r="J40" s="270"/>
      <c r="K40" s="270"/>
      <c r="L40" s="270"/>
      <c r="M40" s="270"/>
      <c r="N40" s="270"/>
      <c r="O40" s="270"/>
      <c r="P40" s="270"/>
      <c r="Q40" s="270"/>
      <c r="R40" s="270"/>
      <c r="S40" s="270"/>
      <c r="T40" s="270"/>
    </row>
    <row r="41" spans="1:20" ht="20.100000000000001" customHeight="1">
      <c r="B41" s="529" t="s">
        <v>122</v>
      </c>
      <c r="C41" s="530"/>
      <c r="D41" s="63">
        <f ca="1">SUM(D42:D48)</f>
        <v>5562</v>
      </c>
      <c r="F41" s="270"/>
      <c r="G41" s="270"/>
      <c r="H41" s="270"/>
      <c r="I41" s="270"/>
      <c r="J41" s="270"/>
      <c r="K41" s="270"/>
      <c r="L41" s="270"/>
      <c r="M41" s="270"/>
      <c r="N41" s="270"/>
      <c r="O41" s="270"/>
      <c r="P41" s="270"/>
      <c r="Q41" s="270"/>
      <c r="R41" s="270"/>
      <c r="S41" s="270"/>
      <c r="T41" s="270"/>
    </row>
    <row r="42" spans="1:20">
      <c r="B42" s="68" t="s">
        <v>123</v>
      </c>
      <c r="C42" s="64" t="str">
        <f ca="1">LOOKUP(B1,Datos_personales!B3:B52,Datos_personales!W3:W52)</f>
        <v>SI</v>
      </c>
      <c r="D42" s="67">
        <f ca="1">IF(C42="SI",Datos_Auxiliares!J15,0)</f>
        <v>3246</v>
      </c>
      <c r="F42" s="270"/>
      <c r="G42" s="270"/>
      <c r="H42" s="270"/>
      <c r="I42" s="270"/>
      <c r="J42" s="270"/>
      <c r="K42" s="270"/>
      <c r="L42" s="270"/>
      <c r="M42" s="270"/>
      <c r="N42" s="270"/>
      <c r="O42" s="270"/>
      <c r="P42" s="270"/>
      <c r="Q42" s="270"/>
      <c r="R42" s="270"/>
      <c r="S42" s="270"/>
      <c r="T42" s="270"/>
    </row>
    <row r="43" spans="1:20" ht="20.100000000000001" customHeight="1">
      <c r="B43" s="68" t="s">
        <v>241</v>
      </c>
      <c r="C43" s="66" t="str">
        <f ca="1">IF(C42="SI","SI","NO")</f>
        <v>SI</v>
      </c>
      <c r="D43" s="67">
        <f ca="1">IF(C43="SI",Datos_Auxiliares!J16,0)</f>
        <v>2316</v>
      </c>
      <c r="F43" s="270"/>
      <c r="G43" s="270"/>
      <c r="H43" s="270"/>
      <c r="I43" s="270"/>
      <c r="J43" s="270"/>
      <c r="K43" s="270"/>
      <c r="L43" s="270"/>
      <c r="M43" s="270"/>
      <c r="N43" s="270"/>
      <c r="O43" s="270"/>
      <c r="P43" s="270"/>
      <c r="Q43" s="270"/>
      <c r="R43" s="270"/>
      <c r="S43" s="270"/>
      <c r="T43" s="270"/>
    </row>
    <row r="44" spans="1:20" ht="20.100000000000001" customHeight="1">
      <c r="B44" s="68" t="s">
        <v>124</v>
      </c>
      <c r="C44" s="66" t="str">
        <f ca="1">LOOKUP(B1,Datos_personales!B3:B52,Datos_personales!X3:X52)</f>
        <v>NO</v>
      </c>
      <c r="D44" s="67">
        <f ca="1">IF(C44="SI",Datos_Auxiliares!J17,0)</f>
        <v>0</v>
      </c>
      <c r="F44" s="270"/>
      <c r="G44" s="270"/>
      <c r="H44" s="270"/>
      <c r="I44" s="270"/>
      <c r="J44" s="270"/>
      <c r="K44" s="270"/>
      <c r="L44" s="270"/>
      <c r="M44" s="270"/>
      <c r="N44" s="270"/>
      <c r="O44" s="270"/>
      <c r="P44" s="270"/>
      <c r="Q44" s="270"/>
      <c r="R44" s="270"/>
      <c r="S44" s="270"/>
      <c r="T44" s="270"/>
    </row>
    <row r="45" spans="1:20" ht="20.100000000000001" customHeight="1">
      <c r="B45" s="68" t="s">
        <v>241</v>
      </c>
      <c r="C45" s="66" t="str">
        <f ca="1">IF(C44="SI","SI","NO")</f>
        <v>NO</v>
      </c>
      <c r="D45" s="67">
        <f ca="1">IF(C45="SI",Datos_Auxiliares!J18,0)</f>
        <v>0</v>
      </c>
      <c r="F45" s="270"/>
      <c r="G45" s="270"/>
      <c r="H45" s="270"/>
      <c r="I45" s="270"/>
      <c r="J45" s="270"/>
      <c r="K45" s="270"/>
      <c r="L45" s="270"/>
      <c r="M45" s="270"/>
      <c r="N45" s="270"/>
      <c r="O45" s="270"/>
      <c r="P45" s="270"/>
      <c r="Q45" s="270"/>
      <c r="R45" s="270"/>
      <c r="S45" s="270"/>
      <c r="T45" s="270"/>
    </row>
    <row r="46" spans="1:20" ht="20.100000000000001" customHeight="1">
      <c r="B46" s="68" t="s">
        <v>125</v>
      </c>
      <c r="C46" s="66" t="str">
        <f>LOOKUP(B1,Datos_personales!B3:B52,Datos_personales!Y3:Y52)</f>
        <v>NO</v>
      </c>
      <c r="D46" s="67">
        <f>IF(C46="SI",Datos_Auxiliares!J24,0)</f>
        <v>0</v>
      </c>
      <c r="F46" s="270"/>
      <c r="G46" s="270"/>
      <c r="H46" s="270"/>
      <c r="I46" s="270"/>
      <c r="J46" s="270"/>
      <c r="K46" s="270"/>
      <c r="L46" s="270"/>
      <c r="M46" s="270"/>
      <c r="N46" s="270"/>
      <c r="O46" s="270"/>
      <c r="P46" s="270"/>
      <c r="Q46" s="270"/>
      <c r="R46" s="270"/>
      <c r="S46" s="270"/>
      <c r="T46" s="270"/>
    </row>
    <row r="47" spans="1:20" ht="20.100000000000001" customHeight="1">
      <c r="B47" s="68" t="s">
        <v>126</v>
      </c>
      <c r="C47" s="66" t="str">
        <f ca="1">LOOKUP(B1,Datos_personales!B3:B52,Datos_personales!Z3:Z52)</f>
        <v>NO</v>
      </c>
      <c r="D47" s="67">
        <f ca="1">IF(C47="SI",Datos_Auxiliares!J25,0)</f>
        <v>0</v>
      </c>
      <c r="F47" s="270"/>
      <c r="G47" s="270"/>
      <c r="H47" s="270"/>
      <c r="I47" s="270"/>
      <c r="J47" s="270"/>
      <c r="K47" s="270"/>
      <c r="L47" s="270"/>
      <c r="M47" s="270"/>
      <c r="N47" s="270"/>
      <c r="O47" s="270"/>
      <c r="P47" s="270"/>
      <c r="Q47" s="270"/>
      <c r="R47" s="270"/>
      <c r="S47" s="270"/>
      <c r="T47" s="270"/>
    </row>
    <row r="48" spans="1:20" ht="20.100000000000001" customHeight="1" thickBot="1">
      <c r="B48" s="72" t="s">
        <v>127</v>
      </c>
      <c r="C48" s="70" t="str">
        <f>LOOKUP(B1,Datos_personales!B3:B52,Datos_personales!AA3:AA52)</f>
        <v>NO</v>
      </c>
      <c r="D48" s="71">
        <f>IF(C48="SI",Datos_Auxiliares!J26,0)</f>
        <v>0</v>
      </c>
      <c r="F48" s="270"/>
      <c r="G48" s="270"/>
      <c r="H48" s="270"/>
      <c r="I48" s="270"/>
      <c r="J48" s="270"/>
      <c r="K48" s="270"/>
      <c r="L48" s="270"/>
      <c r="M48" s="270"/>
      <c r="N48" s="270"/>
      <c r="O48" s="270"/>
      <c r="P48" s="270"/>
      <c r="Q48" s="270"/>
      <c r="R48" s="270"/>
      <c r="S48" s="270"/>
      <c r="T48" s="270"/>
    </row>
    <row r="49" spans="3:20">
      <c r="F49" s="270"/>
      <c r="G49" s="270"/>
      <c r="H49" s="270"/>
      <c r="I49" s="270"/>
      <c r="J49" s="270"/>
      <c r="K49" s="270"/>
      <c r="L49" s="270"/>
      <c r="M49" s="270"/>
      <c r="N49" s="270"/>
      <c r="O49" s="270"/>
      <c r="P49" s="270"/>
      <c r="Q49" s="270"/>
      <c r="R49" s="270"/>
      <c r="S49" s="270"/>
      <c r="T49" s="270"/>
    </row>
    <row r="50" spans="3:20">
      <c r="C50" s="87" t="s">
        <v>133</v>
      </c>
      <c r="F50" s="270"/>
      <c r="G50" s="270"/>
      <c r="H50" s="270"/>
      <c r="I50" s="270"/>
      <c r="J50" s="270"/>
      <c r="K50" s="270"/>
      <c r="L50" s="270"/>
      <c r="M50" s="270"/>
      <c r="N50" s="270"/>
      <c r="O50" s="270"/>
      <c r="P50" s="270"/>
      <c r="Q50" s="270"/>
      <c r="R50" s="270"/>
      <c r="S50" s="270"/>
      <c r="T50" s="270"/>
    </row>
    <row r="51" spans="3:20">
      <c r="C51" s="87" t="s">
        <v>109</v>
      </c>
      <c r="F51" s="270"/>
      <c r="G51" s="270"/>
      <c r="H51" s="270"/>
      <c r="I51" s="270"/>
      <c r="J51" s="270"/>
      <c r="K51" s="270"/>
      <c r="L51" s="270"/>
      <c r="M51" s="270"/>
      <c r="N51" s="270"/>
      <c r="O51" s="270"/>
      <c r="P51" s="270"/>
      <c r="Q51" s="270"/>
      <c r="R51" s="270"/>
      <c r="S51" s="270"/>
      <c r="T51" s="270"/>
    </row>
    <row r="52" spans="3:20">
      <c r="F52" s="270"/>
      <c r="G52" s="270"/>
      <c r="H52" s="270"/>
      <c r="I52" s="270"/>
      <c r="J52" s="270"/>
      <c r="K52" s="270"/>
      <c r="L52" s="270"/>
      <c r="M52" s="270"/>
      <c r="N52" s="270"/>
      <c r="O52" s="270"/>
      <c r="P52" s="270"/>
      <c r="Q52" s="270"/>
      <c r="R52" s="270"/>
      <c r="S52" s="270"/>
      <c r="T52" s="270"/>
    </row>
    <row r="53" spans="3:20">
      <c r="F53" s="270"/>
      <c r="G53" s="270"/>
      <c r="H53" s="270"/>
      <c r="I53" s="270"/>
      <c r="J53" s="270"/>
      <c r="K53" s="270"/>
      <c r="L53" s="270"/>
      <c r="M53" s="270"/>
      <c r="N53" s="270"/>
      <c r="O53" s="270"/>
      <c r="P53" s="270"/>
      <c r="Q53" s="270"/>
      <c r="R53" s="270"/>
      <c r="S53" s="270"/>
      <c r="T53" s="270"/>
    </row>
    <row r="54" spans="3:20">
      <c r="F54" s="270"/>
      <c r="G54" s="270"/>
      <c r="H54" s="270"/>
      <c r="I54" s="270"/>
      <c r="J54" s="270"/>
      <c r="K54" s="270"/>
      <c r="L54" s="270"/>
      <c r="M54" s="270"/>
      <c r="N54" s="270"/>
      <c r="O54" s="270"/>
      <c r="P54" s="270"/>
      <c r="Q54" s="270"/>
      <c r="R54" s="270"/>
      <c r="S54" s="270"/>
      <c r="T54" s="270"/>
    </row>
    <row r="55" spans="3:20">
      <c r="F55" s="270"/>
      <c r="G55" s="270"/>
      <c r="H55" s="270"/>
      <c r="I55" s="270"/>
      <c r="J55" s="270"/>
      <c r="K55" s="270"/>
      <c r="L55" s="270"/>
      <c r="M55" s="270"/>
      <c r="N55" s="270"/>
      <c r="O55" s="270"/>
      <c r="P55" s="270"/>
      <c r="Q55" s="270"/>
      <c r="R55" s="270"/>
      <c r="S55" s="270"/>
      <c r="T55" s="270"/>
    </row>
    <row r="56" spans="3:20">
      <c r="F56" s="270"/>
      <c r="G56" s="270"/>
      <c r="H56" s="270"/>
      <c r="I56" s="270"/>
      <c r="J56" s="270"/>
      <c r="K56" s="270"/>
      <c r="L56" s="270"/>
      <c r="M56" s="270"/>
      <c r="N56" s="270"/>
      <c r="O56" s="270"/>
      <c r="P56" s="270"/>
      <c r="Q56" s="270"/>
      <c r="R56" s="270"/>
      <c r="S56" s="270"/>
      <c r="T56" s="270"/>
    </row>
    <row r="57" spans="3:20">
      <c r="F57" s="270"/>
      <c r="G57" s="270"/>
      <c r="H57" s="270"/>
      <c r="I57" s="270"/>
      <c r="J57" s="270"/>
      <c r="K57" s="270"/>
      <c r="L57" s="270"/>
      <c r="M57" s="270"/>
      <c r="N57" s="270"/>
      <c r="O57" s="270"/>
      <c r="P57" s="270"/>
      <c r="Q57" s="270"/>
      <c r="R57" s="270"/>
      <c r="S57" s="270"/>
      <c r="T57" s="270"/>
    </row>
    <row r="58" spans="3:20">
      <c r="F58" s="270"/>
      <c r="G58" s="270"/>
      <c r="H58" s="270"/>
      <c r="I58" s="270"/>
      <c r="J58" s="270"/>
      <c r="K58" s="270"/>
      <c r="L58" s="270"/>
      <c r="M58" s="270"/>
      <c r="N58" s="270"/>
      <c r="O58" s="270"/>
      <c r="P58" s="270"/>
      <c r="Q58" s="270"/>
      <c r="R58" s="270"/>
      <c r="S58" s="270"/>
      <c r="T58" s="270"/>
    </row>
    <row r="59" spans="3:20">
      <c r="F59" s="270"/>
      <c r="G59" s="270"/>
      <c r="H59" s="270"/>
      <c r="I59" s="270"/>
      <c r="J59" s="270"/>
      <c r="K59" s="270"/>
      <c r="L59" s="270"/>
      <c r="M59" s="270"/>
      <c r="N59" s="270"/>
      <c r="O59" s="270"/>
      <c r="P59" s="270"/>
      <c r="Q59" s="270"/>
      <c r="R59" s="270"/>
      <c r="S59" s="270"/>
      <c r="T59" s="270"/>
    </row>
    <row r="60" spans="3:20">
      <c r="F60" s="270"/>
      <c r="G60" s="270"/>
      <c r="H60" s="270"/>
      <c r="I60" s="270"/>
      <c r="J60" s="270"/>
      <c r="K60" s="270"/>
      <c r="L60" s="270"/>
      <c r="M60" s="270"/>
      <c r="N60" s="270"/>
      <c r="O60" s="270"/>
      <c r="P60" s="270"/>
      <c r="Q60" s="270"/>
      <c r="R60" s="270"/>
      <c r="S60" s="270"/>
      <c r="T60" s="270"/>
    </row>
    <row r="61" spans="3:20">
      <c r="F61" s="270"/>
      <c r="G61" s="270"/>
      <c r="H61" s="270"/>
      <c r="I61" s="270"/>
      <c r="J61" s="270"/>
      <c r="K61" s="270"/>
      <c r="L61" s="270"/>
      <c r="M61" s="270"/>
      <c r="N61" s="270"/>
      <c r="O61" s="270"/>
      <c r="P61" s="270"/>
      <c r="Q61" s="270"/>
      <c r="R61" s="270"/>
      <c r="S61" s="270"/>
      <c r="T61" s="270"/>
    </row>
    <row r="62" spans="3:20">
      <c r="F62" s="270"/>
      <c r="G62" s="270"/>
      <c r="H62" s="270"/>
      <c r="I62" s="270"/>
      <c r="J62" s="270"/>
      <c r="K62" s="270"/>
      <c r="L62" s="270"/>
      <c r="M62" s="270"/>
      <c r="N62" s="270"/>
      <c r="O62" s="270"/>
      <c r="P62" s="270"/>
      <c r="Q62" s="270"/>
      <c r="R62" s="270"/>
      <c r="S62" s="270"/>
      <c r="T62" s="270"/>
    </row>
    <row r="63" spans="3:20">
      <c r="F63" s="270"/>
      <c r="G63" s="270"/>
      <c r="H63" s="270"/>
      <c r="I63" s="270"/>
      <c r="J63" s="270"/>
      <c r="K63" s="270"/>
      <c r="L63" s="270"/>
      <c r="M63" s="270"/>
      <c r="N63" s="270"/>
      <c r="O63" s="270"/>
      <c r="P63" s="270"/>
      <c r="Q63" s="270"/>
      <c r="R63" s="270"/>
      <c r="S63" s="270"/>
      <c r="T63" s="270"/>
    </row>
    <row r="64" spans="3:20"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</row>
    <row r="65" spans="6:20">
      <c r="F65" s="270"/>
      <c r="G65" s="270"/>
      <c r="H65" s="270"/>
      <c r="I65" s="270"/>
      <c r="J65" s="270"/>
      <c r="K65" s="270"/>
      <c r="L65" s="270"/>
      <c r="M65" s="270"/>
      <c r="N65" s="270"/>
      <c r="O65" s="270"/>
      <c r="P65" s="270"/>
      <c r="Q65" s="270"/>
      <c r="R65" s="270"/>
      <c r="S65" s="270"/>
      <c r="T65" s="270"/>
    </row>
    <row r="66" spans="6:20">
      <c r="F66" s="270"/>
      <c r="G66" s="270"/>
      <c r="H66" s="270"/>
      <c r="I66" s="270"/>
      <c r="J66" s="270"/>
      <c r="K66" s="270"/>
      <c r="L66" s="270"/>
      <c r="M66" s="270"/>
      <c r="N66" s="270"/>
      <c r="O66" s="270"/>
      <c r="P66" s="270"/>
      <c r="Q66" s="270"/>
      <c r="R66" s="270"/>
      <c r="S66" s="270"/>
      <c r="T66" s="270"/>
    </row>
    <row r="67" spans="6:20">
      <c r="F67" s="270"/>
      <c r="G67" s="270"/>
      <c r="H67" s="270"/>
      <c r="I67" s="270"/>
      <c r="J67" s="270"/>
      <c r="K67" s="270"/>
      <c r="L67" s="270"/>
      <c r="M67" s="270"/>
      <c r="N67" s="270"/>
      <c r="O67" s="270"/>
      <c r="P67" s="270"/>
      <c r="Q67" s="270"/>
      <c r="R67" s="270"/>
      <c r="S67" s="270"/>
      <c r="T67" s="270"/>
    </row>
    <row r="68" spans="6:20">
      <c r="F68" s="270"/>
      <c r="G68" s="270"/>
      <c r="H68" s="270"/>
      <c r="I68" s="270"/>
      <c r="J68" s="270"/>
      <c r="K68" s="270"/>
      <c r="L68" s="270"/>
      <c r="M68" s="270"/>
      <c r="N68" s="270"/>
      <c r="O68" s="270"/>
      <c r="P68" s="270"/>
      <c r="Q68" s="270"/>
      <c r="R68" s="270"/>
      <c r="S68" s="270"/>
      <c r="T68" s="270"/>
    </row>
    <row r="69" spans="6:20">
      <c r="F69" s="270"/>
      <c r="G69" s="270"/>
      <c r="H69" s="270"/>
      <c r="I69" s="270"/>
      <c r="J69" s="270"/>
      <c r="K69" s="270"/>
      <c r="L69" s="270"/>
      <c r="M69" s="270"/>
      <c r="N69" s="270"/>
      <c r="O69" s="270"/>
      <c r="P69" s="270"/>
      <c r="Q69" s="270"/>
      <c r="R69" s="270"/>
      <c r="S69" s="270"/>
      <c r="T69" s="270"/>
    </row>
    <row r="70" spans="6:20">
      <c r="F70" s="270"/>
      <c r="G70" s="270"/>
      <c r="H70" s="270"/>
      <c r="I70" s="270"/>
      <c r="J70" s="270"/>
      <c r="K70" s="270"/>
      <c r="L70" s="270"/>
      <c r="M70" s="270"/>
      <c r="N70" s="270"/>
      <c r="O70" s="270"/>
      <c r="P70" s="270"/>
      <c r="Q70" s="270"/>
      <c r="R70" s="270"/>
      <c r="S70" s="270"/>
      <c r="T70" s="270"/>
    </row>
    <row r="71" spans="6:20">
      <c r="F71" s="270"/>
      <c r="G71" s="270"/>
      <c r="H71" s="270"/>
      <c r="I71" s="270"/>
      <c r="J71" s="270"/>
      <c r="K71" s="270"/>
      <c r="L71" s="270"/>
      <c r="M71" s="270"/>
      <c r="N71" s="270"/>
      <c r="O71" s="270"/>
      <c r="P71" s="270"/>
      <c r="Q71" s="270"/>
      <c r="R71" s="270"/>
      <c r="S71" s="270"/>
      <c r="T71" s="270"/>
    </row>
    <row r="72" spans="6:20">
      <c r="F72" s="270"/>
      <c r="G72" s="270"/>
      <c r="H72" s="270"/>
      <c r="I72" s="270"/>
      <c r="J72" s="270"/>
      <c r="K72" s="270"/>
      <c r="L72" s="270"/>
      <c r="M72" s="270"/>
      <c r="N72" s="270"/>
      <c r="O72" s="270"/>
      <c r="P72" s="270"/>
      <c r="Q72" s="270"/>
      <c r="R72" s="270"/>
      <c r="S72" s="270"/>
      <c r="T72" s="270"/>
    </row>
    <row r="73" spans="6:20">
      <c r="F73" s="270"/>
      <c r="G73" s="270"/>
      <c r="H73" s="270"/>
      <c r="I73" s="270"/>
      <c r="J73" s="270"/>
      <c r="K73" s="270"/>
      <c r="L73" s="270"/>
      <c r="M73" s="270"/>
      <c r="N73" s="270"/>
      <c r="O73" s="270"/>
      <c r="P73" s="270"/>
      <c r="Q73" s="270"/>
      <c r="R73" s="270"/>
      <c r="S73" s="270"/>
      <c r="T73" s="270"/>
    </row>
    <row r="74" spans="6:20">
      <c r="F74" s="270"/>
      <c r="G74" s="270"/>
      <c r="H74" s="270"/>
      <c r="I74" s="270"/>
      <c r="J74" s="270"/>
      <c r="K74" s="270"/>
      <c r="L74" s="270"/>
      <c r="M74" s="270"/>
      <c r="N74" s="270"/>
      <c r="O74" s="270"/>
      <c r="P74" s="270"/>
      <c r="Q74" s="270"/>
      <c r="R74" s="270"/>
      <c r="S74" s="270"/>
      <c r="T74" s="270"/>
    </row>
    <row r="75" spans="6:20">
      <c r="F75" s="270"/>
      <c r="G75" s="270"/>
      <c r="H75" s="270"/>
      <c r="I75" s="270"/>
      <c r="J75" s="270"/>
      <c r="K75" s="270"/>
      <c r="L75" s="270"/>
      <c r="M75" s="270"/>
      <c r="N75" s="270"/>
      <c r="O75" s="270"/>
      <c r="P75" s="270"/>
      <c r="Q75" s="270"/>
      <c r="R75" s="270"/>
      <c r="S75" s="270"/>
      <c r="T75" s="270"/>
    </row>
    <row r="76" spans="6:20">
      <c r="F76" s="270"/>
      <c r="G76" s="270"/>
      <c r="H76" s="270"/>
      <c r="I76" s="270"/>
      <c r="J76" s="270"/>
      <c r="K76" s="270"/>
      <c r="L76" s="270"/>
      <c r="M76" s="270"/>
      <c r="N76" s="270"/>
      <c r="O76" s="270"/>
      <c r="P76" s="270"/>
      <c r="Q76" s="270"/>
      <c r="R76" s="270"/>
      <c r="S76" s="270"/>
      <c r="T76" s="270"/>
    </row>
    <row r="77" spans="6:20">
      <c r="F77" s="270"/>
      <c r="G77" s="270"/>
      <c r="H77" s="270"/>
      <c r="I77" s="270"/>
      <c r="J77" s="270"/>
      <c r="K77" s="270"/>
      <c r="L77" s="270"/>
      <c r="M77" s="270"/>
      <c r="N77" s="270"/>
      <c r="O77" s="270"/>
      <c r="P77" s="270"/>
      <c r="Q77" s="270"/>
      <c r="R77" s="270"/>
      <c r="S77" s="270"/>
      <c r="T77" s="270"/>
    </row>
    <row r="78" spans="6:20">
      <c r="F78" s="270"/>
      <c r="G78" s="270"/>
      <c r="H78" s="270"/>
      <c r="I78" s="270"/>
      <c r="J78" s="270"/>
      <c r="K78" s="270"/>
      <c r="L78" s="270"/>
      <c r="M78" s="270"/>
      <c r="N78" s="270"/>
      <c r="O78" s="270"/>
      <c r="P78" s="270"/>
      <c r="Q78" s="270"/>
      <c r="R78" s="270"/>
      <c r="S78" s="270"/>
      <c r="T78" s="270"/>
    </row>
    <row r="79" spans="6:20">
      <c r="F79" s="270"/>
      <c r="G79" s="270"/>
      <c r="H79" s="270"/>
      <c r="I79" s="270"/>
      <c r="J79" s="270"/>
      <c r="K79" s="270"/>
      <c r="L79" s="270"/>
      <c r="M79" s="270"/>
      <c r="N79" s="270"/>
      <c r="O79" s="270"/>
      <c r="P79" s="270"/>
      <c r="Q79" s="270"/>
      <c r="R79" s="270"/>
      <c r="S79" s="270"/>
      <c r="T79" s="270"/>
    </row>
    <row r="80" spans="6:20">
      <c r="F80" s="270"/>
      <c r="G80" s="270"/>
      <c r="H80" s="270"/>
      <c r="I80" s="270"/>
      <c r="J80" s="270"/>
      <c r="K80" s="270"/>
      <c r="L80" s="270"/>
      <c r="M80" s="270"/>
      <c r="N80" s="270"/>
      <c r="O80" s="270"/>
      <c r="P80" s="270"/>
      <c r="Q80" s="270"/>
      <c r="R80" s="270"/>
      <c r="S80" s="270"/>
      <c r="T80" s="270"/>
    </row>
    <row r="81" spans="6:20">
      <c r="F81" s="270"/>
      <c r="G81" s="270"/>
      <c r="H81" s="270"/>
      <c r="I81" s="270"/>
      <c r="J81" s="270"/>
      <c r="K81" s="270"/>
      <c r="L81" s="270"/>
      <c r="M81" s="270"/>
      <c r="N81" s="270"/>
      <c r="O81" s="270"/>
      <c r="P81" s="270"/>
      <c r="Q81" s="270"/>
      <c r="R81" s="270"/>
      <c r="S81" s="270"/>
      <c r="T81" s="270"/>
    </row>
    <row r="82" spans="6:20">
      <c r="F82" s="270"/>
      <c r="G82" s="270"/>
      <c r="H82" s="270"/>
      <c r="I82" s="270"/>
      <c r="J82" s="270"/>
      <c r="K82" s="270"/>
      <c r="L82" s="270"/>
      <c r="M82" s="270"/>
      <c r="N82" s="270"/>
      <c r="O82" s="270"/>
      <c r="P82" s="270"/>
      <c r="Q82" s="270"/>
      <c r="R82" s="270"/>
      <c r="S82" s="270"/>
      <c r="T82" s="270"/>
    </row>
    <row r="83" spans="6:20">
      <c r="F83" s="270"/>
      <c r="G83" s="270"/>
      <c r="H83" s="270"/>
      <c r="I83" s="270"/>
      <c r="J83" s="270"/>
      <c r="K83" s="270"/>
      <c r="L83" s="270"/>
      <c r="M83" s="270"/>
      <c r="N83" s="270"/>
      <c r="O83" s="270"/>
      <c r="P83" s="270"/>
      <c r="Q83" s="270"/>
      <c r="R83" s="270"/>
      <c r="S83" s="270"/>
      <c r="T83" s="270"/>
    </row>
    <row r="84" spans="6:20">
      <c r="F84" s="270"/>
      <c r="G84" s="270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</row>
    <row r="85" spans="6:20">
      <c r="F85" s="270"/>
      <c r="G85" s="270"/>
      <c r="H85" s="270"/>
      <c r="I85" s="270"/>
      <c r="J85" s="270"/>
      <c r="K85" s="270"/>
      <c r="L85" s="270"/>
      <c r="M85" s="270"/>
      <c r="N85" s="270"/>
      <c r="O85" s="270"/>
      <c r="P85" s="270"/>
      <c r="Q85" s="270"/>
      <c r="R85" s="270"/>
      <c r="S85" s="270"/>
      <c r="T85" s="270"/>
    </row>
    <row r="86" spans="6:20">
      <c r="F86" s="270"/>
      <c r="G86" s="270"/>
      <c r="H86" s="270"/>
      <c r="I86" s="270"/>
      <c r="J86" s="270"/>
      <c r="K86" s="270"/>
      <c r="L86" s="270"/>
      <c r="M86" s="270"/>
      <c r="N86" s="270"/>
      <c r="O86" s="270"/>
      <c r="P86" s="270"/>
      <c r="Q86" s="270"/>
      <c r="R86" s="270"/>
      <c r="S86" s="270"/>
      <c r="T86" s="270"/>
    </row>
    <row r="87" spans="6:20">
      <c r="F87" s="270"/>
      <c r="G87" s="270"/>
      <c r="H87" s="270"/>
      <c r="I87" s="270"/>
      <c r="J87" s="270"/>
      <c r="K87" s="270"/>
      <c r="L87" s="270"/>
      <c r="M87" s="270"/>
      <c r="N87" s="270"/>
      <c r="O87" s="270"/>
      <c r="P87" s="270"/>
      <c r="Q87" s="270"/>
      <c r="R87" s="270"/>
      <c r="S87" s="270"/>
      <c r="T87" s="270"/>
    </row>
    <row r="88" spans="6:20">
      <c r="F88" s="270"/>
      <c r="G88" s="270"/>
      <c r="H88" s="270"/>
      <c r="I88" s="270"/>
      <c r="J88" s="270"/>
      <c r="K88" s="270"/>
      <c r="L88" s="270"/>
      <c r="M88" s="270"/>
      <c r="N88" s="270"/>
      <c r="O88" s="270"/>
      <c r="P88" s="270"/>
      <c r="Q88" s="270"/>
      <c r="R88" s="270"/>
      <c r="S88" s="270"/>
      <c r="T88" s="270"/>
    </row>
  </sheetData>
  <mergeCells count="15">
    <mergeCell ref="I2:J2"/>
    <mergeCell ref="I3:J3"/>
    <mergeCell ref="I4:J4"/>
    <mergeCell ref="I5:J5"/>
    <mergeCell ref="I6:J6"/>
    <mergeCell ref="F2:G2"/>
    <mergeCell ref="F3:G3"/>
    <mergeCell ref="F4:G4"/>
    <mergeCell ref="F5:G5"/>
    <mergeCell ref="F6:G6"/>
    <mergeCell ref="B27:C27"/>
    <mergeCell ref="B41:C41"/>
    <mergeCell ref="B7:C7"/>
    <mergeCell ref="B18:C18"/>
    <mergeCell ref="B2:C2"/>
  </mergeCells>
  <dataValidations count="1">
    <dataValidation type="list" allowBlank="1" showInputMessage="1" showErrorMessage="1" sqref="C42:C48">
      <formula1>$C$50:$C$51</formula1>
    </dataValidation>
  </dataValidations>
  <pageMargins left="0.7" right="0.7" top="0.75" bottom="0.75" header="0.3" footer="0.3"/>
  <pageSetup paperSize="9" orientation="portrait" r:id="rId1"/>
  <ignoredErrors>
    <ignoredError sqref="C44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90" zoomScaleNormal="90" workbookViewId="0">
      <pane ySplit="1" topLeftCell="A5" activePane="bottomLeft" state="frozen"/>
      <selection pane="bottomLeft" activeCell="D23" sqref="D23"/>
    </sheetView>
  </sheetViews>
  <sheetFormatPr baseColWidth="10" defaultRowHeight="15"/>
  <cols>
    <col min="1" max="1" width="25.7109375" customWidth="1"/>
    <col min="2" max="2" width="12" bestFit="1" customWidth="1"/>
    <col min="3" max="3" width="20.7109375" customWidth="1"/>
    <col min="4" max="4" width="11.85546875" bestFit="1" customWidth="1"/>
    <col min="5" max="5" width="20.7109375" customWidth="1"/>
    <col min="6" max="6" width="12.140625" bestFit="1" customWidth="1"/>
  </cols>
  <sheetData>
    <row r="1" spans="1:9" s="17" customFormat="1">
      <c r="A1" s="17" t="str">
        <f>'1'!G11</f>
        <v>Felipe González López</v>
      </c>
    </row>
    <row r="2" spans="1:9" ht="18.75" thickBot="1">
      <c r="A2" s="542" t="s">
        <v>311</v>
      </c>
      <c r="B2" s="542"/>
      <c r="C2" s="542"/>
      <c r="D2" s="542"/>
      <c r="E2" s="542"/>
      <c r="F2" s="504">
        <f ca="1">SUM(B3:B12)</f>
        <v>925.44299999999998</v>
      </c>
      <c r="H2" s="90">
        <f ca="1">F2+F15+F20+D23+F24</f>
        <v>1005.443</v>
      </c>
      <c r="I2" s="90">
        <f ca="1">F2+F15+F17+F22+F24</f>
        <v>1005.443</v>
      </c>
    </row>
    <row r="3" spans="1:9" ht="23.25" thickBot="1">
      <c r="A3" s="208" t="s">
        <v>262</v>
      </c>
      <c r="B3" s="209">
        <f>SUM(D3,F3)</f>
        <v>214.78800000000001</v>
      </c>
      <c r="C3" s="210" t="s">
        <v>54</v>
      </c>
      <c r="D3" s="211">
        <f>LOOKUP('1'!G11,Datos_personales!B3:B52,Datos_Convenio!O3:O52)</f>
        <v>172.78800000000001</v>
      </c>
      <c r="E3" s="212" t="s">
        <v>261</v>
      </c>
      <c r="F3" s="213">
        <f>LOOKUP('1'!G11,Datos_personales!B3:B52,Datos_Convenio!P3:P52)</f>
        <v>42</v>
      </c>
      <c r="H3">
        <f>'2'!K2</f>
        <v>1727.88</v>
      </c>
      <c r="I3">
        <f>H3</f>
        <v>1727.88</v>
      </c>
    </row>
    <row r="4" spans="1:9" ht="22.5">
      <c r="A4" s="546" t="s">
        <v>263</v>
      </c>
      <c r="B4" s="547">
        <f ca="1">SUM(D4:D5,F4:F5)</f>
        <v>254.67</v>
      </c>
      <c r="C4" s="308" t="s">
        <v>264</v>
      </c>
      <c r="D4" s="199">
        <f>LOOKUP('1'!G11,Datos_personales!B3:B52,Datos_Variables!H3:H52)</f>
        <v>0</v>
      </c>
      <c r="E4" s="308" t="s">
        <v>58</v>
      </c>
      <c r="F4" s="202">
        <f>LOOKUP(A1,Datos_personales!B3:B52,Datos_Variables!D3:D52)</f>
        <v>120</v>
      </c>
      <c r="H4" s="90">
        <f ca="1">H2+H3</f>
        <v>2733.3230000000003</v>
      </c>
      <c r="I4" s="90">
        <f ca="1">I2+I3</f>
        <v>2733.3230000000003</v>
      </c>
    </row>
    <row r="5" spans="1:9" ht="23.25" thickBot="1">
      <c r="A5" s="546"/>
      <c r="B5" s="547"/>
      <c r="C5" s="308" t="s">
        <v>370</v>
      </c>
      <c r="D5" s="199">
        <f>LOOKUP(A1,Datos_personales!B3:B52,Datos_Variables!I3:I52)</f>
        <v>75</v>
      </c>
      <c r="E5" s="308" t="s">
        <v>59</v>
      </c>
      <c r="F5" s="202">
        <f ca="1">LOOKUP(A1,Datos_personales!B3:B52,Datos_Variables!G3:G52)</f>
        <v>59.669999999999995</v>
      </c>
    </row>
    <row r="6" spans="1:9">
      <c r="A6" s="550" t="s">
        <v>314</v>
      </c>
      <c r="B6" s="548">
        <f>SUM(D6:D7,F6:F7)</f>
        <v>240</v>
      </c>
      <c r="C6" s="307" t="s">
        <v>61</v>
      </c>
      <c r="D6" s="200">
        <f>LOOKUP(A1,Datos_personales!B3:B52,Datos_Variables!P3:P52)</f>
        <v>240</v>
      </c>
      <c r="E6" s="307" t="s">
        <v>310</v>
      </c>
      <c r="F6" s="201">
        <f>LOOKUP(A1,Datos_personales!B3:B52,Datos_Variables!O3:O52)</f>
        <v>0</v>
      </c>
    </row>
    <row r="7" spans="1:9">
      <c r="A7" s="546"/>
      <c r="B7" s="547"/>
      <c r="C7" s="308" t="s">
        <v>308</v>
      </c>
      <c r="D7" s="199">
        <f>LOOKUP(A1,Datos_personales!B3:B52,Datos_Variables!Q3:Q52)</f>
        <v>0</v>
      </c>
      <c r="E7" s="308"/>
      <c r="F7" s="269"/>
    </row>
    <row r="8" spans="1:9" ht="23.25" thickBot="1">
      <c r="A8" s="551"/>
      <c r="B8" s="549"/>
      <c r="C8" s="203" t="s">
        <v>309</v>
      </c>
      <c r="D8" s="206">
        <f ca="1">LOOKUP(A1,Datos_personales!B3:B52,Datos_Variables!N3:N52)</f>
        <v>361.69200000000001</v>
      </c>
      <c r="E8" s="203" t="s">
        <v>348</v>
      </c>
      <c r="F8" s="207">
        <f ca="1">LOOKUP(A1,Datos_personales!B3:B52,Datos_Variables!L3:L52)</f>
        <v>68</v>
      </c>
    </row>
    <row r="9" spans="1:9">
      <c r="A9" s="544" t="s">
        <v>265</v>
      </c>
      <c r="B9" s="548">
        <f>SUM(D9,D10,F9)</f>
        <v>215.98500000000001</v>
      </c>
      <c r="C9" s="237" t="s">
        <v>266</v>
      </c>
      <c r="D9" s="200">
        <f>('2'!K3*'2'!K6)/12</f>
        <v>215.98500000000001</v>
      </c>
      <c r="E9" s="237" t="s">
        <v>267</v>
      </c>
      <c r="F9" s="204">
        <v>0</v>
      </c>
    </row>
    <row r="10" spans="1:9" ht="23.25" thickBot="1">
      <c r="A10" s="545"/>
      <c r="B10" s="549"/>
      <c r="C10" s="203" t="s">
        <v>63</v>
      </c>
      <c r="D10" s="206">
        <v>0</v>
      </c>
      <c r="E10" s="205"/>
      <c r="F10" s="207"/>
    </row>
    <row r="11" spans="1:9" ht="18">
      <c r="A11" s="550" t="s">
        <v>268</v>
      </c>
      <c r="B11" s="548"/>
      <c r="C11" s="237" t="s">
        <v>271</v>
      </c>
      <c r="D11" s="214">
        <f>LOOKUP(A1,Datos_personales!B3:B52,Datos_Variables!S3:S52)</f>
        <v>0</v>
      </c>
      <c r="E11" s="217" t="s">
        <v>274</v>
      </c>
      <c r="F11" s="218">
        <f>LOOKUP(A1,Datos_personales!B3:B52,Datos_Variables!T3:T52)</f>
        <v>0</v>
      </c>
    </row>
    <row r="12" spans="1:9" ht="15.75" thickBot="1">
      <c r="A12" s="551"/>
      <c r="B12" s="549"/>
      <c r="C12" s="203" t="s">
        <v>269</v>
      </c>
      <c r="D12" s="215">
        <f>LOOKUP(A1,Datos_personales!B3:B52,Datos_Variables!U3:U52)</f>
        <v>0</v>
      </c>
      <c r="E12" s="205"/>
      <c r="F12" s="216"/>
    </row>
    <row r="13" spans="1:9" ht="18.75" thickBot="1">
      <c r="A13" s="552" t="s">
        <v>312</v>
      </c>
      <c r="B13" s="553"/>
      <c r="C13" s="553"/>
      <c r="D13" s="553"/>
      <c r="E13" s="553"/>
      <c r="F13" s="554"/>
    </row>
    <row r="14" spans="1:9" ht="15.75" thickBot="1">
      <c r="A14" s="539" t="s">
        <v>272</v>
      </c>
      <c r="B14" s="539"/>
      <c r="C14" s="539"/>
      <c r="D14" s="539"/>
      <c r="E14" s="539"/>
      <c r="F14" s="539"/>
    </row>
    <row r="15" spans="1:9">
      <c r="A15" s="236" t="s">
        <v>223</v>
      </c>
      <c r="B15" s="234">
        <f>LOOKUP(A1,Datos_personales!B3:B52,Datos_Variables!W3:W52)</f>
        <v>0</v>
      </c>
      <c r="C15" s="237" t="s">
        <v>216</v>
      </c>
      <c r="D15" s="200">
        <f>LOOKUP(A1,Datos_personales!B3:B52,Datos_Variables!Y3:Y52)</f>
        <v>0</v>
      </c>
      <c r="E15" s="274" t="s">
        <v>4</v>
      </c>
      <c r="F15" s="201">
        <f>B15+D15+B16+D16</f>
        <v>80</v>
      </c>
    </row>
    <row r="16" spans="1:9" ht="15.75" thickBot="1">
      <c r="A16" s="275" t="s">
        <v>273</v>
      </c>
      <c r="B16" s="235">
        <f>LOOKUP(A1,Datos_personales!B3:B52,Datos_Variables!X3:X52)</f>
        <v>0</v>
      </c>
      <c r="C16" s="203" t="s">
        <v>205</v>
      </c>
      <c r="D16" s="206">
        <f>LOOKUP(A1,Datos_personales!B3:B52,Datos_Variables!Z3:Z52)</f>
        <v>80</v>
      </c>
      <c r="E16" s="203"/>
      <c r="F16" s="276"/>
    </row>
    <row r="17" spans="1:8" ht="15.75" thickBot="1">
      <c r="A17" s="543" t="s">
        <v>275</v>
      </c>
      <c r="B17" s="543"/>
      <c r="C17" s="543"/>
      <c r="D17" s="543"/>
      <c r="E17" s="543"/>
      <c r="F17" s="229">
        <f ca="1">D21</f>
        <v>0</v>
      </c>
    </row>
    <row r="18" spans="1:8">
      <c r="A18" s="540" t="s">
        <v>276</v>
      </c>
      <c r="B18" s="228" t="s">
        <v>277</v>
      </c>
      <c r="C18" s="226">
        <v>53.34</v>
      </c>
      <c r="D18" s="537" t="s">
        <v>279</v>
      </c>
      <c r="E18" s="228" t="s">
        <v>277</v>
      </c>
      <c r="F18" s="225">
        <v>26.67</v>
      </c>
      <c r="G18" s="254">
        <f ca="1">IF(AND(B20="SI",B21="España"),D20*C18,IF(AND(B20="SI",B21="Extranjero"),D20*C19,IF(AND(B20="NO",B21="España"),D20*F19,IF(AND(B20="NO",B21="Extranjero"),D20*F18))))</f>
        <v>144.24</v>
      </c>
    </row>
    <row r="19" spans="1:8">
      <c r="A19" s="541"/>
      <c r="B19" s="233" t="s">
        <v>278</v>
      </c>
      <c r="C19" s="227">
        <v>91.35</v>
      </c>
      <c r="D19" s="538"/>
      <c r="E19" s="233" t="s">
        <v>278</v>
      </c>
      <c r="F19" s="219">
        <v>48.08</v>
      </c>
    </row>
    <row r="20" spans="1:8">
      <c r="A20" s="223" t="s">
        <v>280</v>
      </c>
      <c r="B20" s="256" t="str">
        <f ca="1">LOOKUP(A1,Datos_personales!B3:B52,Datos_Variables!AB3:AB52)</f>
        <v>NO</v>
      </c>
      <c r="C20" s="222" t="s">
        <v>281</v>
      </c>
      <c r="D20" s="259">
        <f ca="1">LOOKUP(A1,Datos_personales!B3:B52,Datos_Variables!AD3:AD52)</f>
        <v>3</v>
      </c>
      <c r="E20" s="222" t="s">
        <v>4</v>
      </c>
      <c r="F20" s="253">
        <f>LOOKUP(A1,Datos_personales!B3:B52,Datos_Variables!AE3:AE52)</f>
        <v>0</v>
      </c>
      <c r="G20" s="317" t="s">
        <v>133</v>
      </c>
      <c r="H20" s="317" t="s">
        <v>277</v>
      </c>
    </row>
    <row r="21" spans="1:8" ht="15.75" thickBot="1">
      <c r="A21" s="220" t="s">
        <v>282</v>
      </c>
      <c r="B21" s="258" t="str">
        <f ca="1">LOOKUP(A1,Datos_personales!B3:B52,Datos_Variables!AC3:AC52)</f>
        <v>ESPAÑA</v>
      </c>
      <c r="C21" s="224" t="s">
        <v>283</v>
      </c>
      <c r="D21" s="252">
        <f ca="1">IF((F20-G18)&lt;0,0,F20-G18)</f>
        <v>0</v>
      </c>
      <c r="E21" s="224"/>
      <c r="F21" s="221"/>
      <c r="G21" s="317" t="s">
        <v>109</v>
      </c>
      <c r="H21" s="317" t="s">
        <v>278</v>
      </c>
    </row>
    <row r="22" spans="1:8">
      <c r="A22" s="536" t="s">
        <v>217</v>
      </c>
      <c r="B22" s="536"/>
      <c r="C22" s="536"/>
      <c r="D22" s="536"/>
      <c r="E22" s="536"/>
      <c r="F22" s="229">
        <f ca="1">IF(G23&gt;0,G23,0)</f>
        <v>0</v>
      </c>
    </row>
    <row r="23" spans="1:8">
      <c r="A23" s="222" t="s">
        <v>284</v>
      </c>
      <c r="B23" s="256" t="str">
        <f ca="1">LOOKUP(A1,Datos_personales!B3:B52,Datos_Variables!AH3:AH52)</f>
        <v>SI</v>
      </c>
      <c r="C23" s="222" t="s">
        <v>285</v>
      </c>
      <c r="D23" s="256">
        <f>LOOKUP(A1,Datos_personales!B3:B52,Datos_Variables!AG3:AG52)</f>
        <v>0</v>
      </c>
      <c r="E23" s="222" t="s">
        <v>286</v>
      </c>
      <c r="F23" s="257">
        <f>LOOKUP(A1,Datos_personales!B3:B52,Datos_Variables!AI3:AI52)</f>
        <v>0</v>
      </c>
      <c r="G23" s="255">
        <f ca="1">IF(B23="NO",D23-(0.19*F23),0)</f>
        <v>0</v>
      </c>
    </row>
    <row r="24" spans="1:8">
      <c r="A24" s="539" t="s">
        <v>122</v>
      </c>
      <c r="B24" s="539"/>
      <c r="C24" s="539"/>
      <c r="D24" s="539"/>
      <c r="E24" s="539"/>
      <c r="F24" s="229">
        <f>SUM(B25+D25)</f>
        <v>0</v>
      </c>
    </row>
    <row r="25" spans="1:8" ht="15" customHeight="1">
      <c r="A25" s="534" t="s">
        <v>287</v>
      </c>
      <c r="B25" s="535">
        <f>LOOKUP(A1,Datos_personales!B3:B52,Datos_Variables!AK3:AK52)</f>
        <v>0</v>
      </c>
      <c r="C25" s="534" t="s">
        <v>290</v>
      </c>
      <c r="D25" s="231">
        <f>LOOKUP(A1,Datos_personales!B3:B52,Datos_Variables!AN3:AN52)</f>
        <v>0</v>
      </c>
      <c r="E25" s="318"/>
      <c r="F25" s="231"/>
    </row>
    <row r="26" spans="1:8">
      <c r="A26" s="534"/>
      <c r="B26" s="535"/>
      <c r="C26" s="534"/>
      <c r="D26" s="232">
        <f ca="1">LOOKUP(A1,Datos_personales!B3:B52,Datos_Variables!AI52)</f>
        <v>0</v>
      </c>
      <c r="E26" s="318"/>
      <c r="F26" s="232"/>
    </row>
    <row r="27" spans="1:8">
      <c r="A27" s="534" t="s">
        <v>291</v>
      </c>
      <c r="B27" s="535">
        <f>LOOKUP(A1,Datos_personales!B3:B52,Datos_Variables!AL3:AL52)</f>
        <v>0</v>
      </c>
      <c r="C27" s="534" t="s">
        <v>313</v>
      </c>
      <c r="D27" s="535">
        <f>LOOKUP(A1,Datos_personales!B3:B52,Datos_Variables!AM3:AM52)</f>
        <v>0</v>
      </c>
      <c r="E27" s="318"/>
      <c r="F27" s="231"/>
    </row>
    <row r="28" spans="1:8">
      <c r="A28" s="534"/>
      <c r="B28" s="535"/>
      <c r="C28" s="534"/>
      <c r="D28" s="535"/>
      <c r="E28" s="318"/>
      <c r="F28" s="231"/>
    </row>
  </sheetData>
  <mergeCells count="23">
    <mergeCell ref="A2:E2"/>
    <mergeCell ref="A17:E17"/>
    <mergeCell ref="A14:F14"/>
    <mergeCell ref="A9:A10"/>
    <mergeCell ref="A4:A5"/>
    <mergeCell ref="B4:B5"/>
    <mergeCell ref="B9:B10"/>
    <mergeCell ref="B11:B12"/>
    <mergeCell ref="A6:A8"/>
    <mergeCell ref="B6:B8"/>
    <mergeCell ref="A11:A12"/>
    <mergeCell ref="A13:F13"/>
    <mergeCell ref="A27:A28"/>
    <mergeCell ref="B27:B28"/>
    <mergeCell ref="A22:E22"/>
    <mergeCell ref="D18:D19"/>
    <mergeCell ref="A24:E24"/>
    <mergeCell ref="A25:A26"/>
    <mergeCell ref="B25:B26"/>
    <mergeCell ref="C27:C28"/>
    <mergeCell ref="D27:D28"/>
    <mergeCell ref="A18:A19"/>
    <mergeCell ref="C25:C26"/>
  </mergeCells>
  <dataValidations disablePrompts="1" count="2">
    <dataValidation type="list" allowBlank="1" showInputMessage="1" showErrorMessage="1" sqref="B21">
      <formula1>$H$19:$H$21</formula1>
    </dataValidation>
    <dataValidation type="list" allowBlank="1" showInputMessage="1" showErrorMessage="1" sqref="B23 B20">
      <formula1>$G$19:$G$21</formula1>
    </dataValidation>
  </dataValidations>
  <pageMargins left="0.7" right="0.7" top="0.75" bottom="0.75" header="0.3" footer="0.3"/>
  <pageSetup paperSize="9" orientation="portrait" r:id="rId1"/>
  <ignoredErrors>
    <ignoredError sqref="B5 B7:B8 B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Portada</vt:lpstr>
      <vt:lpstr>Datos_personales</vt:lpstr>
      <vt:lpstr>Datos_Convenio</vt:lpstr>
      <vt:lpstr>Convenio</vt:lpstr>
      <vt:lpstr>Datos_Variables</vt:lpstr>
      <vt:lpstr>Incidencias</vt:lpstr>
      <vt:lpstr>1</vt:lpstr>
      <vt:lpstr>2</vt:lpstr>
      <vt:lpstr>Devengos</vt:lpstr>
      <vt:lpstr>Prestaciones de la SS</vt:lpstr>
      <vt:lpstr>Bases_Cotización</vt:lpstr>
      <vt:lpstr>Modelo_Clase</vt:lpstr>
      <vt:lpstr>Datos_Auxiliares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Xoven</dc:creator>
  <cp:lastModifiedBy>DSE</cp:lastModifiedBy>
  <cp:lastPrinted>2014-12-20T11:40:40Z</cp:lastPrinted>
  <dcterms:created xsi:type="dcterms:W3CDTF">2014-09-16T17:02:50Z</dcterms:created>
  <dcterms:modified xsi:type="dcterms:W3CDTF">2014-12-20T11:42:57Z</dcterms:modified>
</cp:coreProperties>
</file>