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4880" windowHeight="7815"/>
  </bookViews>
  <sheets>
    <sheet name="Análisis factura" sheetId="1" r:id="rId1"/>
    <sheet name="Gráficas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H40" i="1"/>
  <c r="D40"/>
  <c r="Q29"/>
  <c r="R29"/>
  <c r="S29"/>
  <c r="Q30"/>
  <c r="R30"/>
  <c r="S30"/>
  <c r="F39"/>
  <c r="G39"/>
  <c r="E39"/>
  <c r="I39"/>
  <c r="I28"/>
  <c r="I29"/>
  <c r="I30"/>
  <c r="I31"/>
  <c r="I32"/>
  <c r="I33"/>
  <c r="I34"/>
  <c r="I35"/>
  <c r="I36"/>
  <c r="I37"/>
  <c r="I38"/>
  <c r="I27"/>
  <c r="I45"/>
  <c r="J45" s="1"/>
  <c r="F45"/>
  <c r="D56"/>
  <c r="C56"/>
  <c r="D55"/>
  <c r="C55"/>
  <c r="D54"/>
  <c r="C54"/>
  <c r="D53"/>
  <c r="C53"/>
  <c r="D52"/>
  <c r="C52"/>
  <c r="D51"/>
  <c r="C51"/>
  <c r="D50"/>
  <c r="C50"/>
  <c r="D49"/>
  <c r="C49"/>
  <c r="D48"/>
  <c r="C48"/>
  <c r="D47"/>
  <c r="C47"/>
  <c r="D46"/>
  <c r="C46"/>
  <c r="D45"/>
  <c r="C45"/>
  <c r="H28"/>
  <c r="H29"/>
  <c r="H30"/>
  <c r="H31"/>
  <c r="H32"/>
  <c r="H33"/>
  <c r="H34"/>
  <c r="H35"/>
  <c r="H36"/>
  <c r="H37"/>
  <c r="H38"/>
  <c r="H27"/>
  <c r="N11" l="1"/>
  <c r="N12"/>
  <c r="N13"/>
  <c r="N14"/>
  <c r="N15"/>
  <c r="N16"/>
  <c r="N17"/>
  <c r="N18"/>
  <c r="N19"/>
  <c r="N20"/>
  <c r="N21"/>
  <c r="N10"/>
  <c r="E11"/>
  <c r="E12" s="1"/>
  <c r="E13" s="1"/>
  <c r="E14" s="1"/>
  <c r="E15" s="1"/>
  <c r="E16" s="1"/>
  <c r="E17" s="1"/>
  <c r="E18" s="1"/>
  <c r="E19" s="1"/>
  <c r="E20" s="1"/>
  <c r="E21" s="1"/>
  <c r="B10"/>
  <c r="U28"/>
  <c r="V28"/>
  <c r="W28"/>
  <c r="U29"/>
  <c r="V29"/>
  <c r="W29"/>
  <c r="U30"/>
  <c r="V30"/>
  <c r="W30"/>
  <c r="U31"/>
  <c r="V31"/>
  <c r="W31"/>
  <c r="U32"/>
  <c r="V32"/>
  <c r="W32"/>
  <c r="U33"/>
  <c r="V33"/>
  <c r="W33"/>
  <c r="U34"/>
  <c r="V34"/>
  <c r="W34"/>
  <c r="U35"/>
  <c r="V35"/>
  <c r="W35"/>
  <c r="U36"/>
  <c r="V36"/>
  <c r="W36"/>
  <c r="U37"/>
  <c r="V37"/>
  <c r="W37"/>
  <c r="U38"/>
  <c r="V38"/>
  <c r="W38"/>
  <c r="W27"/>
  <c r="V27"/>
  <c r="U27"/>
  <c r="W41"/>
  <c r="U41"/>
  <c r="D27"/>
  <c r="D28"/>
  <c r="D29"/>
  <c r="D30"/>
  <c r="D31"/>
  <c r="D32"/>
  <c r="D33"/>
  <c r="D34"/>
  <c r="D35"/>
  <c r="D36"/>
  <c r="D37"/>
  <c r="D38"/>
  <c r="C27"/>
  <c r="H57"/>
  <c r="B27" l="1"/>
  <c r="F46"/>
  <c r="F47"/>
  <c r="F48"/>
  <c r="F49"/>
  <c r="F50"/>
  <c r="F51"/>
  <c r="F52"/>
  <c r="F53"/>
  <c r="F54"/>
  <c r="F55"/>
  <c r="F56"/>
  <c r="Q28"/>
  <c r="R28"/>
  <c r="S28"/>
  <c r="Q31"/>
  <c r="R31"/>
  <c r="S31"/>
  <c r="Q32"/>
  <c r="R32"/>
  <c r="S32"/>
  <c r="Q33"/>
  <c r="R33"/>
  <c r="S33"/>
  <c r="Q34"/>
  <c r="R34"/>
  <c r="S34"/>
  <c r="Q35"/>
  <c r="R35"/>
  <c r="S35"/>
  <c r="Q36"/>
  <c r="R36"/>
  <c r="S36"/>
  <c r="Q37"/>
  <c r="R37"/>
  <c r="S37"/>
  <c r="Q38"/>
  <c r="R38"/>
  <c r="S38"/>
  <c r="R27"/>
  <c r="S27"/>
  <c r="Q27"/>
  <c r="T11"/>
  <c r="U11"/>
  <c r="V11"/>
  <c r="T12"/>
  <c r="U12"/>
  <c r="V12"/>
  <c r="T13"/>
  <c r="U13"/>
  <c r="V13"/>
  <c r="T14"/>
  <c r="U14"/>
  <c r="V14"/>
  <c r="T15"/>
  <c r="U15"/>
  <c r="V15"/>
  <c r="T16"/>
  <c r="U16"/>
  <c r="V16"/>
  <c r="T17"/>
  <c r="U17"/>
  <c r="V17"/>
  <c r="T18"/>
  <c r="U18"/>
  <c r="V18"/>
  <c r="T19"/>
  <c r="U19"/>
  <c r="V19"/>
  <c r="T20"/>
  <c r="U20"/>
  <c r="V20"/>
  <c r="T21"/>
  <c r="U21"/>
  <c r="V21"/>
  <c r="U10"/>
  <c r="X10" s="1"/>
  <c r="V10"/>
  <c r="Y10" s="1"/>
  <c r="T10"/>
  <c r="S11"/>
  <c r="S12" s="1"/>
  <c r="S13" s="1"/>
  <c r="R11"/>
  <c r="R12" s="1"/>
  <c r="Q11"/>
  <c r="Q12" s="1"/>
  <c r="W10"/>
  <c r="I22"/>
  <c r="J22"/>
  <c r="H22"/>
  <c r="L10"/>
  <c r="M10"/>
  <c r="K10"/>
  <c r="G11"/>
  <c r="M11" s="1"/>
  <c r="F11"/>
  <c r="F12" s="1"/>
  <c r="K21"/>
  <c r="C12"/>
  <c r="C13"/>
  <c r="C14"/>
  <c r="C15"/>
  <c r="C16"/>
  <c r="C17"/>
  <c r="C18"/>
  <c r="C19"/>
  <c r="C20"/>
  <c r="C21"/>
  <c r="C11"/>
  <c r="B11" s="1"/>
  <c r="Z10" l="1"/>
  <c r="B21"/>
  <c r="C38"/>
  <c r="B38" s="1"/>
  <c r="B20"/>
  <c r="C37"/>
  <c r="B37" s="1"/>
  <c r="B19"/>
  <c r="C36"/>
  <c r="B36" s="1"/>
  <c r="B18"/>
  <c r="C35"/>
  <c r="B35" s="1"/>
  <c r="B17"/>
  <c r="C34"/>
  <c r="B34" s="1"/>
  <c r="B16"/>
  <c r="C33"/>
  <c r="B33" s="1"/>
  <c r="B15"/>
  <c r="C32"/>
  <c r="B32" s="1"/>
  <c r="B14"/>
  <c r="C31"/>
  <c r="B31" s="1"/>
  <c r="B13"/>
  <c r="C30"/>
  <c r="B30" s="1"/>
  <c r="F57"/>
  <c r="B12"/>
  <c r="C29"/>
  <c r="B29" s="1"/>
  <c r="C28"/>
  <c r="B28" s="1"/>
  <c r="G12"/>
  <c r="G13" s="1"/>
  <c r="M13" s="1"/>
  <c r="Y11"/>
  <c r="M36"/>
  <c r="G54" s="1"/>
  <c r="M32"/>
  <c r="G50" s="1"/>
  <c r="M35"/>
  <c r="G53" s="1"/>
  <c r="M31"/>
  <c r="G49" s="1"/>
  <c r="L11"/>
  <c r="M38"/>
  <c r="G56" s="1"/>
  <c r="M34"/>
  <c r="G52" s="1"/>
  <c r="M30"/>
  <c r="G48" s="1"/>
  <c r="M37"/>
  <c r="G55" s="1"/>
  <c r="M33"/>
  <c r="G51" s="1"/>
  <c r="M29"/>
  <c r="G47" s="1"/>
  <c r="M27"/>
  <c r="M28"/>
  <c r="G46" s="1"/>
  <c r="H39"/>
  <c r="Q13"/>
  <c r="W12"/>
  <c r="S14"/>
  <c r="Y13"/>
  <c r="X12"/>
  <c r="R13"/>
  <c r="X11"/>
  <c r="W11"/>
  <c r="Y12"/>
  <c r="F13"/>
  <c r="L12"/>
  <c r="K19"/>
  <c r="K15"/>
  <c r="K11"/>
  <c r="K17"/>
  <c r="K13"/>
  <c r="K18"/>
  <c r="K14"/>
  <c r="K20"/>
  <c r="K16"/>
  <c r="K12"/>
  <c r="Z11" l="1"/>
  <c r="Z12"/>
  <c r="B39"/>
  <c r="E45"/>
  <c r="B22"/>
  <c r="M39"/>
  <c r="G45"/>
  <c r="G57" s="1"/>
  <c r="M12"/>
  <c r="G14"/>
  <c r="G15" s="1"/>
  <c r="Q14"/>
  <c r="W13"/>
  <c r="R14"/>
  <c r="X13"/>
  <c r="Z13" s="1"/>
  <c r="S15"/>
  <c r="Y14"/>
  <c r="F14"/>
  <c r="L13"/>
  <c r="M14" l="1"/>
  <c r="E48"/>
  <c r="E47"/>
  <c r="I47" s="1"/>
  <c r="E46"/>
  <c r="I46" s="1"/>
  <c r="X14"/>
  <c r="R15"/>
  <c r="S16"/>
  <c r="Y15"/>
  <c r="Q15"/>
  <c r="W14"/>
  <c r="G16"/>
  <c r="M15"/>
  <c r="F15"/>
  <c r="L14"/>
  <c r="Z14" l="1"/>
  <c r="J47"/>
  <c r="E49"/>
  <c r="I48"/>
  <c r="J46"/>
  <c r="Q16"/>
  <c r="W15"/>
  <c r="R16"/>
  <c r="X15"/>
  <c r="S17"/>
  <c r="Y16"/>
  <c r="G17"/>
  <c r="M16"/>
  <c r="F16"/>
  <c r="L15"/>
  <c r="Z15" l="1"/>
  <c r="J48"/>
  <c r="I49"/>
  <c r="E50"/>
  <c r="I50" s="1"/>
  <c r="X16"/>
  <c r="R17"/>
  <c r="S18"/>
  <c r="Y17"/>
  <c r="Q17"/>
  <c r="W16"/>
  <c r="G18"/>
  <c r="M17"/>
  <c r="F17"/>
  <c r="L16"/>
  <c r="Z16" l="1"/>
  <c r="J49"/>
  <c r="J50"/>
  <c r="E51"/>
  <c r="I51" s="1"/>
  <c r="Q18"/>
  <c r="W17"/>
  <c r="R18"/>
  <c r="X17"/>
  <c r="S19"/>
  <c r="Y18"/>
  <c r="G19"/>
  <c r="M18"/>
  <c r="F18"/>
  <c r="L17"/>
  <c r="Z17" l="1"/>
  <c r="E52"/>
  <c r="I52" s="1"/>
  <c r="J51"/>
  <c r="X18"/>
  <c r="R19"/>
  <c r="S20"/>
  <c r="Y19"/>
  <c r="Q19"/>
  <c r="W18"/>
  <c r="G20"/>
  <c r="M19"/>
  <c r="F19"/>
  <c r="L18"/>
  <c r="Z18" l="1"/>
  <c r="J52"/>
  <c r="E53"/>
  <c r="I53" s="1"/>
  <c r="R20"/>
  <c r="X19"/>
  <c r="S21"/>
  <c r="Y21" s="1"/>
  <c r="Y20"/>
  <c r="Q20"/>
  <c r="W19"/>
  <c r="G21"/>
  <c r="M21" s="1"/>
  <c r="M20"/>
  <c r="F20"/>
  <c r="L19"/>
  <c r="Z19" l="1"/>
  <c r="J53"/>
  <c r="E54"/>
  <c r="Q21"/>
  <c r="W21" s="1"/>
  <c r="W20"/>
  <c r="Z20" s="1"/>
  <c r="X20"/>
  <c r="R21"/>
  <c r="X21" s="1"/>
  <c r="F21"/>
  <c r="L21" s="1"/>
  <c r="L20"/>
  <c r="Z21" l="1"/>
  <c r="J54"/>
  <c r="I54"/>
  <c r="E55"/>
  <c r="Z22" l="1"/>
  <c r="I55"/>
  <c r="N22"/>
  <c r="E56"/>
  <c r="E57" s="1"/>
  <c r="J55" l="1"/>
  <c r="I56"/>
  <c r="I57" s="1"/>
  <c r="J56" l="1"/>
  <c r="J57" s="1"/>
</calcChain>
</file>

<file path=xl/sharedStrings.xml><?xml version="1.0" encoding="utf-8"?>
<sst xmlns="http://schemas.openxmlformats.org/spreadsheetml/2006/main" count="79" uniqueCount="40">
  <si>
    <t>Período</t>
  </si>
  <si>
    <t>P1</t>
  </si>
  <si>
    <t>P2</t>
  </si>
  <si>
    <t>P3</t>
  </si>
  <si>
    <t>Potencia contratada</t>
  </si>
  <si>
    <t>Potencia Registrada</t>
  </si>
  <si>
    <t>Tp (€/kW·año)</t>
  </si>
  <si>
    <t>Te (€/kWh)</t>
  </si>
  <si>
    <t>Precios</t>
  </si>
  <si>
    <t>Potencia facturada</t>
  </si>
  <si>
    <t>Coste potencia</t>
  </si>
  <si>
    <t>Energía activa consumida</t>
  </si>
  <si>
    <t>Coste energía activa</t>
  </si>
  <si>
    <t>Energía reactiva consumida</t>
  </si>
  <si>
    <t>Coste energía reactiva</t>
  </si>
  <si>
    <t>Cálculo potencia contratada</t>
  </si>
  <si>
    <t>Cos φ</t>
  </si>
  <si>
    <t>Impuesto eléctrico</t>
  </si>
  <si>
    <t>Recargo por reactiva</t>
  </si>
  <si>
    <t>0,95 &gt; cos φ ≥ 0,80</t>
  </si>
  <si>
    <t>cos φ &lt; 0,80</t>
  </si>
  <si>
    <t>IVA (21%)</t>
  </si>
  <si>
    <t>Coste total</t>
  </si>
  <si>
    <t>Alquiler equipo de medida</t>
  </si>
  <si>
    <t>POTENCIA</t>
  </si>
  <si>
    <t>ENERGÍA</t>
  </si>
  <si>
    <t>COSTE 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</si>
  <si>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</si>
  <si>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</si>
  <si>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</si>
  <si>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</si>
  <si>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</si>
  <si>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</si>
  <si>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</si>
  <si>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</si>
  <si>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</si>
  <si>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</si>
  <si>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</si>
  <si>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</si>
  <si>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Coste Energía €/kWh</t>
  </si>
</sst>
</file>

<file path=xl/styles.xml><?xml version="1.0" encoding="utf-8"?>
<styleSheet xmlns="http://schemas.openxmlformats.org/spreadsheetml/2006/main">
  <numFmts count="1">
    <numFmt numFmtId="164" formatCode="0.0000%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34">
    <xf numFmtId="0" fontId="0" fillId="0" borderId="0" xfId="0"/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0" fillId="3" borderId="1" xfId="1" applyNumberFormat="1" applyFont="1" applyFill="1" applyBorder="1" applyAlignment="1">
      <alignment horizontal="center" vertical="center"/>
    </xf>
    <xf numFmtId="0" fontId="0" fillId="8" borderId="8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0" fillId="10" borderId="2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9" borderId="16" xfId="0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/>
    </xf>
    <xf numFmtId="0" fontId="0" fillId="11" borderId="9" xfId="0" applyFill="1" applyBorder="1" applyAlignment="1">
      <alignment horizontal="center"/>
    </xf>
    <xf numFmtId="0" fontId="0" fillId="11" borderId="10" xfId="0" applyFill="1" applyBorder="1" applyAlignment="1">
      <alignment horizontal="center"/>
    </xf>
    <xf numFmtId="0" fontId="0" fillId="12" borderId="16" xfId="0" applyFill="1" applyBorder="1" applyAlignment="1">
      <alignment horizontal="center" vertical="center"/>
    </xf>
    <xf numFmtId="0" fontId="0" fillId="12" borderId="17" xfId="0" applyFill="1" applyBorder="1" applyAlignment="1">
      <alignment horizontal="center" vertical="center"/>
    </xf>
    <xf numFmtId="0" fontId="0" fillId="12" borderId="18" xfId="0" applyFill="1" applyBorder="1" applyAlignment="1">
      <alignment horizontal="center" vertical="center"/>
    </xf>
    <xf numFmtId="0" fontId="0" fillId="12" borderId="6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2" borderId="7" xfId="0" applyFill="1" applyBorder="1" applyAlignment="1">
      <alignment horizontal="center" vertical="center"/>
    </xf>
    <xf numFmtId="0" fontId="0" fillId="12" borderId="8" xfId="0" applyFill="1" applyBorder="1" applyAlignment="1">
      <alignment horizontal="center" vertical="center"/>
    </xf>
    <xf numFmtId="0" fontId="0" fillId="12" borderId="9" xfId="0" applyFill="1" applyBorder="1" applyAlignment="1">
      <alignment horizontal="center" vertical="center"/>
    </xf>
    <xf numFmtId="0" fontId="0" fillId="12" borderId="10" xfId="0" applyFill="1" applyBorder="1" applyAlignment="1">
      <alignment horizontal="center" vertical="center"/>
    </xf>
    <xf numFmtId="0" fontId="0" fillId="13" borderId="16" xfId="0" applyFill="1" applyBorder="1" applyAlignment="1">
      <alignment horizontal="center" vertical="center"/>
    </xf>
    <xf numFmtId="0" fontId="0" fillId="13" borderId="17" xfId="0" applyFill="1" applyBorder="1" applyAlignment="1">
      <alignment horizontal="center" vertical="center"/>
    </xf>
    <xf numFmtId="0" fontId="0" fillId="13" borderId="18" xfId="0" applyFill="1" applyBorder="1" applyAlignment="1">
      <alignment horizontal="center" vertical="center"/>
    </xf>
    <xf numFmtId="0" fontId="0" fillId="13" borderId="6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13" borderId="7" xfId="0" applyFill="1" applyBorder="1" applyAlignment="1">
      <alignment horizontal="center" vertical="center"/>
    </xf>
    <xf numFmtId="0" fontId="0" fillId="13" borderId="8" xfId="0" applyFill="1" applyBorder="1" applyAlignment="1">
      <alignment horizontal="center" vertical="center"/>
    </xf>
    <xf numFmtId="0" fontId="0" fillId="13" borderId="9" xfId="0" applyFill="1" applyBorder="1" applyAlignment="1">
      <alignment horizontal="center" vertical="center"/>
    </xf>
    <xf numFmtId="0" fontId="0" fillId="13" borderId="10" xfId="0" applyFill="1" applyBorder="1" applyAlignment="1">
      <alignment horizontal="center" vertical="center"/>
    </xf>
    <xf numFmtId="14" fontId="0" fillId="9" borderId="11" xfId="0" applyNumberFormat="1" applyFill="1" applyBorder="1" applyAlignment="1">
      <alignment horizontal="center" vertical="center"/>
    </xf>
    <xf numFmtId="14" fontId="0" fillId="9" borderId="13" xfId="0" applyNumberFormat="1" applyFill="1" applyBorder="1" applyAlignment="1">
      <alignment horizontal="center" vertical="center"/>
    </xf>
    <xf numFmtId="14" fontId="0" fillId="9" borderId="6" xfId="0" applyNumberFormat="1" applyFill="1" applyBorder="1" applyAlignment="1">
      <alignment horizontal="center" vertical="center"/>
    </xf>
    <xf numFmtId="14" fontId="0" fillId="9" borderId="7" xfId="0" applyNumberFormat="1" applyFill="1" applyBorder="1" applyAlignment="1">
      <alignment horizontal="center" vertical="center"/>
    </xf>
    <xf numFmtId="14" fontId="0" fillId="9" borderId="24" xfId="0" applyNumberFormat="1" applyFill="1" applyBorder="1" applyAlignment="1">
      <alignment horizontal="center" vertical="center"/>
    </xf>
    <xf numFmtId="14" fontId="0" fillId="9" borderId="25" xfId="0" applyNumberFormat="1" applyFill="1" applyBorder="1" applyAlignment="1">
      <alignment horizontal="center" vertical="center"/>
    </xf>
    <xf numFmtId="0" fontId="0" fillId="9" borderId="26" xfId="0" applyFill="1" applyBorder="1" applyAlignment="1">
      <alignment horizontal="center" vertical="center"/>
    </xf>
    <xf numFmtId="0" fontId="0" fillId="9" borderId="27" xfId="0" applyFill="1" applyBorder="1" applyAlignment="1">
      <alignment horizontal="center" vertical="center"/>
    </xf>
    <xf numFmtId="0" fontId="0" fillId="9" borderId="28" xfId="0" applyFill="1" applyBorder="1" applyAlignment="1">
      <alignment horizontal="center" vertical="center"/>
    </xf>
    <xf numFmtId="0" fontId="0" fillId="8" borderId="30" xfId="0" applyFill="1" applyBorder="1" applyAlignment="1">
      <alignment horizontal="center"/>
    </xf>
    <xf numFmtId="14" fontId="0" fillId="6" borderId="11" xfId="0" applyNumberFormat="1" applyFill="1" applyBorder="1" applyAlignment="1">
      <alignment horizontal="center" vertical="center"/>
    </xf>
    <xf numFmtId="14" fontId="0" fillId="6" borderId="6" xfId="0" applyNumberFormat="1" applyFill="1" applyBorder="1" applyAlignment="1">
      <alignment horizontal="center" vertical="center"/>
    </xf>
    <xf numFmtId="14" fontId="0" fillId="6" borderId="24" xfId="0" applyNumberFormat="1" applyFill="1" applyBorder="1" applyAlignment="1">
      <alignment horizontal="center" vertical="center"/>
    </xf>
    <xf numFmtId="14" fontId="0" fillId="6" borderId="29" xfId="0" applyNumberFormat="1" applyFill="1" applyBorder="1" applyAlignment="1">
      <alignment horizontal="center" vertical="center"/>
    </xf>
    <xf numFmtId="14" fontId="0" fillId="6" borderId="23" xfId="0" applyNumberFormat="1" applyFill="1" applyBorder="1" applyAlignment="1">
      <alignment horizontal="center" vertical="center"/>
    </xf>
    <xf numFmtId="14" fontId="0" fillId="6" borderId="31" xfId="0" applyNumberFormat="1" applyFill="1" applyBorder="1" applyAlignment="1">
      <alignment horizontal="center" vertical="center"/>
    </xf>
    <xf numFmtId="0" fontId="0" fillId="14" borderId="11" xfId="0" applyFill="1" applyBorder="1" applyAlignment="1">
      <alignment horizontal="center" vertical="center"/>
    </xf>
    <xf numFmtId="0" fontId="0" fillId="14" borderId="12" xfId="0" applyFill="1" applyBorder="1" applyAlignment="1">
      <alignment horizontal="center" vertical="center"/>
    </xf>
    <xf numFmtId="0" fontId="0" fillId="14" borderId="29" xfId="0" applyFill="1" applyBorder="1" applyAlignment="1">
      <alignment horizontal="center" vertical="center"/>
    </xf>
    <xf numFmtId="0" fontId="0" fillId="14" borderId="26" xfId="0" applyFill="1" applyBorder="1" applyAlignment="1">
      <alignment horizontal="center" vertical="center"/>
    </xf>
    <xf numFmtId="0" fontId="0" fillId="9" borderId="33" xfId="0" applyFill="1" applyBorder="1" applyAlignment="1">
      <alignment horizontal="center" vertical="center"/>
    </xf>
    <xf numFmtId="0" fontId="0" fillId="9" borderId="34" xfId="0" applyFill="1" applyBorder="1" applyAlignment="1">
      <alignment horizontal="center" vertical="center"/>
    </xf>
    <xf numFmtId="0" fontId="0" fillId="10" borderId="35" xfId="0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/>
    </xf>
    <xf numFmtId="0" fontId="0" fillId="10" borderId="37" xfId="0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0" fontId="0" fillId="14" borderId="6" xfId="0" applyFill="1" applyBorder="1" applyAlignment="1">
      <alignment horizontal="center" vertical="center"/>
    </xf>
    <xf numFmtId="0" fontId="0" fillId="14" borderId="23" xfId="0" applyFill="1" applyBorder="1" applyAlignment="1">
      <alignment horizontal="center" vertical="center"/>
    </xf>
    <xf numFmtId="0" fontId="0" fillId="14" borderId="27" xfId="0" applyFill="1" applyBorder="1" applyAlignment="1">
      <alignment horizontal="center" vertical="center"/>
    </xf>
    <xf numFmtId="0" fontId="0" fillId="14" borderId="28" xfId="0" applyFill="1" applyBorder="1" applyAlignment="1">
      <alignment horizontal="center" vertical="center"/>
    </xf>
    <xf numFmtId="0" fontId="0" fillId="7" borderId="38" xfId="0" applyFill="1" applyBorder="1" applyAlignment="1">
      <alignment horizontal="center" vertical="center"/>
    </xf>
    <xf numFmtId="0" fontId="0" fillId="14" borderId="32" xfId="0" applyFill="1" applyBorder="1" applyAlignment="1">
      <alignment horizontal="center" vertical="center"/>
    </xf>
    <xf numFmtId="0" fontId="0" fillId="14" borderId="33" xfId="0" applyFill="1" applyBorder="1" applyAlignment="1">
      <alignment horizontal="center" vertical="center"/>
    </xf>
    <xf numFmtId="0" fontId="0" fillId="14" borderId="39" xfId="0" applyFill="1" applyBorder="1" applyAlignment="1">
      <alignment horizontal="center" vertical="center"/>
    </xf>
    <xf numFmtId="0" fontId="0" fillId="6" borderId="35" xfId="0" applyFill="1" applyBorder="1" applyAlignment="1">
      <alignment horizontal="center" vertical="center"/>
    </xf>
    <xf numFmtId="0" fontId="0" fillId="6" borderId="36" xfId="0" applyFill="1" applyBorder="1" applyAlignment="1">
      <alignment horizontal="center" vertical="center"/>
    </xf>
    <xf numFmtId="0" fontId="0" fillId="6" borderId="37" xfId="0" applyFill="1" applyBorder="1" applyAlignment="1">
      <alignment horizontal="center" vertical="center"/>
    </xf>
    <xf numFmtId="0" fontId="0" fillId="13" borderId="26" xfId="0" applyFill="1" applyBorder="1" applyAlignment="1">
      <alignment horizontal="center" vertical="center"/>
    </xf>
    <xf numFmtId="0" fontId="0" fillId="13" borderId="27" xfId="0" applyFill="1" applyBorder="1" applyAlignment="1">
      <alignment horizontal="center" vertical="center"/>
    </xf>
    <xf numFmtId="0" fontId="0" fillId="13" borderId="28" xfId="0" applyFill="1" applyBorder="1" applyAlignment="1">
      <alignment horizontal="center" vertical="center"/>
    </xf>
    <xf numFmtId="0" fontId="0" fillId="15" borderId="2" xfId="0" applyFill="1" applyBorder="1" applyAlignment="1">
      <alignment horizontal="center" vertical="center"/>
    </xf>
    <xf numFmtId="0" fontId="4" fillId="0" borderId="42" xfId="2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9" fontId="0" fillId="10" borderId="2" xfId="1" applyFont="1" applyFill="1" applyBorder="1" applyAlignment="1">
      <alignment horizontal="center" vertical="center"/>
    </xf>
    <xf numFmtId="0" fontId="0" fillId="9" borderId="44" xfId="0" applyNumberFormat="1" applyFill="1" applyBorder="1" applyAlignment="1">
      <alignment horizontal="center" vertical="center"/>
    </xf>
    <xf numFmtId="0" fontId="0" fillId="9" borderId="20" xfId="0" applyFill="1" applyBorder="1" applyAlignment="1">
      <alignment horizontal="center" vertical="center"/>
    </xf>
    <xf numFmtId="9" fontId="0" fillId="5" borderId="43" xfId="1" applyFont="1" applyFill="1" applyBorder="1" applyAlignment="1">
      <alignment horizontal="center" vertical="center"/>
    </xf>
    <xf numFmtId="9" fontId="0" fillId="5" borderId="0" xfId="1" applyFont="1" applyFill="1" applyBorder="1" applyAlignment="1">
      <alignment horizontal="center" vertical="center"/>
    </xf>
    <xf numFmtId="9" fontId="0" fillId="5" borderId="44" xfId="1" applyFont="1" applyFill="1" applyBorder="1" applyAlignment="1">
      <alignment horizontal="center" vertical="center"/>
    </xf>
    <xf numFmtId="0" fontId="0" fillId="8" borderId="19" xfId="0" applyFill="1" applyBorder="1" applyAlignment="1">
      <alignment horizontal="center" vertical="center" textRotation="255"/>
    </xf>
    <xf numFmtId="0" fontId="0" fillId="8" borderId="20" xfId="0" applyFill="1" applyBorder="1" applyAlignment="1">
      <alignment horizontal="center" vertical="center" textRotation="255"/>
    </xf>
    <xf numFmtId="0" fontId="0" fillId="8" borderId="21" xfId="0" applyFill="1" applyBorder="1" applyAlignment="1">
      <alignment horizontal="center" vertical="center" textRotation="255"/>
    </xf>
    <xf numFmtId="0" fontId="0" fillId="7" borderId="19" xfId="0" applyFill="1" applyBorder="1" applyAlignment="1">
      <alignment horizontal="center" vertical="center" textRotation="255"/>
    </xf>
    <xf numFmtId="0" fontId="0" fillId="7" borderId="20" xfId="0" applyFill="1" applyBorder="1" applyAlignment="1">
      <alignment horizontal="center" vertical="center" textRotation="255"/>
    </xf>
    <xf numFmtId="0" fontId="0" fillId="7" borderId="21" xfId="0" applyFill="1" applyBorder="1" applyAlignment="1">
      <alignment horizontal="center" vertical="center" textRotation="255"/>
    </xf>
    <xf numFmtId="0" fontId="0" fillId="7" borderId="19" xfId="0" applyFill="1" applyBorder="1" applyAlignment="1">
      <alignment horizontal="center" vertical="center" wrapText="1"/>
    </xf>
    <xf numFmtId="0" fontId="0" fillId="7" borderId="20" xfId="0" applyFill="1" applyBorder="1" applyAlignment="1">
      <alignment horizontal="center" vertical="center" wrapText="1"/>
    </xf>
    <xf numFmtId="0" fontId="0" fillId="8" borderId="19" xfId="0" applyFill="1" applyBorder="1" applyAlignment="1">
      <alignment horizontal="center" vertical="center" wrapText="1"/>
    </xf>
    <xf numFmtId="0" fontId="0" fillId="8" borderId="20" xfId="0" applyFill="1" applyBorder="1" applyAlignment="1">
      <alignment horizontal="center" vertical="center" wrapText="1"/>
    </xf>
    <xf numFmtId="0" fontId="0" fillId="8" borderId="21" xfId="0" applyFill="1" applyBorder="1" applyAlignment="1">
      <alignment horizontal="center" vertical="center" wrapText="1"/>
    </xf>
    <xf numFmtId="0" fontId="0" fillId="7" borderId="14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8" borderId="13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8" borderId="29" xfId="0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0" fontId="0" fillId="11" borderId="5" xfId="0" applyFill="1" applyBorder="1" applyAlignment="1">
      <alignment horizontal="center"/>
    </xf>
    <xf numFmtId="0" fontId="0" fillId="11" borderId="19" xfId="0" applyFill="1" applyBorder="1" applyAlignment="1">
      <alignment horizontal="center" vertical="center" wrapText="1"/>
    </xf>
    <xf numFmtId="0" fontId="0" fillId="11" borderId="21" xfId="0" applyFill="1" applyBorder="1" applyAlignment="1">
      <alignment horizontal="center" vertical="center" wrapText="1"/>
    </xf>
    <xf numFmtId="0" fontId="4" fillId="3" borderId="14" xfId="2" applyFont="1" applyFill="1" applyBorder="1" applyAlignment="1">
      <alignment horizontal="center" vertical="center"/>
    </xf>
    <xf numFmtId="0" fontId="4" fillId="3" borderId="40" xfId="2" applyFont="1" applyFill="1" applyBorder="1" applyAlignment="1">
      <alignment horizontal="center" vertical="center"/>
    </xf>
    <xf numFmtId="0" fontId="4" fillId="3" borderId="41" xfId="2" applyFont="1" applyFill="1" applyBorder="1" applyAlignment="1">
      <alignment horizontal="center" vertical="center"/>
    </xf>
    <xf numFmtId="0" fontId="4" fillId="3" borderId="15" xfId="2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2" fillId="4" borderId="14" xfId="2" applyFont="1" applyFill="1" applyBorder="1" applyAlignment="1">
      <alignment horizontal="center" vertical="center"/>
    </xf>
    <xf numFmtId="0" fontId="2" fillId="4" borderId="40" xfId="2" applyFont="1" applyFill="1" applyBorder="1" applyAlignment="1">
      <alignment horizontal="center" vertical="center"/>
    </xf>
    <xf numFmtId="0" fontId="2" fillId="4" borderId="41" xfId="2" applyFont="1" applyFill="1" applyBorder="1" applyAlignment="1">
      <alignment horizontal="center" vertical="center"/>
    </xf>
    <xf numFmtId="0" fontId="2" fillId="4" borderId="15" xfId="2" applyFont="1" applyFill="1" applyBorder="1" applyAlignment="1">
      <alignment horizontal="center" vertical="center"/>
    </xf>
    <xf numFmtId="0" fontId="0" fillId="11" borderId="11" xfId="0" applyFill="1" applyBorder="1" applyAlignment="1">
      <alignment horizontal="center"/>
    </xf>
    <xf numFmtId="0" fontId="0" fillId="11" borderId="12" xfId="0" applyFill="1" applyBorder="1" applyAlignment="1">
      <alignment horizontal="center"/>
    </xf>
    <xf numFmtId="0" fontId="0" fillId="11" borderId="13" xfId="0" applyFill="1" applyBorder="1" applyAlignment="1">
      <alignment horizontal="center"/>
    </xf>
  </cellXfs>
  <cellStyles count="3">
    <cellStyle name="Normal" xfId="0" builtinId="0"/>
    <cellStyle name="Normal 4" xfId="2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/>
              <a:t>Potencia registrada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v>P1</c:v>
          </c:tx>
          <c:marker>
            <c:symbol val="none"/>
          </c:marker>
          <c:cat>
            <c:strRef>
              <c:f>'Análisis factura'!$O$10:$O$21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'Análisis factura'!$H$10:$H$21</c:f>
              <c:numCache>
                <c:formatCode>General</c:formatCode>
                <c:ptCount val="12"/>
                <c:pt idx="0">
                  <c:v>16</c:v>
                </c:pt>
                <c:pt idx="1">
                  <c:v>20</c:v>
                </c:pt>
                <c:pt idx="2">
                  <c:v>15</c:v>
                </c:pt>
                <c:pt idx="3">
                  <c:v>15</c:v>
                </c:pt>
                <c:pt idx="4">
                  <c:v>12</c:v>
                </c:pt>
                <c:pt idx="5">
                  <c:v>28</c:v>
                </c:pt>
                <c:pt idx="6">
                  <c:v>36</c:v>
                </c:pt>
                <c:pt idx="7">
                  <c:v>27</c:v>
                </c:pt>
                <c:pt idx="8">
                  <c:v>98</c:v>
                </c:pt>
                <c:pt idx="9">
                  <c:v>38</c:v>
                </c:pt>
                <c:pt idx="10">
                  <c:v>28</c:v>
                </c:pt>
                <c:pt idx="11">
                  <c:v>28</c:v>
                </c:pt>
              </c:numCache>
            </c:numRef>
          </c:val>
        </c:ser>
        <c:ser>
          <c:idx val="1"/>
          <c:order val="1"/>
          <c:tx>
            <c:v>P2</c:v>
          </c:tx>
          <c:marker>
            <c:symbol val="none"/>
          </c:marker>
          <c:cat>
            <c:strRef>
              <c:f>'Análisis factura'!$O$10:$O$21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'Análisis factura'!$I$10:$I$21</c:f>
              <c:numCache>
                <c:formatCode>General</c:formatCode>
                <c:ptCount val="12"/>
                <c:pt idx="0">
                  <c:v>86</c:v>
                </c:pt>
                <c:pt idx="1">
                  <c:v>86</c:v>
                </c:pt>
                <c:pt idx="2">
                  <c:v>84</c:v>
                </c:pt>
                <c:pt idx="3">
                  <c:v>31</c:v>
                </c:pt>
                <c:pt idx="4">
                  <c:v>23</c:v>
                </c:pt>
                <c:pt idx="5">
                  <c:v>101</c:v>
                </c:pt>
                <c:pt idx="6">
                  <c:v>100</c:v>
                </c:pt>
                <c:pt idx="7">
                  <c:v>101</c:v>
                </c:pt>
                <c:pt idx="8">
                  <c:v>101</c:v>
                </c:pt>
                <c:pt idx="9">
                  <c:v>101</c:v>
                </c:pt>
                <c:pt idx="10">
                  <c:v>67</c:v>
                </c:pt>
                <c:pt idx="11">
                  <c:v>40</c:v>
                </c:pt>
              </c:numCache>
            </c:numRef>
          </c:val>
        </c:ser>
        <c:ser>
          <c:idx val="2"/>
          <c:order val="2"/>
          <c:tx>
            <c:v>P3</c:v>
          </c:tx>
          <c:marker>
            <c:symbol val="none"/>
          </c:marker>
          <c:cat>
            <c:strRef>
              <c:f>'Análisis factura'!$O$10:$O$21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'Análisis factura'!$J$10:$J$21</c:f>
              <c:numCache>
                <c:formatCode>General</c:formatCode>
                <c:ptCount val="12"/>
                <c:pt idx="0">
                  <c:v>85</c:v>
                </c:pt>
                <c:pt idx="1">
                  <c:v>85</c:v>
                </c:pt>
                <c:pt idx="2">
                  <c:v>85</c:v>
                </c:pt>
                <c:pt idx="3">
                  <c:v>84</c:v>
                </c:pt>
                <c:pt idx="4">
                  <c:v>84</c:v>
                </c:pt>
                <c:pt idx="5">
                  <c:v>101</c:v>
                </c:pt>
                <c:pt idx="6">
                  <c:v>100</c:v>
                </c:pt>
                <c:pt idx="7">
                  <c:v>100</c:v>
                </c:pt>
                <c:pt idx="8">
                  <c:v>101</c:v>
                </c:pt>
                <c:pt idx="9">
                  <c:v>103</c:v>
                </c:pt>
                <c:pt idx="10">
                  <c:v>102</c:v>
                </c:pt>
                <c:pt idx="11">
                  <c:v>102</c:v>
                </c:pt>
              </c:numCache>
            </c:numRef>
          </c:val>
        </c:ser>
        <c:marker val="1"/>
        <c:axId val="95335552"/>
        <c:axId val="95337088"/>
      </c:lineChart>
      <c:catAx>
        <c:axId val="95335552"/>
        <c:scaling>
          <c:orientation val="minMax"/>
        </c:scaling>
        <c:axPos val="b"/>
        <c:numFmt formatCode="General" sourceLinked="1"/>
        <c:majorTickMark val="none"/>
        <c:tickLblPos val="nextTo"/>
        <c:crossAx val="95337088"/>
        <c:crosses val="autoZero"/>
        <c:auto val="1"/>
        <c:lblAlgn val="ctr"/>
        <c:lblOffset val="100"/>
      </c:catAx>
      <c:valAx>
        <c:axId val="953370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Potencia</a:t>
                </a:r>
              </a:p>
            </c:rich>
          </c:tx>
        </c:title>
        <c:numFmt formatCode="General" sourceLinked="1"/>
        <c:majorTickMark val="none"/>
        <c:tickLblPos val="nextTo"/>
        <c:crossAx val="9533555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/>
              <a:t>Consumo de energía activa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'Análisis factura'!$E$26</c:f>
              <c:strCache>
                <c:ptCount val="1"/>
                <c:pt idx="0">
                  <c:v>P1</c:v>
                </c:pt>
              </c:strCache>
            </c:strRef>
          </c:tx>
          <c:cat>
            <c:strRef>
              <c:f>'Análisis factura'!$O$10:$O$21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'Análisis factura'!$E$27:$E$38</c:f>
              <c:numCache>
                <c:formatCode>General</c:formatCode>
                <c:ptCount val="12"/>
                <c:pt idx="0">
                  <c:v>989</c:v>
                </c:pt>
                <c:pt idx="1">
                  <c:v>828</c:v>
                </c:pt>
                <c:pt idx="2">
                  <c:v>1003</c:v>
                </c:pt>
                <c:pt idx="3">
                  <c:v>1027</c:v>
                </c:pt>
                <c:pt idx="4">
                  <c:v>1096</c:v>
                </c:pt>
                <c:pt idx="5">
                  <c:v>1249</c:v>
                </c:pt>
                <c:pt idx="6">
                  <c:v>1977</c:v>
                </c:pt>
                <c:pt idx="7">
                  <c:v>2119</c:v>
                </c:pt>
                <c:pt idx="8">
                  <c:v>2225</c:v>
                </c:pt>
                <c:pt idx="9">
                  <c:v>2305</c:v>
                </c:pt>
                <c:pt idx="10">
                  <c:v>1718</c:v>
                </c:pt>
                <c:pt idx="11">
                  <c:v>1377</c:v>
                </c:pt>
              </c:numCache>
            </c:numRef>
          </c:val>
        </c:ser>
        <c:ser>
          <c:idx val="1"/>
          <c:order val="1"/>
          <c:tx>
            <c:strRef>
              <c:f>'Análisis factura'!$F$26</c:f>
              <c:strCache>
                <c:ptCount val="1"/>
                <c:pt idx="0">
                  <c:v>P2</c:v>
                </c:pt>
              </c:strCache>
            </c:strRef>
          </c:tx>
          <c:cat>
            <c:strRef>
              <c:f>'Análisis factura'!$O$10:$O$21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'Análisis factura'!$F$27:$F$38</c:f>
              <c:numCache>
                <c:formatCode>General</c:formatCode>
                <c:ptCount val="12"/>
                <c:pt idx="0">
                  <c:v>3735</c:v>
                </c:pt>
                <c:pt idx="1">
                  <c:v>3258</c:v>
                </c:pt>
                <c:pt idx="2">
                  <c:v>3311</c:v>
                </c:pt>
                <c:pt idx="3">
                  <c:v>3238</c:v>
                </c:pt>
                <c:pt idx="4">
                  <c:v>2641</c:v>
                </c:pt>
                <c:pt idx="5">
                  <c:v>4144</c:v>
                </c:pt>
                <c:pt idx="6">
                  <c:v>9451</c:v>
                </c:pt>
                <c:pt idx="7">
                  <c:v>12161</c:v>
                </c:pt>
                <c:pt idx="8">
                  <c:v>10513</c:v>
                </c:pt>
                <c:pt idx="9">
                  <c:v>6956</c:v>
                </c:pt>
                <c:pt idx="10">
                  <c:v>4166</c:v>
                </c:pt>
                <c:pt idx="11">
                  <c:v>3691</c:v>
                </c:pt>
              </c:numCache>
            </c:numRef>
          </c:val>
        </c:ser>
        <c:ser>
          <c:idx val="2"/>
          <c:order val="2"/>
          <c:tx>
            <c:strRef>
              <c:f>'Análisis factura'!$G$26</c:f>
              <c:strCache>
                <c:ptCount val="1"/>
                <c:pt idx="0">
                  <c:v>P3</c:v>
                </c:pt>
              </c:strCache>
            </c:strRef>
          </c:tx>
          <c:cat>
            <c:strRef>
              <c:f>'Análisis factura'!$O$10:$O$21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'Análisis factura'!$G$27:$G$38</c:f>
              <c:numCache>
                <c:formatCode>General</c:formatCode>
                <c:ptCount val="12"/>
                <c:pt idx="0">
                  <c:v>10373</c:v>
                </c:pt>
                <c:pt idx="1">
                  <c:v>9442</c:v>
                </c:pt>
                <c:pt idx="2">
                  <c:v>11416</c:v>
                </c:pt>
                <c:pt idx="3">
                  <c:v>11786</c:v>
                </c:pt>
                <c:pt idx="4">
                  <c:v>13388</c:v>
                </c:pt>
                <c:pt idx="5">
                  <c:v>14983</c:v>
                </c:pt>
                <c:pt idx="6">
                  <c:v>19011</c:v>
                </c:pt>
                <c:pt idx="7">
                  <c:v>19098</c:v>
                </c:pt>
                <c:pt idx="8">
                  <c:v>12286</c:v>
                </c:pt>
                <c:pt idx="9">
                  <c:v>13931</c:v>
                </c:pt>
                <c:pt idx="10">
                  <c:v>14551</c:v>
                </c:pt>
                <c:pt idx="11">
                  <c:v>14967</c:v>
                </c:pt>
              </c:numCache>
            </c:numRef>
          </c:val>
        </c:ser>
        <c:marker val="1"/>
        <c:axId val="95437568"/>
        <c:axId val="95439104"/>
      </c:lineChart>
      <c:catAx>
        <c:axId val="95437568"/>
        <c:scaling>
          <c:orientation val="minMax"/>
        </c:scaling>
        <c:axPos val="b"/>
        <c:majorTickMark val="none"/>
        <c:tickLblPos val="nextTo"/>
        <c:crossAx val="95439104"/>
        <c:crosses val="autoZero"/>
        <c:auto val="1"/>
        <c:lblAlgn val="ctr"/>
        <c:lblOffset val="100"/>
      </c:catAx>
      <c:valAx>
        <c:axId val="9543910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Energía</a:t>
                </a:r>
                <a:r>
                  <a:rPr lang="es-ES" baseline="0"/>
                  <a:t> activa</a:t>
                </a:r>
                <a:endParaRPr lang="es-ES"/>
              </a:p>
            </c:rich>
          </c:tx>
        </c:title>
        <c:numFmt formatCode="General" sourceLinked="1"/>
        <c:majorTickMark val="none"/>
        <c:tickLblPos val="nextTo"/>
        <c:crossAx val="9543756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/>
    <c:plotArea>
      <c:layout/>
      <c:pieChart>
        <c:varyColors val="1"/>
        <c:ser>
          <c:idx val="0"/>
          <c:order val="0"/>
          <c:tx>
            <c:v>Coste</c:v>
          </c:tx>
          <c:dLbls>
            <c:txPr>
              <a:bodyPr/>
              <a:lstStyle/>
              <a:p>
                <a:pPr>
                  <a:defRPr sz="1400"/>
                </a:pPr>
                <a:endParaRPr lang="es-ES"/>
              </a:p>
            </c:txPr>
            <c:showPercent val="1"/>
            <c:showLeaderLines val="1"/>
          </c:dLbls>
          <c:cat>
            <c:strRef>
              <c:f>'Análisis factura'!$E$42:$G$44</c:f>
              <c:strCache>
                <c:ptCount val="3"/>
                <c:pt idx="0">
                  <c:v>Coste potencia</c:v>
                </c:pt>
                <c:pt idx="1">
                  <c:v>Coste energía activa</c:v>
                </c:pt>
                <c:pt idx="2">
                  <c:v>Coste energía reactiva</c:v>
                </c:pt>
              </c:strCache>
            </c:strRef>
          </c:cat>
          <c:val>
            <c:numRef>
              <c:f>'Análisis factura'!$E$57:$G$57</c:f>
              <c:numCache>
                <c:formatCode>General</c:formatCode>
                <c:ptCount val="3"/>
                <c:pt idx="0">
                  <c:v>10401.890786252685</c:v>
                </c:pt>
                <c:pt idx="1">
                  <c:v>21870.832415132823</c:v>
                </c:pt>
                <c:pt idx="2">
                  <c:v>0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</xdr:row>
      <xdr:rowOff>47625</xdr:rowOff>
    </xdr:from>
    <xdr:to>
      <xdr:col>7</xdr:col>
      <xdr:colOff>85725</xdr:colOff>
      <xdr:row>15</xdr:row>
      <xdr:rowOff>123825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266700</xdr:colOff>
      <xdr:row>1</xdr:row>
      <xdr:rowOff>47625</xdr:rowOff>
    </xdr:from>
    <xdr:to>
      <xdr:col>14</xdr:col>
      <xdr:colOff>266700</xdr:colOff>
      <xdr:row>15</xdr:row>
      <xdr:rowOff>123825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609600</xdr:colOff>
      <xdr:row>16</xdr:row>
      <xdr:rowOff>171450</xdr:rowOff>
    </xdr:from>
    <xdr:to>
      <xdr:col>10</xdr:col>
      <xdr:colOff>609600</xdr:colOff>
      <xdr:row>31</xdr:row>
      <xdr:rowOff>57150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Z57"/>
  <sheetViews>
    <sheetView tabSelected="1" topLeftCell="K5" workbookViewId="0">
      <selection activeCell="Q8" sqref="Q8:Z22"/>
    </sheetView>
  </sheetViews>
  <sheetFormatPr baseColWidth="10" defaultRowHeight="15"/>
  <cols>
    <col min="2" max="2" width="18.28515625" customWidth="1"/>
  </cols>
  <sheetData>
    <row r="3" spans="1:26">
      <c r="C3" s="2" t="s">
        <v>1</v>
      </c>
      <c r="D3" s="2" t="s">
        <v>2</v>
      </c>
      <c r="E3" s="2" t="s">
        <v>3</v>
      </c>
    </row>
    <row r="4" spans="1:26">
      <c r="A4" s="109" t="s">
        <v>8</v>
      </c>
      <c r="B4" s="1" t="s">
        <v>6</v>
      </c>
      <c r="C4" s="4">
        <v>59.173468100000001</v>
      </c>
      <c r="D4" s="4">
        <v>36.490689000000003</v>
      </c>
      <c r="E4" s="4">
        <v>8.3677309999999991</v>
      </c>
    </row>
    <row r="5" spans="1:26" ht="15.75" thickBot="1">
      <c r="A5" s="109"/>
      <c r="B5" s="1" t="s">
        <v>7</v>
      </c>
      <c r="C5" s="4">
        <v>0.10674699999999999</v>
      </c>
      <c r="D5" s="4">
        <v>9.5364299999999999E-2</v>
      </c>
      <c r="E5" s="4">
        <v>5.6130300000000001E-2</v>
      </c>
    </row>
    <row r="6" spans="1:26" ht="15.75" thickBot="1">
      <c r="B6" s="1" t="s">
        <v>17</v>
      </c>
      <c r="C6" s="5">
        <v>5.1126999999999999E-2</v>
      </c>
      <c r="Q6" s="111" t="s">
        <v>15</v>
      </c>
      <c r="R6" s="112"/>
      <c r="S6" s="113"/>
    </row>
    <row r="7" spans="1:26" ht="15.75" thickBot="1"/>
    <row r="8" spans="1:26" ht="15.75" thickBot="1">
      <c r="E8" s="124" t="s">
        <v>4</v>
      </c>
      <c r="F8" s="125"/>
      <c r="G8" s="126"/>
      <c r="H8" s="107" t="s">
        <v>5</v>
      </c>
      <c r="I8" s="108"/>
      <c r="J8" s="110"/>
      <c r="K8" s="107" t="s">
        <v>9</v>
      </c>
      <c r="L8" s="108"/>
      <c r="M8" s="110"/>
      <c r="N8" s="102" t="s">
        <v>10</v>
      </c>
      <c r="Q8" s="115" t="s">
        <v>4</v>
      </c>
      <c r="R8" s="116"/>
      <c r="S8" s="117"/>
      <c r="T8" s="131" t="s">
        <v>5</v>
      </c>
      <c r="U8" s="132"/>
      <c r="V8" s="133"/>
      <c r="W8" s="131" t="s">
        <v>9</v>
      </c>
      <c r="X8" s="132"/>
      <c r="Y8" s="133"/>
      <c r="Z8" s="118" t="s">
        <v>10</v>
      </c>
    </row>
    <row r="9" spans="1:26" ht="15.75" thickBot="1">
      <c r="A9" s="94" t="s">
        <v>24</v>
      </c>
      <c r="C9" s="124" t="s">
        <v>0</v>
      </c>
      <c r="D9" s="125"/>
      <c r="E9" s="6" t="s">
        <v>1</v>
      </c>
      <c r="F9" s="7" t="s">
        <v>2</v>
      </c>
      <c r="G9" s="8" t="s">
        <v>3</v>
      </c>
      <c r="H9" s="6" t="s">
        <v>1</v>
      </c>
      <c r="I9" s="7" t="s">
        <v>2</v>
      </c>
      <c r="J9" s="8" t="s">
        <v>3</v>
      </c>
      <c r="K9" s="6" t="s">
        <v>1</v>
      </c>
      <c r="L9" s="7" t="s">
        <v>2</v>
      </c>
      <c r="M9" s="8" t="s">
        <v>3</v>
      </c>
      <c r="N9" s="104"/>
      <c r="Q9" s="24" t="s">
        <v>1</v>
      </c>
      <c r="R9" s="25" t="s">
        <v>2</v>
      </c>
      <c r="S9" s="26" t="s">
        <v>3</v>
      </c>
      <c r="T9" s="24" t="s">
        <v>1</v>
      </c>
      <c r="U9" s="25" t="s">
        <v>2</v>
      </c>
      <c r="V9" s="26" t="s">
        <v>3</v>
      </c>
      <c r="W9" s="24" t="s">
        <v>1</v>
      </c>
      <c r="X9" s="25" t="s">
        <v>2</v>
      </c>
      <c r="Y9" s="26" t="s">
        <v>3</v>
      </c>
      <c r="Z9" s="119"/>
    </row>
    <row r="10" spans="1:26">
      <c r="A10" s="95"/>
      <c r="B10">
        <f>D10-C10</f>
        <v>32</v>
      </c>
      <c r="C10" s="45">
        <v>41276</v>
      </c>
      <c r="D10" s="46">
        <v>41308</v>
      </c>
      <c r="E10" s="10">
        <v>110</v>
      </c>
      <c r="F10" s="11">
        <v>110</v>
      </c>
      <c r="G10" s="12">
        <v>110</v>
      </c>
      <c r="H10" s="18">
        <v>16</v>
      </c>
      <c r="I10" s="19">
        <v>86</v>
      </c>
      <c r="J10" s="20">
        <v>85</v>
      </c>
      <c r="K10" s="10">
        <f>IF(H10&lt;=0.85*E10,0.85*E10,IF(H10&lt;=1.05*E10,H10,(H10+2*(H10-1.05*E10))))</f>
        <v>93.5</v>
      </c>
      <c r="L10" s="11">
        <f t="shared" ref="L10:M10" si="0">IF(I10&lt;=0.85*F10,0.85*F10,IF(I10&lt;=1.05*F10,I10,(I10+2*(I10-1.05*F10))))</f>
        <v>93.5</v>
      </c>
      <c r="M10" s="12">
        <f t="shared" si="0"/>
        <v>93.5</v>
      </c>
      <c r="N10" s="51">
        <f>(K10*$C$4*B10/365+L10*$D$4*B10/365+M10*$E$4*B10/365)*(1+$C$6)</f>
        <v>896.376365800337</v>
      </c>
      <c r="O10" t="s">
        <v>27</v>
      </c>
      <c r="Q10" s="27">
        <v>35</v>
      </c>
      <c r="R10" s="28">
        <v>100</v>
      </c>
      <c r="S10" s="29">
        <v>100</v>
      </c>
      <c r="T10" s="36">
        <f>H10</f>
        <v>16</v>
      </c>
      <c r="U10" s="37">
        <f t="shared" ref="U10:V10" si="1">I10</f>
        <v>86</v>
      </c>
      <c r="V10" s="38">
        <f t="shared" si="1"/>
        <v>85</v>
      </c>
      <c r="W10" s="27">
        <f>IF(T10&lt;=0.85*Q10,0.85*Q10,IF(T10&lt;=1.05*Q10,T10,(T10+2*(T10-1.05*Q10))))</f>
        <v>29.75</v>
      </c>
      <c r="X10" s="28">
        <f t="shared" ref="X10:X21" si="2">IF(U10&lt;=0.85*R10,0.85*R10,IF(U10&lt;=1.05*R10,U10,(U10+2*(U10-1.05*R10))))</f>
        <v>86</v>
      </c>
      <c r="Y10" s="29">
        <f t="shared" ref="Y10:Y21" si="3">IF(V10&lt;=0.85*S10,0.85*S10,IF(V10&lt;=1.05*S10,V10,(V10+2*(V10-1.05*S10))))</f>
        <v>85</v>
      </c>
      <c r="Z10" s="82">
        <f>(W10*$C$4*B10/365+X10*$D$4*B10/365+Y10*$E$4*B10/365)*(1+$C$6)</f>
        <v>516.96944555888012</v>
      </c>
    </row>
    <row r="11" spans="1:26">
      <c r="A11" s="95"/>
      <c r="B11">
        <f t="shared" ref="B11:B21" si="4">D11-C11</f>
        <v>27</v>
      </c>
      <c r="C11" s="47">
        <f>D10</f>
        <v>41308</v>
      </c>
      <c r="D11" s="48">
        <v>41335</v>
      </c>
      <c r="E11" s="13">
        <f>E10</f>
        <v>110</v>
      </c>
      <c r="F11" s="3">
        <f>F10</f>
        <v>110</v>
      </c>
      <c r="G11" s="14">
        <f>G10</f>
        <v>110</v>
      </c>
      <c r="H11" s="21">
        <v>20</v>
      </c>
      <c r="I11" s="22">
        <v>86</v>
      </c>
      <c r="J11" s="23">
        <v>85</v>
      </c>
      <c r="K11" s="13">
        <f t="shared" ref="K11:K21" si="5">IF(H11&lt;=0.85*E11,0.85*E11,IF(H11&lt;=1.05*E11,H11,(H11+2*(H11-1.05*E11))))</f>
        <v>93.5</v>
      </c>
      <c r="L11" s="3">
        <f t="shared" ref="L11:L21" si="6">IF(I11&lt;=0.85*F11,0.85*F11,IF(I11&lt;=1.05*F11,I11,(I11+2*(I11-1.05*F11))))</f>
        <v>93.5</v>
      </c>
      <c r="M11" s="14">
        <f t="shared" ref="M11:M21" si="7">IF(J11&lt;=0.85*G11,0.85*G11,IF(J11&lt;=1.05*G11,J11,(J11+2*(J11-1.05*G11))))</f>
        <v>93.5</v>
      </c>
      <c r="N11" s="52">
        <f t="shared" ref="N11:N21" si="8">(K11*$C$4*B11/365+L11*$D$4*B11/365+M11*$E$4*B11/365)*(1+$C$6)</f>
        <v>756.31755864403431</v>
      </c>
      <c r="O11" t="s">
        <v>28</v>
      </c>
      <c r="Q11" s="30">
        <f>Q10</f>
        <v>35</v>
      </c>
      <c r="R11" s="31">
        <f>R10</f>
        <v>100</v>
      </c>
      <c r="S11" s="32">
        <f>S10</f>
        <v>100</v>
      </c>
      <c r="T11" s="39">
        <f t="shared" ref="T11:T21" si="9">H11</f>
        <v>20</v>
      </c>
      <c r="U11" s="40">
        <f t="shared" ref="U11:U21" si="10">I11</f>
        <v>86</v>
      </c>
      <c r="V11" s="41">
        <f t="shared" ref="V11:V21" si="11">J11</f>
        <v>85</v>
      </c>
      <c r="W11" s="30">
        <f t="shared" ref="W11:W21" si="12">IF(T11&lt;=0.85*Q11,0.85*Q11,IF(T11&lt;=1.05*Q11,T11,(T11+2*(T11-1.05*Q11))))</f>
        <v>29.75</v>
      </c>
      <c r="X11" s="31">
        <f t="shared" si="2"/>
        <v>86</v>
      </c>
      <c r="Y11" s="32">
        <f t="shared" si="3"/>
        <v>85</v>
      </c>
      <c r="Z11" s="83">
        <f t="shared" ref="Z11:Z21" si="13">(W11*$C$4*B11/365+X11*$D$4*B11/365+Y11*$E$4*B11/365)*(1+$C$6)</f>
        <v>436.19296969030506</v>
      </c>
    </row>
    <row r="12" spans="1:26">
      <c r="A12" s="95"/>
      <c r="B12">
        <f t="shared" si="4"/>
        <v>31</v>
      </c>
      <c r="C12" s="47">
        <f t="shared" ref="C12:C21" si="14">D11</f>
        <v>41335</v>
      </c>
      <c r="D12" s="48">
        <v>41366</v>
      </c>
      <c r="E12" s="13">
        <f t="shared" ref="E12:E21" si="15">E11</f>
        <v>110</v>
      </c>
      <c r="F12" s="3">
        <f t="shared" ref="F12:F21" si="16">F11</f>
        <v>110</v>
      </c>
      <c r="G12" s="14">
        <f t="shared" ref="G12:G21" si="17">G11</f>
        <v>110</v>
      </c>
      <c r="H12" s="21">
        <v>15</v>
      </c>
      <c r="I12" s="22">
        <v>84</v>
      </c>
      <c r="J12" s="23">
        <v>85</v>
      </c>
      <c r="K12" s="13">
        <f t="shared" si="5"/>
        <v>93.5</v>
      </c>
      <c r="L12" s="3">
        <f t="shared" si="6"/>
        <v>93.5</v>
      </c>
      <c r="M12" s="14">
        <f t="shared" si="7"/>
        <v>93.5</v>
      </c>
      <c r="N12" s="52">
        <f t="shared" si="8"/>
        <v>868.36460436907646</v>
      </c>
      <c r="O12" t="s">
        <v>29</v>
      </c>
      <c r="Q12" s="30">
        <f t="shared" ref="Q12:S21" si="18">Q11</f>
        <v>35</v>
      </c>
      <c r="R12" s="31">
        <f t="shared" si="18"/>
        <v>100</v>
      </c>
      <c r="S12" s="32">
        <f t="shared" si="18"/>
        <v>100</v>
      </c>
      <c r="T12" s="39">
        <f t="shared" si="9"/>
        <v>15</v>
      </c>
      <c r="U12" s="40">
        <f t="shared" si="10"/>
        <v>84</v>
      </c>
      <c r="V12" s="41">
        <f t="shared" si="11"/>
        <v>85</v>
      </c>
      <c r="W12" s="30">
        <f t="shared" si="12"/>
        <v>29.75</v>
      </c>
      <c r="X12" s="31">
        <f t="shared" si="2"/>
        <v>85</v>
      </c>
      <c r="Y12" s="32">
        <f t="shared" si="3"/>
        <v>85</v>
      </c>
      <c r="Z12" s="83">
        <f t="shared" si="13"/>
        <v>497.55648791351695</v>
      </c>
    </row>
    <row r="13" spans="1:26">
      <c r="A13" s="95"/>
      <c r="B13">
        <f t="shared" si="4"/>
        <v>32</v>
      </c>
      <c r="C13" s="47">
        <f t="shared" si="14"/>
        <v>41366</v>
      </c>
      <c r="D13" s="48">
        <v>41398</v>
      </c>
      <c r="E13" s="13">
        <f t="shared" si="15"/>
        <v>110</v>
      </c>
      <c r="F13" s="3">
        <f t="shared" si="16"/>
        <v>110</v>
      </c>
      <c r="G13" s="14">
        <f t="shared" si="17"/>
        <v>110</v>
      </c>
      <c r="H13" s="21">
        <v>15</v>
      </c>
      <c r="I13" s="22">
        <v>31</v>
      </c>
      <c r="J13" s="23">
        <v>84</v>
      </c>
      <c r="K13" s="13">
        <f t="shared" si="5"/>
        <v>93.5</v>
      </c>
      <c r="L13" s="3">
        <f t="shared" si="6"/>
        <v>93.5</v>
      </c>
      <c r="M13" s="14">
        <f t="shared" si="7"/>
        <v>93.5</v>
      </c>
      <c r="N13" s="52">
        <f t="shared" si="8"/>
        <v>896.376365800337</v>
      </c>
      <c r="O13" t="s">
        <v>30</v>
      </c>
      <c r="Q13" s="30">
        <f t="shared" si="18"/>
        <v>35</v>
      </c>
      <c r="R13" s="31">
        <f t="shared" si="18"/>
        <v>100</v>
      </c>
      <c r="S13" s="32">
        <f t="shared" si="18"/>
        <v>100</v>
      </c>
      <c r="T13" s="39">
        <f t="shared" si="9"/>
        <v>15</v>
      </c>
      <c r="U13" s="40">
        <f t="shared" si="10"/>
        <v>31</v>
      </c>
      <c r="V13" s="41">
        <f t="shared" si="11"/>
        <v>84</v>
      </c>
      <c r="W13" s="30">
        <f t="shared" si="12"/>
        <v>29.75</v>
      </c>
      <c r="X13" s="31">
        <f t="shared" si="2"/>
        <v>85</v>
      </c>
      <c r="Y13" s="32">
        <f t="shared" si="3"/>
        <v>85</v>
      </c>
      <c r="Z13" s="83">
        <f t="shared" si="13"/>
        <v>513.60669720104977</v>
      </c>
    </row>
    <row r="14" spans="1:26">
      <c r="A14" s="95"/>
      <c r="B14">
        <f t="shared" si="4"/>
        <v>30</v>
      </c>
      <c r="C14" s="47">
        <f t="shared" si="14"/>
        <v>41398</v>
      </c>
      <c r="D14" s="48">
        <v>41428</v>
      </c>
      <c r="E14" s="13">
        <f t="shared" si="15"/>
        <v>110</v>
      </c>
      <c r="F14" s="3">
        <f t="shared" si="16"/>
        <v>110</v>
      </c>
      <c r="G14" s="14">
        <f t="shared" si="17"/>
        <v>110</v>
      </c>
      <c r="H14" s="21">
        <v>12</v>
      </c>
      <c r="I14" s="22">
        <v>23</v>
      </c>
      <c r="J14" s="23">
        <v>84</v>
      </c>
      <c r="K14" s="13">
        <f t="shared" si="5"/>
        <v>93.5</v>
      </c>
      <c r="L14" s="3">
        <f t="shared" si="6"/>
        <v>93.5</v>
      </c>
      <c r="M14" s="14">
        <f t="shared" si="7"/>
        <v>93.5</v>
      </c>
      <c r="N14" s="52">
        <f t="shared" si="8"/>
        <v>840.35284293781581</v>
      </c>
      <c r="O14" t="s">
        <v>31</v>
      </c>
      <c r="Q14" s="30">
        <f t="shared" si="18"/>
        <v>35</v>
      </c>
      <c r="R14" s="31">
        <f t="shared" si="18"/>
        <v>100</v>
      </c>
      <c r="S14" s="32">
        <f t="shared" si="18"/>
        <v>100</v>
      </c>
      <c r="T14" s="39">
        <f t="shared" si="9"/>
        <v>12</v>
      </c>
      <c r="U14" s="40">
        <f t="shared" si="10"/>
        <v>23</v>
      </c>
      <c r="V14" s="41">
        <f t="shared" si="11"/>
        <v>84</v>
      </c>
      <c r="W14" s="30">
        <f t="shared" si="12"/>
        <v>29.75</v>
      </c>
      <c r="X14" s="31">
        <f t="shared" si="2"/>
        <v>85</v>
      </c>
      <c r="Y14" s="32">
        <f t="shared" si="3"/>
        <v>85</v>
      </c>
      <c r="Z14" s="83">
        <f t="shared" si="13"/>
        <v>481.50627862598412</v>
      </c>
    </row>
    <row r="15" spans="1:26">
      <c r="A15" s="95"/>
      <c r="B15">
        <f t="shared" si="4"/>
        <v>32</v>
      </c>
      <c r="C15" s="47">
        <f t="shared" si="14"/>
        <v>41428</v>
      </c>
      <c r="D15" s="48">
        <v>41460</v>
      </c>
      <c r="E15" s="13">
        <f t="shared" si="15"/>
        <v>110</v>
      </c>
      <c r="F15" s="3">
        <f t="shared" si="16"/>
        <v>110</v>
      </c>
      <c r="G15" s="14">
        <f t="shared" si="17"/>
        <v>110</v>
      </c>
      <c r="H15" s="21">
        <v>28</v>
      </c>
      <c r="I15" s="22">
        <v>101</v>
      </c>
      <c r="J15" s="23">
        <v>101</v>
      </c>
      <c r="K15" s="13">
        <f t="shared" si="5"/>
        <v>93.5</v>
      </c>
      <c r="L15" s="3">
        <f t="shared" si="6"/>
        <v>101</v>
      </c>
      <c r="M15" s="14">
        <f t="shared" si="7"/>
        <v>101</v>
      </c>
      <c r="N15" s="52">
        <f t="shared" si="8"/>
        <v>927.38035250017708</v>
      </c>
      <c r="O15" t="s">
        <v>32</v>
      </c>
      <c r="Q15" s="30">
        <f t="shared" si="18"/>
        <v>35</v>
      </c>
      <c r="R15" s="31">
        <f t="shared" si="18"/>
        <v>100</v>
      </c>
      <c r="S15" s="32">
        <f t="shared" si="18"/>
        <v>100</v>
      </c>
      <c r="T15" s="39">
        <f t="shared" si="9"/>
        <v>28</v>
      </c>
      <c r="U15" s="40">
        <f t="shared" si="10"/>
        <v>101</v>
      </c>
      <c r="V15" s="41">
        <f t="shared" si="11"/>
        <v>101</v>
      </c>
      <c r="W15" s="30">
        <f t="shared" si="12"/>
        <v>29.75</v>
      </c>
      <c r="X15" s="31">
        <f t="shared" si="2"/>
        <v>101</v>
      </c>
      <c r="Y15" s="32">
        <f t="shared" si="3"/>
        <v>101</v>
      </c>
      <c r="Z15" s="83">
        <f t="shared" si="13"/>
        <v>579.74853549404179</v>
      </c>
    </row>
    <row r="16" spans="1:26">
      <c r="A16" s="95"/>
      <c r="B16">
        <f t="shared" si="4"/>
        <v>28</v>
      </c>
      <c r="C16" s="47">
        <f t="shared" si="14"/>
        <v>41460</v>
      </c>
      <c r="D16" s="48">
        <v>41488</v>
      </c>
      <c r="E16" s="13">
        <f t="shared" si="15"/>
        <v>110</v>
      </c>
      <c r="F16" s="3">
        <f t="shared" si="16"/>
        <v>110</v>
      </c>
      <c r="G16" s="14">
        <f t="shared" si="17"/>
        <v>110</v>
      </c>
      <c r="H16" s="21">
        <v>36</v>
      </c>
      <c r="I16" s="22">
        <v>100</v>
      </c>
      <c r="J16" s="23">
        <v>100</v>
      </c>
      <c r="K16" s="13">
        <f t="shared" si="5"/>
        <v>93.5</v>
      </c>
      <c r="L16" s="3">
        <f t="shared" si="6"/>
        <v>100</v>
      </c>
      <c r="M16" s="14">
        <f t="shared" si="7"/>
        <v>100</v>
      </c>
      <c r="N16" s="52">
        <f t="shared" si="8"/>
        <v>807.84067665600674</v>
      </c>
      <c r="O16" t="s">
        <v>33</v>
      </c>
      <c r="Q16" s="30">
        <f t="shared" si="18"/>
        <v>35</v>
      </c>
      <c r="R16" s="31">
        <f t="shared" si="18"/>
        <v>100</v>
      </c>
      <c r="S16" s="32">
        <f t="shared" si="18"/>
        <v>100</v>
      </c>
      <c r="T16" s="39">
        <f t="shared" si="9"/>
        <v>36</v>
      </c>
      <c r="U16" s="40">
        <f t="shared" si="10"/>
        <v>100</v>
      </c>
      <c r="V16" s="41">
        <f t="shared" si="11"/>
        <v>100</v>
      </c>
      <c r="W16" s="30">
        <f t="shared" si="12"/>
        <v>36</v>
      </c>
      <c r="X16" s="31">
        <f t="shared" si="2"/>
        <v>100</v>
      </c>
      <c r="Y16" s="32">
        <f t="shared" si="3"/>
        <v>100</v>
      </c>
      <c r="Z16" s="83">
        <f t="shared" si="13"/>
        <v>533.48419362665504</v>
      </c>
    </row>
    <row r="17" spans="1:26">
      <c r="A17" s="95"/>
      <c r="B17">
        <f t="shared" si="4"/>
        <v>33</v>
      </c>
      <c r="C17" s="47">
        <f t="shared" si="14"/>
        <v>41488</v>
      </c>
      <c r="D17" s="48">
        <v>41521</v>
      </c>
      <c r="E17" s="13">
        <f t="shared" si="15"/>
        <v>110</v>
      </c>
      <c r="F17" s="3">
        <f t="shared" si="16"/>
        <v>110</v>
      </c>
      <c r="G17" s="14">
        <f t="shared" si="17"/>
        <v>110</v>
      </c>
      <c r="H17" s="21">
        <v>27</v>
      </c>
      <c r="I17" s="22">
        <v>101</v>
      </c>
      <c r="J17" s="23">
        <v>100</v>
      </c>
      <c r="K17" s="13">
        <f t="shared" si="5"/>
        <v>93.5</v>
      </c>
      <c r="L17" s="3">
        <f t="shared" si="6"/>
        <v>101</v>
      </c>
      <c r="M17" s="14">
        <f t="shared" si="7"/>
        <v>100</v>
      </c>
      <c r="N17" s="52">
        <f t="shared" si="8"/>
        <v>955.56577458859203</v>
      </c>
      <c r="O17" t="s">
        <v>34</v>
      </c>
      <c r="Q17" s="30">
        <f t="shared" si="18"/>
        <v>35</v>
      </c>
      <c r="R17" s="31">
        <f t="shared" si="18"/>
        <v>100</v>
      </c>
      <c r="S17" s="32">
        <f t="shared" si="18"/>
        <v>100</v>
      </c>
      <c r="T17" s="39">
        <f t="shared" si="9"/>
        <v>27</v>
      </c>
      <c r="U17" s="40">
        <f t="shared" si="10"/>
        <v>101</v>
      </c>
      <c r="V17" s="41">
        <f t="shared" si="11"/>
        <v>100</v>
      </c>
      <c r="W17" s="30">
        <f t="shared" si="12"/>
        <v>29.75</v>
      </c>
      <c r="X17" s="31">
        <f t="shared" si="2"/>
        <v>101</v>
      </c>
      <c r="Y17" s="32">
        <f t="shared" si="3"/>
        <v>100</v>
      </c>
      <c r="Z17" s="83">
        <f t="shared" si="13"/>
        <v>597.07046330101514</v>
      </c>
    </row>
    <row r="18" spans="1:26">
      <c r="A18" s="95"/>
      <c r="B18">
        <f t="shared" si="4"/>
        <v>27</v>
      </c>
      <c r="C18" s="47">
        <f t="shared" si="14"/>
        <v>41521</v>
      </c>
      <c r="D18" s="48">
        <v>41548</v>
      </c>
      <c r="E18" s="13">
        <f t="shared" si="15"/>
        <v>110</v>
      </c>
      <c r="F18" s="3">
        <f t="shared" si="16"/>
        <v>110</v>
      </c>
      <c r="G18" s="14">
        <f t="shared" si="17"/>
        <v>110</v>
      </c>
      <c r="H18" s="21">
        <v>98</v>
      </c>
      <c r="I18" s="22">
        <v>101</v>
      </c>
      <c r="J18" s="23">
        <v>101</v>
      </c>
      <c r="K18" s="13">
        <f t="shared" si="5"/>
        <v>98</v>
      </c>
      <c r="L18" s="3">
        <f t="shared" si="6"/>
        <v>101</v>
      </c>
      <c r="M18" s="14">
        <f t="shared" si="7"/>
        <v>101</v>
      </c>
      <c r="N18" s="52">
        <f t="shared" si="8"/>
        <v>803.18171446430154</v>
      </c>
      <c r="O18" t="s">
        <v>35</v>
      </c>
      <c r="Q18" s="30">
        <f t="shared" si="18"/>
        <v>35</v>
      </c>
      <c r="R18" s="31">
        <f t="shared" si="18"/>
        <v>100</v>
      </c>
      <c r="S18" s="32">
        <f t="shared" si="18"/>
        <v>100</v>
      </c>
      <c r="T18" s="39">
        <f t="shared" si="9"/>
        <v>98</v>
      </c>
      <c r="U18" s="40">
        <f t="shared" si="10"/>
        <v>101</v>
      </c>
      <c r="V18" s="41">
        <f t="shared" si="11"/>
        <v>101</v>
      </c>
      <c r="W18" s="30">
        <f t="shared" si="12"/>
        <v>220.5</v>
      </c>
      <c r="X18" s="31">
        <f t="shared" si="2"/>
        <v>101</v>
      </c>
      <c r="Y18" s="32">
        <f t="shared" si="3"/>
        <v>101</v>
      </c>
      <c r="Z18" s="83">
        <f t="shared" si="13"/>
        <v>1366.8053589485132</v>
      </c>
    </row>
    <row r="19" spans="1:26">
      <c r="A19" s="95"/>
      <c r="B19">
        <f t="shared" si="4"/>
        <v>32</v>
      </c>
      <c r="C19" s="47">
        <f t="shared" si="14"/>
        <v>41548</v>
      </c>
      <c r="D19" s="48">
        <v>41580</v>
      </c>
      <c r="E19" s="13">
        <f t="shared" si="15"/>
        <v>110</v>
      </c>
      <c r="F19" s="3">
        <f t="shared" si="16"/>
        <v>110</v>
      </c>
      <c r="G19" s="14">
        <f t="shared" si="17"/>
        <v>110</v>
      </c>
      <c r="H19" s="21">
        <v>38</v>
      </c>
      <c r="I19" s="22">
        <v>101</v>
      </c>
      <c r="J19" s="23">
        <v>103</v>
      </c>
      <c r="K19" s="13">
        <f t="shared" si="5"/>
        <v>93.5</v>
      </c>
      <c r="L19" s="3">
        <f t="shared" si="6"/>
        <v>101</v>
      </c>
      <c r="M19" s="14">
        <f t="shared" si="7"/>
        <v>103</v>
      </c>
      <c r="N19" s="52">
        <f t="shared" si="8"/>
        <v>928.92258557114019</v>
      </c>
      <c r="O19" t="s">
        <v>36</v>
      </c>
      <c r="Q19" s="30">
        <f t="shared" si="18"/>
        <v>35</v>
      </c>
      <c r="R19" s="31">
        <f t="shared" si="18"/>
        <v>100</v>
      </c>
      <c r="S19" s="32">
        <f t="shared" si="18"/>
        <v>100</v>
      </c>
      <c r="T19" s="39">
        <f t="shared" si="9"/>
        <v>38</v>
      </c>
      <c r="U19" s="40">
        <f t="shared" si="10"/>
        <v>101</v>
      </c>
      <c r="V19" s="41">
        <f t="shared" si="11"/>
        <v>103</v>
      </c>
      <c r="W19" s="30">
        <f t="shared" si="12"/>
        <v>40.5</v>
      </c>
      <c r="X19" s="31">
        <f t="shared" si="2"/>
        <v>101</v>
      </c>
      <c r="Y19" s="32">
        <f t="shared" si="3"/>
        <v>103</v>
      </c>
      <c r="Z19" s="83">
        <f t="shared" si="13"/>
        <v>639.91103574643159</v>
      </c>
    </row>
    <row r="20" spans="1:26">
      <c r="A20" s="95"/>
      <c r="B20">
        <f t="shared" si="4"/>
        <v>31</v>
      </c>
      <c r="C20" s="47">
        <f t="shared" si="14"/>
        <v>41580</v>
      </c>
      <c r="D20" s="48">
        <v>41611</v>
      </c>
      <c r="E20" s="13">
        <f t="shared" si="15"/>
        <v>110</v>
      </c>
      <c r="F20" s="3">
        <f t="shared" si="16"/>
        <v>110</v>
      </c>
      <c r="G20" s="14">
        <f t="shared" si="17"/>
        <v>110</v>
      </c>
      <c r="H20" s="21">
        <v>28</v>
      </c>
      <c r="I20" s="22">
        <v>67</v>
      </c>
      <c r="J20" s="23">
        <v>102</v>
      </c>
      <c r="K20" s="13">
        <f t="shared" si="5"/>
        <v>93.5</v>
      </c>
      <c r="L20" s="3">
        <f t="shared" si="6"/>
        <v>93.5</v>
      </c>
      <c r="M20" s="14">
        <f t="shared" si="7"/>
        <v>102</v>
      </c>
      <c r="N20" s="52">
        <f t="shared" si="8"/>
        <v>874.71426709093271</v>
      </c>
      <c r="O20" t="s">
        <v>37</v>
      </c>
      <c r="Q20" s="30">
        <f t="shared" si="18"/>
        <v>35</v>
      </c>
      <c r="R20" s="31">
        <f t="shared" si="18"/>
        <v>100</v>
      </c>
      <c r="S20" s="32">
        <f t="shared" si="18"/>
        <v>100</v>
      </c>
      <c r="T20" s="39">
        <f t="shared" si="9"/>
        <v>28</v>
      </c>
      <c r="U20" s="40">
        <f t="shared" si="10"/>
        <v>67</v>
      </c>
      <c r="V20" s="41">
        <f t="shared" si="11"/>
        <v>102</v>
      </c>
      <c r="W20" s="30">
        <f t="shared" si="12"/>
        <v>29.75</v>
      </c>
      <c r="X20" s="31">
        <f t="shared" si="2"/>
        <v>85</v>
      </c>
      <c r="Y20" s="32">
        <f t="shared" si="3"/>
        <v>102</v>
      </c>
      <c r="Z20" s="83">
        <f t="shared" si="13"/>
        <v>510.25581335722961</v>
      </c>
    </row>
    <row r="21" spans="1:26" ht="15.75" thickBot="1">
      <c r="A21" s="96"/>
      <c r="B21">
        <f t="shared" si="4"/>
        <v>30</v>
      </c>
      <c r="C21" s="49">
        <f t="shared" si="14"/>
        <v>41611</v>
      </c>
      <c r="D21" s="50">
        <v>41641</v>
      </c>
      <c r="E21" s="15">
        <f t="shared" si="15"/>
        <v>110</v>
      </c>
      <c r="F21" s="16">
        <f t="shared" si="16"/>
        <v>110</v>
      </c>
      <c r="G21" s="17">
        <f t="shared" si="17"/>
        <v>110</v>
      </c>
      <c r="H21" s="21">
        <v>28</v>
      </c>
      <c r="I21" s="65">
        <v>40</v>
      </c>
      <c r="J21" s="66">
        <v>102</v>
      </c>
      <c r="K21" s="15">
        <f t="shared" si="5"/>
        <v>93.5</v>
      </c>
      <c r="L21" s="16">
        <f t="shared" si="6"/>
        <v>93.5</v>
      </c>
      <c r="M21" s="17">
        <f t="shared" si="7"/>
        <v>102</v>
      </c>
      <c r="N21" s="53">
        <f t="shared" si="8"/>
        <v>846.49767782993479</v>
      </c>
      <c r="O21" t="s">
        <v>38</v>
      </c>
      <c r="Q21" s="33">
        <f t="shared" si="18"/>
        <v>35</v>
      </c>
      <c r="R21" s="34">
        <f t="shared" si="18"/>
        <v>100</v>
      </c>
      <c r="S21" s="35">
        <f t="shared" si="18"/>
        <v>100</v>
      </c>
      <c r="T21" s="42">
        <f t="shared" si="9"/>
        <v>28</v>
      </c>
      <c r="U21" s="43">
        <f t="shared" si="10"/>
        <v>40</v>
      </c>
      <c r="V21" s="44">
        <f t="shared" si="11"/>
        <v>102</v>
      </c>
      <c r="W21" s="33">
        <f t="shared" si="12"/>
        <v>29.75</v>
      </c>
      <c r="X21" s="34">
        <f t="shared" si="2"/>
        <v>85</v>
      </c>
      <c r="Y21" s="35">
        <f t="shared" si="3"/>
        <v>102</v>
      </c>
      <c r="Z21" s="84">
        <f t="shared" si="13"/>
        <v>493.79594841022214</v>
      </c>
    </row>
    <row r="22" spans="1:26" ht="15.75" thickBot="1">
      <c r="B22">
        <f>SUM(B10:B21)</f>
        <v>365</v>
      </c>
      <c r="H22" s="67">
        <f>MAX(H10:H21)</f>
        <v>98</v>
      </c>
      <c r="I22" s="68">
        <f t="shared" ref="I22:J22" si="19">MAX(I10:I21)</f>
        <v>101</v>
      </c>
      <c r="J22" s="69">
        <f t="shared" si="19"/>
        <v>103</v>
      </c>
      <c r="N22" s="9">
        <f>SUM(N10:N21)</f>
        <v>10401.890786252685</v>
      </c>
      <c r="Z22" s="85">
        <f>SUM(Z10:Z21)</f>
        <v>7166.903227873845</v>
      </c>
    </row>
    <row r="23" spans="1:26" ht="15.75" thickBot="1"/>
    <row r="24" spans="1:26" ht="15.75" thickBot="1">
      <c r="H24" s="102" t="s">
        <v>12</v>
      </c>
      <c r="I24" s="102" t="s">
        <v>39</v>
      </c>
      <c r="M24" s="102" t="s">
        <v>14</v>
      </c>
    </row>
    <row r="25" spans="1:26" ht="15.75" customHeight="1" thickBot="1">
      <c r="E25" s="107" t="s">
        <v>11</v>
      </c>
      <c r="F25" s="108"/>
      <c r="G25" s="114"/>
      <c r="H25" s="103"/>
      <c r="I25" s="103"/>
      <c r="J25" s="107" t="s">
        <v>13</v>
      </c>
      <c r="K25" s="108"/>
      <c r="L25" s="114"/>
      <c r="M25" s="103"/>
      <c r="Q25" s="107" t="s">
        <v>16</v>
      </c>
      <c r="R25" s="108"/>
      <c r="S25" s="110"/>
      <c r="U25" s="107" t="s">
        <v>18</v>
      </c>
      <c r="V25" s="108"/>
      <c r="W25" s="110"/>
    </row>
    <row r="26" spans="1:26" ht="15.75" thickBot="1">
      <c r="A26" s="94" t="s">
        <v>25</v>
      </c>
      <c r="C26" s="107" t="s">
        <v>0</v>
      </c>
      <c r="D26" s="108"/>
      <c r="E26" s="6" t="s">
        <v>1</v>
      </c>
      <c r="F26" s="7" t="s">
        <v>2</v>
      </c>
      <c r="G26" s="54" t="s">
        <v>3</v>
      </c>
      <c r="H26" s="104"/>
      <c r="I26" s="104"/>
      <c r="J26" s="6" t="s">
        <v>1</v>
      </c>
      <c r="K26" s="7" t="s">
        <v>2</v>
      </c>
      <c r="L26" s="54" t="s">
        <v>3</v>
      </c>
      <c r="M26" s="104"/>
      <c r="Q26" s="6" t="s">
        <v>1</v>
      </c>
      <c r="R26" s="7" t="s">
        <v>2</v>
      </c>
      <c r="S26" s="8" t="s">
        <v>3</v>
      </c>
      <c r="U26" s="6" t="s">
        <v>1</v>
      </c>
      <c r="V26" s="7" t="s">
        <v>2</v>
      </c>
      <c r="W26" s="8" t="s">
        <v>3</v>
      </c>
    </row>
    <row r="27" spans="1:26">
      <c r="A27" s="95"/>
      <c r="B27">
        <f>D27-C27</f>
        <v>32</v>
      </c>
      <c r="C27" s="45">
        <f>C10</f>
        <v>41276</v>
      </c>
      <c r="D27" s="46">
        <f>D10</f>
        <v>41308</v>
      </c>
      <c r="E27" s="10">
        <v>989</v>
      </c>
      <c r="F27" s="11">
        <v>3735</v>
      </c>
      <c r="G27" s="12">
        <v>10373</v>
      </c>
      <c r="H27" s="51">
        <f>(E27*$C$5+F27*$D$5+G27*$E$5)*(1+$C$6)</f>
        <v>1097.374533467166</v>
      </c>
      <c r="I27" s="51">
        <f>H27/SUM(E27:G27)</f>
        <v>7.2688251537866191E-2</v>
      </c>
      <c r="J27" s="10">
        <v>70</v>
      </c>
      <c r="K27" s="11">
        <v>302</v>
      </c>
      <c r="L27" s="12">
        <v>652</v>
      </c>
      <c r="M27" s="51">
        <f>U27+V27+W27</f>
        <v>0</v>
      </c>
      <c r="Q27" s="10">
        <f>E27/SQRT(E27^2+J27^2)</f>
        <v>0.99750456936175236</v>
      </c>
      <c r="R27" s="11">
        <f t="shared" ref="R27:S27" si="20">F27/SQRT(F27^2+K27^2)</f>
        <v>0.99674703395837239</v>
      </c>
      <c r="S27" s="12">
        <f t="shared" si="20"/>
        <v>0.9980304278152996</v>
      </c>
      <c r="U27" s="10">
        <f>IF(J27&lt;(0.33*E27),0,IF(Q27&lt;0.8,(J27-(0.33*E27))*($W$41/(1+$C$6)),IF(Q27&lt;0.95,(J27-(0.33*E27))*($U$41/(1+$C$6)),0)))</f>
        <v>0</v>
      </c>
      <c r="V27" s="11">
        <f>IF(K27&lt;(0.33*F27),0,IF(R27&lt;0.8,(K27-(0.33*F27))*($W$41/(1+$C$6)),IF(R27&lt;0.95,(K27-(0.33*F27))*($U$41/(1+$C$6)),0)))</f>
        <v>0</v>
      </c>
      <c r="W27" s="12">
        <f>IF(L27&lt;(0.33*G27),0,IF(S27&lt;0.8,(L27-(0.33*G27))*($W$41/(1+$C$6)),IF(S27&lt;0.95,(L27-(0.33*G27))*($U$41/(1+$C$6)),0)))</f>
        <v>0</v>
      </c>
    </row>
    <row r="28" spans="1:26">
      <c r="A28" s="95"/>
      <c r="B28">
        <f t="shared" ref="B28:B38" si="21">D28-C28</f>
        <v>27</v>
      </c>
      <c r="C28" s="47">
        <f t="shared" ref="C28:D28" si="22">C11</f>
        <v>41308</v>
      </c>
      <c r="D28" s="48">
        <f t="shared" si="22"/>
        <v>41335</v>
      </c>
      <c r="E28" s="13">
        <v>828</v>
      </c>
      <c r="F28" s="3">
        <v>3258</v>
      </c>
      <c r="G28" s="14">
        <v>9442</v>
      </c>
      <c r="H28" s="52">
        <f t="shared" ref="H28:H38" si="23">(E28*$C$5+F28*$D$5+G28*$E$5)*(1+$C$6)</f>
        <v>976.56603994164595</v>
      </c>
      <c r="I28" s="52">
        <f t="shared" ref="I28:I38" si="24">H28/SUM(E28:G28)</f>
        <v>7.2188500882735512E-2</v>
      </c>
      <c r="J28" s="13">
        <v>81</v>
      </c>
      <c r="K28" s="3">
        <v>294</v>
      </c>
      <c r="L28" s="14">
        <v>456</v>
      </c>
      <c r="M28" s="52">
        <f t="shared" ref="M28:M38" si="25">U28+V28+W28</f>
        <v>0</v>
      </c>
      <c r="Q28" s="13">
        <f t="shared" ref="Q28:Q38" si="26">E28/SQRT(E28^2+J28^2)</f>
        <v>0.9952491006685259</v>
      </c>
      <c r="R28" s="3">
        <f t="shared" ref="R28:R38" si="27">F28/SQRT(F28^2+K28^2)</f>
        <v>0.99595312342189424</v>
      </c>
      <c r="S28" s="14">
        <f t="shared" ref="S28:S38" si="28">G28/SQRT(G28^2+L28^2)</f>
        <v>0.99883583966125822</v>
      </c>
      <c r="U28" s="13">
        <f t="shared" ref="U28:U38" si="29">IF(J28&lt;(0.33*E28),0,IF(Q28&lt;0.8,(J28-(0.33*E28))*($W$41/(1+$C$6)),IF(Q28&lt;0.95,(J28-(0.33*E28))*($U$41/(1+$C$6)),0)))</f>
        <v>0</v>
      </c>
      <c r="V28" s="3">
        <f t="shared" ref="V28:V38" si="30">IF(K28&lt;(0.33*F28),0,IF(R28&lt;0.8,(K28-(0.33*F28))*($W$41/(1+$C$6)),IF(R28&lt;0.95,(K28-(0.33*F28))*($U$41/(1+$C$6)),0)))</f>
        <v>0</v>
      </c>
      <c r="W28" s="14">
        <f t="shared" ref="W28:W38" si="31">IF(L28&lt;(0.33*G28),0,IF(S28&lt;0.8,(L28-(0.33*G28))*($W$41/(1+$C$6)),IF(S28&lt;0.95,(L28-(0.33*G28))*($U$41/(1+$C$6)),0)))</f>
        <v>0</v>
      </c>
    </row>
    <row r="29" spans="1:26">
      <c r="A29" s="95"/>
      <c r="B29">
        <f t="shared" si="21"/>
        <v>31</v>
      </c>
      <c r="C29" s="47">
        <f t="shared" ref="C29:D29" si="32">C12</f>
        <v>41335</v>
      </c>
      <c r="D29" s="48">
        <f t="shared" si="32"/>
        <v>41366</v>
      </c>
      <c r="E29" s="13">
        <v>1003</v>
      </c>
      <c r="F29" s="3">
        <v>3311</v>
      </c>
      <c r="G29" s="14">
        <v>11416</v>
      </c>
      <c r="H29" s="52">
        <f t="shared" si="23"/>
        <v>1117.9807196448735</v>
      </c>
      <c r="I29" s="52">
        <f t="shared" si="24"/>
        <v>7.1073154459305371E-2</v>
      </c>
      <c r="J29" s="13">
        <v>90</v>
      </c>
      <c r="K29" s="3">
        <v>412</v>
      </c>
      <c r="L29" s="14">
        <v>505</v>
      </c>
      <c r="M29" s="52">
        <f t="shared" si="25"/>
        <v>0</v>
      </c>
      <c r="Q29" s="13">
        <f t="shared" si="26"/>
        <v>0.99599833981571129</v>
      </c>
      <c r="R29" s="3">
        <f t="shared" si="27"/>
        <v>0.9923468867831674</v>
      </c>
      <c r="S29" s="14">
        <f t="shared" si="28"/>
        <v>0.9990230147019018</v>
      </c>
      <c r="U29" s="13">
        <f t="shared" si="29"/>
        <v>0</v>
      </c>
      <c r="V29" s="3">
        <f t="shared" si="30"/>
        <v>0</v>
      </c>
      <c r="W29" s="14">
        <f t="shared" si="31"/>
        <v>0</v>
      </c>
    </row>
    <row r="30" spans="1:26">
      <c r="A30" s="95"/>
      <c r="B30">
        <f t="shared" si="21"/>
        <v>32</v>
      </c>
      <c r="C30" s="47">
        <f t="shared" ref="C30:D30" si="33">C13</f>
        <v>41366</v>
      </c>
      <c r="D30" s="48">
        <f t="shared" si="33"/>
        <v>41398</v>
      </c>
      <c r="E30" s="13">
        <v>1027</v>
      </c>
      <c r="F30" s="3">
        <v>3238</v>
      </c>
      <c r="G30" s="14">
        <v>11786</v>
      </c>
      <c r="H30" s="52">
        <f t="shared" si="23"/>
        <v>1135.1861393502013</v>
      </c>
      <c r="I30" s="52">
        <f t="shared" si="24"/>
        <v>7.0723701909550893E-2</v>
      </c>
      <c r="J30" s="13">
        <v>56</v>
      </c>
      <c r="K30" s="3">
        <v>398</v>
      </c>
      <c r="L30" s="14">
        <v>661</v>
      </c>
      <c r="M30" s="52">
        <f t="shared" si="25"/>
        <v>0</v>
      </c>
      <c r="Q30" s="13">
        <f t="shared" si="26"/>
        <v>0.99851666914536708</v>
      </c>
      <c r="R30" s="3">
        <f t="shared" si="27"/>
        <v>0.99253043761167847</v>
      </c>
      <c r="S30" s="14">
        <f t="shared" si="28"/>
        <v>0.99843102141779161</v>
      </c>
      <c r="U30" s="13">
        <f t="shared" si="29"/>
        <v>0</v>
      </c>
      <c r="V30" s="3">
        <f t="shared" si="30"/>
        <v>0</v>
      </c>
      <c r="W30" s="14">
        <f t="shared" si="31"/>
        <v>0</v>
      </c>
    </row>
    <row r="31" spans="1:26">
      <c r="A31" s="95"/>
      <c r="B31">
        <f t="shared" si="21"/>
        <v>30</v>
      </c>
      <c r="C31" s="47">
        <f t="shared" ref="C31:D31" si="34">C14</f>
        <v>41398</v>
      </c>
      <c r="D31" s="48">
        <f t="shared" si="34"/>
        <v>41428</v>
      </c>
      <c r="E31" s="13">
        <v>1096</v>
      </c>
      <c r="F31" s="3">
        <v>2641</v>
      </c>
      <c r="G31" s="14">
        <v>13388</v>
      </c>
      <c r="H31" s="52">
        <f t="shared" si="23"/>
        <v>1177.6031044038571</v>
      </c>
      <c r="I31" s="52">
        <f t="shared" si="24"/>
        <v>6.8765144782706983E-2</v>
      </c>
      <c r="J31" s="13">
        <v>98</v>
      </c>
      <c r="K31" s="3">
        <v>321</v>
      </c>
      <c r="L31" s="14">
        <v>678</v>
      </c>
      <c r="M31" s="52">
        <f t="shared" si="25"/>
        <v>0</v>
      </c>
      <c r="Q31" s="13">
        <f t="shared" si="26"/>
        <v>0.99602619704343565</v>
      </c>
      <c r="R31" s="3">
        <f t="shared" si="27"/>
        <v>0.99269426995485144</v>
      </c>
      <c r="S31" s="14">
        <f t="shared" si="28"/>
        <v>0.9987201366428593</v>
      </c>
      <c r="U31" s="13">
        <f t="shared" si="29"/>
        <v>0</v>
      </c>
      <c r="V31" s="3">
        <f t="shared" si="30"/>
        <v>0</v>
      </c>
      <c r="W31" s="14">
        <f t="shared" si="31"/>
        <v>0</v>
      </c>
    </row>
    <row r="32" spans="1:26">
      <c r="A32" s="95"/>
      <c r="B32">
        <f t="shared" si="21"/>
        <v>32</v>
      </c>
      <c r="C32" s="47">
        <f t="shared" ref="C32:D32" si="35">C15</f>
        <v>41428</v>
      </c>
      <c r="D32" s="48">
        <f t="shared" si="35"/>
        <v>41460</v>
      </c>
      <c r="E32" s="13">
        <v>1249</v>
      </c>
      <c r="F32" s="3">
        <v>4144</v>
      </c>
      <c r="G32" s="14">
        <v>14983</v>
      </c>
      <c r="H32" s="52">
        <f t="shared" si="23"/>
        <v>1439.5362400543816</v>
      </c>
      <c r="I32" s="52">
        <f t="shared" si="24"/>
        <v>7.0648617984608433E-2</v>
      </c>
      <c r="J32" s="13">
        <v>101</v>
      </c>
      <c r="K32" s="3">
        <v>299</v>
      </c>
      <c r="L32" s="14">
        <v>712</v>
      </c>
      <c r="M32" s="52">
        <f t="shared" si="25"/>
        <v>0</v>
      </c>
      <c r="Q32" s="13">
        <f t="shared" si="26"/>
        <v>0.99674639886035499</v>
      </c>
      <c r="R32" s="3">
        <f t="shared" si="27"/>
        <v>0.99740712713701174</v>
      </c>
      <c r="S32" s="14">
        <f t="shared" si="28"/>
        <v>0.99887280864346428</v>
      </c>
      <c r="U32" s="13">
        <f t="shared" si="29"/>
        <v>0</v>
      </c>
      <c r="V32" s="3">
        <f t="shared" si="30"/>
        <v>0</v>
      </c>
      <c r="W32" s="14">
        <f t="shared" si="31"/>
        <v>0</v>
      </c>
    </row>
    <row r="33" spans="1:24">
      <c r="A33" s="95"/>
      <c r="B33">
        <f t="shared" si="21"/>
        <v>28</v>
      </c>
      <c r="C33" s="47">
        <f t="shared" ref="C33:D33" si="36">C16</f>
        <v>41460</v>
      </c>
      <c r="D33" s="48">
        <f t="shared" si="36"/>
        <v>41488</v>
      </c>
      <c r="E33" s="13">
        <v>1977</v>
      </c>
      <c r="F33" s="3">
        <v>9451</v>
      </c>
      <c r="G33" s="14">
        <v>19011</v>
      </c>
      <c r="H33" s="52">
        <f t="shared" si="23"/>
        <v>2290.8471554654529</v>
      </c>
      <c r="I33" s="52">
        <f t="shared" si="24"/>
        <v>7.5260263328803603E-2</v>
      </c>
      <c r="J33" s="13">
        <v>130</v>
      </c>
      <c r="K33" s="3">
        <v>501</v>
      </c>
      <c r="L33" s="14">
        <v>789</v>
      </c>
      <c r="M33" s="52">
        <f t="shared" si="25"/>
        <v>0</v>
      </c>
      <c r="Q33" s="13">
        <f t="shared" si="26"/>
        <v>0.99784504712821487</v>
      </c>
      <c r="R33" s="3">
        <f t="shared" si="27"/>
        <v>0.99859791028935341</v>
      </c>
      <c r="S33" s="14">
        <f t="shared" si="28"/>
        <v>0.9991398909944178</v>
      </c>
      <c r="U33" s="13">
        <f t="shared" si="29"/>
        <v>0</v>
      </c>
      <c r="V33" s="3">
        <f t="shared" si="30"/>
        <v>0</v>
      </c>
      <c r="W33" s="14">
        <f t="shared" si="31"/>
        <v>0</v>
      </c>
    </row>
    <row r="34" spans="1:24">
      <c r="A34" s="95"/>
      <c r="B34">
        <f t="shared" si="21"/>
        <v>33</v>
      </c>
      <c r="C34" s="47">
        <f t="shared" ref="C34:D34" si="37">C17</f>
        <v>41488</v>
      </c>
      <c r="D34" s="48">
        <f t="shared" si="37"/>
        <v>41521</v>
      </c>
      <c r="E34" s="13">
        <v>2119</v>
      </c>
      <c r="F34" s="3">
        <v>12161</v>
      </c>
      <c r="G34" s="14">
        <v>19098</v>
      </c>
      <c r="H34" s="52">
        <f t="shared" si="23"/>
        <v>2583.5635971737665</v>
      </c>
      <c r="I34" s="52">
        <f t="shared" si="24"/>
        <v>7.7403187643770341E-2</v>
      </c>
      <c r="J34" s="13">
        <v>127</v>
      </c>
      <c r="K34" s="3">
        <v>424</v>
      </c>
      <c r="L34" s="14">
        <v>803</v>
      </c>
      <c r="M34" s="52">
        <f t="shared" si="25"/>
        <v>0</v>
      </c>
      <c r="Q34" s="13">
        <f t="shared" si="26"/>
        <v>0.99820878614192421</v>
      </c>
      <c r="R34" s="3">
        <f t="shared" si="27"/>
        <v>0.9993927501551777</v>
      </c>
      <c r="S34" s="14">
        <f t="shared" si="28"/>
        <v>0.99911722516532719</v>
      </c>
      <c r="U34" s="13">
        <f t="shared" si="29"/>
        <v>0</v>
      </c>
      <c r="V34" s="3">
        <f t="shared" si="30"/>
        <v>0</v>
      </c>
      <c r="W34" s="14">
        <f t="shared" si="31"/>
        <v>0</v>
      </c>
    </row>
    <row r="35" spans="1:24">
      <c r="A35" s="95"/>
      <c r="B35">
        <f t="shared" si="21"/>
        <v>27</v>
      </c>
      <c r="C35" s="47">
        <f t="shared" ref="C35:D35" si="38">C18</f>
        <v>41521</v>
      </c>
      <c r="D35" s="48">
        <f t="shared" si="38"/>
        <v>41548</v>
      </c>
      <c r="E35" s="13">
        <v>2225</v>
      </c>
      <c r="F35" s="3">
        <v>10513</v>
      </c>
      <c r="G35" s="14">
        <v>12286</v>
      </c>
      <c r="H35" s="52">
        <f t="shared" si="23"/>
        <v>2028.3532829776907</v>
      </c>
      <c r="I35" s="52">
        <f t="shared" si="24"/>
        <v>8.1056317254543264E-2</v>
      </c>
      <c r="J35" s="13">
        <v>134</v>
      </c>
      <c r="K35" s="3">
        <v>435</v>
      </c>
      <c r="L35" s="14">
        <v>562</v>
      </c>
      <c r="M35" s="52">
        <f t="shared" si="25"/>
        <v>0</v>
      </c>
      <c r="Q35" s="13">
        <f t="shared" si="26"/>
        <v>0.99819140996008948</v>
      </c>
      <c r="R35" s="3">
        <f t="shared" si="27"/>
        <v>0.99914505541702625</v>
      </c>
      <c r="S35" s="14">
        <f t="shared" si="28"/>
        <v>0.99895542237942903</v>
      </c>
      <c r="U35" s="13">
        <f t="shared" si="29"/>
        <v>0</v>
      </c>
      <c r="V35" s="3">
        <f t="shared" si="30"/>
        <v>0</v>
      </c>
      <c r="W35" s="14">
        <f t="shared" si="31"/>
        <v>0</v>
      </c>
    </row>
    <row r="36" spans="1:24">
      <c r="A36" s="95"/>
      <c r="B36">
        <f t="shared" si="21"/>
        <v>32</v>
      </c>
      <c r="C36" s="47">
        <f t="shared" ref="C36:D36" si="39">C19</f>
        <v>41548</v>
      </c>
      <c r="D36" s="48">
        <f t="shared" si="39"/>
        <v>41580</v>
      </c>
      <c r="E36" s="13">
        <v>2305</v>
      </c>
      <c r="F36" s="3">
        <v>6956</v>
      </c>
      <c r="G36" s="14">
        <v>13931</v>
      </c>
      <c r="H36" s="52">
        <f t="shared" si="23"/>
        <v>1777.8311303237176</v>
      </c>
      <c r="I36" s="52">
        <f t="shared" si="24"/>
        <v>7.6657085646935047E-2</v>
      </c>
      <c r="J36" s="13">
        <v>129</v>
      </c>
      <c r="K36" s="3">
        <v>417</v>
      </c>
      <c r="L36" s="14">
        <v>611</v>
      </c>
      <c r="M36" s="52">
        <f t="shared" si="25"/>
        <v>0</v>
      </c>
      <c r="Q36" s="13">
        <f t="shared" si="26"/>
        <v>0.99843761222459104</v>
      </c>
      <c r="R36" s="3">
        <f t="shared" si="27"/>
        <v>0.99820793268784447</v>
      </c>
      <c r="S36" s="14">
        <f t="shared" si="28"/>
        <v>0.99903957859415793</v>
      </c>
      <c r="U36" s="13">
        <f t="shared" si="29"/>
        <v>0</v>
      </c>
      <c r="V36" s="3">
        <f t="shared" si="30"/>
        <v>0</v>
      </c>
      <c r="W36" s="14">
        <f t="shared" si="31"/>
        <v>0</v>
      </c>
    </row>
    <row r="37" spans="1:24">
      <c r="A37" s="95"/>
      <c r="B37">
        <f t="shared" si="21"/>
        <v>31</v>
      </c>
      <c r="C37" s="47">
        <f t="shared" ref="C37:D37" si="40">C20</f>
        <v>41580</v>
      </c>
      <c r="D37" s="48">
        <f t="shared" si="40"/>
        <v>41611</v>
      </c>
      <c r="E37" s="13">
        <v>1718</v>
      </c>
      <c r="F37" s="3">
        <v>4166</v>
      </c>
      <c r="G37" s="14">
        <v>14551</v>
      </c>
      <c r="H37" s="52">
        <f t="shared" si="23"/>
        <v>1468.8774706090176</v>
      </c>
      <c r="I37" s="52">
        <f t="shared" si="24"/>
        <v>7.1880473237534506E-2</v>
      </c>
      <c r="J37" s="13">
        <v>70</v>
      </c>
      <c r="K37" s="3">
        <v>312</v>
      </c>
      <c r="L37" s="14">
        <v>723</v>
      </c>
      <c r="M37" s="52">
        <f t="shared" si="25"/>
        <v>0</v>
      </c>
      <c r="Q37" s="13">
        <f t="shared" si="26"/>
        <v>0.99917095247353627</v>
      </c>
      <c r="R37" s="3">
        <f t="shared" si="27"/>
        <v>0.9972073376194116</v>
      </c>
      <c r="S37" s="14">
        <f t="shared" si="28"/>
        <v>0.9987678667511557</v>
      </c>
      <c r="U37" s="13">
        <f t="shared" si="29"/>
        <v>0</v>
      </c>
      <c r="V37" s="3">
        <f t="shared" si="30"/>
        <v>0</v>
      </c>
      <c r="W37" s="14">
        <f t="shared" si="31"/>
        <v>0</v>
      </c>
    </row>
    <row r="38" spans="1:24" ht="15.75" thickBot="1">
      <c r="A38" s="96"/>
      <c r="B38">
        <f t="shared" si="21"/>
        <v>30</v>
      </c>
      <c r="C38" s="49">
        <f t="shared" ref="C38:D38" si="41">C21</f>
        <v>41611</v>
      </c>
      <c r="D38" s="50">
        <f t="shared" si="41"/>
        <v>41641</v>
      </c>
      <c r="E38" s="15">
        <v>1377</v>
      </c>
      <c r="F38" s="16">
        <v>3691</v>
      </c>
      <c r="G38" s="17">
        <v>14967</v>
      </c>
      <c r="H38" s="53">
        <f t="shared" si="23"/>
        <v>1407.5457188416008</v>
      </c>
      <c r="I38" s="53">
        <f t="shared" si="24"/>
        <v>7.0254340845600241E-2</v>
      </c>
      <c r="J38" s="15">
        <v>83</v>
      </c>
      <c r="K38" s="16">
        <v>343</v>
      </c>
      <c r="L38" s="17">
        <v>714</v>
      </c>
      <c r="M38" s="53">
        <f t="shared" si="25"/>
        <v>0</v>
      </c>
      <c r="Q38" s="15">
        <f t="shared" si="26"/>
        <v>0.99818833927921358</v>
      </c>
      <c r="R38" s="16">
        <f t="shared" si="27"/>
        <v>0.99570989045127756</v>
      </c>
      <c r="S38" s="17">
        <f t="shared" si="28"/>
        <v>0.99886405731460592</v>
      </c>
      <c r="U38" s="15">
        <f t="shared" si="29"/>
        <v>0</v>
      </c>
      <c r="V38" s="16">
        <f t="shared" si="30"/>
        <v>0</v>
      </c>
      <c r="W38" s="17">
        <f t="shared" si="31"/>
        <v>0</v>
      </c>
    </row>
    <row r="39" spans="1:24" ht="15.75" thickBot="1">
      <c r="B39">
        <f>SUM(B27:B38)</f>
        <v>365</v>
      </c>
      <c r="E39" s="88">
        <f>SUM(E27:E38)/SUM($E$27:$G$38)</f>
        <v>7.1534683119683723E-2</v>
      </c>
      <c r="F39" s="88">
        <f t="shared" ref="F39:G39" si="42">SUM(F27:F38)/SUM($E$27:$G$38)</f>
        <v>0.26861946407891057</v>
      </c>
      <c r="G39" s="88">
        <f t="shared" si="42"/>
        <v>0.65984585280140573</v>
      </c>
      <c r="H39" s="9">
        <f>SUM(H27:H38)</f>
        <v>18501.265132253371</v>
      </c>
      <c r="I39" s="9">
        <f>GEOMEAN(I27:I38)</f>
        <v>7.3136677116558704E-2</v>
      </c>
      <c r="M39" s="9">
        <f>SUM(M27:M38)</f>
        <v>0</v>
      </c>
    </row>
    <row r="40" spans="1:24" ht="15.75" thickBot="1">
      <c r="D40" s="89">
        <f>SUM(E27:G38)</f>
        <v>250410</v>
      </c>
      <c r="E40" s="91">
        <v>7.0000000000000007E-2</v>
      </c>
      <c r="F40" s="92">
        <v>0.22</v>
      </c>
      <c r="G40" s="93">
        <v>0.71</v>
      </c>
      <c r="H40" s="90">
        <f>(E40*D40*C5+F40*D40*D5+E5*G40*D40)*(1+C6)</f>
        <v>17978.730874093035</v>
      </c>
      <c r="U40" s="127" t="s">
        <v>19</v>
      </c>
      <c r="V40" s="128"/>
      <c r="W40" s="129" t="s">
        <v>20</v>
      </c>
      <c r="X40" s="130"/>
    </row>
    <row r="41" spans="1:24" ht="15.75" thickBot="1">
      <c r="U41" s="120">
        <f t="shared" ref="U41" si="43">0.041554*1.051127</f>
        <v>4.3678531357999997E-2</v>
      </c>
      <c r="V41" s="121"/>
      <c r="W41" s="122">
        <f t="shared" ref="W41" si="44">0.062332*1.051127</f>
        <v>6.5518848163999999E-2</v>
      </c>
      <c r="X41" s="123"/>
    </row>
    <row r="42" spans="1:24" ht="15" customHeight="1">
      <c r="E42" s="100" t="s">
        <v>10</v>
      </c>
      <c r="F42" s="100" t="s">
        <v>12</v>
      </c>
      <c r="G42" s="100" t="s">
        <v>14</v>
      </c>
      <c r="H42" s="100" t="s">
        <v>23</v>
      </c>
      <c r="I42" s="100" t="s">
        <v>21</v>
      </c>
      <c r="J42" s="100" t="s">
        <v>22</v>
      </c>
      <c r="U42" s="86"/>
      <c r="V42" s="86"/>
      <c r="W42" s="86"/>
      <c r="X42" s="86"/>
    </row>
    <row r="43" spans="1:24" ht="15" customHeight="1" thickBot="1">
      <c r="E43" s="101"/>
      <c r="F43" s="101"/>
      <c r="G43" s="101"/>
      <c r="H43" s="101"/>
      <c r="I43" s="101"/>
      <c r="J43" s="101"/>
      <c r="U43" s="87"/>
      <c r="V43" s="87"/>
      <c r="W43" s="87"/>
      <c r="X43" s="87"/>
    </row>
    <row r="44" spans="1:24" ht="15.75" thickBot="1">
      <c r="A44" s="97" t="s">
        <v>26</v>
      </c>
      <c r="C44" s="105" t="s">
        <v>0</v>
      </c>
      <c r="D44" s="106"/>
      <c r="E44" s="101"/>
      <c r="F44" s="101"/>
      <c r="G44" s="101"/>
      <c r="H44" s="101"/>
      <c r="I44" s="101"/>
      <c r="J44" s="101"/>
    </row>
    <row r="45" spans="1:24">
      <c r="A45" s="98"/>
      <c r="C45" s="55">
        <f>C28</f>
        <v>41308</v>
      </c>
      <c r="D45" s="58">
        <f>D28</f>
        <v>41335</v>
      </c>
      <c r="E45" s="61">
        <f>N10</f>
        <v>896.376365800337</v>
      </c>
      <c r="F45" s="62">
        <f>H27</f>
        <v>1097.374533467166</v>
      </c>
      <c r="G45" s="62">
        <f>M27</f>
        <v>0</v>
      </c>
      <c r="H45" s="62">
        <v>11.27</v>
      </c>
      <c r="I45" s="63">
        <f>0.21*SUM(E45:H45)</f>
        <v>421.05438884617558</v>
      </c>
      <c r="J45" s="64">
        <f>SUM(E45:I45)</f>
        <v>2426.0752881136787</v>
      </c>
    </row>
    <row r="46" spans="1:24">
      <c r="A46" s="98"/>
      <c r="C46" s="56">
        <f t="shared" ref="C46:D46" si="45">C29</f>
        <v>41335</v>
      </c>
      <c r="D46" s="59">
        <f t="shared" si="45"/>
        <v>41366</v>
      </c>
      <c r="E46" s="71">
        <f t="shared" ref="E46:E56" si="46">N11</f>
        <v>756.31755864403431</v>
      </c>
      <c r="F46" s="70">
        <f t="shared" ref="F46:F56" si="47">H28</f>
        <v>976.56603994164595</v>
      </c>
      <c r="G46" s="70">
        <f t="shared" ref="G46:G56" si="48">M28</f>
        <v>0</v>
      </c>
      <c r="H46" s="70">
        <v>11.27</v>
      </c>
      <c r="I46" s="72">
        <f t="shared" ref="I46:I56" si="49">0.21*SUM(E46:H46)</f>
        <v>366.27225570299288</v>
      </c>
      <c r="J46" s="73">
        <f t="shared" ref="J46:J56" si="50">SUM(E46:I46)</f>
        <v>2110.4258542886732</v>
      </c>
    </row>
    <row r="47" spans="1:24">
      <c r="A47" s="98"/>
      <c r="C47" s="56">
        <f t="shared" ref="C47:D47" si="51">C30</f>
        <v>41366</v>
      </c>
      <c r="D47" s="59">
        <f t="shared" si="51"/>
        <v>41398</v>
      </c>
      <c r="E47" s="71">
        <f t="shared" si="46"/>
        <v>868.36460436907646</v>
      </c>
      <c r="F47" s="70">
        <f t="shared" si="47"/>
        <v>1117.9807196448735</v>
      </c>
      <c r="G47" s="70">
        <f t="shared" si="48"/>
        <v>0</v>
      </c>
      <c r="H47" s="70">
        <v>11.27</v>
      </c>
      <c r="I47" s="72">
        <f t="shared" si="49"/>
        <v>419.49921804292944</v>
      </c>
      <c r="J47" s="73">
        <f t="shared" si="50"/>
        <v>2417.1145420568791</v>
      </c>
    </row>
    <row r="48" spans="1:24">
      <c r="A48" s="98"/>
      <c r="C48" s="56">
        <f t="shared" ref="C48:D48" si="52">C31</f>
        <v>41398</v>
      </c>
      <c r="D48" s="59">
        <f t="shared" si="52"/>
        <v>41428</v>
      </c>
      <c r="E48" s="71">
        <f t="shared" si="46"/>
        <v>896.376365800337</v>
      </c>
      <c r="F48" s="70">
        <f t="shared" si="47"/>
        <v>1135.1861393502013</v>
      </c>
      <c r="G48" s="70">
        <f t="shared" si="48"/>
        <v>0</v>
      </c>
      <c r="H48" s="70">
        <v>11.27</v>
      </c>
      <c r="I48" s="72">
        <f t="shared" si="49"/>
        <v>428.99482608161304</v>
      </c>
      <c r="J48" s="73">
        <f t="shared" si="50"/>
        <v>2471.8273312321512</v>
      </c>
    </row>
    <row r="49" spans="1:10">
      <c r="A49" s="98"/>
      <c r="C49" s="56">
        <f t="shared" ref="C49:D49" si="53">C32</f>
        <v>41428</v>
      </c>
      <c r="D49" s="59">
        <f t="shared" si="53"/>
        <v>41460</v>
      </c>
      <c r="E49" s="71">
        <f t="shared" si="46"/>
        <v>840.35284293781581</v>
      </c>
      <c r="F49" s="70">
        <f t="shared" si="47"/>
        <v>1177.6031044038571</v>
      </c>
      <c r="G49" s="70">
        <f t="shared" si="48"/>
        <v>0</v>
      </c>
      <c r="H49" s="70">
        <v>11.27</v>
      </c>
      <c r="I49" s="72">
        <f t="shared" si="49"/>
        <v>426.1374489417513</v>
      </c>
      <c r="J49" s="73">
        <f t="shared" si="50"/>
        <v>2455.3633962834242</v>
      </c>
    </row>
    <row r="50" spans="1:10">
      <c r="A50" s="98"/>
      <c r="C50" s="56">
        <f t="shared" ref="C50:D50" si="54">C33</f>
        <v>41460</v>
      </c>
      <c r="D50" s="59">
        <f t="shared" si="54"/>
        <v>41488</v>
      </c>
      <c r="E50" s="71">
        <f t="shared" si="46"/>
        <v>927.38035250017708</v>
      </c>
      <c r="F50" s="70">
        <f t="shared" si="47"/>
        <v>1439.5362400543816</v>
      </c>
      <c r="G50" s="70">
        <f t="shared" si="48"/>
        <v>0</v>
      </c>
      <c r="H50" s="70">
        <v>11.27</v>
      </c>
      <c r="I50" s="72">
        <f t="shared" si="49"/>
        <v>499.41918443645727</v>
      </c>
      <c r="J50" s="73">
        <f t="shared" si="50"/>
        <v>2877.6057769910158</v>
      </c>
    </row>
    <row r="51" spans="1:10">
      <c r="A51" s="98"/>
      <c r="C51" s="56">
        <f t="shared" ref="C51:D51" si="55">C34</f>
        <v>41488</v>
      </c>
      <c r="D51" s="59">
        <f t="shared" si="55"/>
        <v>41521</v>
      </c>
      <c r="E51" s="71">
        <f t="shared" si="46"/>
        <v>807.84067665600674</v>
      </c>
      <c r="F51" s="70">
        <f t="shared" si="47"/>
        <v>2290.8471554654529</v>
      </c>
      <c r="G51" s="70">
        <f t="shared" si="48"/>
        <v>0</v>
      </c>
      <c r="H51" s="70">
        <v>11.27</v>
      </c>
      <c r="I51" s="72">
        <f t="shared" si="49"/>
        <v>653.09114474550654</v>
      </c>
      <c r="J51" s="73">
        <f t="shared" si="50"/>
        <v>3763.0489768669663</v>
      </c>
    </row>
    <row r="52" spans="1:10">
      <c r="A52" s="98"/>
      <c r="C52" s="56">
        <f t="shared" ref="C52:D52" si="56">C35</f>
        <v>41521</v>
      </c>
      <c r="D52" s="59">
        <f t="shared" si="56"/>
        <v>41548</v>
      </c>
      <c r="E52" s="71">
        <f t="shared" si="46"/>
        <v>955.56577458859203</v>
      </c>
      <c r="F52" s="70">
        <f t="shared" si="47"/>
        <v>2583.5635971737665</v>
      </c>
      <c r="G52" s="70">
        <f t="shared" si="48"/>
        <v>0</v>
      </c>
      <c r="H52" s="70">
        <v>11.27</v>
      </c>
      <c r="I52" s="72">
        <f t="shared" si="49"/>
        <v>745.58386807009526</v>
      </c>
      <c r="J52" s="73">
        <f t="shared" si="50"/>
        <v>4295.9832398324534</v>
      </c>
    </row>
    <row r="53" spans="1:10">
      <c r="A53" s="98"/>
      <c r="C53" s="56">
        <f t="shared" ref="C53:D53" si="57">C36</f>
        <v>41548</v>
      </c>
      <c r="D53" s="59">
        <f t="shared" si="57"/>
        <v>41580</v>
      </c>
      <c r="E53" s="71">
        <f t="shared" si="46"/>
        <v>803.18171446430154</v>
      </c>
      <c r="F53" s="70">
        <f t="shared" si="47"/>
        <v>2028.3532829776907</v>
      </c>
      <c r="G53" s="70">
        <f t="shared" si="48"/>
        <v>0</v>
      </c>
      <c r="H53" s="70">
        <v>11.27</v>
      </c>
      <c r="I53" s="72">
        <f t="shared" si="49"/>
        <v>596.98904946281834</v>
      </c>
      <c r="J53" s="73">
        <f t="shared" si="50"/>
        <v>3439.7940469048108</v>
      </c>
    </row>
    <row r="54" spans="1:10">
      <c r="A54" s="98"/>
      <c r="C54" s="56">
        <f t="shared" ref="C54:D54" si="58">C37</f>
        <v>41580</v>
      </c>
      <c r="D54" s="59">
        <f t="shared" si="58"/>
        <v>41611</v>
      </c>
      <c r="E54" s="71">
        <f t="shared" si="46"/>
        <v>928.92258557114019</v>
      </c>
      <c r="F54" s="70">
        <f t="shared" si="47"/>
        <v>1777.8311303237176</v>
      </c>
      <c r="G54" s="70">
        <f t="shared" si="48"/>
        <v>0</v>
      </c>
      <c r="H54" s="70">
        <v>11.27</v>
      </c>
      <c r="I54" s="72">
        <f t="shared" si="49"/>
        <v>570.78498033792016</v>
      </c>
      <c r="J54" s="73">
        <f t="shared" si="50"/>
        <v>3288.8086962327779</v>
      </c>
    </row>
    <row r="55" spans="1:10">
      <c r="A55" s="98"/>
      <c r="C55" s="56">
        <f t="shared" ref="C55:D55" si="59">C38</f>
        <v>41611</v>
      </c>
      <c r="D55" s="59">
        <f t="shared" si="59"/>
        <v>41641</v>
      </c>
      <c r="E55" s="71">
        <f t="shared" si="46"/>
        <v>874.71426709093271</v>
      </c>
      <c r="F55" s="70">
        <f t="shared" si="47"/>
        <v>1468.8774706090176</v>
      </c>
      <c r="G55" s="70">
        <f t="shared" si="48"/>
        <v>0</v>
      </c>
      <c r="H55" s="70">
        <v>11.27</v>
      </c>
      <c r="I55" s="72">
        <f t="shared" si="49"/>
        <v>494.52096491698956</v>
      </c>
      <c r="J55" s="73">
        <f t="shared" si="50"/>
        <v>2849.3827026169402</v>
      </c>
    </row>
    <row r="56" spans="1:10" ht="15.75" thickBot="1">
      <c r="A56" s="99"/>
      <c r="C56" s="57">
        <f t="shared" ref="C56:D56" si="60">C39</f>
        <v>0</v>
      </c>
      <c r="D56" s="60">
        <f t="shared" si="60"/>
        <v>0</v>
      </c>
      <c r="E56" s="76">
        <f t="shared" si="46"/>
        <v>846.49767782993479</v>
      </c>
      <c r="F56" s="77">
        <f t="shared" si="47"/>
        <v>1407.5457188416008</v>
      </c>
      <c r="G56" s="77">
        <f t="shared" si="48"/>
        <v>0</v>
      </c>
      <c r="H56" s="77">
        <v>11.27</v>
      </c>
      <c r="I56" s="78">
        <f t="shared" si="49"/>
        <v>475.71581330102242</v>
      </c>
      <c r="J56" s="74">
        <f t="shared" si="50"/>
        <v>2741.029209972558</v>
      </c>
    </row>
    <row r="57" spans="1:10" ht="15.75" thickBot="1">
      <c r="E57" s="79">
        <f>SUM(E45:E56)</f>
        <v>10401.890786252685</v>
      </c>
      <c r="F57" s="80">
        <f t="shared" ref="F57:I57" si="61">SUM(F45:F56)</f>
        <v>21870.832415132823</v>
      </c>
      <c r="G57" s="80">
        <f t="shared" si="61"/>
        <v>0</v>
      </c>
      <c r="H57" s="80">
        <f t="shared" si="61"/>
        <v>135.23999999999998</v>
      </c>
      <c r="I57" s="81">
        <f t="shared" si="61"/>
        <v>6098.0631428862716</v>
      </c>
      <c r="J57" s="75">
        <f>SUM(J45:J56)</f>
        <v>35136.459061392328</v>
      </c>
    </row>
  </sheetData>
  <mergeCells count="33">
    <mergeCell ref="Z8:Z9"/>
    <mergeCell ref="U41:V41"/>
    <mergeCell ref="W41:X41"/>
    <mergeCell ref="C9:D9"/>
    <mergeCell ref="E8:G8"/>
    <mergeCell ref="H8:J8"/>
    <mergeCell ref="U25:W25"/>
    <mergeCell ref="U40:V40"/>
    <mergeCell ref="W40:X40"/>
    <mergeCell ref="T8:V8"/>
    <mergeCell ref="W8:Y8"/>
    <mergeCell ref="I24:I26"/>
    <mergeCell ref="A4:A5"/>
    <mergeCell ref="K8:M8"/>
    <mergeCell ref="A9:A21"/>
    <mergeCell ref="Q6:S6"/>
    <mergeCell ref="Q25:S25"/>
    <mergeCell ref="N8:N9"/>
    <mergeCell ref="E25:G25"/>
    <mergeCell ref="J25:L25"/>
    <mergeCell ref="Q8:S8"/>
    <mergeCell ref="A26:A38"/>
    <mergeCell ref="A44:A56"/>
    <mergeCell ref="G42:G44"/>
    <mergeCell ref="H24:H26"/>
    <mergeCell ref="M24:M26"/>
    <mergeCell ref="H42:H44"/>
    <mergeCell ref="I42:I44"/>
    <mergeCell ref="J42:J44"/>
    <mergeCell ref="F42:F44"/>
    <mergeCell ref="E42:E44"/>
    <mergeCell ref="C44:D44"/>
    <mergeCell ref="C26:D26"/>
  </mergeCell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2" workbookViewId="0">
      <selection activeCell="N21" sqref="N21"/>
    </sheetView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Análisis factura</vt:lpstr>
      <vt:lpstr>Gráficas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2014-07-16T17:54:28Z</dcterms:modified>
</cp:coreProperties>
</file>