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Modelo" sheetId="1" r:id="rId1"/>
    <sheet name="Hoja2" sheetId="2" r:id="rId2"/>
    <sheet name="Hoja3" sheetId="3" r:id="rId3"/>
  </sheets>
  <externalReferences>
    <externalReference r:id="rId4"/>
    <externalReference r:id="rId5"/>
  </externalReferences>
  <definedNames>
    <definedName name="_DAT1">#REF!</definedName>
    <definedName name="_DAT2">#REF!</definedName>
    <definedName name="_DAT3">#REF!</definedName>
    <definedName name="_DAT4">#REF!</definedName>
    <definedName name="_DAT5">#REF!</definedName>
    <definedName name="a" localSheetId="0">#REF!</definedName>
    <definedName name="a">#REF!</definedName>
    <definedName name="A_IMPRESIÓN_IM">#REF!</definedName>
    <definedName name="ad" localSheetId="0">#REF!</definedName>
    <definedName name="ad">#REF!</definedName>
    <definedName name="b" localSheetId="0">'[1]TARIFA AGUA'!#REF!</definedName>
    <definedName name="b">'[1]TARIFA AGUA'!#REF!</definedName>
    <definedName name="_xlnm.Database">#REF!</definedName>
    <definedName name="BLOQUES" localSheetId="0">'[1]TARIFA AGUA'!#REF!</definedName>
    <definedName name="BLOQUES">'[1]TARIFA AGUA'!#REF!</definedName>
    <definedName name="carmen">#REF!</definedName>
    <definedName name="_xlnm.Criteria" localSheetId="0">#REF!</definedName>
    <definedName name="_xlnm.Criteria">#REF!</definedName>
    <definedName name="d" localSheetId="0">#REF!</definedName>
    <definedName name="d">#REF!</definedName>
    <definedName name="DIA" localSheetId="0">#REF!</definedName>
    <definedName name="DIA">#REF!</definedName>
    <definedName name="Format">[2]INMOV!$A$2:$M$17</definedName>
    <definedName name="HTML_CodePage" hidden="1">1252</definedName>
    <definedName name="HTML_Control" hidden="1">{"'2. Trim.'!$A$1:$L$73"}</definedName>
    <definedName name="HTML_Control1" hidden="1">{"'2. Trim.'!$A$1:$L$73"}</definedName>
    <definedName name="html_control10" hidden="1">{"'2. Trim.'!$A$1:$L$73"}</definedName>
    <definedName name="html_control12" hidden="1">{"'2. Trim.'!$A$1:$L$73"}</definedName>
    <definedName name="HTML_Control2" hidden="1">{"'2. Trim.'!$A$1:$L$73"}</definedName>
    <definedName name="html_control20" hidden="1">{"'2. Trim.'!$A$1:$L$73"}</definedName>
    <definedName name="html_control3" hidden="1">{"'2. Trim.'!$A$1:$L$73"}</definedName>
    <definedName name="html_control4" hidden="1">{"'2. Trim.'!$A$1:$L$73"}</definedName>
    <definedName name="html_control6" hidden="1">{"'2. Trim.'!$A$1:$L$73"}</definedName>
    <definedName name="html_control8" hidden="1">{"'2. Trim.'!$A$1:$L$73"}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"C:\TAVERNES\Facturacion\2000\HTML1.htm"</definedName>
    <definedName name="HTML_PathTemplate" hidden="1">"C:\TAVERNES\Facturacion\2000\HTML.htm"</definedName>
    <definedName name="HTML_Title" hidden="1">"FACTURACION GENERAL 2.000"</definedName>
    <definedName name="MAT" localSheetId="0">#REF!</definedName>
    <definedName name="MAT">#REF!</definedName>
    <definedName name="Material_Code" localSheetId="0">#REF!</definedName>
    <definedName name="Material_Code">#REF!</definedName>
    <definedName name="SER" localSheetId="0">#REF!</definedName>
    <definedName name="SER">#REF!</definedName>
    <definedName name="solver_opt" localSheetId="0">#REF!</definedName>
    <definedName name="solver_opt">#REF!</definedName>
    <definedName name="TEST0">#REF!</definedName>
    <definedName name="TESTHKEY">#REF!</definedName>
    <definedName name="TESTKEYS">#REF!</definedName>
    <definedName name="TESTVKEY">#REF!</definedName>
    <definedName name="VARIACION9394" localSheetId="0">'[1]TARIFA DE ALCANTARILLADO'!#REF!</definedName>
    <definedName name="VARIACION9394">'[1]TARIFA DE ALCANTARILLADO'!#REF!</definedName>
  </definedNames>
  <calcPr calcId="124519"/>
</workbook>
</file>

<file path=xl/calcChain.xml><?xml version="1.0" encoding="utf-8"?>
<calcChain xmlns="http://schemas.openxmlformats.org/spreadsheetml/2006/main">
  <c r="D13" i="1"/>
  <c r="E13" s="1"/>
  <c r="E25" l="1"/>
  <c r="E27" s="1"/>
  <c r="E18"/>
  <c r="F13"/>
  <c r="F25" s="1"/>
  <c r="D18"/>
  <c r="D17" s="1"/>
  <c r="D16"/>
  <c r="E16" s="1"/>
  <c r="D25"/>
  <c r="D27" s="1"/>
  <c r="D20" l="1"/>
  <c r="E17"/>
  <c r="E20" s="1"/>
  <c r="F16"/>
  <c r="G16" s="1"/>
  <c r="F27"/>
  <c r="F18"/>
  <c r="G13"/>
  <c r="H13" s="1"/>
  <c r="G18"/>
  <c r="E30" l="1"/>
  <c r="E32"/>
  <c r="F17"/>
  <c r="D32"/>
  <c r="D33" s="1"/>
  <c r="D34" s="1"/>
  <c r="D35" s="1"/>
  <c r="D30"/>
  <c r="G25"/>
  <c r="G27" s="1"/>
  <c r="H18"/>
  <c r="I13"/>
  <c r="H16"/>
  <c r="H25"/>
  <c r="H27" s="1"/>
  <c r="E33" l="1"/>
  <c r="E34" s="1"/>
  <c r="E35" s="1"/>
  <c r="G17"/>
  <c r="G20" s="1"/>
  <c r="F20"/>
  <c r="I18"/>
  <c r="J13"/>
  <c r="I25"/>
  <c r="I27" s="1"/>
  <c r="I16"/>
  <c r="F30" l="1"/>
  <c r="F32"/>
  <c r="F33" s="1"/>
  <c r="F34" s="1"/>
  <c r="F35" s="1"/>
  <c r="G32"/>
  <c r="G30"/>
  <c r="H17"/>
  <c r="H20" s="1"/>
  <c r="H32" s="1"/>
  <c r="K13"/>
  <c r="J16"/>
  <c r="J25"/>
  <c r="J27" s="1"/>
  <c r="J18"/>
  <c r="G33" l="1"/>
  <c r="G34" s="1"/>
  <c r="G35" s="1"/>
  <c r="I17"/>
  <c r="I20" s="1"/>
  <c r="I32" s="1"/>
  <c r="H30"/>
  <c r="L13"/>
  <c r="K16"/>
  <c r="K25"/>
  <c r="K20"/>
  <c r="K32" s="1"/>
  <c r="K18"/>
  <c r="K17"/>
  <c r="K27"/>
  <c r="H33" l="1"/>
  <c r="H34" s="1"/>
  <c r="H35" s="1"/>
  <c r="J17"/>
  <c r="J20" s="1"/>
  <c r="I30"/>
  <c r="L18"/>
  <c r="L17"/>
  <c r="L20" s="1"/>
  <c r="M13"/>
  <c r="L16"/>
  <c r="L25"/>
  <c r="L27" s="1"/>
  <c r="K30"/>
  <c r="I33" l="1"/>
  <c r="I34" s="1"/>
  <c r="I35" s="1"/>
  <c r="J32"/>
  <c r="J30"/>
  <c r="L32"/>
  <c r="L30"/>
  <c r="M18"/>
  <c r="M17"/>
  <c r="N13"/>
  <c r="M16"/>
  <c r="M20" s="1"/>
  <c r="M25"/>
  <c r="M27" s="1"/>
  <c r="J33" l="1"/>
  <c r="J34" s="1"/>
  <c r="J35" s="1"/>
  <c r="M32"/>
  <c r="M30"/>
  <c r="N17"/>
  <c r="N27"/>
  <c r="O13"/>
  <c r="N16"/>
  <c r="N25"/>
  <c r="N20"/>
  <c r="N32" s="1"/>
  <c r="N33" s="1"/>
  <c r="N34" s="1"/>
  <c r="N35" s="1"/>
  <c r="N30"/>
  <c r="N18"/>
  <c r="K33"/>
  <c r="K34" s="1"/>
  <c r="K35" s="1"/>
  <c r="P13" l="1"/>
  <c r="O16"/>
  <c r="O25"/>
  <c r="O20"/>
  <c r="O32" s="1"/>
  <c r="O33" s="1"/>
  <c r="O34" s="1"/>
  <c r="O35" s="1"/>
  <c r="O30"/>
  <c r="O17"/>
  <c r="O27"/>
  <c r="O18"/>
  <c r="L33"/>
  <c r="L34" s="1"/>
  <c r="L35" s="1"/>
  <c r="P20" l="1"/>
  <c r="P32" s="1"/>
  <c r="P33" s="1"/>
  <c r="P34" s="1"/>
  <c r="P35" s="1"/>
  <c r="P30"/>
  <c r="P27"/>
  <c r="P18"/>
  <c r="P17"/>
  <c r="Q13"/>
  <c r="P16"/>
  <c r="P25"/>
  <c r="M33"/>
  <c r="M34" s="1"/>
  <c r="M35" s="1"/>
  <c r="Q18" l="1"/>
  <c r="Q25"/>
  <c r="Q17"/>
  <c r="Q27"/>
  <c r="R13"/>
  <c r="Q16"/>
  <c r="Q20"/>
  <c r="Q32" s="1"/>
  <c r="Q33" s="1"/>
  <c r="Q34" s="1"/>
  <c r="Q35" s="1"/>
  <c r="Q30"/>
  <c r="R17" l="1"/>
  <c r="R27"/>
  <c r="R30"/>
  <c r="S13"/>
  <c r="R16"/>
  <c r="R25"/>
  <c r="R18"/>
  <c r="R20"/>
  <c r="R32" s="1"/>
  <c r="R33" s="1"/>
  <c r="R34" s="1"/>
  <c r="R35" s="1"/>
  <c r="T13" l="1"/>
  <c r="S16"/>
  <c r="S25"/>
  <c r="S18"/>
  <c r="S20"/>
  <c r="S32" s="1"/>
  <c r="S33" s="1"/>
  <c r="S34" s="1"/>
  <c r="S35" s="1"/>
  <c r="S30"/>
  <c r="S17"/>
  <c r="S27"/>
  <c r="T20" l="1"/>
  <c r="T32" s="1"/>
  <c r="T33" s="1"/>
  <c r="T34" s="1"/>
  <c r="T35" s="1"/>
  <c r="T30"/>
  <c r="T18"/>
  <c r="T17"/>
  <c r="T27"/>
  <c r="U13"/>
  <c r="T16"/>
  <c r="T25"/>
  <c r="U18" l="1"/>
  <c r="V13"/>
  <c r="U17"/>
  <c r="U27"/>
  <c r="U20"/>
  <c r="U32" s="1"/>
  <c r="U33" s="1"/>
  <c r="U34" s="1"/>
  <c r="U35" s="1"/>
  <c r="U30"/>
  <c r="U16"/>
  <c r="U25"/>
  <c r="V17" l="1"/>
  <c r="V27"/>
  <c r="W13"/>
  <c r="V16"/>
  <c r="V25"/>
  <c r="V20"/>
  <c r="V32" s="1"/>
  <c r="V33" s="1"/>
  <c r="V34" s="1"/>
  <c r="V35" s="1"/>
  <c r="V30"/>
  <c r="V18"/>
  <c r="X13" l="1"/>
  <c r="W16"/>
  <c r="W25"/>
  <c r="W20"/>
  <c r="W32" s="1"/>
  <c r="W33" s="1"/>
  <c r="W34" s="1"/>
  <c r="W35" s="1"/>
  <c r="W30"/>
  <c r="W18"/>
  <c r="W17"/>
  <c r="W27"/>
  <c r="X20" l="1"/>
  <c r="X32" s="1"/>
  <c r="X33" s="1"/>
  <c r="X34" s="1"/>
  <c r="X35" s="1"/>
  <c r="X30"/>
  <c r="X17"/>
  <c r="X27"/>
  <c r="X18"/>
  <c r="Y13"/>
  <c r="X16"/>
  <c r="X25"/>
  <c r="Y18" l="1"/>
  <c r="Y17"/>
  <c r="Y27"/>
  <c r="Z13"/>
  <c r="Y16"/>
  <c r="Y25"/>
  <c r="Y20"/>
  <c r="Y32" s="1"/>
  <c r="Y33" s="1"/>
  <c r="Y34" s="1"/>
  <c r="Y35" s="1"/>
  <c r="Y30"/>
  <c r="Z17" l="1"/>
  <c r="Z27"/>
  <c r="Z30"/>
  <c r="AA13"/>
  <c r="Z16"/>
  <c r="Z25"/>
  <c r="Z18"/>
  <c r="Z20"/>
  <c r="Z32" s="1"/>
  <c r="Z33" s="1"/>
  <c r="Z34" s="1"/>
  <c r="Z35" s="1"/>
  <c r="AB13" l="1"/>
  <c r="AA16"/>
  <c r="AA25"/>
  <c r="AA20"/>
  <c r="AA32" s="1"/>
  <c r="AA33" s="1"/>
  <c r="AA34" s="1"/>
  <c r="AA35" s="1"/>
  <c r="AA30"/>
  <c r="AA17"/>
  <c r="AA27"/>
  <c r="AA18"/>
  <c r="AB20" l="1"/>
  <c r="AB32" s="1"/>
  <c r="AB30"/>
  <c r="AB18"/>
  <c r="AB27"/>
  <c r="AB16"/>
  <c r="AB25"/>
  <c r="AB17"/>
  <c r="AB33" l="1"/>
  <c r="AB34" s="1"/>
  <c r="AB35" s="1"/>
  <c r="F7" s="1"/>
  <c r="F5"/>
  <c r="C30"/>
  <c r="F6"/>
</calcChain>
</file>

<file path=xl/sharedStrings.xml><?xml version="1.0" encoding="utf-8"?>
<sst xmlns="http://schemas.openxmlformats.org/spreadsheetml/2006/main" count="24" uniqueCount="24">
  <si>
    <t>Pay-Back Período</t>
  </si>
  <si>
    <t>Primer flujo positivo</t>
  </si>
  <si>
    <t>Flujo fondos p. acumul.</t>
  </si>
  <si>
    <t>Flujo Fondos proyecto</t>
  </si>
  <si>
    <t>Resultado</t>
  </si>
  <si>
    <t>Costes anuales</t>
  </si>
  <si>
    <t>Amortización</t>
  </si>
  <si>
    <t>Costes</t>
  </si>
  <si>
    <t>Ingesos anuales</t>
  </si>
  <si>
    <t>Degradación</t>
  </si>
  <si>
    <t>Ahorro kw año</t>
  </si>
  <si>
    <t>Precio medio del kw (inicio)</t>
  </si>
  <si>
    <t>Ingresos</t>
  </si>
  <si>
    <t>Años</t>
  </si>
  <si>
    <t>Incremento anual de la energía</t>
  </si>
  <si>
    <t>Inflación</t>
  </si>
  <si>
    <t>Ahorro kwh  año</t>
  </si>
  <si>
    <t xml:space="preserve">PAY-BACK </t>
  </si>
  <si>
    <t>Precio medio del kwh (inicio)</t>
  </si>
  <si>
    <t>VAN (IPC)</t>
  </si>
  <si>
    <t>Vida útil máquina</t>
  </si>
  <si>
    <t>TIR</t>
  </si>
  <si>
    <t>Importe de la inversión</t>
  </si>
  <si>
    <t>ANALISIS DE LA INVERSIÓN</t>
  </si>
</sst>
</file>

<file path=xl/styles.xml><?xml version="1.0" encoding="utf-8"?>
<styleSheet xmlns="http://schemas.openxmlformats.org/spreadsheetml/2006/main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_);\(#,##0.0\)"/>
    <numFmt numFmtId="165" formatCode="#,##0.0000"/>
    <numFmt numFmtId="166" formatCode="0.0000\ &quot;€&quot;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48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8" fontId="1" fillId="0" borderId="0" xfId="1" applyNumberFormat="1"/>
    <xf numFmtId="9" fontId="1" fillId="0" borderId="0" xfId="1" applyNumberFormat="1"/>
    <xf numFmtId="4" fontId="1" fillId="0" borderId="0" xfId="1" applyNumberFormat="1"/>
    <xf numFmtId="0" fontId="3" fillId="0" borderId="0" xfId="1" applyFont="1"/>
    <xf numFmtId="0" fontId="4" fillId="0" borderId="0" xfId="1" applyFont="1"/>
    <xf numFmtId="10" fontId="1" fillId="0" borderId="0" xfId="1" applyNumberFormat="1"/>
    <xf numFmtId="165" fontId="1" fillId="0" borderId="0" xfId="1" applyNumberFormat="1"/>
    <xf numFmtId="0" fontId="7" fillId="2" borderId="8" xfId="1" applyFont="1" applyFill="1" applyBorder="1"/>
    <xf numFmtId="0" fontId="8" fillId="0" borderId="0" xfId="1" applyFont="1"/>
    <xf numFmtId="10" fontId="7" fillId="3" borderId="7" xfId="1" applyNumberFormat="1" applyFont="1" applyFill="1" applyBorder="1"/>
    <xf numFmtId="0" fontId="7" fillId="2" borderId="6" xfId="1" applyFont="1" applyFill="1" applyBorder="1"/>
    <xf numFmtId="0" fontId="7" fillId="2" borderId="4" xfId="1" applyFont="1" applyFill="1" applyBorder="1"/>
    <xf numFmtId="0" fontId="7" fillId="0" borderId="0" xfId="1" applyFont="1" applyAlignment="1">
      <alignment horizontal="right"/>
    </xf>
    <xf numFmtId="0" fontId="7" fillId="2" borderId="2" xfId="1" applyFont="1" applyFill="1" applyBorder="1"/>
    <xf numFmtId="164" fontId="7" fillId="3" borderId="1" xfId="1" applyNumberFormat="1" applyFont="1" applyFill="1" applyBorder="1"/>
    <xf numFmtId="0" fontId="7" fillId="0" borderId="0" xfId="1" applyFont="1"/>
    <xf numFmtId="165" fontId="8" fillId="0" borderId="0" xfId="1" applyNumberFormat="1" applyFont="1" applyBorder="1"/>
    <xf numFmtId="165" fontId="8" fillId="0" borderId="0" xfId="1" applyNumberFormat="1" applyFont="1"/>
    <xf numFmtId="4" fontId="8" fillId="0" borderId="0" xfId="1" applyNumberFormat="1" applyFont="1" applyBorder="1"/>
    <xf numFmtId="4" fontId="8" fillId="0" borderId="0" xfId="1" applyNumberFormat="1" applyFont="1"/>
    <xf numFmtId="10" fontId="8" fillId="0" borderId="0" xfId="1" applyNumberFormat="1" applyFont="1" applyBorder="1"/>
    <xf numFmtId="10" fontId="7" fillId="0" borderId="0" xfId="1" applyNumberFormat="1" applyFont="1"/>
    <xf numFmtId="10" fontId="8" fillId="0" borderId="0" xfId="1" applyNumberFormat="1" applyFont="1"/>
    <xf numFmtId="0" fontId="10" fillId="0" borderId="0" xfId="1" applyFont="1"/>
    <xf numFmtId="4" fontId="10" fillId="0" borderId="0" xfId="1" applyNumberFormat="1" applyFont="1"/>
    <xf numFmtId="164" fontId="8" fillId="0" borderId="0" xfId="2" applyNumberFormat="1" applyFont="1" applyAlignment="1" applyProtection="1">
      <alignment horizontal="left"/>
    </xf>
    <xf numFmtId="164" fontId="8" fillId="0" borderId="0" xfId="2" applyNumberFormat="1" applyFont="1" applyAlignment="1" applyProtection="1"/>
    <xf numFmtId="8" fontId="11" fillId="3" borderId="3" xfId="1" applyNumberFormat="1" applyFont="1" applyFill="1" applyBorder="1"/>
    <xf numFmtId="0" fontId="4" fillId="2" borderId="17" xfId="1" applyFont="1" applyFill="1" applyBorder="1"/>
    <xf numFmtId="0" fontId="7" fillId="2" borderId="18" xfId="1" applyFont="1" applyFill="1" applyBorder="1"/>
    <xf numFmtId="4" fontId="7" fillId="2" borderId="18" xfId="1" applyNumberFormat="1" applyFont="1" applyFill="1" applyBorder="1"/>
    <xf numFmtId="0" fontId="4" fillId="2" borderId="18" xfId="1" applyFont="1" applyFill="1" applyBorder="1"/>
    <xf numFmtId="4" fontId="5" fillId="3" borderId="17" xfId="1" applyNumberFormat="1" applyFont="1" applyFill="1" applyBorder="1"/>
    <xf numFmtId="4" fontId="9" fillId="3" borderId="18" xfId="1" applyNumberFormat="1" applyFont="1" applyFill="1" applyBorder="1"/>
    <xf numFmtId="4" fontId="5" fillId="3" borderId="18" xfId="1" applyNumberFormat="1" applyFont="1" applyFill="1" applyBorder="1"/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4" fontId="7" fillId="3" borderId="7" xfId="1" applyNumberFormat="1" applyFont="1" applyFill="1" applyBorder="1" applyProtection="1">
      <protection locked="0"/>
    </xf>
    <xf numFmtId="0" fontId="7" fillId="3" borderId="5" xfId="1" applyFont="1" applyFill="1" applyBorder="1" applyProtection="1">
      <protection locked="0"/>
    </xf>
    <xf numFmtId="166" fontId="7" fillId="3" borderId="3" xfId="1" applyNumberFormat="1" applyFont="1" applyFill="1" applyBorder="1" applyProtection="1">
      <protection locked="0"/>
    </xf>
    <xf numFmtId="4" fontId="7" fillId="3" borderId="3" xfId="1" applyNumberFormat="1" applyFont="1" applyFill="1" applyBorder="1" applyProtection="1">
      <protection locked="0"/>
    </xf>
    <xf numFmtId="9" fontId="7" fillId="3" borderId="3" xfId="1" applyNumberFormat="1" applyFont="1" applyFill="1" applyBorder="1" applyProtection="1">
      <protection locked="0"/>
    </xf>
    <xf numFmtId="9" fontId="7" fillId="3" borderId="1" xfId="1" applyNumberFormat="1" applyFont="1" applyFill="1" applyBorder="1" applyProtection="1">
      <protection locked="0"/>
    </xf>
  </cellXfs>
  <cellStyles count="37">
    <cellStyle name="Euro" xfId="3"/>
    <cellStyle name="Euro 2" xfId="4"/>
    <cellStyle name="Euro 3" xfId="5"/>
    <cellStyle name="Millares 2" xfId="6"/>
    <cellStyle name="Normal" xfId="0" builtinId="0"/>
    <cellStyle name="Normal 10" xfId="1"/>
    <cellStyle name="Normal 2 10" xfId="7"/>
    <cellStyle name="Normal 2 11" xfId="8"/>
    <cellStyle name="Normal 2 12" xfId="9"/>
    <cellStyle name="Normal 2 13" xfId="10"/>
    <cellStyle name="Normal 2 14" xfId="11"/>
    <cellStyle name="Normal 2 15" xfId="12"/>
    <cellStyle name="Normal 2 2" xfId="13"/>
    <cellStyle name="Normal 2 3" xfId="14"/>
    <cellStyle name="Normal 2 4" xfId="15"/>
    <cellStyle name="Normal 2 5" xfId="16"/>
    <cellStyle name="Normal 2 6" xfId="17"/>
    <cellStyle name="Normal 2 7" xfId="18"/>
    <cellStyle name="Normal 2 8" xfId="19"/>
    <cellStyle name="Normal 2 9" xfId="20"/>
    <cellStyle name="Normal 3" xfId="21"/>
    <cellStyle name="Normal_Base" xfId="2"/>
    <cellStyle name="Porcentual 2 10" xfId="22"/>
    <cellStyle name="Porcentual 2 11" xfId="23"/>
    <cellStyle name="Porcentual 2 12" xfId="24"/>
    <cellStyle name="Porcentual 2 13" xfId="25"/>
    <cellStyle name="Porcentual 2 14" xfId="26"/>
    <cellStyle name="Porcentual 2 15" xfId="27"/>
    <cellStyle name="Porcentual 2 2" xfId="28"/>
    <cellStyle name="Porcentual 2 3" xfId="29"/>
    <cellStyle name="Porcentual 2 4" xfId="30"/>
    <cellStyle name="Porcentual 2 5" xfId="31"/>
    <cellStyle name="Porcentual 2 6" xfId="32"/>
    <cellStyle name="Porcentual 2 7" xfId="33"/>
    <cellStyle name="Porcentual 2 8" xfId="34"/>
    <cellStyle name="Porcentual 2 9" xfId="35"/>
    <cellStyle name="Porcentual 3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sdatos\dtdnn\Tarifas\A&#241;o%202001\Tarifa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arifa%20Xeraco%202006\Tarifa%20%20Xeraco%2020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RIFA AGUA"/>
      <sheetName val="FICHA DATOS"/>
      <sheetName val="TARIFA DE ALCANTARILLADO"/>
      <sheetName val="GASTOS ADM."/>
      <sheetName val="REPARTO"/>
      <sheetName val="ACOMETIDAS"/>
      <sheetName val="ENTROAGUA"/>
      <sheetName val="ENTROSANE"/>
      <sheetName val="CANON 2000"/>
      <sheetName val="CONSERVACION"/>
      <sheetName val="PERSONAL"/>
      <sheetName val="ENERGÍA AGUA"/>
      <sheetName val="ALTAS"/>
      <sheetName val="TARIFAS"/>
      <sheetName val="RESUMEN COSTES"/>
      <sheetName val="RESULT."/>
      <sheetName val="RES. GAST. CONSEJO"/>
      <sheetName val="RES. ING. CONSEJO"/>
      <sheetName val="RES. RECIB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E 05 vs PLICA"/>
      <sheetName val="ESTUDIO COSTES AGUA PLICA"/>
      <sheetName val="FORMULAS"/>
      <sheetName val="ESTUDIO COSTES ALC"/>
      <sheetName val="ESTUDIO COSTES CONTAD"/>
      <sheetName val="BALANCE ECONOMICO"/>
      <sheetName val="PRECIOS UNITARIOS"/>
      <sheetName val="Limp Alc 2003"/>
      <sheetName val="Operarios"/>
      <sheetName val="Inventario "/>
      <sheetName val="Magnitudes XER"/>
      <sheetName val="EE XER 04"/>
      <sheetName val="Altas Xeraco"/>
      <sheetName val="XER Fact 2003"/>
      <sheetName val="XER fact 2004"/>
      <sheetName val="EE 2003"/>
      <sheetName val="EE 2004"/>
      <sheetName val="RD 140-2003"/>
      <sheetName val="IAE Xeraco"/>
      <sheetName val="Abo 2004"/>
      <sheetName val="Abo 2005"/>
      <sheetName val="INGRESOS 2004"/>
      <sheetName val="INGRESOS 2005"/>
      <sheetName val="ESTUDIO INGRESOS PLICA"/>
      <sheetName val="CAPTACIONES"/>
      <sheetName val="INMOV"/>
      <sheetName val="ITP XERACO"/>
      <sheetName val="TARIFAS"/>
      <sheetName val="RES. RECIBOS"/>
      <sheetName val="EE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">
          <cell r="A2" t="str">
            <v>5201</v>
          </cell>
          <cell r="B2" t="str">
            <v>0</v>
          </cell>
          <cell r="C2" t="str">
            <v>ITP XERACO</v>
          </cell>
          <cell r="D2">
            <v>38442</v>
          </cell>
          <cell r="E2">
            <v>38443</v>
          </cell>
          <cell r="F2">
            <v>34469.629999999997</v>
          </cell>
          <cell r="G2">
            <v>0</v>
          </cell>
          <cell r="H2">
            <v>-2585.2199999999998</v>
          </cell>
          <cell r="I2">
            <v>-2585.2199999999998</v>
          </cell>
          <cell r="J2">
            <v>31884.41</v>
          </cell>
          <cell r="K2" t="str">
            <v>EUR</v>
          </cell>
          <cell r="L2" t="str">
            <v>Z001</v>
          </cell>
          <cell r="M2" t="str">
            <v>010/000</v>
          </cell>
        </row>
        <row r="3">
          <cell r="A3" t="str">
            <v>Clase activos fijos D2110000 Concesiones Ayuntam.</v>
          </cell>
          <cell r="B3" t="str">
            <v/>
          </cell>
          <cell r="C3" t="str">
            <v/>
          </cell>
          <cell r="F3">
            <v>34469.629999999997</v>
          </cell>
          <cell r="G3">
            <v>0</v>
          </cell>
          <cell r="H3">
            <v>-2585.2199999999998</v>
          </cell>
          <cell r="I3">
            <v>-2585.2199999999998</v>
          </cell>
          <cell r="J3">
            <v>31884.41</v>
          </cell>
          <cell r="K3" t="str">
            <v>EUR</v>
          </cell>
          <cell r="L3" t="str">
            <v/>
          </cell>
          <cell r="M3" t="str">
            <v/>
          </cell>
        </row>
        <row r="4">
          <cell r="A4" t="str">
            <v>5266</v>
          </cell>
          <cell r="B4" t="str">
            <v>0</v>
          </cell>
          <cell r="C4" t="str">
            <v>ADECUACIÓN NUEVA OFICINA</v>
          </cell>
          <cell r="D4">
            <v>38625</v>
          </cell>
          <cell r="E4">
            <v>38626</v>
          </cell>
          <cell r="F4">
            <v>26322.45</v>
          </cell>
          <cell r="G4">
            <v>0</v>
          </cell>
          <cell r="H4">
            <v>-658.06</v>
          </cell>
          <cell r="I4">
            <v>-658.06</v>
          </cell>
          <cell r="J4">
            <v>25664.39</v>
          </cell>
          <cell r="K4" t="str">
            <v>EUR</v>
          </cell>
          <cell r="L4" t="str">
            <v>Z001</v>
          </cell>
          <cell r="M4" t="str">
            <v>010/000</v>
          </cell>
        </row>
        <row r="5">
          <cell r="A5" t="str">
            <v>Clase activos fijos D2181100 Obra en local arrend</v>
          </cell>
          <cell r="B5" t="str">
            <v/>
          </cell>
          <cell r="C5" t="str">
            <v/>
          </cell>
          <cell r="F5">
            <v>26322.45</v>
          </cell>
          <cell r="G5">
            <v>0</v>
          </cell>
          <cell r="H5">
            <v>-658.06</v>
          </cell>
          <cell r="I5">
            <v>-658.06</v>
          </cell>
          <cell r="J5">
            <v>25664.39</v>
          </cell>
          <cell r="K5" t="str">
            <v>EUR</v>
          </cell>
          <cell r="L5" t="str">
            <v/>
          </cell>
          <cell r="M5" t="str">
            <v/>
          </cell>
        </row>
        <row r="6">
          <cell r="A6" t="str">
            <v>5170</v>
          </cell>
          <cell r="B6" t="str">
            <v>0</v>
          </cell>
          <cell r="C6" t="str">
            <v>BAHISA 06046</v>
          </cell>
          <cell r="D6">
            <v>35946</v>
          </cell>
          <cell r="E6">
            <v>38384</v>
          </cell>
          <cell r="F6">
            <v>277.23</v>
          </cell>
          <cell r="G6">
            <v>0</v>
          </cell>
          <cell r="H6">
            <v>0</v>
          </cell>
          <cell r="I6">
            <v>-277.23</v>
          </cell>
          <cell r="J6">
            <v>0</v>
          </cell>
          <cell r="K6" t="str">
            <v>EUR</v>
          </cell>
          <cell r="L6" t="str">
            <v>Z001</v>
          </cell>
          <cell r="M6" t="str">
            <v>004/000</v>
          </cell>
        </row>
        <row r="7">
          <cell r="A7" t="str">
            <v>Clase activos fijos D2240000 Útiles y herramienta</v>
          </cell>
          <cell r="B7" t="str">
            <v/>
          </cell>
          <cell r="C7" t="str">
            <v/>
          </cell>
          <cell r="F7">
            <v>277.23</v>
          </cell>
          <cell r="G7">
            <v>0</v>
          </cell>
          <cell r="H7">
            <v>0</v>
          </cell>
          <cell r="I7">
            <v>-277.23</v>
          </cell>
          <cell r="J7">
            <v>0</v>
          </cell>
          <cell r="K7" t="str">
            <v>EUR</v>
          </cell>
          <cell r="L7" t="str">
            <v/>
          </cell>
          <cell r="M7" t="str">
            <v/>
          </cell>
        </row>
        <row r="8">
          <cell r="A8" t="str">
            <v>5172</v>
          </cell>
          <cell r="B8" t="str">
            <v>0</v>
          </cell>
          <cell r="C8" t="str">
            <v>BUROGROUP 81565</v>
          </cell>
          <cell r="D8">
            <v>36007</v>
          </cell>
          <cell r="E8">
            <v>38384</v>
          </cell>
          <cell r="F8">
            <v>854.12</v>
          </cell>
          <cell r="G8">
            <v>0</v>
          </cell>
          <cell r="H8">
            <v>-78.290000000000006</v>
          </cell>
          <cell r="I8">
            <v>-633.5</v>
          </cell>
          <cell r="J8">
            <v>220.62</v>
          </cell>
          <cell r="K8" t="str">
            <v>EUR</v>
          </cell>
          <cell r="L8" t="str">
            <v>Z001</v>
          </cell>
          <cell r="M8" t="str">
            <v>010/000</v>
          </cell>
        </row>
        <row r="9">
          <cell r="A9" t="str">
            <v>5173</v>
          </cell>
          <cell r="B9" t="str">
            <v>0</v>
          </cell>
          <cell r="C9" t="str">
            <v>BUROGROUP 81957</v>
          </cell>
          <cell r="D9">
            <v>36099</v>
          </cell>
          <cell r="E9">
            <v>38384</v>
          </cell>
          <cell r="F9">
            <v>876.79</v>
          </cell>
          <cell r="G9">
            <v>0</v>
          </cell>
          <cell r="H9">
            <v>-80.37</v>
          </cell>
          <cell r="I9">
            <v>-628.38</v>
          </cell>
          <cell r="J9">
            <v>248.41</v>
          </cell>
          <cell r="K9" t="str">
            <v>EUR</v>
          </cell>
          <cell r="L9" t="str">
            <v>Z001</v>
          </cell>
          <cell r="M9" t="str">
            <v>010/000</v>
          </cell>
        </row>
        <row r="10">
          <cell r="A10" t="str">
            <v>Clase activos fijos D2260000 Mobiliario oficina</v>
          </cell>
          <cell r="B10" t="str">
            <v/>
          </cell>
          <cell r="C10" t="str">
            <v/>
          </cell>
          <cell r="F10">
            <v>1730.91</v>
          </cell>
          <cell r="G10">
            <v>0</v>
          </cell>
          <cell r="H10">
            <v>-158.66</v>
          </cell>
          <cell r="I10">
            <v>-1261.8800000000001</v>
          </cell>
          <cell r="J10">
            <v>469.03</v>
          </cell>
          <cell r="K10" t="str">
            <v>EUR</v>
          </cell>
          <cell r="L10" t="str">
            <v/>
          </cell>
          <cell r="M10" t="str">
            <v/>
          </cell>
        </row>
        <row r="11">
          <cell r="A11" t="str">
            <v>5171</v>
          </cell>
          <cell r="B11" t="str">
            <v>0</v>
          </cell>
          <cell r="C11" t="str">
            <v>EAVASA V9801088</v>
          </cell>
          <cell r="D11">
            <v>35946</v>
          </cell>
          <cell r="E11">
            <v>38384</v>
          </cell>
          <cell r="F11">
            <v>7167.59</v>
          </cell>
          <cell r="G11">
            <v>0</v>
          </cell>
          <cell r="H11">
            <v>0</v>
          </cell>
          <cell r="I11">
            <v>-7167.59</v>
          </cell>
          <cell r="J11">
            <v>0</v>
          </cell>
          <cell r="K11" t="str">
            <v>EUR</v>
          </cell>
          <cell r="L11" t="str">
            <v>Z001</v>
          </cell>
          <cell r="M11" t="str">
            <v>006/003</v>
          </cell>
        </row>
        <row r="12">
          <cell r="A12" t="str">
            <v>Clase activos fijos D2280000 Turismos y Furgoneta</v>
          </cell>
          <cell r="B12" t="str">
            <v/>
          </cell>
          <cell r="C12" t="str">
            <v/>
          </cell>
          <cell r="F12">
            <v>7167.59</v>
          </cell>
          <cell r="G12">
            <v>0</v>
          </cell>
          <cell r="H12">
            <v>0</v>
          </cell>
          <cell r="I12">
            <v>-7167.59</v>
          </cell>
          <cell r="J12">
            <v>0</v>
          </cell>
          <cell r="K12" t="str">
            <v>EUR</v>
          </cell>
          <cell r="L12" t="str">
            <v/>
          </cell>
          <cell r="M12" t="str">
            <v/>
          </cell>
        </row>
        <row r="13">
          <cell r="A13" t="str">
            <v>5174</v>
          </cell>
          <cell r="B13" t="str">
            <v>0</v>
          </cell>
          <cell r="C13" t="str">
            <v>ANFER 918/98/G</v>
          </cell>
          <cell r="D13">
            <v>36007</v>
          </cell>
          <cell r="E13">
            <v>38384</v>
          </cell>
          <cell r="F13">
            <v>1733.31</v>
          </cell>
          <cell r="G13">
            <v>0</v>
          </cell>
          <cell r="H13">
            <v>-158.88999999999999</v>
          </cell>
          <cell r="I13">
            <v>-1285.56</v>
          </cell>
          <cell r="J13">
            <v>447.75</v>
          </cell>
          <cell r="K13" t="str">
            <v>EUR</v>
          </cell>
          <cell r="L13" t="str">
            <v>Z001</v>
          </cell>
          <cell r="M13" t="str">
            <v>010/000</v>
          </cell>
        </row>
        <row r="14">
          <cell r="A14" t="str">
            <v>5175</v>
          </cell>
          <cell r="B14" t="str">
            <v>0</v>
          </cell>
          <cell r="C14" t="str">
            <v>TPI 7 XER A/AC. OFICINA</v>
          </cell>
          <cell r="D14">
            <v>36738</v>
          </cell>
          <cell r="E14">
            <v>38384</v>
          </cell>
          <cell r="F14">
            <v>1989.04</v>
          </cell>
          <cell r="G14">
            <v>0</v>
          </cell>
          <cell r="H14">
            <v>-182.33</v>
          </cell>
          <cell r="I14">
            <v>-1077.4000000000001</v>
          </cell>
          <cell r="J14">
            <v>911.64</v>
          </cell>
          <cell r="K14" t="str">
            <v>EUR</v>
          </cell>
          <cell r="L14" t="str">
            <v>Z001</v>
          </cell>
          <cell r="M14" t="str">
            <v>010/000</v>
          </cell>
        </row>
        <row r="15">
          <cell r="A15" t="str">
            <v>Clase activos fijos D2299200 Otro inm. material</v>
          </cell>
          <cell r="B15" t="str">
            <v/>
          </cell>
          <cell r="C15" t="str">
            <v/>
          </cell>
          <cell r="F15">
            <v>3722.35</v>
          </cell>
          <cell r="G15">
            <v>0</v>
          </cell>
          <cell r="H15">
            <v>-341.22</v>
          </cell>
          <cell r="I15">
            <v>-2362.96</v>
          </cell>
          <cell r="J15">
            <v>1359.39</v>
          </cell>
          <cell r="K15" t="str">
            <v>EUR</v>
          </cell>
          <cell r="L15" t="str">
            <v/>
          </cell>
          <cell r="M15" t="str">
            <v/>
          </cell>
        </row>
        <row r="16">
          <cell r="A16" t="str">
            <v>Centro de coste 9509G1145 Xeraco</v>
          </cell>
          <cell r="B16" t="str">
            <v/>
          </cell>
          <cell r="C16" t="str">
            <v/>
          </cell>
          <cell r="F16">
            <v>73690.16</v>
          </cell>
          <cell r="G16">
            <v>0</v>
          </cell>
          <cell r="H16">
            <v>-3743.16</v>
          </cell>
          <cell r="I16">
            <v>-14312.94</v>
          </cell>
          <cell r="J16">
            <v>59377.22</v>
          </cell>
          <cell r="K16" t="str">
            <v>EUR</v>
          </cell>
          <cell r="L16" t="str">
            <v/>
          </cell>
          <cell r="M16" t="str">
            <v/>
          </cell>
        </row>
        <row r="17">
          <cell r="A17" t="str">
            <v>Sociedad 1145 AQUAGEST LEVANTE</v>
          </cell>
          <cell r="B17" t="str">
            <v/>
          </cell>
          <cell r="C17" t="str">
            <v/>
          </cell>
          <cell r="F17">
            <v>73690.16</v>
          </cell>
          <cell r="G17">
            <v>0</v>
          </cell>
          <cell r="H17">
            <v>-3743.16</v>
          </cell>
          <cell r="I17">
            <v>-14312.94</v>
          </cell>
          <cell r="J17">
            <v>59377.22</v>
          </cell>
          <cell r="K17" t="str">
            <v>EUR</v>
          </cell>
          <cell r="L17" t="str">
            <v/>
          </cell>
          <cell r="M17" t="str">
            <v/>
          </cell>
        </row>
      </sheetData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2"/>
  <sheetViews>
    <sheetView tabSelected="1" zoomScale="90" zoomScaleNormal="9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C6" sqref="C6"/>
    </sheetView>
  </sheetViews>
  <sheetFormatPr baseColWidth="10" defaultRowHeight="12.75"/>
  <cols>
    <col min="1" max="1" width="11.42578125" style="1"/>
    <col min="2" max="2" width="31.140625" style="1" customWidth="1"/>
    <col min="3" max="3" width="12.42578125" style="1" customWidth="1"/>
    <col min="4" max="4" width="12.28515625" style="1" bestFit="1" customWidth="1"/>
    <col min="5" max="5" width="12" style="1" customWidth="1"/>
    <col min="6" max="6" width="12.28515625" style="1" customWidth="1"/>
    <col min="7" max="16384" width="11.42578125" style="1"/>
  </cols>
  <sheetData>
    <row r="1" spans="2:28" ht="13.5" thickBot="1"/>
    <row r="2" spans="2:28" ht="15" customHeight="1">
      <c r="H2" s="37" t="s">
        <v>23</v>
      </c>
      <c r="I2" s="38"/>
      <c r="J2" s="38"/>
      <c r="K2" s="39"/>
    </row>
    <row r="3" spans="2:28">
      <c r="H3" s="40"/>
      <c r="I3" s="41"/>
      <c r="J3" s="41"/>
      <c r="K3" s="42"/>
    </row>
    <row r="4" spans="2:28" ht="21" customHeight="1" thickBot="1">
      <c r="H4" s="43"/>
      <c r="I4" s="44"/>
      <c r="J4" s="44"/>
      <c r="K4" s="45"/>
    </row>
    <row r="5" spans="2:28" ht="15">
      <c r="B5" s="9" t="s">
        <v>22</v>
      </c>
      <c r="C5" s="46">
        <v>3000</v>
      </c>
      <c r="D5" s="10"/>
      <c r="E5" s="9" t="s">
        <v>21</v>
      </c>
      <c r="F5" s="11">
        <f>+IRR(D32:AB32,0.25)</f>
        <v>8.2742827208625677E-2</v>
      </c>
      <c r="G5" s="10"/>
      <c r="H5" s="10"/>
      <c r="I5" s="10"/>
      <c r="J5" s="10"/>
      <c r="K5" s="10"/>
      <c r="L5" s="10"/>
      <c r="M5" s="10"/>
    </row>
    <row r="6" spans="2:28" ht="15">
      <c r="B6" s="12" t="s">
        <v>20</v>
      </c>
      <c r="C6" s="47">
        <v>7</v>
      </c>
      <c r="D6" s="10"/>
      <c r="E6" s="13" t="s">
        <v>19</v>
      </c>
      <c r="F6" s="29">
        <f>+NPV(C9,D30:AB30)</f>
        <v>687.04362691777953</v>
      </c>
      <c r="G6" s="10"/>
      <c r="H6" s="14"/>
      <c r="I6" s="10"/>
      <c r="J6" s="10"/>
      <c r="K6" s="10"/>
      <c r="L6" s="10"/>
      <c r="M6" s="10"/>
    </row>
    <row r="7" spans="2:28" ht="15.75" thickBot="1">
      <c r="B7" s="13" t="s">
        <v>18</v>
      </c>
      <c r="C7" s="48">
        <v>0.115</v>
      </c>
      <c r="D7" s="10"/>
      <c r="E7" s="15" t="s">
        <v>17</v>
      </c>
      <c r="F7" s="16">
        <f>+MAX(D35:AB35)</f>
        <v>5.724489473088286</v>
      </c>
      <c r="G7" s="10"/>
      <c r="H7" s="10"/>
      <c r="I7" s="10"/>
      <c r="J7" s="10"/>
      <c r="K7" s="10"/>
      <c r="L7" s="10"/>
      <c r="M7" s="10"/>
    </row>
    <row r="8" spans="2:28" ht="15">
      <c r="B8" s="13" t="s">
        <v>16</v>
      </c>
      <c r="C8" s="49">
        <v>4000</v>
      </c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2:28" ht="15">
      <c r="B9" s="13" t="s">
        <v>15</v>
      </c>
      <c r="C9" s="50">
        <v>0.04</v>
      </c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2:28" ht="15.75" thickBot="1">
      <c r="B10" s="15" t="s">
        <v>14</v>
      </c>
      <c r="C10" s="51">
        <v>0.08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2:28" ht="14.25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2:28" s="6" customFormat="1" ht="15">
      <c r="B12" s="17"/>
      <c r="C12" s="17"/>
      <c r="D12" s="17" t="s">
        <v>13</v>
      </c>
      <c r="E12" s="17"/>
      <c r="F12" s="17"/>
      <c r="G12" s="17"/>
      <c r="H12" s="17"/>
      <c r="I12" s="17"/>
      <c r="J12" s="17"/>
      <c r="K12" s="17"/>
      <c r="L12" s="17"/>
      <c r="M12" s="17"/>
    </row>
    <row r="13" spans="2:28" s="6" customFormat="1" ht="15">
      <c r="B13" s="17"/>
      <c r="C13" s="17"/>
      <c r="D13" s="17">
        <f>+IF((B13+1)&gt;$C$6,"",(B13+1))</f>
        <v>1</v>
      </c>
      <c r="E13" s="17">
        <f t="shared" ref="E13:AB13" si="0">+IF(D13="","",IF((D13+1)&gt;$C$6,"",(D13+1)))</f>
        <v>2</v>
      </c>
      <c r="F13" s="17">
        <f t="shared" si="0"/>
        <v>3</v>
      </c>
      <c r="G13" s="17">
        <f t="shared" si="0"/>
        <v>4</v>
      </c>
      <c r="H13" s="17">
        <f t="shared" si="0"/>
        <v>5</v>
      </c>
      <c r="I13" s="17">
        <f t="shared" si="0"/>
        <v>6</v>
      </c>
      <c r="J13" s="17">
        <f t="shared" si="0"/>
        <v>7</v>
      </c>
      <c r="K13" s="17" t="str">
        <f t="shared" si="0"/>
        <v/>
      </c>
      <c r="L13" s="17" t="str">
        <f t="shared" si="0"/>
        <v/>
      </c>
      <c r="M13" s="17" t="str">
        <f t="shared" si="0"/>
        <v/>
      </c>
      <c r="N13" s="6" t="str">
        <f t="shared" si="0"/>
        <v/>
      </c>
      <c r="O13" s="6" t="str">
        <f t="shared" si="0"/>
        <v/>
      </c>
      <c r="P13" s="6" t="str">
        <f t="shared" si="0"/>
        <v/>
      </c>
      <c r="Q13" s="6" t="str">
        <f t="shared" si="0"/>
        <v/>
      </c>
      <c r="R13" s="6" t="str">
        <f t="shared" si="0"/>
        <v/>
      </c>
      <c r="S13" s="6" t="str">
        <f t="shared" si="0"/>
        <v/>
      </c>
      <c r="T13" s="6" t="str">
        <f t="shared" si="0"/>
        <v/>
      </c>
      <c r="U13" s="6" t="str">
        <f t="shared" si="0"/>
        <v/>
      </c>
      <c r="V13" s="6" t="str">
        <f t="shared" si="0"/>
        <v/>
      </c>
      <c r="W13" s="6" t="str">
        <f t="shared" si="0"/>
        <v/>
      </c>
      <c r="X13" s="6" t="str">
        <f t="shared" si="0"/>
        <v/>
      </c>
      <c r="Y13" s="6" t="str">
        <f t="shared" si="0"/>
        <v/>
      </c>
      <c r="Z13" s="6" t="str">
        <f t="shared" si="0"/>
        <v/>
      </c>
      <c r="AA13" s="6" t="str">
        <f t="shared" si="0"/>
        <v/>
      </c>
      <c r="AB13" s="6" t="str">
        <f t="shared" si="0"/>
        <v/>
      </c>
    </row>
    <row r="14" spans="2:28" ht="15">
      <c r="B14" s="17" t="s">
        <v>12</v>
      </c>
      <c r="C14" s="17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2:28" ht="15">
      <c r="B15" s="17"/>
      <c r="C15" s="17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2:28" s="8" customFormat="1" ht="14.25">
      <c r="B16" s="18" t="s">
        <v>11</v>
      </c>
      <c r="C16" s="19"/>
      <c r="D16" s="19">
        <f>+IF(D13&lt;=$C$6,(C7*(1)),"")</f>
        <v>0.115</v>
      </c>
      <c r="E16" s="19">
        <f t="shared" ref="E16:AB16" si="1">+IF(E13&lt;=$C$6,(D16*(1+$C$10)),"")</f>
        <v>0.12420000000000002</v>
      </c>
      <c r="F16" s="19">
        <f t="shared" si="1"/>
        <v>0.13413600000000003</v>
      </c>
      <c r="G16" s="19">
        <f t="shared" si="1"/>
        <v>0.14486688000000006</v>
      </c>
      <c r="H16" s="19">
        <f t="shared" si="1"/>
        <v>0.15645623040000006</v>
      </c>
      <c r="I16" s="19">
        <f t="shared" si="1"/>
        <v>0.16897272883200007</v>
      </c>
      <c r="J16" s="19">
        <f t="shared" si="1"/>
        <v>0.18249054713856008</v>
      </c>
      <c r="K16" s="19" t="str">
        <f t="shared" si="1"/>
        <v/>
      </c>
      <c r="L16" s="19" t="str">
        <f t="shared" si="1"/>
        <v/>
      </c>
      <c r="M16" s="19" t="str">
        <f t="shared" si="1"/>
        <v/>
      </c>
      <c r="N16" s="8" t="str">
        <f t="shared" si="1"/>
        <v/>
      </c>
      <c r="O16" s="8" t="str">
        <f t="shared" si="1"/>
        <v/>
      </c>
      <c r="P16" s="8" t="str">
        <f t="shared" si="1"/>
        <v/>
      </c>
      <c r="Q16" s="8" t="str">
        <f t="shared" si="1"/>
        <v/>
      </c>
      <c r="R16" s="8" t="str">
        <f t="shared" si="1"/>
        <v/>
      </c>
      <c r="S16" s="8" t="str">
        <f t="shared" si="1"/>
        <v/>
      </c>
      <c r="T16" s="8" t="str">
        <f t="shared" si="1"/>
        <v/>
      </c>
      <c r="U16" s="8" t="str">
        <f t="shared" si="1"/>
        <v/>
      </c>
      <c r="V16" s="8" t="str">
        <f t="shared" si="1"/>
        <v/>
      </c>
      <c r="W16" s="8" t="str">
        <f t="shared" si="1"/>
        <v/>
      </c>
      <c r="X16" s="8" t="str">
        <f t="shared" si="1"/>
        <v/>
      </c>
      <c r="Y16" s="8" t="str">
        <f t="shared" si="1"/>
        <v/>
      </c>
      <c r="Z16" s="8" t="str">
        <f t="shared" si="1"/>
        <v/>
      </c>
      <c r="AA16" s="8" t="str">
        <f t="shared" si="1"/>
        <v/>
      </c>
      <c r="AB16" s="8" t="str">
        <f t="shared" si="1"/>
        <v/>
      </c>
    </row>
    <row r="17" spans="1:57" s="4" customFormat="1" ht="14.25">
      <c r="B17" s="20" t="s">
        <v>10</v>
      </c>
      <c r="C17" s="21"/>
      <c r="D17" s="21">
        <f>+IF(D13&lt;=$C$6,(C8*(1-D18)),"")</f>
        <v>3900</v>
      </c>
      <c r="E17" s="21">
        <f t="shared" ref="E17:AB17" si="2">+IF(E13&lt;=$C$6,(D17*(1-E18)),"")</f>
        <v>3822</v>
      </c>
      <c r="F17" s="21">
        <f t="shared" si="2"/>
        <v>3764.67</v>
      </c>
      <c r="G17" s="21">
        <f t="shared" si="2"/>
        <v>3727.0232999999998</v>
      </c>
      <c r="H17" s="21">
        <f t="shared" si="2"/>
        <v>3708.3881834999997</v>
      </c>
      <c r="I17" s="21">
        <f t="shared" si="2"/>
        <v>3689.8462425824996</v>
      </c>
      <c r="J17" s="21">
        <f t="shared" si="2"/>
        <v>3671.3970113695873</v>
      </c>
      <c r="K17" s="21" t="str">
        <f t="shared" si="2"/>
        <v/>
      </c>
      <c r="L17" s="21" t="str">
        <f t="shared" si="2"/>
        <v/>
      </c>
      <c r="M17" s="21" t="str">
        <f t="shared" si="2"/>
        <v/>
      </c>
      <c r="N17" s="4" t="str">
        <f t="shared" si="2"/>
        <v/>
      </c>
      <c r="O17" s="4" t="str">
        <f t="shared" si="2"/>
        <v/>
      </c>
      <c r="P17" s="4" t="str">
        <f t="shared" si="2"/>
        <v/>
      </c>
      <c r="Q17" s="4" t="str">
        <f t="shared" si="2"/>
        <v/>
      </c>
      <c r="R17" s="4" t="str">
        <f t="shared" si="2"/>
        <v/>
      </c>
      <c r="S17" s="4" t="str">
        <f t="shared" si="2"/>
        <v/>
      </c>
      <c r="T17" s="4" t="str">
        <f t="shared" si="2"/>
        <v/>
      </c>
      <c r="U17" s="4" t="str">
        <f t="shared" si="2"/>
        <v/>
      </c>
      <c r="V17" s="4" t="str">
        <f t="shared" si="2"/>
        <v/>
      </c>
      <c r="W17" s="4" t="str">
        <f t="shared" si="2"/>
        <v/>
      </c>
      <c r="X17" s="4" t="str">
        <f t="shared" si="2"/>
        <v/>
      </c>
      <c r="Y17" s="4" t="str">
        <f t="shared" si="2"/>
        <v/>
      </c>
      <c r="Z17" s="4" t="str">
        <f t="shared" si="2"/>
        <v/>
      </c>
      <c r="AA17" s="4" t="str">
        <f t="shared" si="2"/>
        <v/>
      </c>
      <c r="AB17" s="4" t="str">
        <f t="shared" si="2"/>
        <v/>
      </c>
    </row>
    <row r="18" spans="1:57" s="7" customFormat="1" ht="15">
      <c r="B18" s="22" t="s">
        <v>9</v>
      </c>
      <c r="C18" s="23"/>
      <c r="D18" s="24">
        <f>+IF(D13="","",2.5%)</f>
        <v>2.5000000000000001E-2</v>
      </c>
      <c r="E18" s="24">
        <f>+IF(E13="","",2%)</f>
        <v>0.02</v>
      </c>
      <c r="F18" s="24">
        <f>+IF(F13="","",1.5%)</f>
        <v>1.4999999999999999E-2</v>
      </c>
      <c r="G18" s="24">
        <f>+IF(G13="","",1%)</f>
        <v>0.01</v>
      </c>
      <c r="H18" s="24">
        <f t="shared" ref="H18:M18" si="3">+IF(H13="","",0.5%)</f>
        <v>5.0000000000000001E-3</v>
      </c>
      <c r="I18" s="24">
        <f t="shared" si="3"/>
        <v>5.0000000000000001E-3</v>
      </c>
      <c r="J18" s="24">
        <f t="shared" si="3"/>
        <v>5.0000000000000001E-3</v>
      </c>
      <c r="K18" s="24" t="str">
        <f t="shared" si="3"/>
        <v/>
      </c>
      <c r="L18" s="24" t="str">
        <f t="shared" si="3"/>
        <v/>
      </c>
      <c r="M18" s="24" t="str">
        <f t="shared" si="3"/>
        <v/>
      </c>
      <c r="N18" s="7" t="str">
        <f>+IF(N13="","",0.2%)</f>
        <v/>
      </c>
      <c r="O18" s="7" t="str">
        <f>+IF(O13="","",0.2%)</f>
        <v/>
      </c>
      <c r="P18" s="7" t="str">
        <f>+IF(P13="","",0.2%)</f>
        <v/>
      </c>
      <c r="Q18" s="7" t="str">
        <f>+IF(Q13="","",0.2%)</f>
        <v/>
      </c>
      <c r="R18" s="7" t="str">
        <f>+IF(R13="","",0.2%)</f>
        <v/>
      </c>
      <c r="S18" s="7" t="str">
        <f t="shared" ref="S18:AB18" si="4">+IF(S13="","",0.1%)</f>
        <v/>
      </c>
      <c r="T18" s="7" t="str">
        <f t="shared" si="4"/>
        <v/>
      </c>
      <c r="U18" s="7" t="str">
        <f t="shared" si="4"/>
        <v/>
      </c>
      <c r="V18" s="7" t="str">
        <f t="shared" si="4"/>
        <v/>
      </c>
      <c r="W18" s="7" t="str">
        <f t="shared" si="4"/>
        <v/>
      </c>
      <c r="X18" s="7" t="str">
        <f t="shared" si="4"/>
        <v/>
      </c>
      <c r="Y18" s="7" t="str">
        <f t="shared" si="4"/>
        <v/>
      </c>
      <c r="Z18" s="7" t="str">
        <f t="shared" si="4"/>
        <v/>
      </c>
      <c r="AA18" s="7" t="str">
        <f t="shared" si="4"/>
        <v/>
      </c>
      <c r="AB18" s="7" t="str">
        <f t="shared" si="4"/>
        <v/>
      </c>
    </row>
    <row r="19" spans="1:57" ht="15.75" thickBot="1">
      <c r="B19" s="17"/>
      <c r="C19" s="17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57" s="36" customFormat="1" ht="15.75" thickBot="1">
      <c r="A20" s="34"/>
      <c r="B20" s="35" t="s">
        <v>8</v>
      </c>
      <c r="C20" s="35"/>
      <c r="D20" s="35">
        <f t="shared" ref="D20:AB20" si="5">+IF(D13&lt;=$C$6,D16*D17,"")</f>
        <v>448.5</v>
      </c>
      <c r="E20" s="35">
        <f t="shared" si="5"/>
        <v>474.69240000000008</v>
      </c>
      <c r="F20" s="35">
        <f t="shared" si="5"/>
        <v>504.97777512000016</v>
      </c>
      <c r="G20" s="35">
        <f t="shared" si="5"/>
        <v>539.92223715830414</v>
      </c>
      <c r="H20" s="35">
        <f t="shared" si="5"/>
        <v>580.20043605031367</v>
      </c>
      <c r="I20" s="35">
        <f t="shared" si="5"/>
        <v>623.48338857966701</v>
      </c>
      <c r="J20" s="35">
        <f t="shared" si="5"/>
        <v>669.99524936771024</v>
      </c>
      <c r="K20" s="35" t="str">
        <f t="shared" si="5"/>
        <v/>
      </c>
      <c r="L20" s="35" t="str">
        <f t="shared" si="5"/>
        <v/>
      </c>
      <c r="M20" s="35" t="str">
        <f t="shared" si="5"/>
        <v/>
      </c>
      <c r="N20" s="35" t="str">
        <f t="shared" si="5"/>
        <v/>
      </c>
      <c r="O20" s="35" t="str">
        <f t="shared" si="5"/>
        <v/>
      </c>
      <c r="P20" s="35" t="str">
        <f t="shared" si="5"/>
        <v/>
      </c>
      <c r="Q20" s="35" t="str">
        <f t="shared" si="5"/>
        <v/>
      </c>
      <c r="R20" s="35" t="str">
        <f t="shared" si="5"/>
        <v/>
      </c>
      <c r="S20" s="35" t="str">
        <f t="shared" si="5"/>
        <v/>
      </c>
      <c r="T20" s="35" t="str">
        <f t="shared" si="5"/>
        <v/>
      </c>
      <c r="U20" s="35" t="str">
        <f t="shared" si="5"/>
        <v/>
      </c>
      <c r="V20" s="35" t="str">
        <f t="shared" si="5"/>
        <v/>
      </c>
      <c r="W20" s="35" t="str">
        <f t="shared" si="5"/>
        <v/>
      </c>
      <c r="X20" s="35" t="str">
        <f t="shared" si="5"/>
        <v/>
      </c>
      <c r="Y20" s="35" t="str">
        <f t="shared" si="5"/>
        <v/>
      </c>
      <c r="Z20" s="35" t="str">
        <f t="shared" si="5"/>
        <v/>
      </c>
      <c r="AA20" s="35" t="str">
        <f t="shared" si="5"/>
        <v/>
      </c>
      <c r="AB20" s="35" t="str">
        <f t="shared" si="5"/>
        <v/>
      </c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ht="15">
      <c r="B21" s="17"/>
      <c r="C21" s="17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5">
      <c r="B22" s="17"/>
      <c r="C22" s="17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5">
      <c r="B23" s="17" t="s">
        <v>7</v>
      </c>
      <c r="C23" s="17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4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s="4" customFormat="1" ht="14.25">
      <c r="B25" s="21" t="s">
        <v>6</v>
      </c>
      <c r="C25" s="21"/>
      <c r="D25" s="21">
        <f t="shared" ref="D25:AB25" si="6">+IF(D13&lt;=$C$6,($C$5/$C$6),"")</f>
        <v>428.57142857142856</v>
      </c>
      <c r="E25" s="21">
        <f t="shared" si="6"/>
        <v>428.57142857142856</v>
      </c>
      <c r="F25" s="21">
        <f t="shared" si="6"/>
        <v>428.57142857142856</v>
      </c>
      <c r="G25" s="21">
        <f t="shared" si="6"/>
        <v>428.57142857142856</v>
      </c>
      <c r="H25" s="21">
        <f t="shared" si="6"/>
        <v>428.57142857142856</v>
      </c>
      <c r="I25" s="21">
        <f t="shared" si="6"/>
        <v>428.57142857142856</v>
      </c>
      <c r="J25" s="21">
        <f t="shared" si="6"/>
        <v>428.57142857142856</v>
      </c>
      <c r="K25" s="21" t="str">
        <f t="shared" si="6"/>
        <v/>
      </c>
      <c r="L25" s="21" t="str">
        <f t="shared" si="6"/>
        <v/>
      </c>
      <c r="M25" s="21" t="str">
        <f t="shared" si="6"/>
        <v/>
      </c>
      <c r="N25" s="21" t="str">
        <f t="shared" si="6"/>
        <v/>
      </c>
      <c r="O25" s="21" t="str">
        <f t="shared" si="6"/>
        <v/>
      </c>
      <c r="P25" s="21" t="str">
        <f t="shared" si="6"/>
        <v/>
      </c>
      <c r="Q25" s="21" t="str">
        <f t="shared" si="6"/>
        <v/>
      </c>
      <c r="R25" s="21" t="str">
        <f t="shared" si="6"/>
        <v/>
      </c>
      <c r="S25" s="21" t="str">
        <f t="shared" si="6"/>
        <v/>
      </c>
      <c r="T25" s="21" t="str">
        <f t="shared" si="6"/>
        <v/>
      </c>
      <c r="U25" s="21" t="str">
        <f t="shared" si="6"/>
        <v/>
      </c>
      <c r="V25" s="21" t="str">
        <f t="shared" si="6"/>
        <v/>
      </c>
      <c r="W25" s="21" t="str">
        <f t="shared" si="6"/>
        <v/>
      </c>
      <c r="X25" s="21" t="str">
        <f t="shared" si="6"/>
        <v/>
      </c>
      <c r="Y25" s="21" t="str">
        <f t="shared" si="6"/>
        <v/>
      </c>
      <c r="Z25" s="21" t="str">
        <f t="shared" si="6"/>
        <v/>
      </c>
      <c r="AA25" s="21" t="str">
        <f t="shared" si="6"/>
        <v/>
      </c>
      <c r="AB25" s="21" t="str">
        <f t="shared" si="6"/>
        <v/>
      </c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</row>
    <row r="26" spans="1:57" ht="14.2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s="5" customFormat="1" ht="15">
      <c r="B27" s="25" t="s">
        <v>5</v>
      </c>
      <c r="C27" s="25"/>
      <c r="D27" s="26">
        <f t="shared" ref="D27:AB27" si="7">+IF(D13&lt;=$C$6,D25,"")</f>
        <v>428.57142857142856</v>
      </c>
      <c r="E27" s="26">
        <f t="shared" si="7"/>
        <v>428.57142857142856</v>
      </c>
      <c r="F27" s="26">
        <f t="shared" si="7"/>
        <v>428.57142857142856</v>
      </c>
      <c r="G27" s="26">
        <f t="shared" si="7"/>
        <v>428.57142857142856</v>
      </c>
      <c r="H27" s="26">
        <f t="shared" si="7"/>
        <v>428.57142857142856</v>
      </c>
      <c r="I27" s="26">
        <f t="shared" si="7"/>
        <v>428.57142857142856</v>
      </c>
      <c r="J27" s="26">
        <f t="shared" si="7"/>
        <v>428.57142857142856</v>
      </c>
      <c r="K27" s="26" t="str">
        <f t="shared" si="7"/>
        <v/>
      </c>
      <c r="L27" s="26" t="str">
        <f t="shared" si="7"/>
        <v/>
      </c>
      <c r="M27" s="26" t="str">
        <f t="shared" si="7"/>
        <v/>
      </c>
      <c r="N27" s="26" t="str">
        <f t="shared" si="7"/>
        <v/>
      </c>
      <c r="O27" s="26" t="str">
        <f t="shared" si="7"/>
        <v/>
      </c>
      <c r="P27" s="26" t="str">
        <f t="shared" si="7"/>
        <v/>
      </c>
      <c r="Q27" s="26" t="str">
        <f t="shared" si="7"/>
        <v/>
      </c>
      <c r="R27" s="26" t="str">
        <f t="shared" si="7"/>
        <v/>
      </c>
      <c r="S27" s="26" t="str">
        <f t="shared" si="7"/>
        <v/>
      </c>
      <c r="T27" s="26" t="str">
        <f t="shared" si="7"/>
        <v/>
      </c>
      <c r="U27" s="26" t="str">
        <f t="shared" si="7"/>
        <v/>
      </c>
      <c r="V27" s="26" t="str">
        <f t="shared" si="7"/>
        <v/>
      </c>
      <c r="W27" s="26" t="str">
        <f t="shared" si="7"/>
        <v/>
      </c>
      <c r="X27" s="26" t="str">
        <f t="shared" si="7"/>
        <v/>
      </c>
      <c r="Y27" s="26" t="str">
        <f t="shared" si="7"/>
        <v/>
      </c>
      <c r="Z27" s="26" t="str">
        <f t="shared" si="7"/>
        <v/>
      </c>
      <c r="AA27" s="26" t="str">
        <f t="shared" si="7"/>
        <v/>
      </c>
      <c r="AB27" s="26" t="str">
        <f t="shared" si="7"/>
        <v/>
      </c>
      <c r="AC27" s="26"/>
      <c r="AD27" s="26"/>
      <c r="AE27" s="26"/>
      <c r="AF27" s="26"/>
      <c r="AG27" s="26"/>
      <c r="AH27" s="26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</row>
    <row r="28" spans="1:57" ht="14.25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5" thickBot="1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s="33" customFormat="1" ht="15.75" thickBot="1">
      <c r="A30" s="30"/>
      <c r="B30" s="31" t="s">
        <v>4</v>
      </c>
      <c r="C30" s="32">
        <f>SUM(D30:AE30)</f>
        <v>841.77148627599536</v>
      </c>
      <c r="D30" s="32">
        <f t="shared" ref="D30:AB30" si="8">+IF(D13&lt;=$C$6,D20-D25,"")</f>
        <v>19.928571428571445</v>
      </c>
      <c r="E30" s="32">
        <f t="shared" si="8"/>
        <v>46.120971428571522</v>
      </c>
      <c r="F30" s="32">
        <f t="shared" si="8"/>
        <v>76.406346548571605</v>
      </c>
      <c r="G30" s="32">
        <f t="shared" si="8"/>
        <v>111.35080858687559</v>
      </c>
      <c r="H30" s="32">
        <f t="shared" si="8"/>
        <v>151.62900747888511</v>
      </c>
      <c r="I30" s="32">
        <f t="shared" si="8"/>
        <v>194.91196000823845</v>
      </c>
      <c r="J30" s="32">
        <f t="shared" si="8"/>
        <v>241.42382079628169</v>
      </c>
      <c r="K30" s="32" t="str">
        <f t="shared" si="8"/>
        <v/>
      </c>
      <c r="L30" s="32" t="str">
        <f t="shared" si="8"/>
        <v/>
      </c>
      <c r="M30" s="32" t="str">
        <f t="shared" si="8"/>
        <v/>
      </c>
      <c r="N30" s="32" t="str">
        <f t="shared" si="8"/>
        <v/>
      </c>
      <c r="O30" s="32" t="str">
        <f t="shared" si="8"/>
        <v/>
      </c>
      <c r="P30" s="32" t="str">
        <f t="shared" si="8"/>
        <v/>
      </c>
      <c r="Q30" s="32" t="str">
        <f t="shared" si="8"/>
        <v/>
      </c>
      <c r="R30" s="32" t="str">
        <f t="shared" si="8"/>
        <v/>
      </c>
      <c r="S30" s="32" t="str">
        <f t="shared" si="8"/>
        <v/>
      </c>
      <c r="T30" s="32" t="str">
        <f t="shared" si="8"/>
        <v/>
      </c>
      <c r="U30" s="32" t="str">
        <f t="shared" si="8"/>
        <v/>
      </c>
      <c r="V30" s="32" t="str">
        <f t="shared" si="8"/>
        <v/>
      </c>
      <c r="W30" s="32" t="str">
        <f t="shared" si="8"/>
        <v/>
      </c>
      <c r="X30" s="32" t="str">
        <f t="shared" si="8"/>
        <v/>
      </c>
      <c r="Y30" s="32" t="str">
        <f t="shared" si="8"/>
        <v/>
      </c>
      <c r="Z30" s="32" t="str">
        <f t="shared" si="8"/>
        <v/>
      </c>
      <c r="AA30" s="32" t="str">
        <f t="shared" si="8"/>
        <v/>
      </c>
      <c r="AB30" s="32" t="str">
        <f t="shared" si="8"/>
        <v/>
      </c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</row>
    <row r="31" spans="1:57" ht="14.2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4.25">
      <c r="B32" s="27" t="s">
        <v>3</v>
      </c>
      <c r="C32" s="10"/>
      <c r="D32" s="21">
        <f>+IF(D20="","",(-C5+D20))</f>
        <v>-2551.5</v>
      </c>
      <c r="E32" s="21">
        <f t="shared" ref="E32:AB32" si="9">+IF(E20="","",(+E20))</f>
        <v>474.69240000000008</v>
      </c>
      <c r="F32" s="21">
        <f t="shared" si="9"/>
        <v>504.97777512000016</v>
      </c>
      <c r="G32" s="21">
        <f t="shared" si="9"/>
        <v>539.92223715830414</v>
      </c>
      <c r="H32" s="21">
        <f t="shared" si="9"/>
        <v>580.20043605031367</v>
      </c>
      <c r="I32" s="21">
        <f t="shared" si="9"/>
        <v>623.48338857966701</v>
      </c>
      <c r="J32" s="21">
        <f t="shared" si="9"/>
        <v>669.99524936771024</v>
      </c>
      <c r="K32" s="21" t="str">
        <f t="shared" si="9"/>
        <v/>
      </c>
      <c r="L32" s="21" t="str">
        <f t="shared" si="9"/>
        <v/>
      </c>
      <c r="M32" s="21" t="str">
        <f t="shared" si="9"/>
        <v/>
      </c>
      <c r="N32" s="21" t="str">
        <f t="shared" si="9"/>
        <v/>
      </c>
      <c r="O32" s="21" t="str">
        <f t="shared" si="9"/>
        <v/>
      </c>
      <c r="P32" s="21" t="str">
        <f t="shared" si="9"/>
        <v/>
      </c>
      <c r="Q32" s="21" t="str">
        <f t="shared" si="9"/>
        <v/>
      </c>
      <c r="R32" s="21" t="str">
        <f t="shared" si="9"/>
        <v/>
      </c>
      <c r="S32" s="21" t="str">
        <f t="shared" si="9"/>
        <v/>
      </c>
      <c r="T32" s="21" t="str">
        <f t="shared" si="9"/>
        <v/>
      </c>
      <c r="U32" s="21" t="str">
        <f t="shared" si="9"/>
        <v/>
      </c>
      <c r="V32" s="21" t="str">
        <f t="shared" si="9"/>
        <v/>
      </c>
      <c r="W32" s="21" t="str">
        <f t="shared" si="9"/>
        <v/>
      </c>
      <c r="X32" s="21" t="str">
        <f t="shared" si="9"/>
        <v/>
      </c>
      <c r="Y32" s="21" t="str">
        <f t="shared" si="9"/>
        <v/>
      </c>
      <c r="Z32" s="21" t="str">
        <f t="shared" si="9"/>
        <v/>
      </c>
      <c r="AA32" s="21" t="str">
        <f t="shared" si="9"/>
        <v/>
      </c>
      <c r="AB32" s="21" t="str">
        <f t="shared" si="9"/>
        <v/>
      </c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2:57" ht="14.25">
      <c r="B33" s="27" t="s">
        <v>2</v>
      </c>
      <c r="C33" s="10"/>
      <c r="D33" s="21">
        <f t="shared" ref="D33:AB33" si="10">IF(D32="","",(+C33+D32))</f>
        <v>-2551.5</v>
      </c>
      <c r="E33" s="21">
        <f t="shared" si="10"/>
        <v>-2076.8076000000001</v>
      </c>
      <c r="F33" s="21">
        <f t="shared" si="10"/>
        <v>-1571.8298248799999</v>
      </c>
      <c r="G33" s="21">
        <f t="shared" si="10"/>
        <v>-1031.9075877216958</v>
      </c>
      <c r="H33" s="21">
        <f t="shared" si="10"/>
        <v>-451.70715167138212</v>
      </c>
      <c r="I33" s="21">
        <f t="shared" si="10"/>
        <v>171.77623690828489</v>
      </c>
      <c r="J33" s="21">
        <f t="shared" si="10"/>
        <v>841.77148627599513</v>
      </c>
      <c r="K33" s="21" t="str">
        <f t="shared" si="10"/>
        <v/>
      </c>
      <c r="L33" s="21" t="str">
        <f t="shared" si="10"/>
        <v/>
      </c>
      <c r="M33" s="21" t="str">
        <f t="shared" si="10"/>
        <v/>
      </c>
      <c r="N33" s="21" t="str">
        <f t="shared" si="10"/>
        <v/>
      </c>
      <c r="O33" s="21" t="str">
        <f t="shared" si="10"/>
        <v/>
      </c>
      <c r="P33" s="21" t="str">
        <f t="shared" si="10"/>
        <v/>
      </c>
      <c r="Q33" s="21" t="str">
        <f t="shared" si="10"/>
        <v/>
      </c>
      <c r="R33" s="21" t="str">
        <f t="shared" si="10"/>
        <v/>
      </c>
      <c r="S33" s="21" t="str">
        <f t="shared" si="10"/>
        <v/>
      </c>
      <c r="T33" s="21" t="str">
        <f t="shared" si="10"/>
        <v/>
      </c>
      <c r="U33" s="21" t="str">
        <f t="shared" si="10"/>
        <v/>
      </c>
      <c r="V33" s="21" t="str">
        <f t="shared" si="10"/>
        <v/>
      </c>
      <c r="W33" s="21" t="str">
        <f t="shared" si="10"/>
        <v/>
      </c>
      <c r="X33" s="21" t="str">
        <f t="shared" si="10"/>
        <v/>
      </c>
      <c r="Y33" s="21" t="str">
        <f t="shared" si="10"/>
        <v/>
      </c>
      <c r="Z33" s="21" t="str">
        <f t="shared" si="10"/>
        <v/>
      </c>
      <c r="AA33" s="21" t="str">
        <f t="shared" si="10"/>
        <v/>
      </c>
      <c r="AB33" s="21" t="str">
        <f t="shared" si="10"/>
        <v/>
      </c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2:57" ht="14.25">
      <c r="B34" s="27" t="s">
        <v>1</v>
      </c>
      <c r="C34" s="10"/>
      <c r="D34" s="28">
        <f t="shared" ref="D34:AB34" si="11">+IF(D33="","",IF(D33&lt;=0,0,IF(C33&gt;=0,0,D33)))</f>
        <v>0</v>
      </c>
      <c r="E34" s="28">
        <f t="shared" si="11"/>
        <v>0</v>
      </c>
      <c r="F34" s="28">
        <f t="shared" si="11"/>
        <v>0</v>
      </c>
      <c r="G34" s="28">
        <f t="shared" si="11"/>
        <v>0</v>
      </c>
      <c r="H34" s="28">
        <f t="shared" si="11"/>
        <v>0</v>
      </c>
      <c r="I34" s="28">
        <f t="shared" si="11"/>
        <v>171.77623690828489</v>
      </c>
      <c r="J34" s="28">
        <f t="shared" si="11"/>
        <v>0</v>
      </c>
      <c r="K34" s="28" t="str">
        <f t="shared" si="11"/>
        <v/>
      </c>
      <c r="L34" s="28" t="str">
        <f t="shared" si="11"/>
        <v/>
      </c>
      <c r="M34" s="28" t="str">
        <f t="shared" si="11"/>
        <v/>
      </c>
      <c r="N34" s="28" t="str">
        <f t="shared" si="11"/>
        <v/>
      </c>
      <c r="O34" s="28" t="str">
        <f t="shared" si="11"/>
        <v/>
      </c>
      <c r="P34" s="28" t="str">
        <f t="shared" si="11"/>
        <v/>
      </c>
      <c r="Q34" s="28" t="str">
        <f t="shared" si="11"/>
        <v/>
      </c>
      <c r="R34" s="28" t="str">
        <f t="shared" si="11"/>
        <v/>
      </c>
      <c r="S34" s="28" t="str">
        <f t="shared" si="11"/>
        <v/>
      </c>
      <c r="T34" s="28" t="str">
        <f t="shared" si="11"/>
        <v/>
      </c>
      <c r="U34" s="28" t="str">
        <f t="shared" si="11"/>
        <v/>
      </c>
      <c r="V34" s="28" t="str">
        <f t="shared" si="11"/>
        <v/>
      </c>
      <c r="W34" s="28" t="str">
        <f t="shared" si="11"/>
        <v/>
      </c>
      <c r="X34" s="28" t="str">
        <f t="shared" si="11"/>
        <v/>
      </c>
      <c r="Y34" s="28" t="str">
        <f t="shared" si="11"/>
        <v/>
      </c>
      <c r="Z34" s="28" t="str">
        <f t="shared" si="11"/>
        <v/>
      </c>
      <c r="AA34" s="28" t="str">
        <f t="shared" si="11"/>
        <v/>
      </c>
      <c r="AB34" s="28" t="str">
        <f t="shared" si="11"/>
        <v/>
      </c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2:57" ht="14.25">
      <c r="B35" s="27" t="s">
        <v>0</v>
      </c>
      <c r="C35" s="10"/>
      <c r="D35" s="28">
        <f t="shared" ref="D35:AB35" si="12">IF(D34="","",IF(D34=0,0,D13-(D34/D32)))</f>
        <v>0</v>
      </c>
      <c r="E35" s="28">
        <f t="shared" si="12"/>
        <v>0</v>
      </c>
      <c r="F35" s="28">
        <f t="shared" si="12"/>
        <v>0</v>
      </c>
      <c r="G35" s="28">
        <f t="shared" si="12"/>
        <v>0</v>
      </c>
      <c r="H35" s="28">
        <f t="shared" si="12"/>
        <v>0</v>
      </c>
      <c r="I35" s="28">
        <f t="shared" si="12"/>
        <v>5.724489473088286</v>
      </c>
      <c r="J35" s="28">
        <f t="shared" si="12"/>
        <v>0</v>
      </c>
      <c r="K35" s="28" t="str">
        <f t="shared" si="12"/>
        <v/>
      </c>
      <c r="L35" s="28" t="str">
        <f t="shared" si="12"/>
        <v/>
      </c>
      <c r="M35" s="28" t="str">
        <f t="shared" si="12"/>
        <v/>
      </c>
      <c r="N35" s="28" t="str">
        <f t="shared" si="12"/>
        <v/>
      </c>
      <c r="O35" s="28" t="str">
        <f t="shared" si="12"/>
        <v/>
      </c>
      <c r="P35" s="28" t="str">
        <f t="shared" si="12"/>
        <v/>
      </c>
      <c r="Q35" s="28" t="str">
        <f t="shared" si="12"/>
        <v/>
      </c>
      <c r="R35" s="28" t="str">
        <f t="shared" si="12"/>
        <v/>
      </c>
      <c r="S35" s="28" t="str">
        <f t="shared" si="12"/>
        <v/>
      </c>
      <c r="T35" s="28" t="str">
        <f t="shared" si="12"/>
        <v/>
      </c>
      <c r="U35" s="28" t="str">
        <f t="shared" si="12"/>
        <v/>
      </c>
      <c r="V35" s="28" t="str">
        <f t="shared" si="12"/>
        <v/>
      </c>
      <c r="W35" s="28" t="str">
        <f t="shared" si="12"/>
        <v/>
      </c>
      <c r="X35" s="28" t="str">
        <f t="shared" si="12"/>
        <v/>
      </c>
      <c r="Y35" s="28" t="str">
        <f t="shared" si="12"/>
        <v/>
      </c>
      <c r="Z35" s="28" t="str">
        <f t="shared" si="12"/>
        <v/>
      </c>
      <c r="AA35" s="28" t="str">
        <f t="shared" si="12"/>
        <v/>
      </c>
      <c r="AB35" s="28" t="str">
        <f t="shared" si="12"/>
        <v/>
      </c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8" spans="2:57">
      <c r="D38" s="4"/>
      <c r="E38" s="4"/>
      <c r="F38" s="4"/>
      <c r="G38" s="4"/>
      <c r="H38" s="4"/>
      <c r="I38" s="4"/>
      <c r="J38" s="4"/>
      <c r="K38" s="4"/>
      <c r="L38" s="4"/>
      <c r="M38" s="4"/>
    </row>
    <row r="40" spans="2:57"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2:57">
      <c r="D41" s="3"/>
    </row>
    <row r="42" spans="2:57">
      <c r="D42" s="2"/>
    </row>
  </sheetData>
  <sheetProtection password="DA91" sheet="1" objects="1" scenarios="1"/>
  <mergeCells count="1">
    <mergeCell ref="H2:K4"/>
  </mergeCells>
  <dataValidations count="1">
    <dataValidation type="date" allowBlank="1" showInputMessage="1" showErrorMessage="1" sqref="A12:A37 C12:IV37 B13:B37">
      <formula1>36161</formula1>
      <formula2>40178</formula2>
    </dataValidation>
  </dataValidations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Modelo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Ruben</cp:lastModifiedBy>
  <dcterms:created xsi:type="dcterms:W3CDTF">2014-07-04T14:37:19Z</dcterms:created>
  <dcterms:modified xsi:type="dcterms:W3CDTF">2014-07-04T15:16:04Z</dcterms:modified>
</cp:coreProperties>
</file>