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Glucosa" sheetId="1" r:id="rId1"/>
    <sheet name="Lactosa" sheetId="2" r:id="rId2"/>
    <sheet name="Cofermentación" sheetId="3" r:id="rId3"/>
    <sheet name="Glicerol" sheetId="4" r:id="rId4"/>
    <sheet name="Manitol" sheetId="5" r:id="rId5"/>
    <sheet name="Suero lácteo" sheetId="6" r:id="rId6"/>
    <sheet name="Comparación sustratos" sheetId="7" r:id="rId7"/>
    <sheet name="Biorreactor" sheetId="8" r:id="rId8"/>
  </sheets>
  <calcPr calcId="145621"/>
</workbook>
</file>

<file path=xl/calcChain.xml><?xml version="1.0" encoding="utf-8"?>
<calcChain xmlns="http://schemas.openxmlformats.org/spreadsheetml/2006/main">
  <c r="C57" i="8" l="1"/>
  <c r="E76" i="8"/>
  <c r="D76" i="8"/>
  <c r="C76" i="8"/>
  <c r="B76" i="8"/>
  <c r="F76" i="8"/>
  <c r="K76" i="8"/>
  <c r="J76" i="8"/>
  <c r="K57" i="8"/>
  <c r="J36" i="8"/>
  <c r="K36" i="8"/>
  <c r="K19" i="8"/>
  <c r="J19" i="8"/>
  <c r="I19" i="8"/>
  <c r="I36" i="8"/>
  <c r="H36" i="8"/>
  <c r="F36" i="8"/>
  <c r="E36" i="8"/>
  <c r="G19" i="8"/>
  <c r="F19" i="8"/>
  <c r="H19" i="8"/>
  <c r="E19" i="8"/>
  <c r="D19" i="8"/>
  <c r="B19" i="8"/>
  <c r="C67" i="6" l="1"/>
  <c r="C66" i="6"/>
  <c r="E32" i="3"/>
  <c r="G33" i="3"/>
  <c r="F33" i="3"/>
  <c r="C53" i="1"/>
  <c r="C54" i="1"/>
  <c r="H53" i="1"/>
  <c r="G53" i="1"/>
  <c r="F53" i="1"/>
  <c r="E53" i="1"/>
  <c r="D53" i="1"/>
  <c r="B53" i="1"/>
  <c r="F33" i="1"/>
  <c r="E33" i="1"/>
  <c r="D33" i="1"/>
  <c r="C33" i="1"/>
  <c r="B33" i="1"/>
  <c r="G13" i="2" l="1"/>
  <c r="H13" i="2"/>
  <c r="F13" i="2"/>
  <c r="E13" i="2"/>
  <c r="D13" i="2"/>
  <c r="C13" i="2"/>
  <c r="D57" i="8"/>
  <c r="E67" i="6"/>
  <c r="M33" i="8"/>
  <c r="N33" i="8" s="1"/>
  <c r="M32" i="8"/>
  <c r="N32" i="8" s="1"/>
  <c r="M31" i="8"/>
  <c r="N31" i="8" s="1"/>
  <c r="M30" i="8"/>
  <c r="N30" i="8" s="1"/>
  <c r="M29" i="8"/>
  <c r="N29" i="8" s="1"/>
  <c r="M28" i="8"/>
  <c r="M27" i="8"/>
  <c r="N27" i="8" s="1"/>
  <c r="M26" i="8"/>
  <c r="N26" i="8" s="1"/>
  <c r="M25" i="8"/>
  <c r="N25" i="8" s="1"/>
  <c r="I33" i="8"/>
  <c r="H33" i="8"/>
  <c r="G33" i="8"/>
  <c r="F33" i="8"/>
  <c r="E33" i="8"/>
  <c r="C33" i="8"/>
  <c r="I32" i="8"/>
  <c r="H32" i="8"/>
  <c r="G32" i="8"/>
  <c r="F32" i="8"/>
  <c r="E32" i="8"/>
  <c r="C32" i="8"/>
  <c r="I31" i="8"/>
  <c r="H31" i="8"/>
  <c r="G31" i="8"/>
  <c r="F31" i="8"/>
  <c r="E31" i="8"/>
  <c r="C31" i="8"/>
  <c r="I30" i="8"/>
  <c r="H30" i="8"/>
  <c r="G30" i="8"/>
  <c r="F30" i="8"/>
  <c r="E30" i="8"/>
  <c r="C30" i="8"/>
  <c r="I29" i="8"/>
  <c r="H29" i="8"/>
  <c r="G29" i="8"/>
  <c r="F29" i="8"/>
  <c r="E29" i="8"/>
  <c r="D29" i="8"/>
  <c r="C29" i="8"/>
  <c r="I28" i="8"/>
  <c r="H28" i="8"/>
  <c r="G28" i="8"/>
  <c r="F28" i="8"/>
  <c r="E28" i="8"/>
  <c r="D28" i="8"/>
  <c r="C28" i="8"/>
  <c r="B28" i="8"/>
  <c r="I27" i="8"/>
  <c r="H27" i="8"/>
  <c r="G27" i="8"/>
  <c r="F27" i="8"/>
  <c r="E27" i="8"/>
  <c r="D27" i="8"/>
  <c r="C27" i="8"/>
  <c r="B27" i="8"/>
  <c r="I26" i="8"/>
  <c r="H26" i="8"/>
  <c r="G26" i="8"/>
  <c r="F26" i="8"/>
  <c r="E26" i="8"/>
  <c r="D26" i="8"/>
  <c r="C26" i="8"/>
  <c r="B26" i="8"/>
  <c r="I25" i="8"/>
  <c r="H25" i="8"/>
  <c r="G25" i="8"/>
  <c r="F25" i="8"/>
  <c r="E25" i="8"/>
  <c r="D25" i="8"/>
  <c r="C25" i="8"/>
  <c r="B25" i="8"/>
  <c r="I76" i="8"/>
  <c r="H76" i="8"/>
  <c r="G76" i="8"/>
  <c r="N67" i="8"/>
  <c r="N66" i="8"/>
  <c r="N65" i="8"/>
  <c r="N73" i="8"/>
  <c r="N72" i="8"/>
  <c r="N71" i="8"/>
  <c r="N70" i="8"/>
  <c r="N69" i="8"/>
  <c r="N68" i="8"/>
  <c r="H57" i="8"/>
  <c r="G57" i="8"/>
  <c r="F57" i="8"/>
  <c r="E57" i="8"/>
  <c r="C19" i="8"/>
  <c r="N15" i="8"/>
  <c r="N6" i="8"/>
  <c r="N14" i="8"/>
  <c r="N13" i="8"/>
  <c r="N12" i="8"/>
  <c r="N11" i="8"/>
  <c r="N10" i="8"/>
  <c r="N9" i="8"/>
  <c r="N8" i="8"/>
  <c r="N7" i="8"/>
  <c r="J57" i="8"/>
  <c r="N45" i="8"/>
  <c r="N46" i="8"/>
  <c r="N47" i="8"/>
  <c r="N48" i="8"/>
  <c r="N49" i="8"/>
  <c r="N50" i="8"/>
  <c r="N51" i="8"/>
  <c r="N52" i="8"/>
  <c r="N53" i="8"/>
  <c r="I57" i="8"/>
  <c r="B57" i="8"/>
  <c r="H85" i="7"/>
  <c r="G85" i="7"/>
  <c r="F85" i="7"/>
  <c r="E85" i="7"/>
  <c r="D85" i="7"/>
  <c r="C85" i="7"/>
  <c r="C84" i="7"/>
  <c r="B85" i="7"/>
  <c r="B84" i="7"/>
  <c r="H84" i="7"/>
  <c r="G84" i="7"/>
  <c r="F84" i="7"/>
  <c r="E84" i="7"/>
  <c r="D84" i="7"/>
  <c r="C16" i="6"/>
  <c r="C15" i="6"/>
  <c r="H58" i="7"/>
  <c r="G58" i="7"/>
  <c r="F58" i="7"/>
  <c r="E58" i="7"/>
  <c r="D58" i="7"/>
  <c r="C58" i="7"/>
  <c r="H57" i="7"/>
  <c r="G57" i="7"/>
  <c r="F57" i="7"/>
  <c r="E57" i="7"/>
  <c r="D57" i="7"/>
  <c r="C57" i="7"/>
  <c r="H56" i="7"/>
  <c r="G56" i="7"/>
  <c r="F56" i="7"/>
  <c r="E56" i="7"/>
  <c r="D56" i="7"/>
  <c r="C56" i="7"/>
  <c r="B58" i="7"/>
  <c r="B57" i="7"/>
  <c r="B56" i="7"/>
  <c r="H80" i="2"/>
  <c r="G80" i="2"/>
  <c r="F80" i="2"/>
  <c r="E80" i="2"/>
  <c r="D80" i="2"/>
  <c r="C80" i="2"/>
  <c r="B79" i="2"/>
  <c r="B80" i="2"/>
  <c r="H79" i="2"/>
  <c r="G79" i="2"/>
  <c r="F79" i="2"/>
  <c r="E79" i="2"/>
  <c r="D79" i="2"/>
  <c r="C79" i="2"/>
  <c r="E20" i="7"/>
  <c r="C22" i="7"/>
  <c r="D22" i="7"/>
  <c r="E22" i="7"/>
  <c r="F22" i="7"/>
  <c r="G22" i="7"/>
  <c r="H22" i="7"/>
  <c r="H21" i="7"/>
  <c r="G21" i="7"/>
  <c r="F21" i="7"/>
  <c r="E21" i="7"/>
  <c r="D21" i="7"/>
  <c r="C21" i="7"/>
  <c r="D20" i="7"/>
  <c r="F20" i="7"/>
  <c r="G20" i="7"/>
  <c r="H20" i="7"/>
  <c r="C20" i="7"/>
  <c r="B22" i="7"/>
  <c r="B21" i="7"/>
  <c r="B20" i="7"/>
  <c r="H67" i="6"/>
  <c r="G67" i="6"/>
  <c r="F67" i="6"/>
  <c r="D67" i="6"/>
  <c r="B67" i="6"/>
  <c r="H66" i="6"/>
  <c r="G66" i="6"/>
  <c r="F66" i="6"/>
  <c r="E66" i="6"/>
  <c r="D66" i="6"/>
  <c r="B66" i="6"/>
  <c r="H49" i="6"/>
  <c r="G50" i="6"/>
  <c r="F50" i="6"/>
  <c r="D50" i="6"/>
  <c r="H50" i="6"/>
  <c r="E50" i="6"/>
  <c r="G49" i="6"/>
  <c r="F49" i="6"/>
  <c r="E49" i="6"/>
  <c r="D49" i="6"/>
  <c r="B50" i="6"/>
  <c r="C50" i="6" s="1"/>
  <c r="B49" i="6"/>
  <c r="C49" i="6" s="1"/>
  <c r="H33" i="6"/>
  <c r="H32" i="6"/>
  <c r="G33" i="6"/>
  <c r="G32" i="6"/>
  <c r="F33" i="6"/>
  <c r="F32" i="6"/>
  <c r="E33" i="6"/>
  <c r="E32" i="6"/>
  <c r="D33" i="6"/>
  <c r="D32" i="6"/>
  <c r="B33" i="6"/>
  <c r="C33" i="6" s="1"/>
  <c r="B32" i="6"/>
  <c r="C32" i="6" s="1"/>
  <c r="E16" i="6"/>
  <c r="F16" i="6"/>
  <c r="G16" i="6"/>
  <c r="H16" i="6"/>
  <c r="D16" i="6"/>
  <c r="H15" i="6"/>
  <c r="G15" i="6"/>
  <c r="F15" i="6"/>
  <c r="E15" i="6"/>
  <c r="D15" i="6"/>
  <c r="B16" i="6"/>
  <c r="B15" i="6"/>
  <c r="H13" i="5"/>
  <c r="G13" i="5"/>
  <c r="F13" i="5"/>
  <c r="E13" i="5"/>
  <c r="H14" i="5"/>
  <c r="G14" i="5"/>
  <c r="F14" i="5"/>
  <c r="E14" i="5"/>
  <c r="D14" i="5"/>
  <c r="C14" i="5"/>
  <c r="D13" i="5"/>
  <c r="C13" i="5"/>
  <c r="B14" i="5"/>
  <c r="B13" i="5"/>
  <c r="C26" i="4"/>
  <c r="D26" i="4"/>
  <c r="E26" i="4"/>
  <c r="F26" i="4"/>
  <c r="G26" i="4"/>
  <c r="H26" i="4"/>
  <c r="H25" i="4"/>
  <c r="G25" i="4"/>
  <c r="F25" i="4"/>
  <c r="E25" i="4"/>
  <c r="D25" i="4"/>
  <c r="D36" i="8" l="1"/>
  <c r="B36" i="8"/>
  <c r="C36" i="8" s="1"/>
  <c r="N28" i="8"/>
  <c r="G36" i="8"/>
  <c r="C25" i="4" l="1"/>
  <c r="B26" i="4"/>
  <c r="B25" i="4"/>
  <c r="H33" i="3"/>
  <c r="H32" i="3"/>
  <c r="G32" i="3"/>
  <c r="F32" i="3"/>
  <c r="E33" i="3"/>
  <c r="D33" i="3"/>
  <c r="D32" i="3"/>
  <c r="C33" i="3"/>
  <c r="C32" i="3"/>
  <c r="B33" i="3"/>
  <c r="B32" i="3"/>
  <c r="H16" i="3"/>
  <c r="G16" i="3"/>
  <c r="F16" i="3"/>
  <c r="E16" i="3"/>
  <c r="D16" i="3"/>
  <c r="D15" i="3"/>
  <c r="C16" i="3"/>
  <c r="H15" i="3"/>
  <c r="G15" i="3"/>
  <c r="F15" i="3"/>
  <c r="E15" i="3"/>
  <c r="C15" i="3"/>
  <c r="B16" i="3"/>
  <c r="B15" i="3"/>
  <c r="G55" i="2"/>
  <c r="H55" i="2"/>
  <c r="F55" i="2"/>
  <c r="E55" i="2"/>
  <c r="D55" i="2"/>
  <c r="E54" i="2"/>
  <c r="H54" i="2"/>
  <c r="G54" i="2"/>
  <c r="D54" i="2"/>
  <c r="F54" i="2"/>
  <c r="B54" i="2"/>
  <c r="B55" i="2"/>
  <c r="C55" i="2"/>
  <c r="C54" i="2"/>
  <c r="D29" i="2"/>
  <c r="E29" i="2"/>
  <c r="F29" i="2"/>
  <c r="G29" i="2"/>
  <c r="H29" i="2"/>
  <c r="E28" i="2"/>
  <c r="D28" i="2"/>
  <c r="C29" i="2"/>
  <c r="C28" i="2"/>
  <c r="B28" i="2"/>
  <c r="B29" i="2"/>
  <c r="H28" i="2"/>
  <c r="G28" i="2"/>
  <c r="F28" i="2"/>
  <c r="H14" i="2"/>
  <c r="F14" i="2"/>
  <c r="E14" i="2"/>
  <c r="D14" i="2"/>
  <c r="C14" i="2"/>
  <c r="B14" i="2"/>
  <c r="B13" i="2"/>
  <c r="G14" i="2"/>
  <c r="H79" i="1"/>
  <c r="H78" i="1"/>
  <c r="G79" i="1"/>
  <c r="G78" i="1"/>
  <c r="F79" i="1"/>
  <c r="F78" i="1"/>
  <c r="E79" i="1"/>
  <c r="E78" i="1"/>
  <c r="D79" i="1"/>
  <c r="D78" i="1"/>
  <c r="C79" i="1"/>
  <c r="C78" i="1"/>
  <c r="B79" i="1"/>
  <c r="B78" i="1"/>
  <c r="H54" i="1"/>
  <c r="G54" i="1"/>
  <c r="F54" i="1"/>
  <c r="E54" i="1"/>
  <c r="D54" i="1"/>
  <c r="B54" i="1"/>
  <c r="H33" i="1"/>
  <c r="G33" i="1"/>
  <c r="H32" i="1"/>
  <c r="G32" i="1"/>
  <c r="F32" i="1"/>
  <c r="E32" i="1"/>
  <c r="D32" i="1"/>
  <c r="H16" i="1"/>
  <c r="H15" i="1"/>
  <c r="G16" i="1"/>
  <c r="G15" i="1"/>
  <c r="F16" i="1"/>
  <c r="F15" i="1"/>
  <c r="E16" i="1"/>
  <c r="E15" i="1"/>
  <c r="D16" i="1"/>
  <c r="D15" i="1"/>
  <c r="C16" i="1"/>
  <c r="C32" i="1"/>
  <c r="B32" i="1"/>
  <c r="C15" i="1"/>
</calcChain>
</file>

<file path=xl/sharedStrings.xml><?xml version="1.0" encoding="utf-8"?>
<sst xmlns="http://schemas.openxmlformats.org/spreadsheetml/2006/main" count="1051" uniqueCount="128">
  <si>
    <t>Análisis 1.1.1.</t>
  </si>
  <si>
    <t>Ensayo 1.1.1.</t>
  </si>
  <si>
    <t>Horas</t>
  </si>
  <si>
    <t>Lactosa</t>
  </si>
  <si>
    <t>Glucosa</t>
  </si>
  <si>
    <t>Galactosa</t>
  </si>
  <si>
    <t>AL</t>
  </si>
  <si>
    <t>AS</t>
  </si>
  <si>
    <t>AF</t>
  </si>
  <si>
    <t>AA</t>
  </si>
  <si>
    <t>Etanol</t>
  </si>
  <si>
    <t>g/L</t>
  </si>
  <si>
    <t>Ensayo 1.1.2.</t>
  </si>
  <si>
    <t>Productividad (g/Lh)</t>
  </si>
  <si>
    <t>Producción (g/L)</t>
  </si>
  <si>
    <t>YAL/S</t>
  </si>
  <si>
    <t>YAS/S</t>
  </si>
  <si>
    <t>YAF/S</t>
  </si>
  <si>
    <t>YAA/S</t>
  </si>
  <si>
    <t>YET/S</t>
  </si>
  <si>
    <t>Ensayo</t>
  </si>
  <si>
    <t>1.1.1.</t>
  </si>
  <si>
    <t>1.1.2.</t>
  </si>
  <si>
    <t>S0 (g/L)</t>
  </si>
  <si>
    <t>Análisis 1.1.2.</t>
  </si>
  <si>
    <t>Ensayo 1.1.3.</t>
  </si>
  <si>
    <t>1.1.3.</t>
  </si>
  <si>
    <t>Análisis 1.1.4.</t>
  </si>
  <si>
    <t>Ensayo 1.1.4.</t>
  </si>
  <si>
    <t>1.1.4.</t>
  </si>
  <si>
    <t>Análisis 1.1.3.</t>
  </si>
  <si>
    <t>Ensayo 1.1.5.</t>
  </si>
  <si>
    <t>1.1.5.</t>
  </si>
  <si>
    <t>Análisis 1.2.1.</t>
  </si>
  <si>
    <t>Ensayo 1.2.1.</t>
  </si>
  <si>
    <t>Ensayo 1.2.2.</t>
  </si>
  <si>
    <t>Análisis 1.2.2.</t>
  </si>
  <si>
    <t>Ensayo 1.2.3.</t>
  </si>
  <si>
    <t>1.2.1.</t>
  </si>
  <si>
    <t>1.2.2.</t>
  </si>
  <si>
    <t>1.2.3.</t>
  </si>
  <si>
    <t>Análisis 1.2.3.</t>
  </si>
  <si>
    <t>Ensayo 1.2.4.</t>
  </si>
  <si>
    <t>1.2.4.</t>
  </si>
  <si>
    <t>Análisis 1.3.1.</t>
  </si>
  <si>
    <t>Ensayo 1.3.1.</t>
  </si>
  <si>
    <t>Ensayo 1.3.2.</t>
  </si>
  <si>
    <t>Análisis 1.3.2.</t>
  </si>
  <si>
    <t>Ensayo 1.3.3.</t>
  </si>
  <si>
    <t>1.3.1.</t>
  </si>
  <si>
    <t>1.3.2.</t>
  </si>
  <si>
    <t>1.3.3.</t>
  </si>
  <si>
    <t>Análisis 1.4.1.</t>
  </si>
  <si>
    <t>Ensayo 1.4.1.</t>
  </si>
  <si>
    <t>Glicerol</t>
  </si>
  <si>
    <t>Ácido</t>
  </si>
  <si>
    <t>láctico</t>
  </si>
  <si>
    <t>succínico</t>
  </si>
  <si>
    <t>fórmico</t>
  </si>
  <si>
    <t>acético</t>
  </si>
  <si>
    <t>Ensayo 1.4.2.</t>
  </si>
  <si>
    <t>1.4.1.</t>
  </si>
  <si>
    <t>1.4.2.</t>
  </si>
  <si>
    <t>Análisis 1.5.1.</t>
  </si>
  <si>
    <t>Ensayo 1.5.1.</t>
  </si>
  <si>
    <t>Manitol g/L</t>
  </si>
  <si>
    <t>AL g/L</t>
  </si>
  <si>
    <t>AS g/L</t>
  </si>
  <si>
    <t>AF g/L</t>
  </si>
  <si>
    <t>AA g/L</t>
  </si>
  <si>
    <t>Etanol g/L</t>
  </si>
  <si>
    <t>Ensayo 1.5.2.</t>
  </si>
  <si>
    <t>1.5.1.</t>
  </si>
  <si>
    <t>1.5.2.</t>
  </si>
  <si>
    <t>Análisis 1.6.1.</t>
  </si>
  <si>
    <t>1.6.1.</t>
  </si>
  <si>
    <t>1.6.2.</t>
  </si>
  <si>
    <t>Análisis 1.6.2.</t>
  </si>
  <si>
    <t>1.6.3.</t>
  </si>
  <si>
    <t>Análisis 1.6.3.</t>
  </si>
  <si>
    <t>1.6.4.</t>
  </si>
  <si>
    <t>1.6.6.</t>
  </si>
  <si>
    <t>Análisis 1.6.4</t>
  </si>
  <si>
    <t>1.6.5.</t>
  </si>
  <si>
    <t>1.6.7.</t>
  </si>
  <si>
    <t>Análisis 1.7.1.</t>
  </si>
  <si>
    <t>Ensayo 1.6.5.</t>
  </si>
  <si>
    <t>Ensayo 1.6.7.</t>
  </si>
  <si>
    <t>Ensayo 1.6.6.</t>
  </si>
  <si>
    <t>Ensayo 1.6.4.</t>
  </si>
  <si>
    <t>Ensayo 1.6.3.</t>
  </si>
  <si>
    <t>Ensayo 1.6.2.</t>
  </si>
  <si>
    <t>Ensayo 1.6.1.</t>
  </si>
  <si>
    <t xml:space="preserve">Ensayo 1.1.3. </t>
  </si>
  <si>
    <t xml:space="preserve">Ensayo 1.3.3. </t>
  </si>
  <si>
    <t>1.1.3</t>
  </si>
  <si>
    <t>Análisis 1.7.2.</t>
  </si>
  <si>
    <t>Ensayo 1.2.6.</t>
  </si>
  <si>
    <t>Análisis 1.2.4.</t>
  </si>
  <si>
    <t>Ensayo 1.2.5.</t>
  </si>
  <si>
    <t>1.2.6.</t>
  </si>
  <si>
    <t>Análisis 1.7.3.</t>
  </si>
  <si>
    <t>Análisis 2.1.1.</t>
  </si>
  <si>
    <t>Ensayo 2.1.1.</t>
  </si>
  <si>
    <t>Absorbancia</t>
  </si>
  <si>
    <t>YX/S</t>
  </si>
  <si>
    <t>Xmáx. (g/L)</t>
  </si>
  <si>
    <t>µ (h-1)</t>
  </si>
  <si>
    <t>lnX</t>
  </si>
  <si>
    <t>X (g/L)</t>
  </si>
  <si>
    <t>Ensayo 2.1.2.</t>
  </si>
  <si>
    <t>A</t>
  </si>
  <si>
    <t>Ensayo 2.1.3.</t>
  </si>
  <si>
    <t>2.1.2.</t>
  </si>
  <si>
    <t>2.1.1.</t>
  </si>
  <si>
    <t>2.1.3.</t>
  </si>
  <si>
    <t>Ensayo 2.1.4.</t>
  </si>
  <si>
    <t>Lactosa g/L</t>
  </si>
  <si>
    <t>Glucosa g/L</t>
  </si>
  <si>
    <t>Galactosa g/L</t>
  </si>
  <si>
    <t>2.1.4.</t>
  </si>
  <si>
    <t>Análisis 2.1.2.</t>
  </si>
  <si>
    <t>Análisis 2.1.3.</t>
  </si>
  <si>
    <t>Análisis 2.1.4.</t>
  </si>
  <si>
    <t>1.2.5.</t>
  </si>
  <si>
    <t>1.2.</t>
  </si>
  <si>
    <t>YE/S</t>
  </si>
  <si>
    <r>
      <t>S</t>
    </r>
    <r>
      <rPr>
        <sz val="8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(g/L)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</si>
</sst>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/>
    <xf numFmtId="0" fontId="0" fillId="0" borderId="0" xfId="0"/>
    <xf numFmtId="164" fontId="0" fillId="0" borderId="0" xfId="0" applyNumberFormat="1"/>
    <xf numFmtId="0" fontId="0" fillId="0" borderId="0" xfId="0"/>
    <xf numFmtId="164" fontId="0" fillId="0" borderId="0" xfId="0" applyNumberFormat="1"/>
    <xf numFmtId="0" fontId="0" fillId="0" borderId="0" xfId="0"/>
    <xf numFmtId="164" fontId="0" fillId="0" borderId="0" xfId="0" applyNumberFormat="1"/>
    <xf numFmtId="0" fontId="0" fillId="0" borderId="0" xfId="0"/>
    <xf numFmtId="164" fontId="0" fillId="0" borderId="0" xfId="0" applyNumberFormat="1"/>
    <xf numFmtId="0" fontId="0" fillId="0" borderId="0" xfId="0"/>
    <xf numFmtId="164" fontId="0" fillId="0" borderId="0" xfId="0" applyNumberFormat="1"/>
    <xf numFmtId="0" fontId="0" fillId="0" borderId="0" xfId="0"/>
    <xf numFmtId="164" fontId="0" fillId="0" borderId="0" xfId="0" applyNumberFormat="1"/>
    <xf numFmtId="0" fontId="1" fillId="0" borderId="5" xfId="0" applyFont="1" applyBorder="1"/>
    <xf numFmtId="0" fontId="0" fillId="0" borderId="7" xfId="0" applyFont="1" applyBorder="1"/>
    <xf numFmtId="0" fontId="0" fillId="0" borderId="5" xfId="0" applyFont="1" applyBorder="1"/>
    <xf numFmtId="0" fontId="0" fillId="0" borderId="0" xfId="0" applyFill="1" applyBorder="1"/>
    <xf numFmtId="0" fontId="3" fillId="0" borderId="0" xfId="0" applyFont="1"/>
    <xf numFmtId="2" fontId="0" fillId="0" borderId="0" xfId="0" applyNumberFormat="1"/>
    <xf numFmtId="2" fontId="0" fillId="0" borderId="1" xfId="0" applyNumberFormat="1" applyBorder="1"/>
    <xf numFmtId="2" fontId="0" fillId="0" borderId="6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Biorreactor!$K$45:$K$53</c:f>
              <c:numCache>
                <c:formatCode>General</c:formatCode>
                <c:ptCount val="9"/>
                <c:pt idx="0">
                  <c:v>0</c:v>
                </c:pt>
                <c:pt idx="1">
                  <c:v>2.56</c:v>
                </c:pt>
                <c:pt idx="2">
                  <c:v>5.62</c:v>
                </c:pt>
                <c:pt idx="3">
                  <c:v>19.36</c:v>
                </c:pt>
                <c:pt idx="4">
                  <c:v>25.57</c:v>
                </c:pt>
                <c:pt idx="5">
                  <c:v>42.78</c:v>
                </c:pt>
                <c:pt idx="6">
                  <c:v>53.57</c:v>
                </c:pt>
                <c:pt idx="7">
                  <c:v>78.06</c:v>
                </c:pt>
                <c:pt idx="8">
                  <c:v>93.25</c:v>
                </c:pt>
              </c:numCache>
            </c:numRef>
          </c:xVal>
          <c:yVal>
            <c:numRef>
              <c:f>Biorreactor!$M$45:$M$53</c:f>
              <c:numCache>
                <c:formatCode>General</c:formatCode>
                <c:ptCount val="9"/>
                <c:pt idx="0">
                  <c:v>0.24199999999999999</c:v>
                </c:pt>
                <c:pt idx="1">
                  <c:v>0.71899999999999997</c:v>
                </c:pt>
                <c:pt idx="2">
                  <c:v>1.4419999999999999</c:v>
                </c:pt>
                <c:pt idx="3">
                  <c:v>1.665</c:v>
                </c:pt>
                <c:pt idx="4">
                  <c:v>1.778</c:v>
                </c:pt>
                <c:pt idx="5">
                  <c:v>2.0049999999999999</c:v>
                </c:pt>
                <c:pt idx="6">
                  <c:v>2.5459999999999998</c:v>
                </c:pt>
                <c:pt idx="7">
                  <c:v>2.6859999999999999</c:v>
                </c:pt>
                <c:pt idx="8">
                  <c:v>2.5609999999999999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264640"/>
        <c:axId val="231267712"/>
      </c:scatterChart>
      <c:valAx>
        <c:axId val="23126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Tiempo</a:t>
                </a:r>
                <a:r>
                  <a:rPr lang="es-ES" baseline="0"/>
                  <a:t> (horas)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1267712"/>
        <c:crosses val="autoZero"/>
        <c:crossBetween val="midCat"/>
      </c:valAx>
      <c:valAx>
        <c:axId val="231267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Concentración</a:t>
                </a:r>
                <a:r>
                  <a:rPr lang="es-ES" baseline="0"/>
                  <a:t> (g/L)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12646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Biorreactor!$K$45:$K$53</c:f>
              <c:numCache>
                <c:formatCode>General</c:formatCode>
                <c:ptCount val="9"/>
                <c:pt idx="0">
                  <c:v>0</c:v>
                </c:pt>
                <c:pt idx="1">
                  <c:v>2.56</c:v>
                </c:pt>
                <c:pt idx="2">
                  <c:v>5.62</c:v>
                </c:pt>
                <c:pt idx="3">
                  <c:v>19.36</c:v>
                </c:pt>
                <c:pt idx="4">
                  <c:v>25.57</c:v>
                </c:pt>
                <c:pt idx="5">
                  <c:v>42.78</c:v>
                </c:pt>
                <c:pt idx="6">
                  <c:v>53.57</c:v>
                </c:pt>
                <c:pt idx="7">
                  <c:v>78.06</c:v>
                </c:pt>
                <c:pt idx="8">
                  <c:v>93.25</c:v>
                </c:pt>
              </c:numCache>
            </c:numRef>
          </c:xVal>
          <c:yVal>
            <c:numRef>
              <c:f>Biorreactor!$N$45:$N$53</c:f>
              <c:numCache>
                <c:formatCode>General</c:formatCode>
                <c:ptCount val="9"/>
                <c:pt idx="0">
                  <c:v>-1.4188175528254507</c:v>
                </c:pt>
                <c:pt idx="1">
                  <c:v>-0.32989392126109041</c:v>
                </c:pt>
                <c:pt idx="2">
                  <c:v>0.36603103886275729</c:v>
                </c:pt>
                <c:pt idx="3">
                  <c:v>0.50982512343240716</c:v>
                </c:pt>
                <c:pt idx="4">
                  <c:v>0.5754891370917129</c:v>
                </c:pt>
                <c:pt idx="5">
                  <c:v>0.69564406075853247</c:v>
                </c:pt>
                <c:pt idx="6">
                  <c:v>0.93452350013521468</c:v>
                </c:pt>
                <c:pt idx="7">
                  <c:v>0.9880530981010458</c:v>
                </c:pt>
                <c:pt idx="8">
                  <c:v>0.94039780721738819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340864"/>
        <c:axId val="237574016"/>
      </c:scatterChart>
      <c:valAx>
        <c:axId val="23234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Tiempo</a:t>
                </a:r>
                <a:r>
                  <a:rPr lang="es-ES" baseline="0"/>
                  <a:t> (horas)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7574016"/>
        <c:crosses val="autoZero"/>
        <c:crossBetween val="midCat"/>
      </c:valAx>
      <c:valAx>
        <c:axId val="2375740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Concentración</a:t>
                </a:r>
                <a:r>
                  <a:rPr lang="es-ES" baseline="0"/>
                  <a:t> (g/L)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23408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X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Biorreactor!$K$6:$K$15</c:f>
              <c:numCache>
                <c:formatCode>General</c:formatCode>
                <c:ptCount val="10"/>
                <c:pt idx="0">
                  <c:v>0</c:v>
                </c:pt>
                <c:pt idx="1">
                  <c:v>2.69</c:v>
                </c:pt>
                <c:pt idx="2">
                  <c:v>20.07</c:v>
                </c:pt>
                <c:pt idx="3">
                  <c:v>26.16</c:v>
                </c:pt>
                <c:pt idx="4">
                  <c:v>44.56</c:v>
                </c:pt>
                <c:pt idx="5">
                  <c:v>75.38</c:v>
                </c:pt>
                <c:pt idx="6">
                  <c:v>93.03</c:v>
                </c:pt>
                <c:pt idx="7">
                  <c:v>139.72999999999999</c:v>
                </c:pt>
                <c:pt idx="8">
                  <c:v>168.14</c:v>
                </c:pt>
                <c:pt idx="9">
                  <c:v>187.03</c:v>
                </c:pt>
              </c:numCache>
            </c:numRef>
          </c:xVal>
          <c:yVal>
            <c:numRef>
              <c:f>Biorreactor!$M$6:$M$15</c:f>
              <c:numCache>
                <c:formatCode>General</c:formatCode>
                <c:ptCount val="10"/>
                <c:pt idx="0">
                  <c:v>0.40500000000000003</c:v>
                </c:pt>
                <c:pt idx="1">
                  <c:v>1.222</c:v>
                </c:pt>
                <c:pt idx="2">
                  <c:v>1.4450000000000001</c:v>
                </c:pt>
                <c:pt idx="3">
                  <c:v>1.51</c:v>
                </c:pt>
                <c:pt idx="4">
                  <c:v>1.593</c:v>
                </c:pt>
                <c:pt idx="5">
                  <c:v>1.339</c:v>
                </c:pt>
                <c:pt idx="6">
                  <c:v>1.1839999999999999</c:v>
                </c:pt>
                <c:pt idx="7">
                  <c:v>1.177</c:v>
                </c:pt>
                <c:pt idx="8">
                  <c:v>1.173</c:v>
                </c:pt>
                <c:pt idx="9">
                  <c:v>1.1839999999999999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779584"/>
        <c:axId val="237835392"/>
      </c:scatterChart>
      <c:valAx>
        <c:axId val="23777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Tiempo</a:t>
                </a:r>
                <a:r>
                  <a:rPr lang="es-ES" baseline="0"/>
                  <a:t> (horas)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7835392"/>
        <c:crosses val="autoZero"/>
        <c:crossBetween val="midCat"/>
      </c:valAx>
      <c:valAx>
        <c:axId val="237835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Concentración</a:t>
                </a:r>
                <a:r>
                  <a:rPr lang="es-ES" baseline="0"/>
                  <a:t> (g/L)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77795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ln</a:t>
            </a:r>
            <a:r>
              <a:rPr lang="es-ES" baseline="0"/>
              <a:t>(X)</a:t>
            </a:r>
            <a:endParaRPr lang="es-E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Biorreactor!$K$6:$K$15</c:f>
              <c:numCache>
                <c:formatCode>General</c:formatCode>
                <c:ptCount val="10"/>
                <c:pt idx="0">
                  <c:v>0</c:v>
                </c:pt>
                <c:pt idx="1">
                  <c:v>2.69</c:v>
                </c:pt>
                <c:pt idx="2">
                  <c:v>20.07</c:v>
                </c:pt>
                <c:pt idx="3">
                  <c:v>26.16</c:v>
                </c:pt>
                <c:pt idx="4">
                  <c:v>44.56</c:v>
                </c:pt>
                <c:pt idx="5">
                  <c:v>75.38</c:v>
                </c:pt>
                <c:pt idx="6">
                  <c:v>93.03</c:v>
                </c:pt>
                <c:pt idx="7">
                  <c:v>139.72999999999999</c:v>
                </c:pt>
                <c:pt idx="8">
                  <c:v>168.14</c:v>
                </c:pt>
                <c:pt idx="9">
                  <c:v>187.03</c:v>
                </c:pt>
              </c:numCache>
            </c:numRef>
          </c:xVal>
          <c:yVal>
            <c:numRef>
              <c:f>Biorreactor!$N$6:$N$15</c:f>
              <c:numCache>
                <c:formatCode>General</c:formatCode>
                <c:ptCount val="10"/>
                <c:pt idx="0">
                  <c:v>-0.90386821187559785</c:v>
                </c:pt>
                <c:pt idx="1">
                  <c:v>0.20048886074940356</c:v>
                </c:pt>
                <c:pt idx="2">
                  <c:v>0.36810932156439552</c:v>
                </c:pt>
                <c:pt idx="3">
                  <c:v>0.41210965082683298</c:v>
                </c:pt>
                <c:pt idx="4">
                  <c:v>0.46561903092791146</c:v>
                </c:pt>
                <c:pt idx="5">
                  <c:v>0.29192306670903545</c:v>
                </c:pt>
                <c:pt idx="6">
                  <c:v>0.16889853646181388</c:v>
                </c:pt>
                <c:pt idx="7">
                  <c:v>0.16296882827813972</c:v>
                </c:pt>
                <c:pt idx="8">
                  <c:v>0.15956456967133845</c:v>
                </c:pt>
                <c:pt idx="9">
                  <c:v>0.16889853646181388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588992"/>
        <c:axId val="229590912"/>
      </c:scatterChart>
      <c:valAx>
        <c:axId val="22958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Tiempo</a:t>
                </a:r>
                <a:r>
                  <a:rPr lang="es-ES" baseline="0"/>
                  <a:t> (horas)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9590912"/>
        <c:crosses val="autoZero"/>
        <c:crossBetween val="midCat"/>
      </c:valAx>
      <c:valAx>
        <c:axId val="229590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Concentración</a:t>
                </a:r>
                <a:r>
                  <a:rPr lang="es-ES" baseline="0"/>
                  <a:t> (g/L)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95889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Biorreactor!$K$65:$K$73</c:f>
              <c:numCache>
                <c:formatCode>General</c:formatCode>
                <c:ptCount val="9"/>
                <c:pt idx="0">
                  <c:v>0</c:v>
                </c:pt>
                <c:pt idx="1">
                  <c:v>2.62</c:v>
                </c:pt>
                <c:pt idx="2">
                  <c:v>7.12</c:v>
                </c:pt>
                <c:pt idx="3">
                  <c:v>27.18</c:v>
                </c:pt>
                <c:pt idx="4">
                  <c:v>51.31</c:v>
                </c:pt>
                <c:pt idx="5">
                  <c:v>74.89</c:v>
                </c:pt>
                <c:pt idx="6">
                  <c:v>99.3</c:v>
                </c:pt>
                <c:pt idx="7">
                  <c:v>125.33</c:v>
                </c:pt>
                <c:pt idx="8">
                  <c:v>150.36000000000001</c:v>
                </c:pt>
              </c:numCache>
            </c:numRef>
          </c:xVal>
          <c:yVal>
            <c:numRef>
              <c:f>Biorreactor!$M$65:$M$73</c:f>
              <c:numCache>
                <c:formatCode>General</c:formatCode>
                <c:ptCount val="9"/>
                <c:pt idx="0">
                  <c:v>0.80600000000000005</c:v>
                </c:pt>
                <c:pt idx="1">
                  <c:v>1.8160000000000001</c:v>
                </c:pt>
                <c:pt idx="2">
                  <c:v>1.827</c:v>
                </c:pt>
                <c:pt idx="3">
                  <c:v>2.7170000000000001</c:v>
                </c:pt>
                <c:pt idx="4">
                  <c:v>2.573</c:v>
                </c:pt>
                <c:pt idx="5">
                  <c:v>2.4740000000000002</c:v>
                </c:pt>
                <c:pt idx="6">
                  <c:v>1.6459999999999999</c:v>
                </c:pt>
                <c:pt idx="7">
                  <c:v>1.6419999999999999</c:v>
                </c:pt>
                <c:pt idx="8">
                  <c:v>1.3919999999999999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611392"/>
        <c:axId val="229612928"/>
      </c:scatterChart>
      <c:valAx>
        <c:axId val="22961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9612928"/>
        <c:crosses val="autoZero"/>
        <c:crossBetween val="midCat"/>
      </c:valAx>
      <c:valAx>
        <c:axId val="229612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9611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Biorreactor!$K$65:$K$73</c:f>
              <c:numCache>
                <c:formatCode>General</c:formatCode>
                <c:ptCount val="9"/>
                <c:pt idx="0">
                  <c:v>0</c:v>
                </c:pt>
                <c:pt idx="1">
                  <c:v>2.62</c:v>
                </c:pt>
                <c:pt idx="2">
                  <c:v>7.12</c:v>
                </c:pt>
                <c:pt idx="3">
                  <c:v>27.18</c:v>
                </c:pt>
                <c:pt idx="4">
                  <c:v>51.31</c:v>
                </c:pt>
                <c:pt idx="5">
                  <c:v>74.89</c:v>
                </c:pt>
                <c:pt idx="6">
                  <c:v>99.3</c:v>
                </c:pt>
                <c:pt idx="7">
                  <c:v>125.33</c:v>
                </c:pt>
                <c:pt idx="8">
                  <c:v>150.36000000000001</c:v>
                </c:pt>
              </c:numCache>
            </c:numRef>
          </c:xVal>
          <c:yVal>
            <c:numRef>
              <c:f>Biorreactor!$N$65:$N$73</c:f>
              <c:numCache>
                <c:formatCode>General</c:formatCode>
                <c:ptCount val="9"/>
                <c:pt idx="0">
                  <c:v>-0.21567153647550871</c:v>
                </c:pt>
                <c:pt idx="1">
                  <c:v>0.59663628017910153</c:v>
                </c:pt>
                <c:pt idx="2">
                  <c:v>0.60267527739586968</c:v>
                </c:pt>
                <c:pt idx="3">
                  <c:v>0.99952833044421074</c:v>
                </c:pt>
                <c:pt idx="4">
                  <c:v>0.94507253329960705</c:v>
                </c:pt>
                <c:pt idx="5">
                  <c:v>0.9058362739702962</c:v>
                </c:pt>
                <c:pt idx="6">
                  <c:v>0.49834810225487802</c:v>
                </c:pt>
                <c:pt idx="7">
                  <c:v>0.49591501103023644</c:v>
                </c:pt>
                <c:pt idx="8">
                  <c:v>0.33074156191222781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628544"/>
        <c:axId val="229646720"/>
      </c:scatterChart>
      <c:valAx>
        <c:axId val="22962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9646720"/>
        <c:crosses val="autoZero"/>
        <c:crossBetween val="midCat"/>
      </c:valAx>
      <c:valAx>
        <c:axId val="229646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9628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Biorreactor!$K$25:$K$33</c:f>
              <c:numCache>
                <c:formatCode>General</c:formatCode>
                <c:ptCount val="9"/>
                <c:pt idx="0">
                  <c:v>0</c:v>
                </c:pt>
                <c:pt idx="1">
                  <c:v>6.48</c:v>
                </c:pt>
                <c:pt idx="2">
                  <c:v>22.37</c:v>
                </c:pt>
                <c:pt idx="3">
                  <c:v>31.84</c:v>
                </c:pt>
                <c:pt idx="4">
                  <c:v>53.2</c:v>
                </c:pt>
                <c:pt idx="5">
                  <c:v>80.06</c:v>
                </c:pt>
                <c:pt idx="6">
                  <c:v>118.58</c:v>
                </c:pt>
                <c:pt idx="7">
                  <c:v>142.75</c:v>
                </c:pt>
                <c:pt idx="8">
                  <c:v>214.79</c:v>
                </c:pt>
              </c:numCache>
            </c:numRef>
          </c:xVal>
          <c:yVal>
            <c:numRef>
              <c:f>Biorreactor!$M$25:$M$33</c:f>
              <c:numCache>
                <c:formatCode>General</c:formatCode>
                <c:ptCount val="9"/>
                <c:pt idx="0">
                  <c:v>0.67346300000000003</c:v>
                </c:pt>
                <c:pt idx="1">
                  <c:v>2.7581715</c:v>
                </c:pt>
                <c:pt idx="2">
                  <c:v>3.0797689999999998</c:v>
                </c:pt>
                <c:pt idx="3">
                  <c:v>3.1819234999999999</c:v>
                </c:pt>
                <c:pt idx="4">
                  <c:v>3.117604</c:v>
                </c:pt>
                <c:pt idx="5">
                  <c:v>3.0646350000000004</c:v>
                </c:pt>
                <c:pt idx="6">
                  <c:v>2.9624805000000003</c:v>
                </c:pt>
                <c:pt idx="7">
                  <c:v>2.9246455</c:v>
                </c:pt>
                <c:pt idx="8">
                  <c:v>2.9549135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666176"/>
        <c:axId val="229672064"/>
      </c:scatterChart>
      <c:valAx>
        <c:axId val="22966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9672064"/>
        <c:crosses val="autoZero"/>
        <c:crossBetween val="midCat"/>
      </c:valAx>
      <c:valAx>
        <c:axId val="229672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9666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Biorreactor!$K$25:$K$33</c:f>
              <c:numCache>
                <c:formatCode>General</c:formatCode>
                <c:ptCount val="9"/>
                <c:pt idx="0">
                  <c:v>0</c:v>
                </c:pt>
                <c:pt idx="1">
                  <c:v>6.48</c:v>
                </c:pt>
                <c:pt idx="2">
                  <c:v>22.37</c:v>
                </c:pt>
                <c:pt idx="3">
                  <c:v>31.84</c:v>
                </c:pt>
                <c:pt idx="4">
                  <c:v>53.2</c:v>
                </c:pt>
                <c:pt idx="5">
                  <c:v>80.06</c:v>
                </c:pt>
                <c:pt idx="6">
                  <c:v>118.58</c:v>
                </c:pt>
                <c:pt idx="7">
                  <c:v>142.75</c:v>
                </c:pt>
                <c:pt idx="8">
                  <c:v>214.79</c:v>
                </c:pt>
              </c:numCache>
            </c:numRef>
          </c:xVal>
          <c:yVal>
            <c:numRef>
              <c:f>Biorreactor!$N$25:$N$33</c:f>
              <c:numCache>
                <c:formatCode>General</c:formatCode>
                <c:ptCount val="9"/>
                <c:pt idx="0">
                  <c:v>-0.39532222153761265</c:v>
                </c:pt>
                <c:pt idx="1">
                  <c:v>1.0145679601789603</c:v>
                </c:pt>
                <c:pt idx="2">
                  <c:v>1.1248545941728423</c:v>
                </c:pt>
                <c:pt idx="3">
                  <c:v>1.1574858881432502</c:v>
                </c:pt>
                <c:pt idx="4">
                  <c:v>1.1370647580797739</c:v>
                </c:pt>
                <c:pt idx="5">
                  <c:v>1.1199284758367867</c:v>
                </c:pt>
                <c:pt idx="6">
                  <c:v>1.0860269241611054</c:v>
                </c:pt>
                <c:pt idx="7">
                  <c:v>1.0731732767577242</c:v>
                </c:pt>
                <c:pt idx="8">
                  <c:v>1.0834693780099882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679488"/>
        <c:axId val="229681024"/>
      </c:scatterChart>
      <c:valAx>
        <c:axId val="22967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9681024"/>
        <c:crosses val="autoZero"/>
        <c:crossBetween val="midCat"/>
      </c:valAx>
      <c:valAx>
        <c:axId val="229681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9679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290513</xdr:colOff>
      <xdr:row>41</xdr:row>
      <xdr:rowOff>33337</xdr:rowOff>
    </xdr:from>
    <xdr:to>
      <xdr:col>19</xdr:col>
      <xdr:colOff>290513</xdr:colOff>
      <xdr:row>51</xdr:row>
      <xdr:rowOff>128587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647699</xdr:colOff>
      <xdr:row>39</xdr:row>
      <xdr:rowOff>233363</xdr:rowOff>
    </xdr:from>
    <xdr:to>
      <xdr:col>23</xdr:col>
      <xdr:colOff>390524</xdr:colOff>
      <xdr:row>50</xdr:row>
      <xdr:rowOff>71438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257175</xdr:colOff>
      <xdr:row>4</xdr:row>
      <xdr:rowOff>14288</xdr:rowOff>
    </xdr:from>
    <xdr:to>
      <xdr:col>19</xdr:col>
      <xdr:colOff>266700</xdr:colOff>
      <xdr:row>13</xdr:row>
      <xdr:rowOff>100013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438149</xdr:colOff>
      <xdr:row>4</xdr:row>
      <xdr:rowOff>42863</xdr:rowOff>
    </xdr:from>
    <xdr:to>
      <xdr:col>23</xdr:col>
      <xdr:colOff>428625</xdr:colOff>
      <xdr:row>14</xdr:row>
      <xdr:rowOff>61913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165569</xdr:colOff>
      <xdr:row>63</xdr:row>
      <xdr:rowOff>120745</xdr:rowOff>
    </xdr:from>
    <xdr:to>
      <xdr:col>18</xdr:col>
      <xdr:colOff>651343</xdr:colOff>
      <xdr:row>71</xdr:row>
      <xdr:rowOff>177895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129147</xdr:colOff>
      <xdr:row>64</xdr:row>
      <xdr:rowOff>118222</xdr:rowOff>
    </xdr:from>
    <xdr:to>
      <xdr:col>22</xdr:col>
      <xdr:colOff>176772</xdr:colOff>
      <xdr:row>72</xdr:row>
      <xdr:rowOff>42023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152400</xdr:colOff>
      <xdr:row>23</xdr:row>
      <xdr:rowOff>33337</xdr:rowOff>
    </xdr:from>
    <xdr:to>
      <xdr:col>18</xdr:col>
      <xdr:colOff>247650</xdr:colOff>
      <xdr:row>32</xdr:row>
      <xdr:rowOff>52387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547687</xdr:colOff>
      <xdr:row>22</xdr:row>
      <xdr:rowOff>123825</xdr:rowOff>
    </xdr:from>
    <xdr:to>
      <xdr:col>22</xdr:col>
      <xdr:colOff>347662</xdr:colOff>
      <xdr:row>32</xdr:row>
      <xdr:rowOff>161925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zoomScale="55" zoomScaleNormal="55" workbookViewId="0">
      <selection activeCell="L15" sqref="L15"/>
    </sheetView>
  </sheetViews>
  <sheetFormatPr baseColWidth="10" defaultRowHeight="15" x14ac:dyDescent="0.25"/>
  <cols>
    <col min="2" max="2" width="15.42578125" bestFit="1" customWidth="1"/>
    <col min="3" max="3" width="19.28515625" bestFit="1" customWidth="1"/>
    <col min="4" max="4" width="15.140625" bestFit="1" customWidth="1"/>
    <col min="5" max="6" width="16.5703125" bestFit="1" customWidth="1"/>
    <col min="7" max="7" width="15.7109375" bestFit="1" customWidth="1"/>
    <col min="8" max="8" width="16.5703125" bestFit="1" customWidth="1"/>
  </cols>
  <sheetData>
    <row r="1" spans="1:9" ht="18.75" x14ac:dyDescent="0.3">
      <c r="A1" s="12" t="s">
        <v>0</v>
      </c>
    </row>
    <row r="2" spans="1:9" x14ac:dyDescent="0.25">
      <c r="C2" t="s">
        <v>23</v>
      </c>
      <c r="D2">
        <v>30</v>
      </c>
    </row>
    <row r="3" spans="1:9" ht="15.75" thickBot="1" x14ac:dyDescent="0.3">
      <c r="A3" s="10" t="s">
        <v>1</v>
      </c>
    </row>
    <row r="4" spans="1:9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4" t="s">
        <v>10</v>
      </c>
    </row>
    <row r="5" spans="1:9" x14ac:dyDescent="0.25">
      <c r="A5" s="5"/>
      <c r="B5" s="1" t="s">
        <v>11</v>
      </c>
      <c r="C5" s="1" t="s">
        <v>11</v>
      </c>
      <c r="D5" s="1" t="s">
        <v>11</v>
      </c>
      <c r="E5" s="1" t="s">
        <v>11</v>
      </c>
      <c r="F5" s="1" t="s">
        <v>11</v>
      </c>
      <c r="G5" s="1" t="s">
        <v>11</v>
      </c>
      <c r="H5" s="1" t="s">
        <v>11</v>
      </c>
      <c r="I5" s="6" t="s">
        <v>11</v>
      </c>
    </row>
    <row r="6" spans="1:9" x14ac:dyDescent="0.25">
      <c r="A6" s="5">
        <v>48</v>
      </c>
      <c r="B6" s="1">
        <v>1.25</v>
      </c>
      <c r="C6" s="1">
        <v>23.71</v>
      </c>
      <c r="D6" s="1">
        <v>0</v>
      </c>
      <c r="E6" s="1">
        <v>0.64</v>
      </c>
      <c r="F6" s="1">
        <v>0</v>
      </c>
      <c r="G6" s="1">
        <v>0.32</v>
      </c>
      <c r="H6" s="1">
        <v>0.62</v>
      </c>
      <c r="I6" s="6">
        <v>0</v>
      </c>
    </row>
    <row r="7" spans="1:9" ht="15.75" thickBot="1" x14ac:dyDescent="0.3">
      <c r="A7" s="7">
        <v>96</v>
      </c>
      <c r="B7" s="8">
        <v>0.41</v>
      </c>
      <c r="C7" s="8">
        <v>23.13</v>
      </c>
      <c r="D7" s="8">
        <v>0</v>
      </c>
      <c r="E7" s="8">
        <v>0.68</v>
      </c>
      <c r="F7" s="8">
        <v>0</v>
      </c>
      <c r="G7" s="8">
        <v>0.34</v>
      </c>
      <c r="H7" s="8">
        <v>0.66</v>
      </c>
      <c r="I7" s="9">
        <v>0.03</v>
      </c>
    </row>
    <row r="8" spans="1:9" ht="15.75" thickBot="1" x14ac:dyDescent="0.3">
      <c r="A8" s="10" t="s">
        <v>12</v>
      </c>
    </row>
    <row r="9" spans="1:9" x14ac:dyDescent="0.25">
      <c r="A9" s="2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  <c r="I9" s="4" t="s">
        <v>10</v>
      </c>
    </row>
    <row r="10" spans="1:9" x14ac:dyDescent="0.25">
      <c r="A10" s="5"/>
      <c r="B10" s="1" t="s">
        <v>11</v>
      </c>
      <c r="C10" s="1" t="s">
        <v>11</v>
      </c>
      <c r="D10" s="1" t="s">
        <v>11</v>
      </c>
      <c r="E10" s="1" t="s">
        <v>11</v>
      </c>
      <c r="F10" s="1" t="s">
        <v>11</v>
      </c>
      <c r="G10" s="1" t="s">
        <v>11</v>
      </c>
      <c r="H10" s="1" t="s">
        <v>11</v>
      </c>
      <c r="I10" s="6" t="s">
        <v>11</v>
      </c>
    </row>
    <row r="11" spans="1:9" x14ac:dyDescent="0.25">
      <c r="A11" s="5">
        <v>48</v>
      </c>
      <c r="B11" s="1">
        <v>1.34</v>
      </c>
      <c r="C11" s="1">
        <v>29.46</v>
      </c>
      <c r="D11" s="1">
        <v>0</v>
      </c>
      <c r="E11" s="1">
        <v>0.62</v>
      </c>
      <c r="F11" s="1">
        <v>0.1</v>
      </c>
      <c r="G11" s="1">
        <v>0</v>
      </c>
      <c r="H11" s="1">
        <v>0.22</v>
      </c>
      <c r="I11" s="6">
        <v>0.13</v>
      </c>
    </row>
    <row r="12" spans="1:9" ht="15.75" thickBot="1" x14ac:dyDescent="0.3">
      <c r="A12" s="7">
        <v>168</v>
      </c>
      <c r="B12" s="8">
        <v>0.91</v>
      </c>
      <c r="C12" s="8">
        <v>20.2</v>
      </c>
      <c r="D12" s="8">
        <v>0</v>
      </c>
      <c r="E12" s="8">
        <v>6.83</v>
      </c>
      <c r="F12" s="8">
        <v>0.11</v>
      </c>
      <c r="G12" s="8">
        <v>0</v>
      </c>
      <c r="H12" s="8">
        <v>0.76</v>
      </c>
      <c r="I12" s="9">
        <v>2.25</v>
      </c>
    </row>
    <row r="14" spans="1:9" x14ac:dyDescent="0.25">
      <c r="A14" s="27" t="s">
        <v>20</v>
      </c>
      <c r="B14" s="27" t="s">
        <v>14</v>
      </c>
      <c r="C14" s="27" t="s">
        <v>13</v>
      </c>
      <c r="D14" s="27" t="s">
        <v>15</v>
      </c>
      <c r="E14" s="27" t="s">
        <v>16</v>
      </c>
      <c r="F14" s="27" t="s">
        <v>17</v>
      </c>
      <c r="G14" s="27" t="s">
        <v>18</v>
      </c>
      <c r="H14" s="27" t="s">
        <v>19</v>
      </c>
    </row>
    <row r="15" spans="1:9" x14ac:dyDescent="0.25">
      <c r="A15" s="27" t="s">
        <v>21</v>
      </c>
      <c r="B15" s="27">
        <v>0.68</v>
      </c>
      <c r="C15" s="28">
        <f>(B15/A7)</f>
        <v>7.0833333333333338E-3</v>
      </c>
      <c r="D15" s="28">
        <f>(B15/($D$2-B7-C7-D7))</f>
        <v>0.10526315789473684</v>
      </c>
      <c r="E15" s="28">
        <f>(F7/($D$2-B7-C7-D7))</f>
        <v>0</v>
      </c>
      <c r="F15" s="28">
        <f>(G7/($D$2-B7-C7-D7))</f>
        <v>5.2631578947368418E-2</v>
      </c>
      <c r="G15" s="28">
        <f>(H7/($D$2-B7-C7-D7))</f>
        <v>0.10216718266253869</v>
      </c>
      <c r="H15" s="28">
        <f>(I7/($D$2-B7-C7-D7))</f>
        <v>4.6439628482972126E-3</v>
      </c>
    </row>
    <row r="16" spans="1:9" x14ac:dyDescent="0.25">
      <c r="A16" s="27" t="s">
        <v>22</v>
      </c>
      <c r="B16" s="27">
        <v>6.83</v>
      </c>
      <c r="C16" s="28">
        <f>(B16/A12)</f>
        <v>4.0654761904761902E-2</v>
      </c>
      <c r="D16" s="28">
        <f>(B16/($D$2-B12-C12-D12))</f>
        <v>0.76827896512935878</v>
      </c>
      <c r="E16" s="28">
        <f>(F12/($D$2-B12-C12-D12))</f>
        <v>1.2373453318335207E-2</v>
      </c>
      <c r="F16" s="28">
        <f>(G12/($D$2-B12-C12-D12))</f>
        <v>0</v>
      </c>
      <c r="G16" s="28">
        <f>(H12/($D$2-B12-C12-D12))</f>
        <v>8.548931383577052E-2</v>
      </c>
      <c r="H16" s="28">
        <f>(I12/($D$2-B12-C12-D12))</f>
        <v>0.25309336332958376</v>
      </c>
    </row>
    <row r="18" spans="1:9" ht="18.75" x14ac:dyDescent="0.3">
      <c r="A18" s="12" t="s">
        <v>24</v>
      </c>
    </row>
    <row r="20" spans="1:9" ht="15.75" thickBot="1" x14ac:dyDescent="0.3">
      <c r="A20" s="10" t="s">
        <v>12</v>
      </c>
      <c r="B20" s="11"/>
      <c r="C20" s="11"/>
      <c r="D20" s="11"/>
      <c r="E20" s="11"/>
      <c r="F20" s="11"/>
      <c r="G20" s="11"/>
      <c r="H20" s="11"/>
      <c r="I20" s="11"/>
    </row>
    <row r="21" spans="1:9" x14ac:dyDescent="0.25">
      <c r="A21" s="2" t="s">
        <v>2</v>
      </c>
      <c r="B21" s="3" t="s">
        <v>3</v>
      </c>
      <c r="C21" s="3" t="s">
        <v>4</v>
      </c>
      <c r="D21" s="3" t="s">
        <v>5</v>
      </c>
      <c r="E21" s="3" t="s">
        <v>6</v>
      </c>
      <c r="F21" s="3" t="s">
        <v>7</v>
      </c>
      <c r="G21" s="3" t="s">
        <v>8</v>
      </c>
      <c r="H21" s="3" t="s">
        <v>9</v>
      </c>
      <c r="I21" s="4" t="s">
        <v>10</v>
      </c>
    </row>
    <row r="22" spans="1:9" x14ac:dyDescent="0.25">
      <c r="A22" s="5"/>
      <c r="B22" s="1" t="s">
        <v>11</v>
      </c>
      <c r="C22" s="1" t="s">
        <v>11</v>
      </c>
      <c r="D22" s="1" t="s">
        <v>11</v>
      </c>
      <c r="E22" s="1" t="s">
        <v>11</v>
      </c>
      <c r="F22" s="1" t="s">
        <v>11</v>
      </c>
      <c r="G22" s="1" t="s">
        <v>11</v>
      </c>
      <c r="H22" s="1" t="s">
        <v>11</v>
      </c>
      <c r="I22" s="6" t="s">
        <v>11</v>
      </c>
    </row>
    <row r="23" spans="1:9" x14ac:dyDescent="0.25">
      <c r="A23" s="5">
        <v>48</v>
      </c>
      <c r="B23" s="1">
        <v>1.34</v>
      </c>
      <c r="C23" s="1">
        <v>29.46</v>
      </c>
      <c r="D23" s="1">
        <v>0</v>
      </c>
      <c r="E23" s="1">
        <v>0.62</v>
      </c>
      <c r="F23" s="1">
        <v>0.1</v>
      </c>
      <c r="G23" s="1">
        <v>0</v>
      </c>
      <c r="H23" s="1">
        <v>0.22</v>
      </c>
      <c r="I23" s="6">
        <v>0.13</v>
      </c>
    </row>
    <row r="24" spans="1:9" ht="15.75" thickBot="1" x14ac:dyDescent="0.3">
      <c r="A24" s="7">
        <v>168</v>
      </c>
      <c r="B24" s="8">
        <v>0.91</v>
      </c>
      <c r="C24" s="8">
        <v>20.2</v>
      </c>
      <c r="D24" s="8">
        <v>0</v>
      </c>
      <c r="E24" s="8">
        <v>6.83</v>
      </c>
      <c r="F24" s="8">
        <v>0.11</v>
      </c>
      <c r="G24" s="8">
        <v>0</v>
      </c>
      <c r="H24" s="8">
        <v>0.76</v>
      </c>
      <c r="I24" s="9">
        <v>2.25</v>
      </c>
    </row>
    <row r="25" spans="1:9" ht="15.75" thickBot="1" x14ac:dyDescent="0.3">
      <c r="A25" s="10" t="s">
        <v>25</v>
      </c>
    </row>
    <row r="26" spans="1:9" x14ac:dyDescent="0.25">
      <c r="A26" s="2" t="s">
        <v>2</v>
      </c>
      <c r="B26" s="3" t="s">
        <v>3</v>
      </c>
      <c r="C26" s="3" t="s">
        <v>4</v>
      </c>
      <c r="D26" s="3" t="s">
        <v>5</v>
      </c>
      <c r="E26" s="3" t="s">
        <v>6</v>
      </c>
      <c r="F26" s="3" t="s">
        <v>7</v>
      </c>
      <c r="G26" s="3" t="s">
        <v>8</v>
      </c>
      <c r="H26" s="3" t="s">
        <v>9</v>
      </c>
      <c r="I26" s="4" t="s">
        <v>10</v>
      </c>
    </row>
    <row r="27" spans="1:9" x14ac:dyDescent="0.25">
      <c r="A27" s="5"/>
      <c r="B27" s="1" t="s">
        <v>11</v>
      </c>
      <c r="C27" s="1" t="s">
        <v>11</v>
      </c>
      <c r="D27" s="1" t="s">
        <v>11</v>
      </c>
      <c r="E27" s="1" t="s">
        <v>11</v>
      </c>
      <c r="F27" s="1" t="s">
        <v>11</v>
      </c>
      <c r="G27" s="1" t="s">
        <v>11</v>
      </c>
      <c r="H27" s="1" t="s">
        <v>11</v>
      </c>
      <c r="I27" s="6" t="s">
        <v>11</v>
      </c>
    </row>
    <row r="28" spans="1:9" x14ac:dyDescent="0.25">
      <c r="A28" s="5">
        <v>48</v>
      </c>
      <c r="B28" s="1">
        <v>1.1000000000000001</v>
      </c>
      <c r="C28" s="1">
        <v>28.7</v>
      </c>
      <c r="D28" s="1">
        <v>0</v>
      </c>
      <c r="E28" s="1">
        <v>0.82</v>
      </c>
      <c r="F28" s="1">
        <v>0.13</v>
      </c>
      <c r="G28" s="1">
        <v>0</v>
      </c>
      <c r="H28" s="1">
        <v>0.16</v>
      </c>
      <c r="I28" s="6">
        <v>0.1</v>
      </c>
    </row>
    <row r="29" spans="1:9" ht="15.75" thickBot="1" x14ac:dyDescent="0.3">
      <c r="A29" s="7">
        <v>168</v>
      </c>
      <c r="B29" s="8">
        <v>0.87</v>
      </c>
      <c r="C29" s="8">
        <v>20.34</v>
      </c>
      <c r="D29" s="8">
        <v>0</v>
      </c>
      <c r="E29" s="8">
        <v>6.51</v>
      </c>
      <c r="F29" s="8">
        <v>0.15</v>
      </c>
      <c r="G29" s="8">
        <v>0</v>
      </c>
      <c r="H29" s="8">
        <v>0.35</v>
      </c>
      <c r="I29" s="9">
        <v>2.13</v>
      </c>
    </row>
    <row r="31" spans="1:9" x14ac:dyDescent="0.25">
      <c r="A31" s="27" t="s">
        <v>20</v>
      </c>
      <c r="B31" s="27" t="s">
        <v>14</v>
      </c>
      <c r="C31" s="27" t="s">
        <v>13</v>
      </c>
      <c r="D31" s="27" t="s">
        <v>15</v>
      </c>
      <c r="E31" s="27" t="s">
        <v>16</v>
      </c>
      <c r="F31" s="27" t="s">
        <v>17</v>
      </c>
      <c r="G31" s="27" t="s">
        <v>18</v>
      </c>
      <c r="H31" s="27" t="s">
        <v>19</v>
      </c>
    </row>
    <row r="32" spans="1:9" x14ac:dyDescent="0.25">
      <c r="A32" s="27" t="s">
        <v>22</v>
      </c>
      <c r="B32" s="27">
        <f>E24</f>
        <v>6.83</v>
      </c>
      <c r="C32" s="28">
        <f>(B32/A24)</f>
        <v>4.0654761904761902E-2</v>
      </c>
      <c r="D32" s="28">
        <f>(B32/($D$2-B24-C24-D24))</f>
        <v>0.76827896512935878</v>
      </c>
      <c r="E32" s="28">
        <f>(F24/($D$2-B24-C24-D24))</f>
        <v>1.2373453318335207E-2</v>
      </c>
      <c r="F32" s="28">
        <f>(G24/($D$2-B24-C24-D24))</f>
        <v>0</v>
      </c>
      <c r="G32" s="28">
        <f>(H24/($D$2-B24-C24-D24))</f>
        <v>8.548931383577052E-2</v>
      </c>
      <c r="H32" s="28">
        <f>(I24/($D$2-B24-C24-D24))</f>
        <v>0.25309336332958376</v>
      </c>
    </row>
    <row r="33" spans="1:9" x14ac:dyDescent="0.25">
      <c r="A33" s="27" t="s">
        <v>26</v>
      </c>
      <c r="B33" s="27">
        <f>E29</f>
        <v>6.51</v>
      </c>
      <c r="C33" s="28">
        <f>(B33/A29)</f>
        <v>3.875E-2</v>
      </c>
      <c r="D33" s="28">
        <f>(B33/($D$2-B29-C29-D29))</f>
        <v>0.74061433447098979</v>
      </c>
      <c r="E33" s="28">
        <f>(F29/($D$2-B29-C29-D29))</f>
        <v>1.7064846416382253E-2</v>
      </c>
      <c r="F33" s="28">
        <f>(G29/($D$2-B29-C29-D29))</f>
        <v>0</v>
      </c>
      <c r="G33" s="28">
        <f>(H29/($D$2-B29-C29-D29))</f>
        <v>3.981797497155859E-2</v>
      </c>
      <c r="H33" s="28">
        <f>(I29/($D$2-B29-C29-D29))</f>
        <v>0.24232081911262801</v>
      </c>
    </row>
    <row r="35" spans="1:9" ht="18.75" x14ac:dyDescent="0.3">
      <c r="A35" s="12" t="s">
        <v>30</v>
      </c>
    </row>
    <row r="37" spans="1:9" ht="15.75" thickBot="1" x14ac:dyDescent="0.3">
      <c r="A37" s="10" t="s">
        <v>25</v>
      </c>
      <c r="B37" s="13"/>
      <c r="C37" s="13"/>
      <c r="D37" s="13"/>
      <c r="E37" s="13"/>
      <c r="F37" s="13"/>
      <c r="G37" s="13"/>
      <c r="H37" s="13"/>
      <c r="I37" s="13"/>
    </row>
    <row r="38" spans="1:9" x14ac:dyDescent="0.25">
      <c r="A38" s="2" t="s">
        <v>2</v>
      </c>
      <c r="B38" s="3" t="s">
        <v>3</v>
      </c>
      <c r="C38" s="3" t="s">
        <v>4</v>
      </c>
      <c r="D38" s="3" t="s">
        <v>5</v>
      </c>
      <c r="E38" s="3" t="s">
        <v>6</v>
      </c>
      <c r="F38" s="3" t="s">
        <v>7</v>
      </c>
      <c r="G38" s="3" t="s">
        <v>8</v>
      </c>
      <c r="H38" s="3" t="s">
        <v>9</v>
      </c>
      <c r="I38" s="4" t="s">
        <v>10</v>
      </c>
    </row>
    <row r="39" spans="1:9" x14ac:dyDescent="0.25">
      <c r="A39" s="5"/>
      <c r="B39" s="1" t="s">
        <v>11</v>
      </c>
      <c r="C39" s="1" t="s">
        <v>11</v>
      </c>
      <c r="D39" s="1" t="s">
        <v>11</v>
      </c>
      <c r="E39" s="1" t="s">
        <v>11</v>
      </c>
      <c r="F39" s="1" t="s">
        <v>11</v>
      </c>
      <c r="G39" s="1" t="s">
        <v>11</v>
      </c>
      <c r="H39" s="1" t="s">
        <v>11</v>
      </c>
      <c r="I39" s="6" t="s">
        <v>11</v>
      </c>
    </row>
    <row r="40" spans="1:9" x14ac:dyDescent="0.25">
      <c r="A40" s="5">
        <v>48</v>
      </c>
      <c r="B40" s="1">
        <v>1.1000000000000001</v>
      </c>
      <c r="C40" s="1">
        <v>28.7</v>
      </c>
      <c r="D40" s="1">
        <v>0</v>
      </c>
      <c r="E40" s="1">
        <v>0.82</v>
      </c>
      <c r="F40" s="1">
        <v>0.13</v>
      </c>
      <c r="G40" s="1">
        <v>0</v>
      </c>
      <c r="H40" s="1">
        <v>0.16</v>
      </c>
      <c r="I40" s="6">
        <v>0.1</v>
      </c>
    </row>
    <row r="41" spans="1:9" ht="15.75" thickBot="1" x14ac:dyDescent="0.3">
      <c r="A41" s="7">
        <v>168</v>
      </c>
      <c r="B41" s="8">
        <v>0.87</v>
      </c>
      <c r="C41" s="8">
        <v>20.34</v>
      </c>
      <c r="D41" s="8">
        <v>0</v>
      </c>
      <c r="E41" s="8">
        <v>6.51</v>
      </c>
      <c r="F41" s="8">
        <v>0.15</v>
      </c>
      <c r="G41" s="8">
        <v>0</v>
      </c>
      <c r="H41" s="8">
        <v>0.35</v>
      </c>
      <c r="I41" s="9">
        <v>2.13</v>
      </c>
    </row>
    <row r="42" spans="1:9" ht="15.75" thickBot="1" x14ac:dyDescent="0.3">
      <c r="A42" s="10" t="s">
        <v>28</v>
      </c>
    </row>
    <row r="43" spans="1:9" x14ac:dyDescent="0.25">
      <c r="A43" s="2" t="s">
        <v>2</v>
      </c>
      <c r="B43" s="3" t="s">
        <v>3</v>
      </c>
      <c r="C43" s="3" t="s">
        <v>4</v>
      </c>
      <c r="D43" s="3" t="s">
        <v>5</v>
      </c>
      <c r="E43" s="3" t="s">
        <v>6</v>
      </c>
      <c r="F43" s="3" t="s">
        <v>7</v>
      </c>
      <c r="G43" s="3" t="s">
        <v>8</v>
      </c>
      <c r="H43" s="3" t="s">
        <v>9</v>
      </c>
      <c r="I43" s="4" t="s">
        <v>10</v>
      </c>
    </row>
    <row r="44" spans="1:9" x14ac:dyDescent="0.25">
      <c r="A44" s="5"/>
      <c r="B44" s="1" t="s">
        <v>11</v>
      </c>
      <c r="C44" s="1" t="s">
        <v>11</v>
      </c>
      <c r="D44" s="1" t="s">
        <v>11</v>
      </c>
      <c r="E44" s="1" t="s">
        <v>11</v>
      </c>
      <c r="F44" s="1" t="s">
        <v>11</v>
      </c>
      <c r="G44" s="1" t="s">
        <v>11</v>
      </c>
      <c r="H44" s="1" t="s">
        <v>11</v>
      </c>
      <c r="I44" s="6" t="s">
        <v>11</v>
      </c>
    </row>
    <row r="45" spans="1:9" x14ac:dyDescent="0.25">
      <c r="A45" s="5">
        <v>8</v>
      </c>
      <c r="B45" s="1">
        <v>1.29</v>
      </c>
      <c r="C45" s="1">
        <v>11.75</v>
      </c>
      <c r="D45" s="1">
        <v>6.97</v>
      </c>
      <c r="E45" s="1">
        <v>0.37</v>
      </c>
      <c r="F45" s="1">
        <v>0</v>
      </c>
      <c r="G45" s="1">
        <v>0</v>
      </c>
      <c r="H45" s="1">
        <v>0.43</v>
      </c>
      <c r="I45" s="6">
        <v>0</v>
      </c>
    </row>
    <row r="46" spans="1:9" ht="15.75" thickBot="1" x14ac:dyDescent="0.3">
      <c r="A46" s="7">
        <v>24.5</v>
      </c>
      <c r="B46" s="8">
        <v>1.42</v>
      </c>
      <c r="C46" s="8">
        <v>11.5</v>
      </c>
      <c r="D46" s="8">
        <v>7.61</v>
      </c>
      <c r="E46" s="8">
        <v>0.82</v>
      </c>
      <c r="F46" s="8">
        <v>0</v>
      </c>
      <c r="G46" s="8">
        <v>0</v>
      </c>
      <c r="H46" s="8">
        <v>0.64</v>
      </c>
      <c r="I46" s="9">
        <v>0</v>
      </c>
    </row>
    <row r="47" spans="1:9" x14ac:dyDescent="0.25">
      <c r="A47" s="2">
        <v>47.5</v>
      </c>
      <c r="B47" s="3">
        <v>1.07</v>
      </c>
      <c r="C47" s="3">
        <v>9.44</v>
      </c>
      <c r="D47" s="3">
        <v>6.88</v>
      </c>
      <c r="E47" s="3">
        <v>5.39</v>
      </c>
      <c r="F47" s="3">
        <v>0</v>
      </c>
      <c r="G47" s="3">
        <v>0</v>
      </c>
      <c r="H47" s="3">
        <v>0.64</v>
      </c>
      <c r="I47" s="4">
        <v>0</v>
      </c>
    </row>
    <row r="48" spans="1:9" x14ac:dyDescent="0.25">
      <c r="A48" s="5">
        <v>75.5</v>
      </c>
      <c r="B48" s="1">
        <v>1.01</v>
      </c>
      <c r="C48" s="1">
        <v>8.09</v>
      </c>
      <c r="D48" s="1">
        <v>6.38</v>
      </c>
      <c r="E48" s="1">
        <v>7.81</v>
      </c>
      <c r="F48" s="1">
        <v>0</v>
      </c>
      <c r="G48" s="1">
        <v>0</v>
      </c>
      <c r="H48" s="1">
        <v>0.61</v>
      </c>
      <c r="I48" s="6">
        <v>0</v>
      </c>
    </row>
    <row r="49" spans="1:9" x14ac:dyDescent="0.25">
      <c r="A49" s="5">
        <v>99.75</v>
      </c>
      <c r="B49" s="1">
        <v>1.02</v>
      </c>
      <c r="C49" s="1">
        <v>7.92</v>
      </c>
      <c r="D49" s="1">
        <v>6.41</v>
      </c>
      <c r="E49" s="1">
        <v>8.6300000000000008</v>
      </c>
      <c r="F49" s="1">
        <v>0</v>
      </c>
      <c r="G49" s="1">
        <v>0</v>
      </c>
      <c r="H49" s="1">
        <v>0.62</v>
      </c>
      <c r="I49" s="6">
        <v>0</v>
      </c>
    </row>
    <row r="50" spans="1:9" ht="15.75" thickBot="1" x14ac:dyDescent="0.3">
      <c r="A50" s="7">
        <v>162.30000000000001</v>
      </c>
      <c r="B50" s="8">
        <v>1.05</v>
      </c>
      <c r="C50" s="8">
        <v>7.85</v>
      </c>
      <c r="D50" s="8">
        <v>6.48</v>
      </c>
      <c r="E50" s="8">
        <v>9.14</v>
      </c>
      <c r="F50" s="8">
        <v>0</v>
      </c>
      <c r="G50" s="8">
        <v>0</v>
      </c>
      <c r="H50" s="8">
        <v>0.63</v>
      </c>
      <c r="I50" s="9">
        <v>0</v>
      </c>
    </row>
    <row r="52" spans="1:9" x14ac:dyDescent="0.25">
      <c r="A52" s="27" t="s">
        <v>20</v>
      </c>
      <c r="B52" s="27" t="s">
        <v>14</v>
      </c>
      <c r="C52" s="27" t="s">
        <v>13</v>
      </c>
      <c r="D52" s="27" t="s">
        <v>15</v>
      </c>
      <c r="E52" s="27" t="s">
        <v>16</v>
      </c>
      <c r="F52" s="27" t="s">
        <v>17</v>
      </c>
      <c r="G52" s="27" t="s">
        <v>18</v>
      </c>
      <c r="H52" s="27" t="s">
        <v>19</v>
      </c>
    </row>
    <row r="53" spans="1:9" x14ac:dyDescent="0.25">
      <c r="A53" s="27" t="s">
        <v>26</v>
      </c>
      <c r="B53" s="27">
        <f>E41</f>
        <v>6.51</v>
      </c>
      <c r="C53" s="28">
        <f>(B53/A41)</f>
        <v>3.875E-2</v>
      </c>
      <c r="D53" s="28">
        <f>(B53/($D$2-B41-C41-D41))</f>
        <v>0.74061433447098979</v>
      </c>
      <c r="E53" s="28">
        <f>(F41/($D$2-B41-C41-D41))</f>
        <v>1.7064846416382253E-2</v>
      </c>
      <c r="F53" s="28">
        <f>(G41/($D$2-B41-C41-D41))</f>
        <v>0</v>
      </c>
      <c r="G53" s="28">
        <f>(H41/($D$2-B41-C41-D41))</f>
        <v>3.981797497155859E-2</v>
      </c>
      <c r="H53" s="28">
        <f>(I41/($D$2-B41-C41-D41))</f>
        <v>0.24232081911262801</v>
      </c>
    </row>
    <row r="54" spans="1:9" x14ac:dyDescent="0.25">
      <c r="A54" s="27" t="s">
        <v>29</v>
      </c>
      <c r="B54" s="27">
        <f>E50</f>
        <v>9.14</v>
      </c>
      <c r="C54" s="28">
        <f>(B54/A50)</f>
        <v>5.6315465187923595E-2</v>
      </c>
      <c r="D54" s="28">
        <f>(B54/($D$2-B50-C50-D50))</f>
        <v>0.62517099863201098</v>
      </c>
      <c r="E54" s="28">
        <f>(F50/($D$2-B50-C50-D50))</f>
        <v>0</v>
      </c>
      <c r="F54" s="28">
        <f>(G50/($D$2-B50-C50-D50))</f>
        <v>0</v>
      </c>
      <c r="G54" s="28">
        <f>(H50/($D$2-B50-C50-D50))</f>
        <v>4.3091655266757865E-2</v>
      </c>
      <c r="H54" s="28">
        <f>(I50/($D$2-B50-C50-D50))</f>
        <v>0</v>
      </c>
    </row>
    <row r="56" spans="1:9" ht="18.75" x14ac:dyDescent="0.3">
      <c r="A56" s="12" t="s">
        <v>27</v>
      </c>
    </row>
    <row r="58" spans="1:9" ht="15.75" thickBot="1" x14ac:dyDescent="0.3">
      <c r="A58" s="10" t="s">
        <v>28</v>
      </c>
      <c r="B58" s="14"/>
      <c r="C58" s="14"/>
      <c r="D58" s="14"/>
      <c r="E58" s="14"/>
      <c r="F58" s="14"/>
      <c r="G58" s="14"/>
      <c r="H58" s="14"/>
      <c r="I58" s="14"/>
    </row>
    <row r="59" spans="1:9" x14ac:dyDescent="0.25">
      <c r="A59" s="2" t="s">
        <v>2</v>
      </c>
      <c r="B59" s="3" t="s">
        <v>3</v>
      </c>
      <c r="C59" s="3" t="s">
        <v>4</v>
      </c>
      <c r="D59" s="3" t="s">
        <v>5</v>
      </c>
      <c r="E59" s="3" t="s">
        <v>6</v>
      </c>
      <c r="F59" s="3" t="s">
        <v>7</v>
      </c>
      <c r="G59" s="3" t="s">
        <v>8</v>
      </c>
      <c r="H59" s="3" t="s">
        <v>9</v>
      </c>
      <c r="I59" s="4" t="s">
        <v>10</v>
      </c>
    </row>
    <row r="60" spans="1:9" x14ac:dyDescent="0.25">
      <c r="A60" s="5"/>
      <c r="B60" s="1" t="s">
        <v>11</v>
      </c>
      <c r="C60" s="1" t="s">
        <v>11</v>
      </c>
      <c r="D60" s="1" t="s">
        <v>11</v>
      </c>
      <c r="E60" s="1" t="s">
        <v>11</v>
      </c>
      <c r="F60" s="1" t="s">
        <v>11</v>
      </c>
      <c r="G60" s="1" t="s">
        <v>11</v>
      </c>
      <c r="H60" s="1" t="s">
        <v>11</v>
      </c>
      <c r="I60" s="6" t="s">
        <v>11</v>
      </c>
    </row>
    <row r="61" spans="1:9" x14ac:dyDescent="0.25">
      <c r="A61" s="5">
        <v>8</v>
      </c>
      <c r="B61" s="1">
        <v>1.29</v>
      </c>
      <c r="C61" s="1">
        <v>11.75</v>
      </c>
      <c r="D61" s="1">
        <v>6.97</v>
      </c>
      <c r="E61" s="1">
        <v>0.37</v>
      </c>
      <c r="F61" s="1">
        <v>0</v>
      </c>
      <c r="G61" s="1">
        <v>0</v>
      </c>
      <c r="H61" s="1">
        <v>0.43</v>
      </c>
      <c r="I61" s="6">
        <v>0</v>
      </c>
    </row>
    <row r="62" spans="1:9" ht="15.75" thickBot="1" x14ac:dyDescent="0.3">
      <c r="A62" s="7">
        <v>24.5</v>
      </c>
      <c r="B62" s="8">
        <v>1.42</v>
      </c>
      <c r="C62" s="8">
        <v>11.5</v>
      </c>
      <c r="D62" s="8">
        <v>7.61</v>
      </c>
      <c r="E62" s="8">
        <v>0.82</v>
      </c>
      <c r="F62" s="8">
        <v>0</v>
      </c>
      <c r="G62" s="8">
        <v>0</v>
      </c>
      <c r="H62" s="8">
        <v>0.64</v>
      </c>
      <c r="I62" s="9">
        <v>0</v>
      </c>
    </row>
    <row r="63" spans="1:9" x14ac:dyDescent="0.25">
      <c r="A63" s="2">
        <v>47.5</v>
      </c>
      <c r="B63" s="3">
        <v>1.07</v>
      </c>
      <c r="C63" s="3">
        <v>9.44</v>
      </c>
      <c r="D63" s="3">
        <v>6.88</v>
      </c>
      <c r="E63" s="3">
        <v>5.39</v>
      </c>
      <c r="F63" s="3">
        <v>0</v>
      </c>
      <c r="G63" s="3">
        <v>0</v>
      </c>
      <c r="H63" s="3">
        <v>0.64</v>
      </c>
      <c r="I63" s="4">
        <v>0</v>
      </c>
    </row>
    <row r="64" spans="1:9" x14ac:dyDescent="0.25">
      <c r="A64" s="5">
        <v>75.5</v>
      </c>
      <c r="B64" s="1">
        <v>1.01</v>
      </c>
      <c r="C64" s="1">
        <v>8.09</v>
      </c>
      <c r="D64" s="1">
        <v>6.38</v>
      </c>
      <c r="E64" s="1">
        <v>7.81</v>
      </c>
      <c r="F64" s="1">
        <v>0</v>
      </c>
      <c r="G64" s="1">
        <v>0</v>
      </c>
      <c r="H64" s="1">
        <v>0.61</v>
      </c>
      <c r="I64" s="6">
        <v>0</v>
      </c>
    </row>
    <row r="65" spans="1:9" x14ac:dyDescent="0.25">
      <c r="A65" s="5">
        <v>99.75</v>
      </c>
      <c r="B65" s="1">
        <v>1.02</v>
      </c>
      <c r="C65" s="1">
        <v>7.92</v>
      </c>
      <c r="D65" s="1">
        <v>6.41</v>
      </c>
      <c r="E65" s="1">
        <v>8.6300000000000008</v>
      </c>
      <c r="F65" s="1">
        <v>0</v>
      </c>
      <c r="G65" s="1">
        <v>0</v>
      </c>
      <c r="H65" s="1">
        <v>0.62</v>
      </c>
      <c r="I65" s="6">
        <v>0</v>
      </c>
    </row>
    <row r="66" spans="1:9" ht="15.75" thickBot="1" x14ac:dyDescent="0.3">
      <c r="A66" s="7">
        <v>162.30000000000001</v>
      </c>
      <c r="B66" s="8">
        <v>1.05</v>
      </c>
      <c r="C66" s="8">
        <v>7.85</v>
      </c>
      <c r="D66" s="8">
        <v>6.48</v>
      </c>
      <c r="E66" s="8">
        <v>9.14</v>
      </c>
      <c r="F66" s="8">
        <v>0</v>
      </c>
      <c r="G66" s="8">
        <v>0</v>
      </c>
      <c r="H66" s="8">
        <v>0.63</v>
      </c>
      <c r="I66" s="9">
        <v>0</v>
      </c>
    </row>
    <row r="67" spans="1:9" ht="15.75" thickBot="1" x14ac:dyDescent="0.3">
      <c r="A67" s="10" t="s">
        <v>31</v>
      </c>
      <c r="B67" s="15"/>
      <c r="C67" s="15"/>
      <c r="D67" s="15"/>
      <c r="E67" s="15"/>
      <c r="F67" s="15"/>
      <c r="G67" s="15"/>
      <c r="H67" s="15"/>
      <c r="I67" s="15"/>
    </row>
    <row r="68" spans="1:9" x14ac:dyDescent="0.25">
      <c r="A68" s="2" t="s">
        <v>2</v>
      </c>
      <c r="B68" s="3" t="s">
        <v>3</v>
      </c>
      <c r="C68" s="3" t="s">
        <v>4</v>
      </c>
      <c r="D68" s="3" t="s">
        <v>5</v>
      </c>
      <c r="E68" s="3" t="s">
        <v>6</v>
      </c>
      <c r="F68" s="3" t="s">
        <v>7</v>
      </c>
      <c r="G68" s="3" t="s">
        <v>8</v>
      </c>
      <c r="H68" s="3" t="s">
        <v>9</v>
      </c>
      <c r="I68" s="4" t="s">
        <v>10</v>
      </c>
    </row>
    <row r="69" spans="1:9" x14ac:dyDescent="0.25">
      <c r="A69" s="5"/>
      <c r="B69" s="1" t="s">
        <v>11</v>
      </c>
      <c r="C69" s="1" t="s">
        <v>11</v>
      </c>
      <c r="D69" s="1" t="s">
        <v>11</v>
      </c>
      <c r="E69" s="1" t="s">
        <v>11</v>
      </c>
      <c r="F69" s="1" t="s">
        <v>11</v>
      </c>
      <c r="G69" s="1" t="s">
        <v>11</v>
      </c>
      <c r="H69" s="1" t="s">
        <v>11</v>
      </c>
      <c r="I69" s="6" t="s">
        <v>11</v>
      </c>
    </row>
    <row r="70" spans="1:9" x14ac:dyDescent="0.25">
      <c r="A70" s="5">
        <v>8</v>
      </c>
      <c r="B70" s="1">
        <v>1.47</v>
      </c>
      <c r="C70" s="1">
        <v>12.33</v>
      </c>
      <c r="D70" s="1">
        <v>7.44</v>
      </c>
      <c r="E70" s="1">
        <v>0.63</v>
      </c>
      <c r="F70" s="1">
        <v>0</v>
      </c>
      <c r="G70" s="1">
        <v>0</v>
      </c>
      <c r="H70" s="1">
        <v>0.71</v>
      </c>
      <c r="I70" s="6">
        <v>0</v>
      </c>
    </row>
    <row r="71" spans="1:9" ht="15.75" thickBot="1" x14ac:dyDescent="0.3">
      <c r="A71" s="7">
        <v>24.5</v>
      </c>
      <c r="B71" s="8">
        <v>0.94</v>
      </c>
      <c r="C71" s="8">
        <v>10.79</v>
      </c>
      <c r="D71" s="8">
        <v>6.94</v>
      </c>
      <c r="E71" s="8">
        <v>5.37</v>
      </c>
      <c r="F71" s="8">
        <v>0</v>
      </c>
      <c r="G71" s="8">
        <v>0.19</v>
      </c>
      <c r="H71" s="8">
        <v>0.72</v>
      </c>
      <c r="I71" s="9">
        <v>0</v>
      </c>
    </row>
    <row r="72" spans="1:9" x14ac:dyDescent="0.25">
      <c r="A72" s="2">
        <v>47.5</v>
      </c>
      <c r="B72" s="3">
        <v>0.63</v>
      </c>
      <c r="C72" s="3">
        <v>8.92</v>
      </c>
      <c r="D72" s="3">
        <v>6.28</v>
      </c>
      <c r="E72" s="3">
        <v>9</v>
      </c>
      <c r="F72" s="3">
        <v>0</v>
      </c>
      <c r="G72" s="3">
        <v>0.19</v>
      </c>
      <c r="H72" s="3">
        <v>0.69</v>
      </c>
      <c r="I72" s="4">
        <v>0</v>
      </c>
    </row>
    <row r="73" spans="1:9" x14ac:dyDescent="0.25">
      <c r="A73" s="5">
        <v>75.5</v>
      </c>
      <c r="B73" s="1">
        <v>0.56999999999999995</v>
      </c>
      <c r="C73" s="1">
        <v>8.51</v>
      </c>
      <c r="D73" s="1">
        <v>6.02</v>
      </c>
      <c r="E73" s="1">
        <v>9.2899999999999991</v>
      </c>
      <c r="F73" s="1">
        <v>0</v>
      </c>
      <c r="G73" s="1">
        <v>0.19</v>
      </c>
      <c r="H73" s="1">
        <v>0.67</v>
      </c>
      <c r="I73" s="6">
        <v>0</v>
      </c>
    </row>
    <row r="74" spans="1:9" x14ac:dyDescent="0.25">
      <c r="A74" s="5">
        <v>99.75</v>
      </c>
      <c r="B74" s="1">
        <v>0.57999999999999996</v>
      </c>
      <c r="C74" s="1">
        <v>8.6199999999999992</v>
      </c>
      <c r="D74" s="1">
        <v>6.1</v>
      </c>
      <c r="E74" s="1">
        <v>9.42</v>
      </c>
      <c r="F74" s="1">
        <v>0</v>
      </c>
      <c r="G74" s="1">
        <v>0.19</v>
      </c>
      <c r="H74" s="1">
        <v>0.68</v>
      </c>
      <c r="I74" s="6">
        <v>0</v>
      </c>
    </row>
    <row r="75" spans="1:9" ht="15.75" thickBot="1" x14ac:dyDescent="0.3">
      <c r="A75" s="7">
        <v>162.30000000000001</v>
      </c>
      <c r="B75" s="8">
        <v>0.61</v>
      </c>
      <c r="C75" s="8">
        <v>8.7799999999999994</v>
      </c>
      <c r="D75" s="8">
        <v>6.26</v>
      </c>
      <c r="E75" s="8">
        <v>9.65</v>
      </c>
      <c r="F75" s="8">
        <v>0</v>
      </c>
      <c r="G75" s="8">
        <v>0.2</v>
      </c>
      <c r="H75" s="8">
        <v>0.7</v>
      </c>
      <c r="I75" s="9">
        <v>0</v>
      </c>
    </row>
    <row r="77" spans="1:9" x14ac:dyDescent="0.25">
      <c r="A77" s="15" t="s">
        <v>20</v>
      </c>
      <c r="B77" s="15" t="s">
        <v>14</v>
      </c>
      <c r="C77" s="15" t="s">
        <v>13</v>
      </c>
      <c r="D77" s="15" t="s">
        <v>15</v>
      </c>
      <c r="E77" s="15" t="s">
        <v>16</v>
      </c>
      <c r="F77" s="15" t="s">
        <v>17</v>
      </c>
      <c r="G77" s="15" t="s">
        <v>18</v>
      </c>
      <c r="H77" s="15" t="s">
        <v>19</v>
      </c>
    </row>
    <row r="78" spans="1:9" x14ac:dyDescent="0.25">
      <c r="A78" s="15" t="s">
        <v>29</v>
      </c>
      <c r="B78" s="27">
        <f>E66</f>
        <v>9.14</v>
      </c>
      <c r="C78" s="16">
        <f>(B78/A66)</f>
        <v>5.6315465187923595E-2</v>
      </c>
      <c r="D78" s="16">
        <f>(B78/($D$2-B66-C66-D66))</f>
        <v>0.62517099863201098</v>
      </c>
      <c r="E78" s="16">
        <f>(F66/($D$2-B66-C66-D66))</f>
        <v>0</v>
      </c>
      <c r="F78" s="16">
        <f>(G66/($D$2-B66-C66-D66))</f>
        <v>0</v>
      </c>
      <c r="G78" s="16">
        <f>(H66/($D$2-B66-C66-D66))</f>
        <v>4.3091655266757865E-2</v>
      </c>
      <c r="H78" s="16">
        <f>(I66/($D$2-B66-C66-D66))</f>
        <v>0</v>
      </c>
    </row>
    <row r="79" spans="1:9" x14ac:dyDescent="0.25">
      <c r="A79" s="15" t="s">
        <v>32</v>
      </c>
      <c r="B79" s="27">
        <f>E75</f>
        <v>9.65</v>
      </c>
      <c r="C79" s="16">
        <f>(B79/A75)</f>
        <v>5.9457794208256316E-2</v>
      </c>
      <c r="D79" s="16">
        <f>(B79/($D$2-B75-C75-D75))</f>
        <v>0.67247386759581884</v>
      </c>
      <c r="E79" s="16">
        <f>(F75/($D$2-B75-C75-D75))</f>
        <v>0</v>
      </c>
      <c r="F79" s="16">
        <f>(G75/($D$2-B75-C75-D75))</f>
        <v>1.3937282229965159E-2</v>
      </c>
      <c r="G79" s="16">
        <f>(H75/($D$2-B75-C75-D75))</f>
        <v>4.8780487804878044E-2</v>
      </c>
      <c r="H79" s="16">
        <f>(I75/($D$2-B75-C75-D75))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zoomScale="85" zoomScaleNormal="85" workbookViewId="0">
      <selection activeCell="B13" sqref="B13:B14"/>
    </sheetView>
  </sheetViews>
  <sheetFormatPr baseColWidth="10" defaultRowHeight="15" x14ac:dyDescent="0.25"/>
  <cols>
    <col min="7" max="7" width="11.85546875" bestFit="1" customWidth="1"/>
  </cols>
  <sheetData>
    <row r="1" spans="1:9" ht="18.75" x14ac:dyDescent="0.3">
      <c r="A1" s="12" t="s">
        <v>33</v>
      </c>
    </row>
    <row r="2" spans="1:9" x14ac:dyDescent="0.25">
      <c r="C2" t="s">
        <v>23</v>
      </c>
      <c r="D2">
        <v>30</v>
      </c>
    </row>
    <row r="3" spans="1:9" ht="15.75" thickBot="1" x14ac:dyDescent="0.3">
      <c r="A3" s="10" t="s">
        <v>34</v>
      </c>
    </row>
    <row r="4" spans="1:9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4" t="s">
        <v>10</v>
      </c>
    </row>
    <row r="5" spans="1:9" x14ac:dyDescent="0.25">
      <c r="A5" s="5"/>
      <c r="B5" s="1" t="s">
        <v>11</v>
      </c>
      <c r="C5" s="1" t="s">
        <v>11</v>
      </c>
      <c r="D5" s="1" t="s">
        <v>11</v>
      </c>
      <c r="E5" s="1" t="s">
        <v>11</v>
      </c>
      <c r="F5" s="1" t="s">
        <v>11</v>
      </c>
      <c r="G5" s="1" t="s">
        <v>11</v>
      </c>
      <c r="H5" s="1" t="s">
        <v>11</v>
      </c>
      <c r="I5" s="6" t="s">
        <v>11</v>
      </c>
    </row>
    <row r="6" spans="1:9" ht="15.75" thickBot="1" x14ac:dyDescent="0.3">
      <c r="A6" s="7">
        <v>120</v>
      </c>
      <c r="B6" s="8">
        <v>18.739999999999998</v>
      </c>
      <c r="C6" s="8">
        <v>0.38</v>
      </c>
      <c r="D6" s="8">
        <v>1.9</v>
      </c>
      <c r="E6" s="8">
        <v>0</v>
      </c>
      <c r="F6" s="8">
        <v>1.24</v>
      </c>
      <c r="G6" s="8">
        <v>0.33</v>
      </c>
      <c r="H6" s="8">
        <v>0.7</v>
      </c>
      <c r="I6" s="9">
        <v>0</v>
      </c>
    </row>
    <row r="7" spans="1:9" ht="15.75" thickBot="1" x14ac:dyDescent="0.3">
      <c r="A7" s="10" t="s">
        <v>35</v>
      </c>
    </row>
    <row r="8" spans="1:9" x14ac:dyDescent="0.25">
      <c r="A8" s="2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4" t="s">
        <v>10</v>
      </c>
    </row>
    <row r="9" spans="1:9" x14ac:dyDescent="0.25">
      <c r="A9" s="5"/>
      <c r="B9" s="1" t="s">
        <v>11</v>
      </c>
      <c r="C9" s="1" t="s">
        <v>11</v>
      </c>
      <c r="D9" s="1" t="s">
        <v>11</v>
      </c>
      <c r="E9" s="1" t="s">
        <v>11</v>
      </c>
      <c r="F9" s="1" t="s">
        <v>11</v>
      </c>
      <c r="G9" s="1" t="s">
        <v>11</v>
      </c>
      <c r="H9" s="1" t="s">
        <v>11</v>
      </c>
      <c r="I9" s="6" t="s">
        <v>11</v>
      </c>
    </row>
    <row r="10" spans="1:9" ht="15.75" thickBot="1" x14ac:dyDescent="0.3">
      <c r="A10" s="7">
        <v>120</v>
      </c>
      <c r="B10" s="8">
        <v>11.15</v>
      </c>
      <c r="C10" s="8">
        <v>5.59</v>
      </c>
      <c r="D10" s="8">
        <v>8.5299999999999994</v>
      </c>
      <c r="E10" s="8">
        <v>0</v>
      </c>
      <c r="F10" s="8">
        <v>2.3199999999999998</v>
      </c>
      <c r="G10" s="8">
        <v>0.96</v>
      </c>
      <c r="H10" s="8">
        <v>1.71</v>
      </c>
      <c r="I10" s="9">
        <v>0</v>
      </c>
    </row>
    <row r="12" spans="1:9" x14ac:dyDescent="0.25">
      <c r="A12" s="17" t="s">
        <v>20</v>
      </c>
      <c r="B12" s="17" t="s">
        <v>14</v>
      </c>
      <c r="C12" s="17" t="s">
        <v>13</v>
      </c>
      <c r="D12" s="17" t="s">
        <v>15</v>
      </c>
      <c r="E12" s="17" t="s">
        <v>16</v>
      </c>
      <c r="F12" s="17" t="s">
        <v>17</v>
      </c>
      <c r="G12" s="17" t="s">
        <v>18</v>
      </c>
      <c r="H12" s="17" t="s">
        <v>19</v>
      </c>
    </row>
    <row r="13" spans="1:9" x14ac:dyDescent="0.25">
      <c r="A13" s="17" t="s">
        <v>38</v>
      </c>
      <c r="B13" s="27">
        <f>F6</f>
        <v>1.24</v>
      </c>
      <c r="C13" s="18">
        <f>(B13/A6)</f>
        <v>1.0333333333333333E-2</v>
      </c>
      <c r="D13" s="18">
        <f>(E6/($D$2-B6-C6-D6))</f>
        <v>0</v>
      </c>
      <c r="E13" s="18">
        <f>(F6/($D$2-B6-C6-D6))</f>
        <v>0.13808463251670378</v>
      </c>
      <c r="F13" s="18">
        <f>(G6/($D$2-B6-C6-D6))</f>
        <v>3.6748329621380846E-2</v>
      </c>
      <c r="G13" s="18">
        <f>(H6/($D$2-B6-C6-D6))</f>
        <v>7.7951002227171481E-2</v>
      </c>
      <c r="H13" s="18">
        <f>(I6/($D$2-B6-C6-D6))</f>
        <v>0</v>
      </c>
    </row>
    <row r="14" spans="1:9" x14ac:dyDescent="0.25">
      <c r="A14" s="17" t="s">
        <v>39</v>
      </c>
      <c r="B14" s="27">
        <f>F10</f>
        <v>2.3199999999999998</v>
      </c>
      <c r="C14" s="18">
        <f>(B14/A10)</f>
        <v>1.9333333333333331E-2</v>
      </c>
      <c r="D14" s="18">
        <f>(E10/($D$2-B10-C10-D10))</f>
        <v>0</v>
      </c>
      <c r="E14" s="18">
        <f>(F10/($D$2-B10-C10-D10))</f>
        <v>0.49048625792811812</v>
      </c>
      <c r="F14" s="18">
        <f>(G10/($D$2-B10-C10-D10))</f>
        <v>0.20295983086680752</v>
      </c>
      <c r="G14" s="18">
        <f>(H10/($D$2-B10-C10-D10))</f>
        <v>0.36152219873150088</v>
      </c>
      <c r="H14" s="18">
        <f>(I10/($D$2-B10-C10-D10))</f>
        <v>0</v>
      </c>
    </row>
    <row r="16" spans="1:9" ht="18.75" x14ac:dyDescent="0.3">
      <c r="A16" s="12" t="s">
        <v>36</v>
      </c>
    </row>
    <row r="18" spans="1:9" ht="15.75" thickBot="1" x14ac:dyDescent="0.3">
      <c r="A18" s="10" t="s">
        <v>35</v>
      </c>
      <c r="B18" s="17"/>
      <c r="C18" s="17"/>
      <c r="D18" s="17"/>
      <c r="E18" s="17"/>
      <c r="F18" s="17"/>
      <c r="G18" s="17"/>
      <c r="H18" s="17"/>
      <c r="I18" s="17"/>
    </row>
    <row r="19" spans="1:9" x14ac:dyDescent="0.25">
      <c r="A19" s="2" t="s">
        <v>2</v>
      </c>
      <c r="B19" s="3" t="s">
        <v>3</v>
      </c>
      <c r="C19" s="3" t="s">
        <v>4</v>
      </c>
      <c r="D19" s="3" t="s">
        <v>5</v>
      </c>
      <c r="E19" s="3" t="s">
        <v>6</v>
      </c>
      <c r="F19" s="3" t="s">
        <v>7</v>
      </c>
      <c r="G19" s="3" t="s">
        <v>8</v>
      </c>
      <c r="H19" s="3" t="s">
        <v>9</v>
      </c>
      <c r="I19" s="4" t="s">
        <v>10</v>
      </c>
    </row>
    <row r="20" spans="1:9" x14ac:dyDescent="0.25">
      <c r="A20" s="5"/>
      <c r="B20" s="1" t="s">
        <v>11</v>
      </c>
      <c r="C20" s="1" t="s">
        <v>11</v>
      </c>
      <c r="D20" s="1" t="s">
        <v>11</v>
      </c>
      <c r="E20" s="1" t="s">
        <v>11</v>
      </c>
      <c r="F20" s="1" t="s">
        <v>11</v>
      </c>
      <c r="G20" s="1" t="s">
        <v>11</v>
      </c>
      <c r="H20" s="1" t="s">
        <v>11</v>
      </c>
      <c r="I20" s="6" t="s">
        <v>11</v>
      </c>
    </row>
    <row r="21" spans="1:9" ht="15.75" thickBot="1" x14ac:dyDescent="0.3">
      <c r="A21" s="7">
        <v>120</v>
      </c>
      <c r="B21" s="8">
        <v>11.15</v>
      </c>
      <c r="C21" s="8">
        <v>5.59</v>
      </c>
      <c r="D21" s="8">
        <v>8.5299999999999994</v>
      </c>
      <c r="E21" s="8">
        <v>0</v>
      </c>
      <c r="F21" s="8">
        <v>2.3199999999999998</v>
      </c>
      <c r="G21" s="8">
        <v>0.96</v>
      </c>
      <c r="H21" s="8">
        <v>1.71</v>
      </c>
      <c r="I21" s="9">
        <v>0</v>
      </c>
    </row>
    <row r="22" spans="1:9" ht="15.75" thickBot="1" x14ac:dyDescent="0.3">
      <c r="A22" s="10" t="s">
        <v>37</v>
      </c>
    </row>
    <row r="23" spans="1:9" x14ac:dyDescent="0.25">
      <c r="A23" s="2" t="s">
        <v>2</v>
      </c>
      <c r="B23" s="3" t="s">
        <v>3</v>
      </c>
      <c r="C23" s="3" t="s">
        <v>4</v>
      </c>
      <c r="D23" s="3" t="s">
        <v>5</v>
      </c>
      <c r="E23" s="3" t="s">
        <v>6</v>
      </c>
      <c r="F23" s="3" t="s">
        <v>7</v>
      </c>
      <c r="G23" s="3" t="s">
        <v>8</v>
      </c>
      <c r="H23" s="3" t="s">
        <v>9</v>
      </c>
      <c r="I23" s="4" t="s">
        <v>10</v>
      </c>
    </row>
    <row r="24" spans="1:9" x14ac:dyDescent="0.25">
      <c r="A24" s="5"/>
      <c r="B24" s="1" t="s">
        <v>11</v>
      </c>
      <c r="C24" s="1" t="s">
        <v>11</v>
      </c>
      <c r="D24" s="1" t="s">
        <v>11</v>
      </c>
      <c r="E24" s="1" t="s">
        <v>11</v>
      </c>
      <c r="F24" s="1" t="s">
        <v>11</v>
      </c>
      <c r="G24" s="1" t="s">
        <v>11</v>
      </c>
      <c r="H24" s="1" t="s">
        <v>11</v>
      </c>
      <c r="I24" s="6" t="s">
        <v>11</v>
      </c>
    </row>
    <row r="25" spans="1:9" ht="15.75" thickBot="1" x14ac:dyDescent="0.3">
      <c r="A25" s="7">
        <v>120</v>
      </c>
      <c r="B25" s="8">
        <v>15.96</v>
      </c>
      <c r="C25" s="8">
        <v>5.4</v>
      </c>
      <c r="D25" s="8">
        <v>3.36</v>
      </c>
      <c r="E25" s="8">
        <v>0</v>
      </c>
      <c r="F25" s="8">
        <v>4.07</v>
      </c>
      <c r="G25" s="8">
        <v>1.31</v>
      </c>
      <c r="H25" s="8">
        <v>2.56</v>
      </c>
      <c r="I25" s="9">
        <v>0</v>
      </c>
    </row>
    <row r="27" spans="1:9" x14ac:dyDescent="0.25">
      <c r="A27" s="19" t="s">
        <v>20</v>
      </c>
      <c r="B27" s="19" t="s">
        <v>14</v>
      </c>
      <c r="C27" s="19" t="s">
        <v>13</v>
      </c>
      <c r="D27" s="19" t="s">
        <v>15</v>
      </c>
      <c r="E27" s="19" t="s">
        <v>16</v>
      </c>
      <c r="F27" s="19" t="s">
        <v>17</v>
      </c>
      <c r="G27" s="19" t="s">
        <v>18</v>
      </c>
      <c r="H27" s="19" t="s">
        <v>19</v>
      </c>
    </row>
    <row r="28" spans="1:9" x14ac:dyDescent="0.25">
      <c r="A28" s="19" t="s">
        <v>39</v>
      </c>
      <c r="B28" s="27">
        <f>F21</f>
        <v>2.3199999999999998</v>
      </c>
      <c r="C28" s="20">
        <f>(B28/A21)</f>
        <v>1.9333333333333331E-2</v>
      </c>
      <c r="D28" s="20">
        <f>(E21/($D$2-B21-C21-D21))</f>
        <v>0</v>
      </c>
      <c r="E28" s="20">
        <f>(F21/($D$2-B21-C21-D21))</f>
        <v>0.49048625792811812</v>
      </c>
      <c r="F28" s="20">
        <f>(G21/($D$2-B21-C21-D21))</f>
        <v>0.20295983086680752</v>
      </c>
      <c r="G28" s="20">
        <f>(H21/($D$2-B21-C21-D21))</f>
        <v>0.36152219873150088</v>
      </c>
      <c r="H28" s="20">
        <f>(I21/($D$2-B21-C21-D21))</f>
        <v>0</v>
      </c>
    </row>
    <row r="29" spans="1:9" x14ac:dyDescent="0.25">
      <c r="A29" s="19" t="s">
        <v>40</v>
      </c>
      <c r="B29" s="27">
        <f>F25</f>
        <v>4.07</v>
      </c>
      <c r="C29" s="20">
        <f>(B29/A25)</f>
        <v>3.3916666666666671E-2</v>
      </c>
      <c r="D29" s="20">
        <f>(E25/($D$2-B25-C25-D25))</f>
        <v>0</v>
      </c>
      <c r="E29" s="20">
        <f>(F25/($D$2-B25-C25-D25))</f>
        <v>0.77083333333333348</v>
      </c>
      <c r="F29" s="20">
        <f>(G25/($D$2-B25-C25-D25))</f>
        <v>0.24810606060606064</v>
      </c>
      <c r="G29" s="20">
        <f>(H25/($D$2-B25-C25-D25))</f>
        <v>0.48484848484848492</v>
      </c>
      <c r="H29" s="20">
        <f>(I25/($D$2-B25-C25-D25))</f>
        <v>0</v>
      </c>
    </row>
    <row r="31" spans="1:9" ht="18.75" x14ac:dyDescent="0.3">
      <c r="A31" s="12" t="s">
        <v>41</v>
      </c>
    </row>
    <row r="33" spans="1:9" ht="15.75" thickBot="1" x14ac:dyDescent="0.3">
      <c r="A33" s="10" t="s">
        <v>37</v>
      </c>
      <c r="B33" s="19"/>
      <c r="C33" s="19"/>
      <c r="D33" s="19"/>
      <c r="E33" s="19"/>
      <c r="F33" s="19"/>
      <c r="G33" s="19"/>
      <c r="H33" s="19"/>
      <c r="I33" s="19"/>
    </row>
    <row r="34" spans="1:9" x14ac:dyDescent="0.25">
      <c r="A34" s="2" t="s">
        <v>2</v>
      </c>
      <c r="B34" s="3" t="s">
        <v>3</v>
      </c>
      <c r="C34" s="3" t="s">
        <v>4</v>
      </c>
      <c r="D34" s="3" t="s">
        <v>5</v>
      </c>
      <c r="E34" s="3" t="s">
        <v>6</v>
      </c>
      <c r="F34" s="3" t="s">
        <v>7</v>
      </c>
      <c r="G34" s="3" t="s">
        <v>8</v>
      </c>
      <c r="H34" s="3" t="s">
        <v>9</v>
      </c>
      <c r="I34" s="4" t="s">
        <v>10</v>
      </c>
    </row>
    <row r="35" spans="1:9" x14ac:dyDescent="0.25">
      <c r="A35" s="5"/>
      <c r="B35" s="1" t="s">
        <v>11</v>
      </c>
      <c r="C35" s="1" t="s">
        <v>11</v>
      </c>
      <c r="D35" s="1" t="s">
        <v>11</v>
      </c>
      <c r="E35" s="1" t="s">
        <v>11</v>
      </c>
      <c r="F35" s="1" t="s">
        <v>11</v>
      </c>
      <c r="G35" s="1" t="s">
        <v>11</v>
      </c>
      <c r="H35" s="1" t="s">
        <v>11</v>
      </c>
      <c r="I35" s="6" t="s">
        <v>11</v>
      </c>
    </row>
    <row r="36" spans="1:9" ht="15.75" thickBot="1" x14ac:dyDescent="0.3">
      <c r="A36" s="7">
        <v>120</v>
      </c>
      <c r="B36" s="8">
        <v>15.96</v>
      </c>
      <c r="C36" s="8">
        <v>5.4</v>
      </c>
      <c r="D36" s="8">
        <v>3.36</v>
      </c>
      <c r="E36" s="8">
        <v>0</v>
      </c>
      <c r="F36" s="8">
        <v>4.07</v>
      </c>
      <c r="G36" s="8">
        <v>1.31</v>
      </c>
      <c r="H36" s="8">
        <v>2.56</v>
      </c>
      <c r="I36" s="9">
        <v>0</v>
      </c>
    </row>
    <row r="37" spans="1:9" ht="15.75" thickBot="1" x14ac:dyDescent="0.3">
      <c r="A37" s="10" t="s">
        <v>42</v>
      </c>
      <c r="B37" s="21"/>
      <c r="C37" s="21"/>
      <c r="D37" s="21"/>
      <c r="E37" s="21"/>
      <c r="F37" s="21"/>
      <c r="G37" s="21"/>
      <c r="H37" s="21"/>
      <c r="I37" s="21"/>
    </row>
    <row r="38" spans="1:9" x14ac:dyDescent="0.25">
      <c r="A38" s="2" t="s">
        <v>2</v>
      </c>
      <c r="B38" s="3" t="s">
        <v>3</v>
      </c>
      <c r="C38" s="3" t="s">
        <v>4</v>
      </c>
      <c r="D38" s="3" t="s">
        <v>5</v>
      </c>
      <c r="E38" s="3" t="s">
        <v>6</v>
      </c>
      <c r="F38" s="3" t="s">
        <v>7</v>
      </c>
      <c r="G38" s="3" t="s">
        <v>8</v>
      </c>
      <c r="H38" s="3" t="s">
        <v>9</v>
      </c>
      <c r="I38" s="4" t="s">
        <v>10</v>
      </c>
    </row>
    <row r="39" spans="1:9" x14ac:dyDescent="0.25">
      <c r="A39" s="5"/>
      <c r="B39" s="1" t="s">
        <v>11</v>
      </c>
      <c r="C39" s="1" t="s">
        <v>11</v>
      </c>
      <c r="D39" s="1" t="s">
        <v>11</v>
      </c>
      <c r="E39" s="1" t="s">
        <v>11</v>
      </c>
      <c r="F39" s="1" t="s">
        <v>11</v>
      </c>
      <c r="G39" s="1" t="s">
        <v>11</v>
      </c>
      <c r="H39" s="1" t="s">
        <v>11</v>
      </c>
      <c r="I39" s="6" t="s">
        <v>11</v>
      </c>
    </row>
    <row r="40" spans="1:9" x14ac:dyDescent="0.25">
      <c r="A40" s="5">
        <v>72</v>
      </c>
      <c r="B40" s="1">
        <v>29</v>
      </c>
      <c r="C40" s="1">
        <v>0.06</v>
      </c>
      <c r="D40" s="1">
        <v>0.46</v>
      </c>
      <c r="E40" s="1">
        <v>0</v>
      </c>
      <c r="F40" s="1">
        <v>2.0699999999999998</v>
      </c>
      <c r="G40" s="1">
        <v>0.13</v>
      </c>
      <c r="H40" s="1">
        <v>1.23</v>
      </c>
      <c r="I40" s="6">
        <v>0</v>
      </c>
    </row>
    <row r="41" spans="1:9" x14ac:dyDescent="0.25">
      <c r="A41" s="29">
        <v>96</v>
      </c>
      <c r="B41" s="1">
        <v>28.85</v>
      </c>
      <c r="C41" s="1">
        <v>0.04</v>
      </c>
      <c r="D41" s="1">
        <v>0.46</v>
      </c>
      <c r="E41" s="1">
        <v>0</v>
      </c>
      <c r="F41" s="1">
        <v>2.5</v>
      </c>
      <c r="G41" s="1">
        <v>0.15</v>
      </c>
      <c r="H41" s="1">
        <v>1.23</v>
      </c>
      <c r="I41" s="6">
        <v>0</v>
      </c>
    </row>
    <row r="42" spans="1:9" x14ac:dyDescent="0.25">
      <c r="A42" s="5">
        <v>120</v>
      </c>
      <c r="B42" s="1">
        <v>28.77</v>
      </c>
      <c r="C42" s="1">
        <v>0</v>
      </c>
      <c r="D42" s="1">
        <v>0</v>
      </c>
      <c r="E42" s="1">
        <v>0</v>
      </c>
      <c r="F42" s="1">
        <v>4.22</v>
      </c>
      <c r="G42" s="1">
        <v>0.22</v>
      </c>
      <c r="H42" s="1">
        <v>1.32</v>
      </c>
      <c r="I42" s="6">
        <v>0</v>
      </c>
    </row>
    <row r="43" spans="1:9" x14ac:dyDescent="0.25">
      <c r="A43" s="5">
        <v>144</v>
      </c>
      <c r="B43" s="1">
        <v>28.03</v>
      </c>
      <c r="C43" s="1">
        <v>0</v>
      </c>
      <c r="D43" s="1">
        <v>0</v>
      </c>
      <c r="E43" s="1">
        <v>0</v>
      </c>
      <c r="F43" s="1">
        <v>4.25</v>
      </c>
      <c r="G43" s="1">
        <v>0.23</v>
      </c>
      <c r="H43" s="1">
        <v>1.51</v>
      </c>
      <c r="I43" s="6">
        <v>0</v>
      </c>
    </row>
    <row r="44" spans="1:9" x14ac:dyDescent="0.25">
      <c r="A44" s="5">
        <v>168</v>
      </c>
      <c r="B44" s="1">
        <v>27.37</v>
      </c>
      <c r="C44" s="1">
        <v>0</v>
      </c>
      <c r="D44" s="1">
        <v>0</v>
      </c>
      <c r="E44" s="1">
        <v>0</v>
      </c>
      <c r="F44" s="1">
        <v>4.75</v>
      </c>
      <c r="G44" s="1">
        <v>0.36</v>
      </c>
      <c r="H44" s="1">
        <v>1.38</v>
      </c>
      <c r="I44" s="6">
        <v>0.48</v>
      </c>
    </row>
    <row r="45" spans="1:9" x14ac:dyDescent="0.25">
      <c r="A45" s="31">
        <v>240</v>
      </c>
      <c r="B45" s="1">
        <v>24.34</v>
      </c>
      <c r="C45" s="1">
        <v>0</v>
      </c>
      <c r="D45" s="1">
        <v>0</v>
      </c>
      <c r="E45" s="1">
        <v>0</v>
      </c>
      <c r="F45" s="1">
        <v>4.8499999999999996</v>
      </c>
      <c r="G45" s="1">
        <v>0.35</v>
      </c>
      <c r="H45" s="1">
        <v>1.46</v>
      </c>
      <c r="I45" s="6">
        <v>0.45</v>
      </c>
    </row>
    <row r="46" spans="1:9" x14ac:dyDescent="0.25">
      <c r="A46" s="5">
        <v>264</v>
      </c>
      <c r="B46" s="1">
        <v>23.44</v>
      </c>
      <c r="C46" s="1">
        <v>0</v>
      </c>
      <c r="D46" s="1">
        <v>0</v>
      </c>
      <c r="E46" s="1">
        <v>0</v>
      </c>
      <c r="F46" s="1">
        <v>4.8499999999999996</v>
      </c>
      <c r="G46" s="1">
        <v>0.36</v>
      </c>
      <c r="H46" s="1">
        <v>1.59</v>
      </c>
      <c r="I46" s="6">
        <v>0.48</v>
      </c>
    </row>
    <row r="47" spans="1:9" x14ac:dyDescent="0.25">
      <c r="A47" s="5">
        <v>288</v>
      </c>
      <c r="B47" s="1">
        <v>23.02</v>
      </c>
      <c r="C47" s="1">
        <v>0</v>
      </c>
      <c r="D47" s="1">
        <v>0</v>
      </c>
      <c r="E47" s="1">
        <v>0</v>
      </c>
      <c r="F47" s="1">
        <v>4.95</v>
      </c>
      <c r="G47" s="1">
        <v>0.35</v>
      </c>
      <c r="H47" s="1">
        <v>1.58</v>
      </c>
      <c r="I47" s="6">
        <v>0.47</v>
      </c>
    </row>
    <row r="48" spans="1:9" x14ac:dyDescent="0.25">
      <c r="A48" s="5">
        <v>312</v>
      </c>
      <c r="B48" s="1">
        <v>22.03</v>
      </c>
      <c r="C48" s="1">
        <v>0</v>
      </c>
      <c r="D48" s="1">
        <v>0</v>
      </c>
      <c r="E48" s="1">
        <v>0</v>
      </c>
      <c r="F48" s="1">
        <v>4.9800000000000004</v>
      </c>
      <c r="G48" s="1">
        <v>0.27</v>
      </c>
      <c r="H48" s="1">
        <v>1.68</v>
      </c>
      <c r="I48" s="6">
        <v>0.6</v>
      </c>
    </row>
    <row r="49" spans="1:9" x14ac:dyDescent="0.25">
      <c r="A49" s="31">
        <v>336</v>
      </c>
      <c r="B49" s="1">
        <v>21.97</v>
      </c>
      <c r="C49" s="1">
        <v>0</v>
      </c>
      <c r="D49" s="1">
        <v>0</v>
      </c>
      <c r="E49" s="1">
        <v>0</v>
      </c>
      <c r="F49" s="1">
        <v>5.0999999999999996</v>
      </c>
      <c r="G49" s="1">
        <v>0.34</v>
      </c>
      <c r="H49" s="1">
        <v>2</v>
      </c>
      <c r="I49" s="6">
        <v>0.8</v>
      </c>
    </row>
    <row r="50" spans="1:9" x14ac:dyDescent="0.25">
      <c r="A50" s="5">
        <v>408</v>
      </c>
      <c r="B50" s="1">
        <v>21.24</v>
      </c>
      <c r="C50" s="1">
        <v>0</v>
      </c>
      <c r="D50" s="1">
        <v>0</v>
      </c>
      <c r="E50" s="1">
        <v>0</v>
      </c>
      <c r="F50" s="1">
        <v>5.12</v>
      </c>
      <c r="G50" s="1">
        <v>0.36</v>
      </c>
      <c r="H50" s="1">
        <v>2.04</v>
      </c>
      <c r="I50" s="6">
        <v>0.93</v>
      </c>
    </row>
    <row r="51" spans="1:9" ht="15.75" thickBot="1" x14ac:dyDescent="0.3">
      <c r="A51" s="7">
        <v>432</v>
      </c>
      <c r="B51" s="8">
        <v>20.99</v>
      </c>
      <c r="C51" s="8">
        <v>0</v>
      </c>
      <c r="D51" s="8">
        <v>0</v>
      </c>
      <c r="E51" s="8">
        <v>0</v>
      </c>
      <c r="F51" s="8">
        <v>5.13</v>
      </c>
      <c r="G51" s="8">
        <v>0.35</v>
      </c>
      <c r="H51" s="8">
        <v>2.04</v>
      </c>
      <c r="I51" s="9">
        <v>0.95</v>
      </c>
    </row>
    <row r="53" spans="1:9" x14ac:dyDescent="0.25">
      <c r="A53" s="21" t="s">
        <v>20</v>
      </c>
      <c r="B53" s="21" t="s">
        <v>14</v>
      </c>
      <c r="C53" s="21" t="s">
        <v>13</v>
      </c>
      <c r="D53" s="21" t="s">
        <v>15</v>
      </c>
      <c r="E53" s="21" t="s">
        <v>16</v>
      </c>
      <c r="F53" s="21" t="s">
        <v>17</v>
      </c>
      <c r="G53" s="21" t="s">
        <v>18</v>
      </c>
      <c r="H53" s="21" t="s">
        <v>19</v>
      </c>
    </row>
    <row r="54" spans="1:9" x14ac:dyDescent="0.25">
      <c r="A54" s="21" t="s">
        <v>40</v>
      </c>
      <c r="B54" s="27">
        <f>F36</f>
        <v>4.07</v>
      </c>
      <c r="C54" s="22">
        <f>(B54/A36)</f>
        <v>3.3916666666666671E-2</v>
      </c>
      <c r="D54" s="22">
        <f>(E36/($D$2-B36-C36-D36))</f>
        <v>0</v>
      </c>
      <c r="E54" s="22">
        <f>(F36/($D$2-B36-C36-D36))</f>
        <v>0.77083333333333348</v>
      </c>
      <c r="F54" s="22">
        <f>(G36/($D$2-B36-C36-D36))</f>
        <v>0.24810606060606064</v>
      </c>
      <c r="G54" s="22">
        <f>(H36/($D$2-B36-C36-D36))</f>
        <v>0.48484848484848492</v>
      </c>
      <c r="H54" s="22">
        <f>(I36/($D$2-B36-C36-D36))</f>
        <v>0</v>
      </c>
    </row>
    <row r="55" spans="1:9" x14ac:dyDescent="0.25">
      <c r="A55" s="21" t="s">
        <v>43</v>
      </c>
      <c r="B55" s="27">
        <f>F42</f>
        <v>4.22</v>
      </c>
      <c r="C55" s="22">
        <f>(B55/A42)</f>
        <v>3.5166666666666666E-2</v>
      </c>
      <c r="D55" s="22">
        <f>(E42/($D$2-B42-C42-D42))</f>
        <v>0</v>
      </c>
      <c r="E55" s="22">
        <f>(F42/($D$2-B42-C42-D42))</f>
        <v>3.4308943089430879</v>
      </c>
      <c r="F55" s="22">
        <f>(G42/($D$2-B42-C42-D42))</f>
        <v>0.17886178861788612</v>
      </c>
      <c r="G55" s="22">
        <f>(H42/($D$2-B42-C42-D42))</f>
        <v>1.0731707317073167</v>
      </c>
      <c r="H55" s="22">
        <f>(I42/($D$2-B42-C42-D42))</f>
        <v>0</v>
      </c>
    </row>
    <row r="57" spans="1:9" ht="18.75" x14ac:dyDescent="0.3">
      <c r="A57" s="12" t="s">
        <v>98</v>
      </c>
    </row>
    <row r="59" spans="1:9" ht="15.75" thickBot="1" x14ac:dyDescent="0.3">
      <c r="A59" s="10" t="s">
        <v>99</v>
      </c>
    </row>
    <row r="60" spans="1:9" x14ac:dyDescent="0.25">
      <c r="A60" s="2" t="s">
        <v>2</v>
      </c>
      <c r="B60" s="3" t="s">
        <v>3</v>
      </c>
      <c r="C60" s="3" t="s">
        <v>4</v>
      </c>
      <c r="D60" s="3" t="s">
        <v>5</v>
      </c>
      <c r="E60" s="3" t="s">
        <v>6</v>
      </c>
      <c r="F60" s="3" t="s">
        <v>7</v>
      </c>
      <c r="G60" s="3" t="s">
        <v>8</v>
      </c>
      <c r="H60" s="3" t="s">
        <v>9</v>
      </c>
      <c r="I60" s="4" t="s">
        <v>10</v>
      </c>
    </row>
    <row r="61" spans="1:9" x14ac:dyDescent="0.25">
      <c r="A61" s="5"/>
      <c r="B61" s="1" t="s">
        <v>11</v>
      </c>
      <c r="C61" s="1" t="s">
        <v>11</v>
      </c>
      <c r="D61" s="1" t="s">
        <v>11</v>
      </c>
      <c r="E61" s="1" t="s">
        <v>11</v>
      </c>
      <c r="F61" s="1" t="s">
        <v>11</v>
      </c>
      <c r="G61" s="1" t="s">
        <v>11</v>
      </c>
      <c r="H61" s="1" t="s">
        <v>11</v>
      </c>
      <c r="I61" s="6" t="s">
        <v>11</v>
      </c>
    </row>
    <row r="62" spans="1:9" x14ac:dyDescent="0.25">
      <c r="A62" s="5">
        <v>8</v>
      </c>
      <c r="B62" s="1">
        <v>11.62</v>
      </c>
      <c r="C62" s="1">
        <v>0.3</v>
      </c>
      <c r="D62" s="1">
        <v>3.44</v>
      </c>
      <c r="E62" s="1">
        <v>0.77</v>
      </c>
      <c r="F62" s="1">
        <v>0</v>
      </c>
      <c r="G62" s="1">
        <v>0.6</v>
      </c>
      <c r="H62" s="1">
        <v>0</v>
      </c>
      <c r="I62" s="6">
        <v>0</v>
      </c>
    </row>
    <row r="63" spans="1:9" x14ac:dyDescent="0.25">
      <c r="A63" s="29">
        <v>24.5</v>
      </c>
      <c r="B63" s="1">
        <v>10.45</v>
      </c>
      <c r="C63" s="1">
        <v>0.06</v>
      </c>
      <c r="D63" s="1">
        <v>3.51</v>
      </c>
      <c r="E63" s="1">
        <v>3.03</v>
      </c>
      <c r="F63" s="1">
        <v>0</v>
      </c>
      <c r="G63" s="1">
        <v>0.63</v>
      </c>
      <c r="H63" s="1">
        <v>0.18</v>
      </c>
      <c r="I63" s="6">
        <v>0</v>
      </c>
    </row>
    <row r="64" spans="1:9" x14ac:dyDescent="0.25">
      <c r="A64" s="5">
        <v>47.5</v>
      </c>
      <c r="B64" s="1">
        <v>9.41</v>
      </c>
      <c r="C64" s="1">
        <v>0.09</v>
      </c>
      <c r="D64" s="1">
        <v>3.32</v>
      </c>
      <c r="E64" s="1">
        <v>3.95</v>
      </c>
      <c r="F64" s="1">
        <v>0</v>
      </c>
      <c r="G64" s="1">
        <v>0.65</v>
      </c>
      <c r="H64" s="1">
        <v>0.18</v>
      </c>
      <c r="I64" s="6">
        <v>0</v>
      </c>
    </row>
    <row r="65" spans="1:9" x14ac:dyDescent="0.25">
      <c r="A65" s="5">
        <v>75.5</v>
      </c>
      <c r="B65" s="1">
        <v>9.0299999999999994</v>
      </c>
      <c r="C65" s="1">
        <v>0.09</v>
      </c>
      <c r="D65" s="1">
        <v>3.51</v>
      </c>
      <c r="E65" s="1">
        <v>3.98</v>
      </c>
      <c r="F65" s="1">
        <v>0</v>
      </c>
      <c r="G65" s="1">
        <v>0.65</v>
      </c>
      <c r="H65" s="1">
        <v>0.18</v>
      </c>
      <c r="I65" s="6">
        <v>0</v>
      </c>
    </row>
    <row r="66" spans="1:9" x14ac:dyDescent="0.25">
      <c r="A66" s="5">
        <v>99.75</v>
      </c>
      <c r="B66" s="1">
        <v>9.08</v>
      </c>
      <c r="C66" s="1">
        <v>0.08</v>
      </c>
      <c r="D66" s="1">
        <v>3.49</v>
      </c>
      <c r="E66" s="1">
        <v>5.64</v>
      </c>
      <c r="F66" s="1">
        <v>0</v>
      </c>
      <c r="G66" s="1">
        <v>0.64</v>
      </c>
      <c r="H66" s="1">
        <v>0.18</v>
      </c>
      <c r="I66" s="6">
        <v>0</v>
      </c>
    </row>
    <row r="67" spans="1:9" ht="15.75" thickBot="1" x14ac:dyDescent="0.3">
      <c r="A67" s="30">
        <v>162.30000000000001</v>
      </c>
      <c r="B67" s="8">
        <v>8.27</v>
      </c>
      <c r="C67" s="8">
        <v>0.08</v>
      </c>
      <c r="D67" s="8">
        <v>3.44</v>
      </c>
      <c r="E67" s="8">
        <v>7.58</v>
      </c>
      <c r="F67" s="8">
        <v>0</v>
      </c>
      <c r="G67" s="8">
        <v>0.65</v>
      </c>
      <c r="H67" s="8">
        <v>0.19</v>
      </c>
      <c r="I67" s="9">
        <v>0</v>
      </c>
    </row>
    <row r="68" spans="1:9" ht="15.75" thickBot="1" x14ac:dyDescent="0.3">
      <c r="A68" s="10" t="s">
        <v>97</v>
      </c>
    </row>
    <row r="69" spans="1:9" x14ac:dyDescent="0.25">
      <c r="A69" s="2" t="s">
        <v>2</v>
      </c>
      <c r="B69" s="3" t="s">
        <v>3</v>
      </c>
      <c r="C69" s="3" t="s">
        <v>4</v>
      </c>
      <c r="D69" s="3" t="s">
        <v>5</v>
      </c>
      <c r="E69" s="3" t="s">
        <v>6</v>
      </c>
      <c r="F69" s="3" t="s">
        <v>7</v>
      </c>
      <c r="G69" s="3" t="s">
        <v>8</v>
      </c>
      <c r="H69" s="3" t="s">
        <v>9</v>
      </c>
      <c r="I69" s="4" t="s">
        <v>10</v>
      </c>
    </row>
    <row r="70" spans="1:9" x14ac:dyDescent="0.25">
      <c r="A70" s="5"/>
      <c r="B70" s="1" t="s">
        <v>11</v>
      </c>
      <c r="C70" s="1" t="s">
        <v>11</v>
      </c>
      <c r="D70" s="1" t="s">
        <v>11</v>
      </c>
      <c r="E70" s="1" t="s">
        <v>11</v>
      </c>
      <c r="F70" s="1" t="s">
        <v>11</v>
      </c>
      <c r="G70" s="1" t="s">
        <v>11</v>
      </c>
      <c r="H70" s="1" t="s">
        <v>11</v>
      </c>
      <c r="I70" s="6" t="s">
        <v>11</v>
      </c>
    </row>
    <row r="71" spans="1:9" x14ac:dyDescent="0.25">
      <c r="A71" s="5">
        <v>8</v>
      </c>
      <c r="B71" s="1">
        <v>11.3</v>
      </c>
      <c r="C71" s="1">
        <v>0.05</v>
      </c>
      <c r="D71" s="1">
        <v>3.7</v>
      </c>
      <c r="E71" s="1">
        <v>0.74</v>
      </c>
      <c r="F71" s="1">
        <v>0</v>
      </c>
      <c r="G71" s="1">
        <v>0.31</v>
      </c>
      <c r="H71" s="1">
        <v>0.1</v>
      </c>
      <c r="I71" s="6">
        <v>0</v>
      </c>
    </row>
    <row r="72" spans="1:9" x14ac:dyDescent="0.25">
      <c r="A72" s="29">
        <v>24.5</v>
      </c>
      <c r="B72" s="1">
        <v>8.52</v>
      </c>
      <c r="C72" s="1">
        <v>0.12</v>
      </c>
      <c r="D72" s="1">
        <v>3.73</v>
      </c>
      <c r="E72" s="1">
        <v>5.07</v>
      </c>
      <c r="F72" s="1">
        <v>0</v>
      </c>
      <c r="G72" s="1">
        <v>0.7</v>
      </c>
      <c r="H72" s="1">
        <v>0.16</v>
      </c>
      <c r="I72" s="6">
        <v>0</v>
      </c>
    </row>
    <row r="73" spans="1:9" x14ac:dyDescent="0.25">
      <c r="A73" s="5">
        <v>47.5</v>
      </c>
      <c r="B73" s="1">
        <v>5.76</v>
      </c>
      <c r="C73" s="1">
        <v>0.09</v>
      </c>
      <c r="D73" s="1">
        <v>3.32</v>
      </c>
      <c r="E73" s="1">
        <v>7.58</v>
      </c>
      <c r="F73" s="1">
        <v>0</v>
      </c>
      <c r="G73" s="1">
        <v>0.73</v>
      </c>
      <c r="H73" s="1">
        <v>0.18</v>
      </c>
      <c r="I73" s="6">
        <v>0</v>
      </c>
    </row>
    <row r="74" spans="1:9" x14ac:dyDescent="0.25">
      <c r="A74" s="5">
        <v>75.5</v>
      </c>
      <c r="B74" s="1">
        <v>5.31</v>
      </c>
      <c r="C74" s="1">
        <v>0.1</v>
      </c>
      <c r="D74" s="1">
        <v>3.74</v>
      </c>
      <c r="E74" s="1">
        <v>7.53</v>
      </c>
      <c r="F74" s="1">
        <v>0</v>
      </c>
      <c r="G74" s="1">
        <v>0.73</v>
      </c>
      <c r="H74" s="1">
        <v>0.17</v>
      </c>
      <c r="I74" s="6">
        <v>0</v>
      </c>
    </row>
    <row r="75" spans="1:9" x14ac:dyDescent="0.25">
      <c r="A75" s="5">
        <v>99.75</v>
      </c>
      <c r="B75" s="1">
        <v>5.12</v>
      </c>
      <c r="C75" s="1">
        <v>0</v>
      </c>
      <c r="D75" s="1">
        <v>3.46</v>
      </c>
      <c r="E75" s="1">
        <v>7.88</v>
      </c>
      <c r="F75" s="1">
        <v>0</v>
      </c>
      <c r="G75" s="1">
        <v>0.72</v>
      </c>
      <c r="H75" s="1">
        <v>0.16</v>
      </c>
      <c r="I75" s="6">
        <v>0</v>
      </c>
    </row>
    <row r="76" spans="1:9" ht="15.75" thickBot="1" x14ac:dyDescent="0.3">
      <c r="A76" s="30">
        <v>162.30000000000001</v>
      </c>
      <c r="B76" s="8">
        <v>4.97</v>
      </c>
      <c r="C76" s="8">
        <v>0</v>
      </c>
      <c r="D76" s="8">
        <v>3.39</v>
      </c>
      <c r="E76" s="8">
        <v>8.7799999999999994</v>
      </c>
      <c r="F76" s="8">
        <v>0</v>
      </c>
      <c r="G76" s="8">
        <v>0.72</v>
      </c>
      <c r="H76" s="8">
        <v>0.18</v>
      </c>
      <c r="I76" s="9">
        <v>0</v>
      </c>
    </row>
    <row r="78" spans="1:9" x14ac:dyDescent="0.25">
      <c r="A78" s="27" t="s">
        <v>20</v>
      </c>
      <c r="B78" s="27" t="s">
        <v>14</v>
      </c>
      <c r="C78" s="27" t="s">
        <v>13</v>
      </c>
      <c r="D78" s="27" t="s">
        <v>15</v>
      </c>
      <c r="E78" s="27" t="s">
        <v>16</v>
      </c>
      <c r="F78" s="27" t="s">
        <v>17</v>
      </c>
      <c r="G78" s="27" t="s">
        <v>18</v>
      </c>
      <c r="H78" s="27" t="s">
        <v>19</v>
      </c>
    </row>
    <row r="79" spans="1:9" x14ac:dyDescent="0.25">
      <c r="A79" s="27" t="s">
        <v>124</v>
      </c>
      <c r="B79" s="27">
        <f>E67</f>
        <v>7.58</v>
      </c>
      <c r="C79" s="28">
        <f>(B79/A67)</f>
        <v>4.6703635243376458E-2</v>
      </c>
      <c r="D79" s="28">
        <f>(E67/($D$2-B67-C67-D67))</f>
        <v>0.41625480505216911</v>
      </c>
      <c r="E79" s="28">
        <f>(F67/($D$2-B67-C67-D67))</f>
        <v>0</v>
      </c>
      <c r="F79" s="28">
        <f>(G67/($D$2-B67-C67-D67))</f>
        <v>3.5694673256452501E-2</v>
      </c>
      <c r="G79" s="28">
        <f>(H67/($D$2-B67-C67-D67))</f>
        <v>1.043382756727073E-2</v>
      </c>
      <c r="H79" s="28">
        <f>(I67/($D$2-B67-C67-D67))</f>
        <v>0</v>
      </c>
    </row>
    <row r="80" spans="1:9" x14ac:dyDescent="0.25">
      <c r="A80" s="27" t="s">
        <v>125</v>
      </c>
      <c r="B80" s="27">
        <f>E76</f>
        <v>8.7799999999999994</v>
      </c>
      <c r="C80" s="28">
        <f>(B80/A76)</f>
        <v>5.4097350585335789E-2</v>
      </c>
      <c r="D80" s="28">
        <f>(E76/($D$2-B76-C76-D76))</f>
        <v>0.40573012939001846</v>
      </c>
      <c r="E80" s="28">
        <f>(F76/($D$2-B76-C76-D76))</f>
        <v>0</v>
      </c>
      <c r="F80" s="28">
        <f>(G76/($D$2-B76-C76-D76))</f>
        <v>3.3271719038817003E-2</v>
      </c>
      <c r="G80" s="28">
        <f>(H76/($D$2-B76-C76-D76))</f>
        <v>8.3179297597042508E-3</v>
      </c>
      <c r="H80" s="28">
        <f>(I76/($D$2-B76-C76-D76))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="55" zoomScaleNormal="55" workbookViewId="0">
      <selection activeCell="P30" sqref="P30"/>
    </sheetView>
  </sheetViews>
  <sheetFormatPr baseColWidth="10" defaultRowHeight="15" x14ac:dyDescent="0.25"/>
  <sheetData>
    <row r="1" spans="1:9" ht="18.75" x14ac:dyDescent="0.3">
      <c r="A1" s="12" t="s">
        <v>44</v>
      </c>
    </row>
    <row r="2" spans="1:9" x14ac:dyDescent="0.25">
      <c r="C2" t="s">
        <v>23</v>
      </c>
      <c r="D2">
        <v>30</v>
      </c>
    </row>
    <row r="3" spans="1:9" ht="15.75" thickBot="1" x14ac:dyDescent="0.3">
      <c r="A3" s="10" t="s">
        <v>45</v>
      </c>
    </row>
    <row r="4" spans="1:9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4" t="s">
        <v>10</v>
      </c>
    </row>
    <row r="5" spans="1:9" x14ac:dyDescent="0.25">
      <c r="A5" s="5"/>
      <c r="B5" s="1" t="s">
        <v>11</v>
      </c>
      <c r="C5" s="1" t="s">
        <v>11</v>
      </c>
      <c r="D5" s="1" t="s">
        <v>11</v>
      </c>
      <c r="E5" s="1" t="s">
        <v>11</v>
      </c>
      <c r="F5" s="1" t="s">
        <v>11</v>
      </c>
      <c r="G5" s="1" t="s">
        <v>11</v>
      </c>
      <c r="H5" s="1" t="s">
        <v>11</v>
      </c>
      <c r="I5" s="6" t="s">
        <v>11</v>
      </c>
    </row>
    <row r="6" spans="1:9" x14ac:dyDescent="0.25">
      <c r="A6" s="5">
        <v>48</v>
      </c>
      <c r="B6" s="1">
        <v>12.84</v>
      </c>
      <c r="C6" s="1">
        <v>13.5</v>
      </c>
      <c r="D6" s="1">
        <v>0</v>
      </c>
      <c r="E6" s="1">
        <v>0.65</v>
      </c>
      <c r="F6" s="1">
        <v>0</v>
      </c>
      <c r="G6" s="1">
        <v>0.1</v>
      </c>
      <c r="H6" s="1">
        <v>0.43</v>
      </c>
      <c r="I6" s="6">
        <v>0</v>
      </c>
    </row>
    <row r="7" spans="1:9" ht="15.75" thickBot="1" x14ac:dyDescent="0.3">
      <c r="A7" s="7">
        <v>96</v>
      </c>
      <c r="B7" s="8">
        <v>12.4</v>
      </c>
      <c r="C7" s="8">
        <v>12.36</v>
      </c>
      <c r="D7" s="8">
        <v>0</v>
      </c>
      <c r="E7" s="8">
        <v>0.66</v>
      </c>
      <c r="F7" s="8">
        <v>0</v>
      </c>
      <c r="G7" s="8">
        <v>0.1</v>
      </c>
      <c r="H7" s="8">
        <v>0.43</v>
      </c>
      <c r="I7" s="9">
        <v>0</v>
      </c>
    </row>
    <row r="8" spans="1:9" ht="15.75" thickBot="1" x14ac:dyDescent="0.3">
      <c r="A8" s="10" t="s">
        <v>46</v>
      </c>
    </row>
    <row r="9" spans="1:9" x14ac:dyDescent="0.25">
      <c r="A9" s="2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  <c r="I9" s="4" t="s">
        <v>10</v>
      </c>
    </row>
    <row r="10" spans="1:9" x14ac:dyDescent="0.25">
      <c r="A10" s="5"/>
      <c r="B10" s="1" t="s">
        <v>11</v>
      </c>
      <c r="C10" s="1" t="s">
        <v>11</v>
      </c>
      <c r="D10" s="1" t="s">
        <v>11</v>
      </c>
      <c r="E10" s="1" t="s">
        <v>11</v>
      </c>
      <c r="F10" s="1" t="s">
        <v>11</v>
      </c>
      <c r="G10" s="1" t="s">
        <v>11</v>
      </c>
      <c r="H10" s="1" t="s">
        <v>11</v>
      </c>
      <c r="I10" s="6" t="s">
        <v>11</v>
      </c>
    </row>
    <row r="11" spans="1:9" x14ac:dyDescent="0.25">
      <c r="A11" s="5">
        <v>48</v>
      </c>
      <c r="B11" s="1">
        <v>13.8</v>
      </c>
      <c r="C11" s="1">
        <v>16.38</v>
      </c>
      <c r="D11" s="1">
        <v>0</v>
      </c>
      <c r="E11" s="1">
        <v>2.89</v>
      </c>
      <c r="F11" s="1">
        <v>0.08</v>
      </c>
      <c r="G11" s="1">
        <v>0</v>
      </c>
      <c r="H11" s="1">
        <v>0.27</v>
      </c>
      <c r="I11" s="6">
        <v>0.95</v>
      </c>
    </row>
    <row r="12" spans="1:9" ht="15.75" thickBot="1" x14ac:dyDescent="0.3">
      <c r="A12" s="7">
        <v>168</v>
      </c>
      <c r="B12" s="8">
        <v>11.4</v>
      </c>
      <c r="C12" s="8">
        <v>5.73</v>
      </c>
      <c r="D12" s="8">
        <v>0</v>
      </c>
      <c r="E12" s="8">
        <v>10.53</v>
      </c>
      <c r="F12" s="8">
        <v>0.14000000000000001</v>
      </c>
      <c r="G12" s="8">
        <v>0</v>
      </c>
      <c r="H12" s="8">
        <v>0.39</v>
      </c>
      <c r="I12" s="9">
        <v>3.98</v>
      </c>
    </row>
    <row r="14" spans="1:9" x14ac:dyDescent="0.25">
      <c r="A14" s="23" t="s">
        <v>20</v>
      </c>
      <c r="B14" s="23" t="s">
        <v>14</v>
      </c>
      <c r="C14" s="23" t="s">
        <v>13</v>
      </c>
      <c r="D14" s="23" t="s">
        <v>15</v>
      </c>
      <c r="E14" s="23" t="s">
        <v>16</v>
      </c>
      <c r="F14" s="23" t="s">
        <v>17</v>
      </c>
      <c r="G14" s="23" t="s">
        <v>18</v>
      </c>
      <c r="H14" s="23" t="s">
        <v>19</v>
      </c>
    </row>
    <row r="15" spans="1:9" x14ac:dyDescent="0.25">
      <c r="A15" s="23" t="s">
        <v>49</v>
      </c>
      <c r="B15" s="27">
        <f>E7</f>
        <v>0.66</v>
      </c>
      <c r="C15" s="24">
        <f>(B15/A7)</f>
        <v>6.875E-3</v>
      </c>
      <c r="D15" s="24">
        <f>(E7/($D$2-B7-C7-D7))</f>
        <v>0.1259541984732824</v>
      </c>
      <c r="E15" s="24">
        <f>(F7/($D$2-B7-C7-D7))</f>
        <v>0</v>
      </c>
      <c r="F15" s="24">
        <f>(G7/($D$2-B7-C7-D7))</f>
        <v>1.9083969465648849E-2</v>
      </c>
      <c r="G15" s="24">
        <f>(H7/($D$2-B7-C7-D7))</f>
        <v>8.2061068702290046E-2</v>
      </c>
      <c r="H15" s="24">
        <f>(I7/($D$2-B7-C7-D7))</f>
        <v>0</v>
      </c>
    </row>
    <row r="16" spans="1:9" x14ac:dyDescent="0.25">
      <c r="A16" s="23" t="s">
        <v>50</v>
      </c>
      <c r="B16" s="27">
        <f>E12</f>
        <v>10.53</v>
      </c>
      <c r="C16" s="24">
        <f>(B16/A12)</f>
        <v>6.2678571428571431E-2</v>
      </c>
      <c r="D16" s="24">
        <f>(E12/($D$2-B12-C12-D12))</f>
        <v>0.81818181818181812</v>
      </c>
      <c r="E16" s="24">
        <f>(F12/($D$2-B12-C12-D12))</f>
        <v>1.0878010878010878E-2</v>
      </c>
      <c r="F16" s="24">
        <f>(G12/($D$2-B12-C12-D12))</f>
        <v>0</v>
      </c>
      <c r="G16" s="24">
        <f>(H12/($D$2-B12-C12-D12))</f>
        <v>3.03030303030303E-2</v>
      </c>
      <c r="H16" s="24">
        <f>(I12/($D$2-B12-C12-D12))</f>
        <v>0.30924630924630925</v>
      </c>
    </row>
    <row r="17" spans="1:9" x14ac:dyDescent="0.25">
      <c r="B17" s="27"/>
    </row>
    <row r="18" spans="1:9" ht="18.75" x14ac:dyDescent="0.3">
      <c r="A18" s="12" t="s">
        <v>47</v>
      </c>
    </row>
    <row r="20" spans="1:9" ht="15.75" thickBot="1" x14ac:dyDescent="0.3">
      <c r="A20" s="10" t="s">
        <v>46</v>
      </c>
      <c r="B20" s="23"/>
      <c r="C20" s="23"/>
      <c r="D20" s="23"/>
      <c r="E20" s="23"/>
      <c r="F20" s="23"/>
      <c r="G20" s="23"/>
      <c r="H20" s="23"/>
      <c r="I20" s="23"/>
    </row>
    <row r="21" spans="1:9" x14ac:dyDescent="0.25">
      <c r="A21" s="2" t="s">
        <v>2</v>
      </c>
      <c r="B21" s="3" t="s">
        <v>3</v>
      </c>
      <c r="C21" s="3" t="s">
        <v>4</v>
      </c>
      <c r="D21" s="3" t="s">
        <v>5</v>
      </c>
      <c r="E21" s="3" t="s">
        <v>6</v>
      </c>
      <c r="F21" s="3" t="s">
        <v>7</v>
      </c>
      <c r="G21" s="3" t="s">
        <v>8</v>
      </c>
      <c r="H21" s="3" t="s">
        <v>9</v>
      </c>
      <c r="I21" s="4" t="s">
        <v>10</v>
      </c>
    </row>
    <row r="22" spans="1:9" x14ac:dyDescent="0.25">
      <c r="A22" s="5"/>
      <c r="B22" s="1" t="s">
        <v>11</v>
      </c>
      <c r="C22" s="1" t="s">
        <v>11</v>
      </c>
      <c r="D22" s="1" t="s">
        <v>11</v>
      </c>
      <c r="E22" s="1" t="s">
        <v>11</v>
      </c>
      <c r="F22" s="1" t="s">
        <v>11</v>
      </c>
      <c r="G22" s="1" t="s">
        <v>11</v>
      </c>
      <c r="H22" s="1" t="s">
        <v>11</v>
      </c>
      <c r="I22" s="6" t="s">
        <v>11</v>
      </c>
    </row>
    <row r="23" spans="1:9" x14ac:dyDescent="0.25">
      <c r="A23" s="5">
        <v>48</v>
      </c>
      <c r="B23" s="1">
        <v>13.8</v>
      </c>
      <c r="C23" s="1">
        <v>16.38</v>
      </c>
      <c r="D23" s="1">
        <v>0</v>
      </c>
      <c r="E23" s="1">
        <v>2.89</v>
      </c>
      <c r="F23" s="1">
        <v>0.08</v>
      </c>
      <c r="G23" s="1">
        <v>0</v>
      </c>
      <c r="H23" s="1">
        <v>0.27</v>
      </c>
      <c r="I23" s="6">
        <v>0.95</v>
      </c>
    </row>
    <row r="24" spans="1:9" ht="15.75" thickBot="1" x14ac:dyDescent="0.3">
      <c r="A24" s="7">
        <v>168</v>
      </c>
      <c r="B24" s="8">
        <v>11.4</v>
      </c>
      <c r="C24" s="8">
        <v>5.73</v>
      </c>
      <c r="D24" s="8">
        <v>0</v>
      </c>
      <c r="E24" s="8">
        <v>10.53</v>
      </c>
      <c r="F24" s="8">
        <v>0.14000000000000001</v>
      </c>
      <c r="G24" s="8">
        <v>0</v>
      </c>
      <c r="H24" s="8">
        <v>0.39</v>
      </c>
      <c r="I24" s="9">
        <v>3.98</v>
      </c>
    </row>
    <row r="25" spans="1:9" ht="15.75" thickBot="1" x14ac:dyDescent="0.3">
      <c r="A25" s="10" t="s">
        <v>48</v>
      </c>
    </row>
    <row r="26" spans="1:9" x14ac:dyDescent="0.25">
      <c r="A26" s="2" t="s">
        <v>2</v>
      </c>
      <c r="B26" s="3" t="s">
        <v>3</v>
      </c>
      <c r="C26" s="3" t="s">
        <v>4</v>
      </c>
      <c r="D26" s="3" t="s">
        <v>5</v>
      </c>
      <c r="E26" s="3" t="s">
        <v>6</v>
      </c>
      <c r="F26" s="3" t="s">
        <v>7</v>
      </c>
      <c r="G26" s="3" t="s">
        <v>8</v>
      </c>
      <c r="H26" s="3" t="s">
        <v>9</v>
      </c>
      <c r="I26" s="4" t="s">
        <v>10</v>
      </c>
    </row>
    <row r="27" spans="1:9" x14ac:dyDescent="0.25">
      <c r="A27" s="5"/>
      <c r="B27" s="1" t="s">
        <v>11</v>
      </c>
      <c r="C27" s="1" t="s">
        <v>11</v>
      </c>
      <c r="D27" s="1" t="s">
        <v>11</v>
      </c>
      <c r="E27" s="1" t="s">
        <v>11</v>
      </c>
      <c r="F27" s="1" t="s">
        <v>11</v>
      </c>
      <c r="G27" s="1" t="s">
        <v>11</v>
      </c>
      <c r="H27" s="1" t="s">
        <v>11</v>
      </c>
      <c r="I27" s="6" t="s">
        <v>11</v>
      </c>
    </row>
    <row r="28" spans="1:9" x14ac:dyDescent="0.25">
      <c r="A28" s="5">
        <v>48</v>
      </c>
      <c r="B28" s="1">
        <v>15.37</v>
      </c>
      <c r="C28" s="1">
        <v>15.85</v>
      </c>
      <c r="D28" s="1">
        <v>0</v>
      </c>
      <c r="E28" s="1">
        <v>5.7</v>
      </c>
      <c r="F28" s="1">
        <v>7.0000000000000007E-2</v>
      </c>
      <c r="G28" s="1">
        <v>0</v>
      </c>
      <c r="H28" s="1">
        <v>0.19</v>
      </c>
      <c r="I28" s="6">
        <v>0.06</v>
      </c>
    </row>
    <row r="29" spans="1:9" ht="15.75" thickBot="1" x14ac:dyDescent="0.3">
      <c r="A29" s="7">
        <v>168</v>
      </c>
      <c r="B29" s="8">
        <v>13.93</v>
      </c>
      <c r="C29" s="8">
        <v>5.31</v>
      </c>
      <c r="D29" s="8">
        <v>0</v>
      </c>
      <c r="E29" s="8">
        <v>9.1999999999999993</v>
      </c>
      <c r="F29" s="8">
        <v>0.08</v>
      </c>
      <c r="G29" s="8">
        <v>0</v>
      </c>
      <c r="H29" s="8">
        <v>0.23</v>
      </c>
      <c r="I29" s="9">
        <v>0.21</v>
      </c>
    </row>
    <row r="31" spans="1:9" x14ac:dyDescent="0.25">
      <c r="A31" s="25" t="s">
        <v>20</v>
      </c>
      <c r="B31" s="25" t="s">
        <v>14</v>
      </c>
      <c r="C31" s="25" t="s">
        <v>13</v>
      </c>
      <c r="D31" s="25" t="s">
        <v>15</v>
      </c>
      <c r="E31" s="25" t="s">
        <v>16</v>
      </c>
      <c r="F31" s="25" t="s">
        <v>17</v>
      </c>
      <c r="G31" s="25" t="s">
        <v>18</v>
      </c>
      <c r="H31" s="25" t="s">
        <v>19</v>
      </c>
    </row>
    <row r="32" spans="1:9" x14ac:dyDescent="0.25">
      <c r="A32" s="25" t="s">
        <v>50</v>
      </c>
      <c r="B32" s="27">
        <f>E24</f>
        <v>10.53</v>
      </c>
      <c r="C32" s="26">
        <f>(B32/A24)</f>
        <v>6.2678571428571431E-2</v>
      </c>
      <c r="D32" s="26">
        <f>(E24/($D$2-B24-C24-D24))</f>
        <v>0.81818181818181812</v>
      </c>
      <c r="E32" s="26">
        <f>(F24/($D$2-B24-C24-D24))</f>
        <v>1.0878010878010878E-2</v>
      </c>
      <c r="F32" s="26">
        <f>(G24/($D$2-B24-C24-D24))</f>
        <v>0</v>
      </c>
      <c r="G32" s="26">
        <f>(H24/($D$2-B24-C24-D24))</f>
        <v>3.03030303030303E-2</v>
      </c>
      <c r="H32" s="26">
        <f>(I24/($D$2-B24-C24-D24))</f>
        <v>0.30924630924630925</v>
      </c>
    </row>
    <row r="33" spans="1:8" x14ac:dyDescent="0.25">
      <c r="A33" s="25" t="s">
        <v>51</v>
      </c>
      <c r="B33" s="27">
        <f>E29</f>
        <v>9.1999999999999993</v>
      </c>
      <c r="C33" s="26">
        <f>(B33/A29)</f>
        <v>5.4761904761904755E-2</v>
      </c>
      <c r="D33" s="26">
        <f>(E29/($D$2-B29-C29-D29))</f>
        <v>0.85501858736059455</v>
      </c>
      <c r="E33" s="26">
        <f>(F29/($D$2-B29-C29-D29))</f>
        <v>7.4349442379182144E-3</v>
      </c>
      <c r="F33" s="26">
        <f>(G29/($D$2-B29-C29-D29))</f>
        <v>0</v>
      </c>
      <c r="G33" s="26">
        <f>(H29/($D$2-B29-C29-D29))</f>
        <v>2.1375464684014869E-2</v>
      </c>
      <c r="H33" s="26">
        <f>(I29/($D$2-B29-C29-D29))</f>
        <v>1.9516728624535313E-2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="70" zoomScaleNormal="70" workbookViewId="0">
      <selection activeCell="C32" sqref="C32"/>
    </sheetView>
  </sheetViews>
  <sheetFormatPr baseColWidth="10" defaultRowHeight="15" x14ac:dyDescent="0.25"/>
  <sheetData>
    <row r="1" spans="1:7" ht="18.75" x14ac:dyDescent="0.3">
      <c r="A1" s="12" t="s">
        <v>52</v>
      </c>
    </row>
    <row r="2" spans="1:7" x14ac:dyDescent="0.25">
      <c r="C2" t="s">
        <v>23</v>
      </c>
      <c r="D2">
        <v>30</v>
      </c>
    </row>
    <row r="3" spans="1:7" ht="15.75" thickBot="1" x14ac:dyDescent="0.3">
      <c r="A3" s="10" t="s">
        <v>53</v>
      </c>
    </row>
    <row r="4" spans="1:7" x14ac:dyDescent="0.25">
      <c r="A4" s="2" t="s">
        <v>2</v>
      </c>
      <c r="B4" s="3" t="s">
        <v>54</v>
      </c>
      <c r="C4" s="3" t="s">
        <v>55</v>
      </c>
      <c r="D4" s="3" t="s">
        <v>55</v>
      </c>
      <c r="E4" s="3" t="s">
        <v>55</v>
      </c>
      <c r="F4" s="3" t="s">
        <v>55</v>
      </c>
      <c r="G4" s="4" t="s">
        <v>10</v>
      </c>
    </row>
    <row r="5" spans="1:7" x14ac:dyDescent="0.25">
      <c r="A5" s="5"/>
      <c r="B5" s="1" t="s">
        <v>11</v>
      </c>
      <c r="C5" s="1" t="s">
        <v>56</v>
      </c>
      <c r="D5" s="1" t="s">
        <v>57</v>
      </c>
      <c r="E5" s="1" t="s">
        <v>58</v>
      </c>
      <c r="F5" s="1" t="s">
        <v>59</v>
      </c>
      <c r="G5" s="6" t="s">
        <v>11</v>
      </c>
    </row>
    <row r="6" spans="1:7" x14ac:dyDescent="0.25">
      <c r="A6" s="5"/>
      <c r="B6" s="1"/>
      <c r="C6" s="1" t="s">
        <v>11</v>
      </c>
      <c r="D6" s="1" t="s">
        <v>11</v>
      </c>
      <c r="E6" s="1" t="s">
        <v>11</v>
      </c>
      <c r="F6" s="1" t="s">
        <v>11</v>
      </c>
      <c r="G6" s="6"/>
    </row>
    <row r="7" spans="1:7" x14ac:dyDescent="0.25">
      <c r="A7" s="5">
        <v>8</v>
      </c>
      <c r="B7" s="1">
        <v>25.46</v>
      </c>
      <c r="C7" s="1">
        <v>2.27</v>
      </c>
      <c r="D7" s="1">
        <v>0</v>
      </c>
      <c r="E7" s="1">
        <v>0</v>
      </c>
      <c r="F7" s="1">
        <v>0.22</v>
      </c>
      <c r="G7" s="6">
        <v>0</v>
      </c>
    </row>
    <row r="8" spans="1:7" x14ac:dyDescent="0.25">
      <c r="A8" s="5">
        <v>24.5</v>
      </c>
      <c r="B8" s="1">
        <v>24.82</v>
      </c>
      <c r="C8" s="1">
        <v>4.1500000000000004</v>
      </c>
      <c r="D8" s="1">
        <v>0</v>
      </c>
      <c r="E8" s="1">
        <v>0</v>
      </c>
      <c r="F8" s="1">
        <v>0.28000000000000003</v>
      </c>
      <c r="G8" s="6">
        <v>0</v>
      </c>
    </row>
    <row r="9" spans="1:7" x14ac:dyDescent="0.25">
      <c r="A9" s="5">
        <v>47.5</v>
      </c>
      <c r="B9" s="1">
        <v>24.65</v>
      </c>
      <c r="C9" s="1">
        <v>4.53</v>
      </c>
      <c r="D9" s="1">
        <v>0</v>
      </c>
      <c r="E9" s="1">
        <v>0</v>
      </c>
      <c r="F9" s="1">
        <v>0.28000000000000003</v>
      </c>
      <c r="G9" s="6">
        <v>0</v>
      </c>
    </row>
    <row r="10" spans="1:7" x14ac:dyDescent="0.25">
      <c r="A10" s="5">
        <v>75.5</v>
      </c>
      <c r="B10" s="1">
        <v>23.44</v>
      </c>
      <c r="C10" s="1">
        <v>4.78</v>
      </c>
      <c r="D10" s="1">
        <v>0</v>
      </c>
      <c r="E10" s="1">
        <v>0</v>
      </c>
      <c r="F10" s="1">
        <v>0.36</v>
      </c>
      <c r="G10" s="6">
        <v>0</v>
      </c>
    </row>
    <row r="11" spans="1:7" x14ac:dyDescent="0.25">
      <c r="A11" s="5">
        <v>99.75</v>
      </c>
      <c r="B11" s="1">
        <v>23.41</v>
      </c>
      <c r="C11" s="1">
        <v>7.33</v>
      </c>
      <c r="D11" s="1">
        <v>0</v>
      </c>
      <c r="E11" s="1">
        <v>0</v>
      </c>
      <c r="F11" s="1">
        <v>0.41</v>
      </c>
      <c r="G11" s="6">
        <v>0</v>
      </c>
    </row>
    <row r="12" spans="1:7" ht="15.75" thickBot="1" x14ac:dyDescent="0.3">
      <c r="A12" s="7">
        <v>162.30000000000001</v>
      </c>
      <c r="B12" s="8">
        <v>22.16</v>
      </c>
      <c r="C12" s="8">
        <v>7.6</v>
      </c>
      <c r="D12" s="8">
        <v>0</v>
      </c>
      <c r="E12" s="8">
        <v>0</v>
      </c>
      <c r="F12" s="8">
        <v>0.43</v>
      </c>
      <c r="G12" s="9">
        <v>0</v>
      </c>
    </row>
    <row r="13" spans="1:7" ht="15.75" thickBot="1" x14ac:dyDescent="0.3">
      <c r="A13" s="10" t="s">
        <v>60</v>
      </c>
    </row>
    <row r="14" spans="1:7" x14ac:dyDescent="0.25">
      <c r="A14" s="2" t="s">
        <v>2</v>
      </c>
      <c r="B14" s="3" t="s">
        <v>54</v>
      </c>
      <c r="C14" s="3" t="s">
        <v>55</v>
      </c>
      <c r="D14" s="3" t="s">
        <v>55</v>
      </c>
      <c r="E14" s="3" t="s">
        <v>55</v>
      </c>
      <c r="F14" s="3" t="s">
        <v>55</v>
      </c>
      <c r="G14" s="4" t="s">
        <v>10</v>
      </c>
    </row>
    <row r="15" spans="1:7" x14ac:dyDescent="0.25">
      <c r="A15" s="5"/>
      <c r="B15" s="1" t="s">
        <v>11</v>
      </c>
      <c r="C15" s="1" t="s">
        <v>56</v>
      </c>
      <c r="D15" s="1" t="s">
        <v>57</v>
      </c>
      <c r="E15" s="1" t="s">
        <v>58</v>
      </c>
      <c r="F15" s="1" t="s">
        <v>59</v>
      </c>
      <c r="G15" s="6" t="s">
        <v>11</v>
      </c>
    </row>
    <row r="16" spans="1:7" x14ac:dyDescent="0.25">
      <c r="A16" s="5"/>
      <c r="B16" s="1"/>
      <c r="C16" s="1" t="s">
        <v>11</v>
      </c>
      <c r="D16" s="1" t="s">
        <v>11</v>
      </c>
      <c r="E16" s="1" t="s">
        <v>11</v>
      </c>
      <c r="F16" s="1" t="s">
        <v>11</v>
      </c>
      <c r="G16" s="6"/>
    </row>
    <row r="17" spans="1:8" x14ac:dyDescent="0.25">
      <c r="A17" s="5">
        <v>8</v>
      </c>
      <c r="B17" s="1">
        <v>28.7</v>
      </c>
      <c r="C17" s="1">
        <v>2.2400000000000002</v>
      </c>
      <c r="D17" s="1">
        <v>0</v>
      </c>
      <c r="E17" s="1">
        <v>0</v>
      </c>
      <c r="F17" s="1">
        <v>0.17</v>
      </c>
      <c r="G17" s="6">
        <v>0</v>
      </c>
    </row>
    <row r="18" spans="1:8" x14ac:dyDescent="0.25">
      <c r="A18" s="5">
        <v>24.5</v>
      </c>
      <c r="B18" s="1">
        <v>25.38</v>
      </c>
      <c r="C18" s="1">
        <v>4.6100000000000003</v>
      </c>
      <c r="D18" s="1">
        <v>0</v>
      </c>
      <c r="E18" s="1">
        <v>0</v>
      </c>
      <c r="F18" s="1">
        <v>0.17</v>
      </c>
      <c r="G18" s="6">
        <v>0</v>
      </c>
    </row>
    <row r="19" spans="1:8" x14ac:dyDescent="0.25">
      <c r="A19" s="5">
        <v>47.5</v>
      </c>
      <c r="B19" s="1">
        <v>23.85</v>
      </c>
      <c r="C19" s="1">
        <v>5.13</v>
      </c>
      <c r="D19" s="1">
        <v>0</v>
      </c>
      <c r="E19" s="1">
        <v>0</v>
      </c>
      <c r="F19" s="1">
        <v>0.19</v>
      </c>
      <c r="G19" s="6">
        <v>0</v>
      </c>
    </row>
    <row r="20" spans="1:8" x14ac:dyDescent="0.25">
      <c r="A20" s="5">
        <v>75.5</v>
      </c>
      <c r="B20" s="1">
        <v>23.32</v>
      </c>
      <c r="C20" s="1">
        <v>6.07</v>
      </c>
      <c r="D20" s="1">
        <v>0</v>
      </c>
      <c r="E20" s="1">
        <v>0</v>
      </c>
      <c r="F20" s="1">
        <v>0.2</v>
      </c>
      <c r="G20" s="6">
        <v>0</v>
      </c>
    </row>
    <row r="21" spans="1:8" x14ac:dyDescent="0.25">
      <c r="A21" s="5">
        <v>99.75</v>
      </c>
      <c r="B21" s="1">
        <v>23.23</v>
      </c>
      <c r="C21" s="1">
        <v>9.1999999999999993</v>
      </c>
      <c r="D21" s="1">
        <v>0</v>
      </c>
      <c r="E21" s="1">
        <v>0</v>
      </c>
      <c r="F21" s="1">
        <v>0.24</v>
      </c>
      <c r="G21" s="6">
        <v>0</v>
      </c>
    </row>
    <row r="22" spans="1:8" ht="15.75" thickBot="1" x14ac:dyDescent="0.3">
      <c r="A22" s="7">
        <v>162.30000000000001</v>
      </c>
      <c r="B22" s="8">
        <v>22.64</v>
      </c>
      <c r="C22" s="8">
        <v>10.67</v>
      </c>
      <c r="D22" s="8">
        <v>0.14000000000000001</v>
      </c>
      <c r="E22" s="8">
        <v>0</v>
      </c>
      <c r="F22" s="8">
        <v>0.22</v>
      </c>
      <c r="G22" s="9">
        <v>0</v>
      </c>
    </row>
    <row r="24" spans="1:8" x14ac:dyDescent="0.25">
      <c r="A24" s="27" t="s">
        <v>20</v>
      </c>
      <c r="B24" s="27" t="s">
        <v>14</v>
      </c>
      <c r="C24" s="27" t="s">
        <v>13</v>
      </c>
      <c r="D24" s="27" t="s">
        <v>15</v>
      </c>
      <c r="E24" s="27" t="s">
        <v>16</v>
      </c>
      <c r="F24" s="27" t="s">
        <v>17</v>
      </c>
      <c r="G24" s="27" t="s">
        <v>18</v>
      </c>
      <c r="H24" s="27" t="s">
        <v>19</v>
      </c>
    </row>
    <row r="25" spans="1:8" x14ac:dyDescent="0.25">
      <c r="A25" s="27" t="s">
        <v>61</v>
      </c>
      <c r="B25" s="27">
        <f>C12</f>
        <v>7.6</v>
      </c>
      <c r="C25" s="28">
        <f>(B25/A12)</f>
        <v>4.682686383240911E-2</v>
      </c>
      <c r="D25" s="28">
        <f>(C12/($D$2-B12))</f>
        <v>0.96938775510204078</v>
      </c>
      <c r="E25" s="28">
        <f>(D12/($D$2-B12))</f>
        <v>0</v>
      </c>
      <c r="F25" s="28">
        <f>(E12/($D$2-B12))</f>
        <v>0</v>
      </c>
      <c r="G25" s="28">
        <f>(F12/($D$2-B12))</f>
        <v>5.4846938775510203E-2</v>
      </c>
      <c r="H25" s="28">
        <f>(G12/($D$2-B12))</f>
        <v>0</v>
      </c>
    </row>
    <row r="26" spans="1:8" x14ac:dyDescent="0.25">
      <c r="A26" s="27" t="s">
        <v>62</v>
      </c>
      <c r="B26" s="27">
        <f>C22</f>
        <v>10.67</v>
      </c>
      <c r="C26" s="28">
        <f>(B26/A22)</f>
        <v>6.5742452248921751E-2</v>
      </c>
      <c r="D26" s="28">
        <f>(C22/($D$2-B22))</f>
        <v>1.4497282608695654</v>
      </c>
      <c r="E26" s="28">
        <f>(D22/($D$2-B22))</f>
        <v>1.9021739130434787E-2</v>
      </c>
      <c r="F26" s="28">
        <f>(E22/($D$2-B22))</f>
        <v>0</v>
      </c>
      <c r="G26" s="28">
        <f>(F22/($D$2-B22))</f>
        <v>2.9891304347826088E-2</v>
      </c>
      <c r="H26" s="28">
        <f>(G22/($D$2-B22))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C19" sqref="C19"/>
    </sheetView>
  </sheetViews>
  <sheetFormatPr baseColWidth="10" defaultRowHeight="15" x14ac:dyDescent="0.25"/>
  <sheetData>
    <row r="1" spans="1:8" ht="18.75" x14ac:dyDescent="0.3">
      <c r="A1" s="12" t="s">
        <v>63</v>
      </c>
    </row>
    <row r="2" spans="1:8" x14ac:dyDescent="0.25">
      <c r="C2" t="s">
        <v>23</v>
      </c>
      <c r="D2">
        <v>30</v>
      </c>
    </row>
    <row r="3" spans="1:8" ht="15.75" thickBot="1" x14ac:dyDescent="0.3">
      <c r="A3" s="10" t="s">
        <v>64</v>
      </c>
    </row>
    <row r="4" spans="1:8" x14ac:dyDescent="0.25">
      <c r="A4" s="2" t="s">
        <v>2</v>
      </c>
      <c r="B4" s="3" t="s">
        <v>65</v>
      </c>
      <c r="C4" s="3" t="s">
        <v>66</v>
      </c>
      <c r="D4" s="3" t="s">
        <v>67</v>
      </c>
      <c r="E4" s="3" t="s">
        <v>68</v>
      </c>
      <c r="F4" s="3" t="s">
        <v>69</v>
      </c>
      <c r="G4" s="4" t="s">
        <v>70</v>
      </c>
    </row>
    <row r="5" spans="1:8" x14ac:dyDescent="0.25">
      <c r="A5" s="5">
        <v>24</v>
      </c>
      <c r="B5" s="1">
        <v>30.17</v>
      </c>
      <c r="C5" s="1">
        <v>1.4059999999999999</v>
      </c>
      <c r="D5" s="1">
        <v>3.5720000000000001</v>
      </c>
      <c r="E5" s="1">
        <v>1.04</v>
      </c>
      <c r="F5" s="1">
        <v>1.78</v>
      </c>
      <c r="G5" s="6">
        <v>0.42</v>
      </c>
    </row>
    <row r="6" spans="1:8" ht="15.75" thickBot="1" x14ac:dyDescent="0.3">
      <c r="A6" s="7">
        <v>96</v>
      </c>
      <c r="B6" s="8">
        <v>27.57</v>
      </c>
      <c r="C6" s="8">
        <v>1.4359999999999999</v>
      </c>
      <c r="D6" s="8">
        <v>3.58</v>
      </c>
      <c r="E6" s="8">
        <v>1.07</v>
      </c>
      <c r="F6" s="8">
        <v>1.79</v>
      </c>
      <c r="G6" s="9">
        <v>0.5</v>
      </c>
    </row>
    <row r="7" spans="1:8" ht="15.75" thickBot="1" x14ac:dyDescent="0.3">
      <c r="A7" s="10" t="s">
        <v>71</v>
      </c>
    </row>
    <row r="8" spans="1:8" x14ac:dyDescent="0.25">
      <c r="A8" s="2" t="s">
        <v>2</v>
      </c>
      <c r="B8" s="3" t="s">
        <v>65</v>
      </c>
      <c r="C8" s="3" t="s">
        <v>66</v>
      </c>
      <c r="D8" s="3" t="s">
        <v>67</v>
      </c>
      <c r="E8" s="3" t="s">
        <v>68</v>
      </c>
      <c r="F8" s="3" t="s">
        <v>69</v>
      </c>
      <c r="G8" s="4" t="s">
        <v>70</v>
      </c>
    </row>
    <row r="9" spans="1:8" x14ac:dyDescent="0.25">
      <c r="A9" s="5">
        <v>24</v>
      </c>
      <c r="B9" s="1">
        <v>28.86</v>
      </c>
      <c r="C9" s="1">
        <v>0.98</v>
      </c>
      <c r="D9" s="1">
        <v>7.05</v>
      </c>
      <c r="E9" s="1">
        <v>0.84</v>
      </c>
      <c r="F9" s="1">
        <v>2.04</v>
      </c>
      <c r="G9" s="6">
        <v>0</v>
      </c>
    </row>
    <row r="10" spans="1:8" ht="15.75" thickBot="1" x14ac:dyDescent="0.3">
      <c r="A10" s="7">
        <v>96</v>
      </c>
      <c r="B10" s="8">
        <v>23.96</v>
      </c>
      <c r="C10" s="8">
        <v>1.05</v>
      </c>
      <c r="D10" s="8">
        <v>7.76</v>
      </c>
      <c r="E10" s="8">
        <v>1.02</v>
      </c>
      <c r="F10" s="8">
        <v>2.96</v>
      </c>
      <c r="G10" s="9">
        <v>0</v>
      </c>
    </row>
    <row r="12" spans="1:8" x14ac:dyDescent="0.25">
      <c r="A12" s="27" t="s">
        <v>20</v>
      </c>
      <c r="B12" s="27" t="s">
        <v>14</v>
      </c>
      <c r="C12" s="27" t="s">
        <v>13</v>
      </c>
      <c r="D12" s="27" t="s">
        <v>15</v>
      </c>
      <c r="E12" s="27" t="s">
        <v>16</v>
      </c>
      <c r="F12" s="27" t="s">
        <v>17</v>
      </c>
      <c r="G12" s="27" t="s">
        <v>18</v>
      </c>
      <c r="H12" s="27" t="s">
        <v>19</v>
      </c>
    </row>
    <row r="13" spans="1:8" x14ac:dyDescent="0.25">
      <c r="A13" s="27" t="s">
        <v>72</v>
      </c>
      <c r="B13" s="27">
        <f>D6</f>
        <v>3.58</v>
      </c>
      <c r="C13" s="28">
        <f>(B13/A6)</f>
        <v>3.7291666666666667E-2</v>
      </c>
      <c r="D13" s="28">
        <f>(C6/($D$2-B6))</f>
        <v>0.59094650205761323</v>
      </c>
      <c r="E13" s="28">
        <f>(D6/($D$2-B6))</f>
        <v>1.4732510288065845</v>
      </c>
      <c r="F13" s="28">
        <f>(E6/($D$2-B6))</f>
        <v>0.44032921810699593</v>
      </c>
      <c r="G13" s="28">
        <f>(F6/($D$2-B6))</f>
        <v>0.73662551440329227</v>
      </c>
      <c r="H13" s="28">
        <f>(G6/($D$2-B6))</f>
        <v>0.20576131687242802</v>
      </c>
    </row>
    <row r="14" spans="1:8" x14ac:dyDescent="0.25">
      <c r="A14" s="27" t="s">
        <v>73</v>
      </c>
      <c r="B14" s="27">
        <f>D10</f>
        <v>7.76</v>
      </c>
      <c r="C14" s="28">
        <f>(B14/A10)</f>
        <v>8.0833333333333326E-2</v>
      </c>
      <c r="D14" s="28">
        <f>(C10/($D$2-B10))</f>
        <v>0.17384105960264903</v>
      </c>
      <c r="E14" s="28">
        <f>(D10/($D$2-B10))</f>
        <v>1.2847682119205299</v>
      </c>
      <c r="F14" s="28">
        <f>(E10/($D$2-B10))</f>
        <v>0.16887417218543049</v>
      </c>
      <c r="G14" s="28">
        <f>(F10/($D$2-B10))</f>
        <v>0.49006622516556297</v>
      </c>
      <c r="H14" s="28">
        <f>(G10/($D$2-B10))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zoomScale="70" zoomScaleNormal="70" workbookViewId="0">
      <selection activeCell="K20" sqref="K20"/>
    </sheetView>
  </sheetViews>
  <sheetFormatPr baseColWidth="10" defaultRowHeight="15" x14ac:dyDescent="0.25"/>
  <sheetData>
    <row r="1" spans="1:9" ht="18.75" x14ac:dyDescent="0.3">
      <c r="A1" s="12" t="s">
        <v>74</v>
      </c>
    </row>
    <row r="2" spans="1:9" x14ac:dyDescent="0.25">
      <c r="C2" t="s">
        <v>23</v>
      </c>
      <c r="D2">
        <v>30</v>
      </c>
    </row>
    <row r="3" spans="1:9" ht="15.75" thickBot="1" x14ac:dyDescent="0.3">
      <c r="A3" s="10" t="s">
        <v>92</v>
      </c>
    </row>
    <row r="4" spans="1:9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4" t="s">
        <v>10</v>
      </c>
    </row>
    <row r="5" spans="1:9" x14ac:dyDescent="0.25">
      <c r="A5" s="5"/>
      <c r="B5" s="1" t="s">
        <v>11</v>
      </c>
      <c r="C5" s="1" t="s">
        <v>11</v>
      </c>
      <c r="D5" s="1" t="s">
        <v>11</v>
      </c>
      <c r="E5" s="1" t="s">
        <v>11</v>
      </c>
      <c r="F5" s="1" t="s">
        <v>11</v>
      </c>
      <c r="G5" s="1" t="s">
        <v>11</v>
      </c>
      <c r="H5" s="1" t="s">
        <v>11</v>
      </c>
      <c r="I5" s="6" t="s">
        <v>11</v>
      </c>
    </row>
    <row r="6" spans="1:9" x14ac:dyDescent="0.25">
      <c r="A6" s="5">
        <v>48</v>
      </c>
      <c r="B6" s="1">
        <v>28.5</v>
      </c>
      <c r="C6" s="1">
        <v>2.73</v>
      </c>
      <c r="D6" s="1">
        <v>0</v>
      </c>
      <c r="E6" s="1">
        <v>0.83</v>
      </c>
      <c r="F6" s="1">
        <v>0</v>
      </c>
      <c r="G6" s="1">
        <v>0</v>
      </c>
      <c r="H6" s="1">
        <v>0.8</v>
      </c>
      <c r="I6" s="6">
        <v>0.08</v>
      </c>
    </row>
    <row r="7" spans="1:9" ht="15.75" thickBot="1" x14ac:dyDescent="0.3">
      <c r="A7" s="7">
        <v>96</v>
      </c>
      <c r="B7" s="8">
        <v>24.9</v>
      </c>
      <c r="C7" s="8">
        <v>3.57</v>
      </c>
      <c r="D7" s="8">
        <v>0</v>
      </c>
      <c r="E7" s="8">
        <v>0.85</v>
      </c>
      <c r="F7" s="8">
        <v>0</v>
      </c>
      <c r="G7" s="8">
        <v>0</v>
      </c>
      <c r="H7" s="8">
        <v>0.81</v>
      </c>
      <c r="I7" s="9">
        <v>0.11</v>
      </c>
    </row>
    <row r="8" spans="1:9" ht="15.75" thickBot="1" x14ac:dyDescent="0.3">
      <c r="A8" s="10" t="s">
        <v>91</v>
      </c>
    </row>
    <row r="9" spans="1:9" x14ac:dyDescent="0.25">
      <c r="A9" s="2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  <c r="I9" s="4" t="s">
        <v>10</v>
      </c>
    </row>
    <row r="10" spans="1:9" x14ac:dyDescent="0.25">
      <c r="A10" s="5"/>
      <c r="B10" s="1" t="s">
        <v>11</v>
      </c>
      <c r="C10" s="1" t="s">
        <v>11</v>
      </c>
      <c r="D10" s="1" t="s">
        <v>11</v>
      </c>
      <c r="E10" s="1" t="s">
        <v>11</v>
      </c>
      <c r="F10" s="1" t="s">
        <v>11</v>
      </c>
      <c r="G10" s="1" t="s">
        <v>11</v>
      </c>
      <c r="H10" s="1" t="s">
        <v>11</v>
      </c>
      <c r="I10" s="6" t="s">
        <v>11</v>
      </c>
    </row>
    <row r="11" spans="1:9" x14ac:dyDescent="0.25">
      <c r="A11" s="5">
        <v>48</v>
      </c>
      <c r="B11" s="1">
        <v>14.43</v>
      </c>
      <c r="C11" s="1">
        <v>2.48</v>
      </c>
      <c r="D11" s="1">
        <v>0</v>
      </c>
      <c r="E11" s="1">
        <v>10.130000000000001</v>
      </c>
      <c r="F11" s="1">
        <v>0.33</v>
      </c>
      <c r="G11" s="1">
        <v>0.09</v>
      </c>
      <c r="H11" s="1">
        <v>0.99</v>
      </c>
      <c r="I11" s="6">
        <v>3.92</v>
      </c>
    </row>
    <row r="12" spans="1:9" ht="15.75" thickBot="1" x14ac:dyDescent="0.3">
      <c r="A12" s="7">
        <v>168</v>
      </c>
      <c r="B12" s="8">
        <v>12.76</v>
      </c>
      <c r="C12" s="8">
        <v>2.6</v>
      </c>
      <c r="D12" s="8">
        <v>0</v>
      </c>
      <c r="E12" s="8">
        <v>10.87</v>
      </c>
      <c r="F12" s="8">
        <v>0.33</v>
      </c>
      <c r="G12" s="8">
        <v>0.1</v>
      </c>
      <c r="H12" s="8">
        <v>1</v>
      </c>
      <c r="I12" s="9">
        <v>4.16</v>
      </c>
    </row>
    <row r="14" spans="1:9" x14ac:dyDescent="0.25">
      <c r="A14" s="27" t="s">
        <v>20</v>
      </c>
      <c r="B14" s="27" t="s">
        <v>14</v>
      </c>
      <c r="C14" s="27" t="s">
        <v>13</v>
      </c>
      <c r="D14" s="27" t="s">
        <v>15</v>
      </c>
      <c r="E14" s="27" t="s">
        <v>16</v>
      </c>
      <c r="F14" s="27" t="s">
        <v>17</v>
      </c>
      <c r="G14" s="27" t="s">
        <v>18</v>
      </c>
      <c r="H14" s="27" t="s">
        <v>19</v>
      </c>
    </row>
    <row r="15" spans="1:9" x14ac:dyDescent="0.25">
      <c r="A15" s="27" t="s">
        <v>75</v>
      </c>
      <c r="B15" s="27">
        <f>E7</f>
        <v>0.85</v>
      </c>
      <c r="C15" s="28">
        <f>(B15/A7)</f>
        <v>8.8541666666666664E-3</v>
      </c>
      <c r="D15" s="28">
        <f>(E7/($D$2-B7-C7-D7))</f>
        <v>0.55555555555555491</v>
      </c>
      <c r="E15" s="28">
        <f>(F7/($D$2-B7-C7-D7))</f>
        <v>0</v>
      </c>
      <c r="F15" s="28">
        <f>(G7/($D$2-B7-C7-D7))</f>
        <v>0</v>
      </c>
      <c r="G15" s="28">
        <f>(H7/($D$2-B7-C7-D7))</f>
        <v>0.5294117647058818</v>
      </c>
      <c r="H15" s="28">
        <f>(I7/($D$2-B7-C7-D7))</f>
        <v>7.1895424836601232E-2</v>
      </c>
    </row>
    <row r="16" spans="1:9" x14ac:dyDescent="0.25">
      <c r="A16" s="27" t="s">
        <v>76</v>
      </c>
      <c r="B16" s="27">
        <f>E12</f>
        <v>10.87</v>
      </c>
      <c r="C16" s="28">
        <f>(B16/A7)</f>
        <v>0.11322916666666666</v>
      </c>
      <c r="D16" s="28">
        <f>(E12/($D$2-B12-C12-D12))</f>
        <v>0.74248633879781401</v>
      </c>
      <c r="E16" s="28">
        <f>(F12/($D$2-B12-C12-D12))</f>
        <v>2.2540983606557374E-2</v>
      </c>
      <c r="F16" s="28">
        <f>(G12/($D$2-B12-C12-D12))</f>
        <v>6.8306010928961738E-3</v>
      </c>
      <c r="G16" s="28">
        <f>(H12/($D$2-B12-C12-D12))</f>
        <v>6.8306010928961741E-2</v>
      </c>
      <c r="H16" s="28">
        <f>(I12/($D$2-B12-C12-D12))</f>
        <v>0.28415300546448086</v>
      </c>
    </row>
    <row r="18" spans="1:9" ht="18.75" x14ac:dyDescent="0.3">
      <c r="A18" s="12" t="s">
        <v>77</v>
      </c>
    </row>
    <row r="20" spans="1:9" ht="15.75" thickBot="1" x14ac:dyDescent="0.3">
      <c r="A20" s="10" t="s">
        <v>91</v>
      </c>
    </row>
    <row r="21" spans="1:9" x14ac:dyDescent="0.25">
      <c r="A21" s="2" t="s">
        <v>2</v>
      </c>
      <c r="B21" s="3" t="s">
        <v>3</v>
      </c>
      <c r="C21" s="3" t="s">
        <v>4</v>
      </c>
      <c r="D21" s="3" t="s">
        <v>5</v>
      </c>
      <c r="E21" s="3" t="s">
        <v>6</v>
      </c>
      <c r="F21" s="3" t="s">
        <v>7</v>
      </c>
      <c r="G21" s="3" t="s">
        <v>8</v>
      </c>
      <c r="H21" s="3" t="s">
        <v>9</v>
      </c>
      <c r="I21" s="4" t="s">
        <v>10</v>
      </c>
    </row>
    <row r="22" spans="1:9" x14ac:dyDescent="0.25">
      <c r="A22" s="5"/>
      <c r="B22" s="1" t="s">
        <v>11</v>
      </c>
      <c r="C22" s="1" t="s">
        <v>11</v>
      </c>
      <c r="D22" s="1" t="s">
        <v>11</v>
      </c>
      <c r="E22" s="1" t="s">
        <v>11</v>
      </c>
      <c r="F22" s="1" t="s">
        <v>11</v>
      </c>
      <c r="G22" s="1" t="s">
        <v>11</v>
      </c>
      <c r="H22" s="1" t="s">
        <v>11</v>
      </c>
      <c r="I22" s="6" t="s">
        <v>11</v>
      </c>
    </row>
    <row r="23" spans="1:9" x14ac:dyDescent="0.25">
      <c r="A23" s="5">
        <v>48</v>
      </c>
      <c r="B23" s="1">
        <v>14.43</v>
      </c>
      <c r="C23" s="1">
        <v>2.48</v>
      </c>
      <c r="D23" s="1">
        <v>0</v>
      </c>
      <c r="E23" s="1">
        <v>10.130000000000001</v>
      </c>
      <c r="F23" s="1">
        <v>0.33</v>
      </c>
      <c r="G23" s="1">
        <v>0.09</v>
      </c>
      <c r="H23" s="1">
        <v>0.99</v>
      </c>
      <c r="I23" s="6">
        <v>3.92</v>
      </c>
    </row>
    <row r="24" spans="1:9" ht="15.75" thickBot="1" x14ac:dyDescent="0.3">
      <c r="A24" s="7">
        <v>168</v>
      </c>
      <c r="B24" s="8">
        <v>12.76</v>
      </c>
      <c r="C24" s="8">
        <v>2.6</v>
      </c>
      <c r="D24" s="8">
        <v>0</v>
      </c>
      <c r="E24" s="8">
        <v>10.87</v>
      </c>
      <c r="F24" s="8">
        <v>0.33</v>
      </c>
      <c r="G24" s="8">
        <v>0.1</v>
      </c>
      <c r="H24" s="8">
        <v>1</v>
      </c>
      <c r="I24" s="9">
        <v>4.16</v>
      </c>
    </row>
    <row r="25" spans="1:9" ht="15.75" thickBot="1" x14ac:dyDescent="0.3">
      <c r="A25" s="10" t="s">
        <v>90</v>
      </c>
    </row>
    <row r="26" spans="1:9" x14ac:dyDescent="0.25">
      <c r="A26" s="2" t="s">
        <v>2</v>
      </c>
      <c r="B26" s="3" t="s">
        <v>3</v>
      </c>
      <c r="C26" s="3" t="s">
        <v>4</v>
      </c>
      <c r="D26" s="3" t="s">
        <v>5</v>
      </c>
      <c r="E26" s="3" t="s">
        <v>6</v>
      </c>
      <c r="F26" s="3" t="s">
        <v>7</v>
      </c>
      <c r="G26" s="3" t="s">
        <v>8</v>
      </c>
      <c r="H26" s="3" t="s">
        <v>9</v>
      </c>
      <c r="I26" s="4" t="s">
        <v>10</v>
      </c>
    </row>
    <row r="27" spans="1:9" x14ac:dyDescent="0.25">
      <c r="A27" s="5"/>
      <c r="B27" s="1" t="s">
        <v>11</v>
      </c>
      <c r="C27" s="1" t="s">
        <v>11</v>
      </c>
      <c r="D27" s="1" t="s">
        <v>11</v>
      </c>
      <c r="E27" s="1" t="s">
        <v>11</v>
      </c>
      <c r="F27" s="1" t="s">
        <v>11</v>
      </c>
      <c r="G27" s="1" t="s">
        <v>11</v>
      </c>
      <c r="H27" s="1" t="s">
        <v>11</v>
      </c>
      <c r="I27" s="6" t="s">
        <v>11</v>
      </c>
    </row>
    <row r="28" spans="1:9" x14ac:dyDescent="0.25">
      <c r="A28" s="5">
        <v>48</v>
      </c>
      <c r="B28" s="1">
        <v>19.239999999999998</v>
      </c>
      <c r="C28" s="1">
        <v>1.53</v>
      </c>
      <c r="D28" s="1">
        <v>0</v>
      </c>
      <c r="E28" s="1">
        <v>9.15</v>
      </c>
      <c r="F28" s="1">
        <v>0.34</v>
      </c>
      <c r="G28" s="1">
        <v>0</v>
      </c>
      <c r="H28" s="1">
        <v>0.86</v>
      </c>
      <c r="I28" s="6">
        <v>3.11</v>
      </c>
    </row>
    <row r="29" spans="1:9" ht="15.75" thickBot="1" x14ac:dyDescent="0.3">
      <c r="A29" s="7">
        <v>168</v>
      </c>
      <c r="B29" s="8">
        <v>18.79</v>
      </c>
      <c r="C29" s="8">
        <v>1.82</v>
      </c>
      <c r="D29" s="8">
        <v>0</v>
      </c>
      <c r="E29" s="8">
        <v>9.41</v>
      </c>
      <c r="F29" s="8">
        <v>0.35</v>
      </c>
      <c r="G29" s="8">
        <v>0</v>
      </c>
      <c r="H29" s="8">
        <v>0.89</v>
      </c>
      <c r="I29" s="9">
        <v>3.18</v>
      </c>
    </row>
    <row r="31" spans="1:9" x14ac:dyDescent="0.25">
      <c r="A31" s="27" t="s">
        <v>20</v>
      </c>
      <c r="B31" s="27" t="s">
        <v>14</v>
      </c>
      <c r="C31" s="27" t="s">
        <v>13</v>
      </c>
      <c r="D31" s="27" t="s">
        <v>15</v>
      </c>
      <c r="E31" s="27" t="s">
        <v>16</v>
      </c>
      <c r="F31" s="27" t="s">
        <v>17</v>
      </c>
      <c r="G31" s="27" t="s">
        <v>18</v>
      </c>
      <c r="H31" s="27" t="s">
        <v>19</v>
      </c>
    </row>
    <row r="32" spans="1:9" x14ac:dyDescent="0.25">
      <c r="A32" s="27" t="s">
        <v>76</v>
      </c>
      <c r="B32" s="27">
        <f>E24</f>
        <v>10.87</v>
      </c>
      <c r="C32" s="28">
        <f>(B32/A24)</f>
        <v>6.4702380952380942E-2</v>
      </c>
      <c r="D32" s="28">
        <f>(E24/($D$2-B24-C24-D24))</f>
        <v>0.74248633879781401</v>
      </c>
      <c r="E32" s="28">
        <f>(F24/($D$2-B24-C24-D24))</f>
        <v>2.2540983606557374E-2</v>
      </c>
      <c r="F32" s="28">
        <f>(G24/($D$2-B24-C24-D24))</f>
        <v>6.8306010928961738E-3</v>
      </c>
      <c r="G32" s="28">
        <f>(H24/($D$2-B24-C24-D24))</f>
        <v>6.8306010928961741E-2</v>
      </c>
      <c r="H32" s="28">
        <f>(I24/($D$2-B24-C24-D24))</f>
        <v>0.28415300546448086</v>
      </c>
    </row>
    <row r="33" spans="1:9" x14ac:dyDescent="0.25">
      <c r="A33" s="27" t="s">
        <v>78</v>
      </c>
      <c r="B33" s="27">
        <f>E29</f>
        <v>9.41</v>
      </c>
      <c r="C33" s="28">
        <f>(B33/A29)</f>
        <v>5.6011904761904763E-2</v>
      </c>
      <c r="D33" s="28">
        <f>(E29/($D$2-B29-C29-D29))</f>
        <v>1.002129925452609</v>
      </c>
      <c r="E33" s="28">
        <f>(F29/($D$2-B29-C29-D29))</f>
        <v>3.7273695420660273E-2</v>
      </c>
      <c r="F33" s="28">
        <f>(G29/($D$2-B29-C29-D29))</f>
        <v>0</v>
      </c>
      <c r="G33" s="28">
        <f>(H29/($D$2-B29-C29-D29))</f>
        <v>9.4781682641107562E-2</v>
      </c>
      <c r="H33" s="28">
        <f>(I29/($D$2-B29-C29-D29))</f>
        <v>0.33865814696485624</v>
      </c>
    </row>
    <row r="35" spans="1:9" ht="18.75" x14ac:dyDescent="0.3">
      <c r="A35" s="12" t="s">
        <v>79</v>
      </c>
    </row>
    <row r="37" spans="1:9" ht="15.75" thickBot="1" x14ac:dyDescent="0.3">
      <c r="A37" s="10" t="s">
        <v>89</v>
      </c>
    </row>
    <row r="38" spans="1:9" x14ac:dyDescent="0.25">
      <c r="A38" s="2" t="s">
        <v>2</v>
      </c>
      <c r="B38" s="3" t="s">
        <v>3</v>
      </c>
      <c r="C38" s="3" t="s">
        <v>4</v>
      </c>
      <c r="D38" s="3" t="s">
        <v>5</v>
      </c>
      <c r="E38" s="3" t="s">
        <v>6</v>
      </c>
      <c r="F38" s="3" t="s">
        <v>7</v>
      </c>
      <c r="G38" s="3" t="s">
        <v>8</v>
      </c>
      <c r="H38" s="3" t="s">
        <v>9</v>
      </c>
      <c r="I38" s="4" t="s">
        <v>10</v>
      </c>
    </row>
    <row r="39" spans="1:9" x14ac:dyDescent="0.25">
      <c r="A39" s="5"/>
      <c r="B39" s="1" t="s">
        <v>11</v>
      </c>
      <c r="C39" s="1" t="s">
        <v>11</v>
      </c>
      <c r="D39" s="1" t="s">
        <v>11</v>
      </c>
      <c r="E39" s="1" t="s">
        <v>11</v>
      </c>
      <c r="F39" s="1" t="s">
        <v>11</v>
      </c>
      <c r="G39" s="1" t="s">
        <v>11</v>
      </c>
      <c r="H39" s="1" t="s">
        <v>11</v>
      </c>
      <c r="I39" s="6" t="s">
        <v>11</v>
      </c>
    </row>
    <row r="40" spans="1:9" x14ac:dyDescent="0.25">
      <c r="A40" s="5">
        <v>48</v>
      </c>
      <c r="B40" s="1">
        <v>15.5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3.33</v>
      </c>
      <c r="I40" s="6">
        <v>2.38</v>
      </c>
    </row>
    <row r="41" spans="1:9" ht="15.75" thickBot="1" x14ac:dyDescent="0.3">
      <c r="A41" s="7">
        <v>192</v>
      </c>
      <c r="B41" s="8">
        <v>8.8000000000000007</v>
      </c>
      <c r="C41" s="8">
        <v>5.07</v>
      </c>
      <c r="D41" s="8">
        <v>0.36</v>
      </c>
      <c r="E41" s="8">
        <v>0</v>
      </c>
      <c r="F41" s="8">
        <v>0.14000000000000001</v>
      </c>
      <c r="G41" s="8">
        <v>1.06</v>
      </c>
      <c r="H41" s="8">
        <v>3.42</v>
      </c>
      <c r="I41" s="9">
        <v>3.86</v>
      </c>
    </row>
    <row r="42" spans="1:9" ht="15.75" thickBot="1" x14ac:dyDescent="0.3">
      <c r="A42" s="10" t="s">
        <v>88</v>
      </c>
    </row>
    <row r="43" spans="1:9" x14ac:dyDescent="0.25">
      <c r="A43" s="2" t="s">
        <v>2</v>
      </c>
      <c r="B43" s="3" t="s">
        <v>3</v>
      </c>
      <c r="C43" s="3" t="s">
        <v>4</v>
      </c>
      <c r="D43" s="3" t="s">
        <v>5</v>
      </c>
      <c r="E43" s="3" t="s">
        <v>6</v>
      </c>
      <c r="F43" s="3" t="s">
        <v>7</v>
      </c>
      <c r="G43" s="3" t="s">
        <v>8</v>
      </c>
      <c r="H43" s="3" t="s">
        <v>9</v>
      </c>
      <c r="I43" s="4" t="s">
        <v>10</v>
      </c>
    </row>
    <row r="44" spans="1:9" x14ac:dyDescent="0.25">
      <c r="A44" s="5"/>
      <c r="B44" s="1" t="s">
        <v>11</v>
      </c>
      <c r="C44" s="1" t="s">
        <v>11</v>
      </c>
      <c r="D44" s="1" t="s">
        <v>11</v>
      </c>
      <c r="E44" s="1" t="s">
        <v>11</v>
      </c>
      <c r="F44" s="1" t="s">
        <v>11</v>
      </c>
      <c r="G44" s="1" t="s">
        <v>11</v>
      </c>
      <c r="H44" s="1" t="s">
        <v>11</v>
      </c>
      <c r="I44" s="6" t="s">
        <v>11</v>
      </c>
    </row>
    <row r="45" spans="1:9" x14ac:dyDescent="0.25">
      <c r="A45" s="5">
        <v>48</v>
      </c>
      <c r="B45" s="1">
        <v>28.87</v>
      </c>
      <c r="C45" s="1">
        <v>0</v>
      </c>
      <c r="D45" s="1">
        <v>0</v>
      </c>
      <c r="E45" s="1">
        <v>0</v>
      </c>
      <c r="F45" s="1">
        <v>0.04</v>
      </c>
      <c r="G45" s="1">
        <v>0</v>
      </c>
      <c r="H45" s="1">
        <v>0.27</v>
      </c>
      <c r="I45" s="6">
        <v>1.0900000000000001</v>
      </c>
    </row>
    <row r="46" spans="1:9" ht="15.75" thickBot="1" x14ac:dyDescent="0.3">
      <c r="A46" s="7">
        <v>192</v>
      </c>
      <c r="B46" s="8">
        <v>25.99</v>
      </c>
      <c r="C46" s="8">
        <v>1.1299999999999999</v>
      </c>
      <c r="D46" s="8">
        <v>0.55000000000000004</v>
      </c>
      <c r="E46" s="8">
        <v>0</v>
      </c>
      <c r="F46" s="8">
        <v>0.15</v>
      </c>
      <c r="G46" s="8">
        <v>0</v>
      </c>
      <c r="H46" s="8">
        <v>0.34</v>
      </c>
      <c r="I46" s="9">
        <v>1.41</v>
      </c>
    </row>
    <row r="48" spans="1:9" x14ac:dyDescent="0.25">
      <c r="A48" s="27" t="s">
        <v>20</v>
      </c>
      <c r="B48" s="27" t="s">
        <v>14</v>
      </c>
      <c r="C48" s="27" t="s">
        <v>13</v>
      </c>
      <c r="D48" s="27" t="s">
        <v>15</v>
      </c>
      <c r="E48" s="27" t="s">
        <v>16</v>
      </c>
      <c r="F48" s="27" t="s">
        <v>17</v>
      </c>
      <c r="G48" s="27" t="s">
        <v>18</v>
      </c>
      <c r="H48" s="27" t="s">
        <v>19</v>
      </c>
    </row>
    <row r="49" spans="1:9" x14ac:dyDescent="0.25">
      <c r="A49" s="27" t="s">
        <v>80</v>
      </c>
      <c r="B49" s="27">
        <f>F41</f>
        <v>0.14000000000000001</v>
      </c>
      <c r="C49" s="28">
        <f>(B49/A41)</f>
        <v>7.291666666666667E-4</v>
      </c>
      <c r="D49" s="28">
        <f>(E41/($D$2-B41-C41-D41))</f>
        <v>0</v>
      </c>
      <c r="E49" s="28">
        <f>(F41/($D$2-B41-C41-D41))</f>
        <v>8.8776157260621446E-3</v>
      </c>
      <c r="F49" s="28">
        <f>(G41/($D$2-B41-C41-D41))</f>
        <v>6.7216233354470523E-2</v>
      </c>
      <c r="G49" s="28">
        <f>(H41/($D$2-B41-C41-D41))</f>
        <v>0.21686746987951808</v>
      </c>
      <c r="H49" s="28">
        <f>(I41/($D$2-B41-C41-D41))</f>
        <v>0.24476854787571337</v>
      </c>
    </row>
    <row r="50" spans="1:9" x14ac:dyDescent="0.25">
      <c r="A50" s="27" t="s">
        <v>81</v>
      </c>
      <c r="B50" s="27">
        <f>F46</f>
        <v>0.15</v>
      </c>
      <c r="C50" s="28">
        <f>(B50/A46)</f>
        <v>7.8124999999999993E-4</v>
      </c>
      <c r="D50" s="28">
        <f>(E46/($D$2-B46-C46-D46))</f>
        <v>0</v>
      </c>
      <c r="E50" s="28">
        <f>(F46/($D$2-B46-C46-D46))</f>
        <v>6.4377682403433417E-2</v>
      </c>
      <c r="F50" s="28">
        <f>(G46/($D$2-B46-C46-D46))</f>
        <v>0</v>
      </c>
      <c r="G50" s="28">
        <f>(H46/($D$2-B46-C46-D46))</f>
        <v>0.14592274678111578</v>
      </c>
      <c r="H50" s="28">
        <f>(I46/($D$2-B46-C46-D46))</f>
        <v>0.60515021459227414</v>
      </c>
    </row>
    <row r="52" spans="1:9" ht="18.75" x14ac:dyDescent="0.3">
      <c r="A52" s="12" t="s">
        <v>82</v>
      </c>
    </row>
    <row r="54" spans="1:9" ht="15.75" thickBot="1" x14ac:dyDescent="0.3">
      <c r="A54" s="10" t="s">
        <v>86</v>
      </c>
    </row>
    <row r="55" spans="1:9" x14ac:dyDescent="0.25">
      <c r="A55" s="2" t="s">
        <v>2</v>
      </c>
      <c r="B55" s="3" t="s">
        <v>3</v>
      </c>
      <c r="C55" s="3" t="s">
        <v>4</v>
      </c>
      <c r="D55" s="3" t="s">
        <v>5</v>
      </c>
      <c r="E55" s="3" t="s">
        <v>6</v>
      </c>
      <c r="F55" s="3" t="s">
        <v>7</v>
      </c>
      <c r="G55" s="3" t="s">
        <v>8</v>
      </c>
      <c r="H55" s="3" t="s">
        <v>9</v>
      </c>
      <c r="I55" s="4" t="s">
        <v>10</v>
      </c>
    </row>
    <row r="56" spans="1:9" x14ac:dyDescent="0.25">
      <c r="A56" s="5"/>
      <c r="B56" s="1" t="s">
        <v>11</v>
      </c>
      <c r="C56" s="1" t="s">
        <v>11</v>
      </c>
      <c r="D56" s="1" t="s">
        <v>11</v>
      </c>
      <c r="E56" s="1" t="s">
        <v>11</v>
      </c>
      <c r="F56" s="1" t="s">
        <v>11</v>
      </c>
      <c r="G56" s="1" t="s">
        <v>11</v>
      </c>
      <c r="H56" s="1" t="s">
        <v>11</v>
      </c>
      <c r="I56" s="6" t="s">
        <v>11</v>
      </c>
    </row>
    <row r="57" spans="1:9" x14ac:dyDescent="0.25">
      <c r="A57" s="5">
        <v>48</v>
      </c>
      <c r="B57" s="1">
        <v>27.4</v>
      </c>
      <c r="C57" s="1">
        <v>0</v>
      </c>
      <c r="D57" s="1">
        <v>0.22</v>
      </c>
      <c r="E57" s="1">
        <v>0</v>
      </c>
      <c r="F57" s="1">
        <v>0.17</v>
      </c>
      <c r="G57" s="1">
        <v>0.6</v>
      </c>
      <c r="H57" s="1">
        <v>2.95</v>
      </c>
      <c r="I57" s="6">
        <v>2.13</v>
      </c>
    </row>
    <row r="58" spans="1:9" ht="15.75" thickBot="1" x14ac:dyDescent="0.3">
      <c r="A58" s="7">
        <v>192</v>
      </c>
      <c r="B58" s="8">
        <v>23.7</v>
      </c>
      <c r="C58" s="8">
        <v>2.98</v>
      </c>
      <c r="D58" s="8">
        <v>1</v>
      </c>
      <c r="E58" s="8">
        <v>0</v>
      </c>
      <c r="F58" s="8">
        <v>0.37</v>
      </c>
      <c r="G58" s="8">
        <v>2.7</v>
      </c>
      <c r="H58" s="8">
        <v>3.56</v>
      </c>
      <c r="I58" s="9">
        <v>2.6</v>
      </c>
    </row>
    <row r="59" spans="1:9" ht="15.75" thickBot="1" x14ac:dyDescent="0.3">
      <c r="A59" s="10" t="s">
        <v>87</v>
      </c>
    </row>
    <row r="60" spans="1:9" x14ac:dyDescent="0.25">
      <c r="A60" s="2" t="s">
        <v>2</v>
      </c>
      <c r="B60" s="3" t="s">
        <v>3</v>
      </c>
      <c r="C60" s="3" t="s">
        <v>4</v>
      </c>
      <c r="D60" s="3" t="s">
        <v>5</v>
      </c>
      <c r="E60" s="3" t="s">
        <v>6</v>
      </c>
      <c r="F60" s="3" t="s">
        <v>7</v>
      </c>
      <c r="G60" s="3" t="s">
        <v>8</v>
      </c>
      <c r="H60" s="3" t="s">
        <v>9</v>
      </c>
      <c r="I60" s="4" t="s">
        <v>10</v>
      </c>
    </row>
    <row r="61" spans="1:9" x14ac:dyDescent="0.25">
      <c r="A61" s="5"/>
      <c r="B61" s="1" t="s">
        <v>11</v>
      </c>
      <c r="C61" s="1" t="s">
        <v>11</v>
      </c>
      <c r="D61" s="1" t="s">
        <v>11</v>
      </c>
      <c r="E61" s="1" t="s">
        <v>11</v>
      </c>
      <c r="F61" s="1" t="s">
        <v>11</v>
      </c>
      <c r="G61" s="1" t="s">
        <v>11</v>
      </c>
      <c r="H61" s="1" t="s">
        <v>11</v>
      </c>
      <c r="I61" s="6" t="s">
        <v>11</v>
      </c>
    </row>
    <row r="62" spans="1:9" x14ac:dyDescent="0.25">
      <c r="A62" s="5">
        <v>48</v>
      </c>
      <c r="B62" s="1">
        <v>30.23</v>
      </c>
      <c r="C62" s="1">
        <v>0</v>
      </c>
      <c r="D62" s="1">
        <v>0</v>
      </c>
      <c r="E62" s="1">
        <v>0</v>
      </c>
      <c r="F62" s="1">
        <v>0.16</v>
      </c>
      <c r="G62" s="1">
        <v>0</v>
      </c>
      <c r="H62" s="1">
        <v>0.68</v>
      </c>
      <c r="I62" s="6">
        <v>0.69</v>
      </c>
    </row>
    <row r="63" spans="1:9" ht="15.75" thickBot="1" x14ac:dyDescent="0.3">
      <c r="A63" s="7">
        <v>192</v>
      </c>
      <c r="B63" s="8">
        <v>28.7</v>
      </c>
      <c r="C63" s="8">
        <v>0.3</v>
      </c>
      <c r="D63" s="8">
        <v>0.67</v>
      </c>
      <c r="E63" s="8">
        <v>0</v>
      </c>
      <c r="F63" s="8">
        <v>0.45</v>
      </c>
      <c r="G63" s="8">
        <v>0.28000000000000003</v>
      </c>
      <c r="H63" s="8">
        <v>1.07</v>
      </c>
      <c r="I63" s="9">
        <v>0.86</v>
      </c>
    </row>
    <row r="65" spans="1:8" x14ac:dyDescent="0.25">
      <c r="A65" s="27" t="s">
        <v>20</v>
      </c>
      <c r="B65" s="27" t="s">
        <v>14</v>
      </c>
      <c r="C65" s="27" t="s">
        <v>13</v>
      </c>
      <c r="D65" s="27" t="s">
        <v>15</v>
      </c>
      <c r="E65" s="27" t="s">
        <v>16</v>
      </c>
      <c r="F65" s="27" t="s">
        <v>17</v>
      </c>
      <c r="G65" s="27" t="s">
        <v>18</v>
      </c>
      <c r="H65" s="27" t="s">
        <v>19</v>
      </c>
    </row>
    <row r="66" spans="1:8" x14ac:dyDescent="0.25">
      <c r="A66" s="27" t="s">
        <v>83</v>
      </c>
      <c r="B66" s="27">
        <f>F58</f>
        <v>0.37</v>
      </c>
      <c r="C66" s="28">
        <f>(B66/A58)</f>
        <v>1.9270833333333334E-3</v>
      </c>
      <c r="D66" s="28">
        <f>(E58/($D$2-B58-C58-D58))</f>
        <v>0</v>
      </c>
      <c r="E66" s="28">
        <f>(F58/($D$2-B58-C58-D58))</f>
        <v>0.15948275862068961</v>
      </c>
      <c r="F66" s="28">
        <f>(G58/($D$2-B58-C58-D58))</f>
        <v>1.1637931034482756</v>
      </c>
      <c r="G66" s="28">
        <f>(H58/($D$2-B58-C58-D58))</f>
        <v>1.5344827586206893</v>
      </c>
      <c r="H66" s="28">
        <f>(I58/($D$2-B58-C58-D58))</f>
        <v>1.1206896551724135</v>
      </c>
    </row>
    <row r="67" spans="1:8" x14ac:dyDescent="0.25">
      <c r="A67" s="27" t="s">
        <v>84</v>
      </c>
      <c r="B67" s="27">
        <f>F63</f>
        <v>0.45</v>
      </c>
      <c r="C67" s="28">
        <f>(B67/A63)</f>
        <v>2.3437499999999999E-3</v>
      </c>
      <c r="D67" s="28">
        <f>(E63/($D$2-B63-C63-D63))</f>
        <v>0</v>
      </c>
      <c r="E67" s="28">
        <f>(F63/($D$2-B63-C63-D63))</f>
        <v>1.3636363636363611</v>
      </c>
      <c r="F67" s="28">
        <f>(G63/($D$2-B63-C63-D63))</f>
        <v>0.84848484848484695</v>
      </c>
      <c r="G67" s="28">
        <f>(H63/($D$2-B63-C63-D63))</f>
        <v>3.2424242424242364</v>
      </c>
      <c r="H67" s="28">
        <f>(I63/($D$2-B63-C63-D63))</f>
        <v>2.6060606060606011</v>
      </c>
    </row>
    <row r="69" spans="1:8" ht="18.75" x14ac:dyDescent="0.3">
      <c r="A69" s="1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zoomScale="70" zoomScaleNormal="70" workbookViewId="0">
      <selection activeCell="G90" sqref="G90"/>
    </sheetView>
  </sheetViews>
  <sheetFormatPr baseColWidth="10" defaultRowHeight="15" x14ac:dyDescent="0.25"/>
  <sheetData>
    <row r="1" spans="1:9" ht="18.75" x14ac:dyDescent="0.3">
      <c r="A1" s="12" t="s">
        <v>85</v>
      </c>
    </row>
    <row r="2" spans="1:9" x14ac:dyDescent="0.25">
      <c r="C2" t="s">
        <v>23</v>
      </c>
      <c r="D2">
        <v>30</v>
      </c>
    </row>
    <row r="3" spans="1:9" ht="15.75" thickBot="1" x14ac:dyDescent="0.3">
      <c r="A3" s="10" t="s">
        <v>93</v>
      </c>
    </row>
    <row r="4" spans="1:9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4" t="s">
        <v>10</v>
      </c>
    </row>
    <row r="5" spans="1:9" x14ac:dyDescent="0.25">
      <c r="A5" s="5"/>
      <c r="B5" s="1" t="s">
        <v>11</v>
      </c>
      <c r="C5" s="1" t="s">
        <v>11</v>
      </c>
      <c r="D5" s="1" t="s">
        <v>11</v>
      </c>
      <c r="E5" s="1" t="s">
        <v>11</v>
      </c>
      <c r="F5" s="1" t="s">
        <v>11</v>
      </c>
      <c r="G5" s="1" t="s">
        <v>11</v>
      </c>
      <c r="H5" s="1" t="s">
        <v>11</v>
      </c>
      <c r="I5" s="6" t="s">
        <v>11</v>
      </c>
    </row>
    <row r="6" spans="1:9" x14ac:dyDescent="0.25">
      <c r="A6" s="5">
        <v>48</v>
      </c>
      <c r="B6" s="1">
        <v>19.239999999999998</v>
      </c>
      <c r="C6" s="1">
        <v>1.53</v>
      </c>
      <c r="D6" s="1">
        <v>0</v>
      </c>
      <c r="E6" s="1">
        <v>9.15</v>
      </c>
      <c r="F6" s="1">
        <v>0.34</v>
      </c>
      <c r="G6" s="1">
        <v>0</v>
      </c>
      <c r="H6" s="1">
        <v>0.86</v>
      </c>
      <c r="I6" s="6">
        <v>3.11</v>
      </c>
    </row>
    <row r="7" spans="1:9" ht="15.75" thickBot="1" x14ac:dyDescent="0.3">
      <c r="A7" s="7">
        <v>168</v>
      </c>
      <c r="B7" s="8">
        <v>18.79</v>
      </c>
      <c r="C7" s="8">
        <v>1.82</v>
      </c>
      <c r="D7" s="8">
        <v>0</v>
      </c>
      <c r="E7" s="8">
        <v>9.41</v>
      </c>
      <c r="F7" s="8">
        <v>0.35</v>
      </c>
      <c r="G7" s="8">
        <v>0</v>
      </c>
      <c r="H7" s="8">
        <v>0.89</v>
      </c>
      <c r="I7" s="9">
        <v>3.18</v>
      </c>
    </row>
    <row r="8" spans="1:9" ht="15.75" thickBot="1" x14ac:dyDescent="0.3">
      <c r="A8" s="10" t="s">
        <v>94</v>
      </c>
    </row>
    <row r="9" spans="1:9" x14ac:dyDescent="0.25">
      <c r="A9" s="2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  <c r="I9" s="4" t="s">
        <v>10</v>
      </c>
    </row>
    <row r="10" spans="1:9" x14ac:dyDescent="0.25">
      <c r="A10" s="5"/>
      <c r="B10" s="1" t="s">
        <v>11</v>
      </c>
      <c r="C10" s="1" t="s">
        <v>11</v>
      </c>
      <c r="D10" s="1" t="s">
        <v>11</v>
      </c>
      <c r="E10" s="1" t="s">
        <v>11</v>
      </c>
      <c r="F10" s="1" t="s">
        <v>11</v>
      </c>
      <c r="G10" s="1" t="s">
        <v>11</v>
      </c>
      <c r="H10" s="1" t="s">
        <v>11</v>
      </c>
      <c r="I10" s="6" t="s">
        <v>11</v>
      </c>
    </row>
    <row r="11" spans="1:9" x14ac:dyDescent="0.25">
      <c r="A11" s="5">
        <v>48</v>
      </c>
      <c r="B11" s="1">
        <v>15.37</v>
      </c>
      <c r="C11" s="1">
        <v>15.85</v>
      </c>
      <c r="D11" s="1">
        <v>0</v>
      </c>
      <c r="E11" s="1">
        <v>5.7</v>
      </c>
      <c r="F11" s="1">
        <v>7.0000000000000007E-2</v>
      </c>
      <c r="G11" s="1">
        <v>0</v>
      </c>
      <c r="H11" s="1">
        <v>0.19</v>
      </c>
      <c r="I11" s="6">
        <v>0.06</v>
      </c>
    </row>
    <row r="12" spans="1:9" ht="15.75" thickBot="1" x14ac:dyDescent="0.3">
      <c r="A12" s="7">
        <v>168</v>
      </c>
      <c r="B12" s="8">
        <v>13.93</v>
      </c>
      <c r="C12" s="8">
        <v>5.31</v>
      </c>
      <c r="D12" s="8">
        <v>0</v>
      </c>
      <c r="E12" s="8">
        <v>9.1999999999999993</v>
      </c>
      <c r="F12" s="8">
        <v>0.08</v>
      </c>
      <c r="G12" s="8">
        <v>0</v>
      </c>
      <c r="H12" s="8">
        <v>0.23</v>
      </c>
      <c r="I12" s="9">
        <v>0.21</v>
      </c>
    </row>
    <row r="13" spans="1:9" ht="15.75" thickBot="1" x14ac:dyDescent="0.3">
      <c r="A13" s="10" t="s">
        <v>90</v>
      </c>
    </row>
    <row r="14" spans="1:9" x14ac:dyDescent="0.25">
      <c r="A14" s="2" t="s">
        <v>2</v>
      </c>
      <c r="B14" s="3" t="s">
        <v>3</v>
      </c>
      <c r="C14" s="3" t="s">
        <v>4</v>
      </c>
      <c r="D14" s="3" t="s">
        <v>5</v>
      </c>
      <c r="E14" s="3" t="s">
        <v>6</v>
      </c>
      <c r="F14" s="3" t="s">
        <v>7</v>
      </c>
      <c r="G14" s="3" t="s">
        <v>8</v>
      </c>
      <c r="H14" s="3" t="s">
        <v>9</v>
      </c>
      <c r="I14" s="4" t="s">
        <v>10</v>
      </c>
    </row>
    <row r="15" spans="1:9" x14ac:dyDescent="0.25">
      <c r="A15" s="5"/>
      <c r="B15" s="1" t="s">
        <v>11</v>
      </c>
      <c r="C15" s="1" t="s">
        <v>11</v>
      </c>
      <c r="D15" s="1" t="s">
        <v>11</v>
      </c>
      <c r="E15" s="1" t="s">
        <v>11</v>
      </c>
      <c r="F15" s="1" t="s">
        <v>11</v>
      </c>
      <c r="G15" s="1" t="s">
        <v>11</v>
      </c>
      <c r="H15" s="1" t="s">
        <v>11</v>
      </c>
      <c r="I15" s="6" t="s">
        <v>11</v>
      </c>
    </row>
    <row r="16" spans="1:9" x14ac:dyDescent="0.25">
      <c r="A16" s="5">
        <v>48</v>
      </c>
      <c r="B16" s="1">
        <v>19.239999999999998</v>
      </c>
      <c r="C16" s="1">
        <v>1.53</v>
      </c>
      <c r="D16" s="1">
        <v>0</v>
      </c>
      <c r="E16" s="1">
        <v>9.15</v>
      </c>
      <c r="F16" s="1">
        <v>0.34</v>
      </c>
      <c r="G16" s="1">
        <v>0</v>
      </c>
      <c r="H16" s="1">
        <v>0.86</v>
      </c>
      <c r="I16" s="6">
        <v>3.11</v>
      </c>
    </row>
    <row r="17" spans="1:9" ht="15.75" thickBot="1" x14ac:dyDescent="0.3">
      <c r="A17" s="7">
        <v>168</v>
      </c>
      <c r="B17" s="8">
        <v>18.79</v>
      </c>
      <c r="C17" s="8">
        <v>1.82</v>
      </c>
      <c r="D17" s="8">
        <v>0</v>
      </c>
      <c r="E17" s="8">
        <v>9.41</v>
      </c>
      <c r="F17" s="8">
        <v>0.35</v>
      </c>
      <c r="G17" s="8">
        <v>0</v>
      </c>
      <c r="H17" s="8">
        <v>0.89</v>
      </c>
      <c r="I17" s="9">
        <v>3.18</v>
      </c>
    </row>
    <row r="19" spans="1:9" x14ac:dyDescent="0.25">
      <c r="A19" s="27" t="s">
        <v>20</v>
      </c>
      <c r="B19" s="27" t="s">
        <v>14</v>
      </c>
      <c r="C19" s="27" t="s">
        <v>13</v>
      </c>
      <c r="D19" s="27" t="s">
        <v>15</v>
      </c>
      <c r="E19" s="27" t="s">
        <v>16</v>
      </c>
      <c r="F19" s="27" t="s">
        <v>17</v>
      </c>
      <c r="G19" s="27" t="s">
        <v>18</v>
      </c>
      <c r="H19" s="27" t="s">
        <v>19</v>
      </c>
    </row>
    <row r="20" spans="1:9" x14ac:dyDescent="0.25">
      <c r="A20" s="27" t="s">
        <v>95</v>
      </c>
      <c r="B20" s="27">
        <f>E7</f>
        <v>9.41</v>
      </c>
      <c r="C20" s="28">
        <f>(B20/A7)</f>
        <v>5.6011904761904763E-2</v>
      </c>
      <c r="D20" s="28">
        <f>(E7/($D$2-B7-C7-D7))</f>
        <v>1.002129925452609</v>
      </c>
      <c r="E20" s="28">
        <f>(F7/($D$2-B7-C7-D7))</f>
        <v>3.7273695420660273E-2</v>
      </c>
      <c r="F20" s="28">
        <f>(G7/($D$2-B7-C7-D7))</f>
        <v>0</v>
      </c>
      <c r="G20" s="28">
        <f>(H7/($D$2-B7-C7-D7))</f>
        <v>9.4781682641107562E-2</v>
      </c>
      <c r="H20" s="28">
        <f>(I7/($D$2-B7-C7-D7))</f>
        <v>0.33865814696485624</v>
      </c>
    </row>
    <row r="21" spans="1:9" x14ac:dyDescent="0.25">
      <c r="A21" s="27" t="s">
        <v>51</v>
      </c>
      <c r="B21" s="27">
        <f>E12</f>
        <v>9.1999999999999993</v>
      </c>
      <c r="C21" s="28">
        <f>(B21/A12)</f>
        <v>5.4761904761904755E-2</v>
      </c>
      <c r="D21" s="28">
        <f>(E12/($D$2-B12-C12-D12))</f>
        <v>0.85501858736059455</v>
      </c>
      <c r="E21" s="28">
        <f>(F12/($D$2-B12-C12-D12))</f>
        <v>7.4349442379182144E-3</v>
      </c>
      <c r="F21" s="28">
        <f>(G12/($D$2-B12-C12-D12))</f>
        <v>0</v>
      </c>
      <c r="G21" s="28">
        <f>(H12/($D$2-B12-C12-D12))</f>
        <v>2.1375464684014869E-2</v>
      </c>
      <c r="H21" s="28">
        <f>(I12/($D$2-B12-C12-D12))</f>
        <v>1.9516728624535313E-2</v>
      </c>
    </row>
    <row r="22" spans="1:9" x14ac:dyDescent="0.25">
      <c r="A22" s="27" t="s">
        <v>78</v>
      </c>
      <c r="B22" s="27">
        <f>E17</f>
        <v>9.41</v>
      </c>
      <c r="C22" s="28">
        <f>(B22/A17)</f>
        <v>5.6011904761904763E-2</v>
      </c>
      <c r="D22" s="28">
        <f>(E17/($D$2-B17-C17-D17))</f>
        <v>1.002129925452609</v>
      </c>
      <c r="E22" s="28">
        <f>(F17/($D$2-B17-C17-D17))</f>
        <v>3.7273695420660273E-2</v>
      </c>
      <c r="F22" s="28">
        <f>(G17/($D$2-B17-C17-D17))</f>
        <v>0</v>
      </c>
      <c r="G22" s="28">
        <f>(H17/($D$2-B17-C17-D17))</f>
        <v>9.4781682641107562E-2</v>
      </c>
      <c r="H22" s="28">
        <f>(I17/($D$2-B17-C17-D17))</f>
        <v>0.33865814696485624</v>
      </c>
    </row>
    <row r="24" spans="1:9" ht="18.75" x14ac:dyDescent="0.3">
      <c r="A24" s="12" t="s">
        <v>96</v>
      </c>
    </row>
    <row r="26" spans="1:9" ht="15.75" thickBot="1" x14ac:dyDescent="0.3">
      <c r="A26" s="10" t="s">
        <v>31</v>
      </c>
    </row>
    <row r="27" spans="1:9" x14ac:dyDescent="0.25">
      <c r="A27" s="2" t="s">
        <v>2</v>
      </c>
      <c r="B27" s="3" t="s">
        <v>3</v>
      </c>
      <c r="C27" s="3" t="s">
        <v>4</v>
      </c>
      <c r="D27" s="3" t="s">
        <v>5</v>
      </c>
      <c r="E27" s="3" t="s">
        <v>6</v>
      </c>
      <c r="F27" s="3" t="s">
        <v>7</v>
      </c>
      <c r="G27" s="3" t="s">
        <v>8</v>
      </c>
      <c r="H27" s="3" t="s">
        <v>9</v>
      </c>
      <c r="I27" s="4" t="s">
        <v>10</v>
      </c>
    </row>
    <row r="28" spans="1:9" x14ac:dyDescent="0.25">
      <c r="A28" s="5"/>
      <c r="B28" s="1" t="s">
        <v>11</v>
      </c>
      <c r="C28" s="1" t="s">
        <v>11</v>
      </c>
      <c r="D28" s="1" t="s">
        <v>11</v>
      </c>
      <c r="E28" s="1" t="s">
        <v>11</v>
      </c>
      <c r="F28" s="1" t="s">
        <v>11</v>
      </c>
      <c r="G28" s="1" t="s">
        <v>11</v>
      </c>
      <c r="H28" s="1" t="s">
        <v>11</v>
      </c>
      <c r="I28" s="6" t="s">
        <v>11</v>
      </c>
    </row>
    <row r="29" spans="1:9" x14ac:dyDescent="0.25">
      <c r="A29" s="5">
        <v>8</v>
      </c>
      <c r="B29" s="1">
        <v>1.47</v>
      </c>
      <c r="C29" s="1">
        <v>12.33</v>
      </c>
      <c r="D29" s="1">
        <v>7.44</v>
      </c>
      <c r="E29" s="1">
        <v>0.63</v>
      </c>
      <c r="F29" s="1">
        <v>0</v>
      </c>
      <c r="G29" s="1">
        <v>0</v>
      </c>
      <c r="H29" s="1">
        <v>0.71</v>
      </c>
      <c r="I29" s="6">
        <v>0</v>
      </c>
    </row>
    <row r="30" spans="1:9" ht="15.75" thickBot="1" x14ac:dyDescent="0.3">
      <c r="A30" s="7">
        <v>24.5</v>
      </c>
      <c r="B30" s="8">
        <v>0.94</v>
      </c>
      <c r="C30" s="8">
        <v>10.79</v>
      </c>
      <c r="D30" s="8">
        <v>6.94</v>
      </c>
      <c r="E30" s="8">
        <v>5.37</v>
      </c>
      <c r="F30" s="8">
        <v>0</v>
      </c>
      <c r="G30" s="8">
        <v>0.19</v>
      </c>
      <c r="H30" s="8">
        <v>0.72</v>
      </c>
      <c r="I30" s="9">
        <v>0</v>
      </c>
    </row>
    <row r="31" spans="1:9" x14ac:dyDescent="0.25">
      <c r="A31" s="2">
        <v>47.5</v>
      </c>
      <c r="B31" s="3">
        <v>0.63</v>
      </c>
      <c r="C31" s="3">
        <v>8.92</v>
      </c>
      <c r="D31" s="3">
        <v>6.28</v>
      </c>
      <c r="E31" s="3">
        <v>9</v>
      </c>
      <c r="F31" s="3">
        <v>0</v>
      </c>
      <c r="G31" s="3">
        <v>0.19</v>
      </c>
      <c r="H31" s="3">
        <v>0.69</v>
      </c>
      <c r="I31" s="4">
        <v>0</v>
      </c>
    </row>
    <row r="32" spans="1:9" x14ac:dyDescent="0.25">
      <c r="A32" s="5">
        <v>75.5</v>
      </c>
      <c r="B32" s="1">
        <v>0.56999999999999995</v>
      </c>
      <c r="C32" s="1">
        <v>8.51</v>
      </c>
      <c r="D32" s="1">
        <v>6.02</v>
      </c>
      <c r="E32" s="1">
        <v>9.2899999999999991</v>
      </c>
      <c r="F32" s="1">
        <v>0</v>
      </c>
      <c r="G32" s="1">
        <v>0.19</v>
      </c>
      <c r="H32" s="1">
        <v>0.67</v>
      </c>
      <c r="I32" s="6">
        <v>0</v>
      </c>
    </row>
    <row r="33" spans="1:9" x14ac:dyDescent="0.25">
      <c r="A33" s="5">
        <v>99.75</v>
      </c>
      <c r="B33" s="1">
        <v>0.57999999999999996</v>
      </c>
      <c r="C33" s="1">
        <v>8.6199999999999992</v>
      </c>
      <c r="D33" s="1">
        <v>6.1</v>
      </c>
      <c r="E33" s="1">
        <v>9.42</v>
      </c>
      <c r="F33" s="1">
        <v>0</v>
      </c>
      <c r="G33" s="1">
        <v>0.19</v>
      </c>
      <c r="H33" s="1">
        <v>0.68</v>
      </c>
      <c r="I33" s="6">
        <v>0</v>
      </c>
    </row>
    <row r="34" spans="1:9" ht="15.75" thickBot="1" x14ac:dyDescent="0.3">
      <c r="A34" s="7">
        <v>162.30000000000001</v>
      </c>
      <c r="B34" s="8">
        <v>0.61</v>
      </c>
      <c r="C34" s="8">
        <v>8.7799999999999994</v>
      </c>
      <c r="D34" s="8">
        <v>6.26</v>
      </c>
      <c r="E34" s="8">
        <v>9.65</v>
      </c>
      <c r="F34" s="8">
        <v>0</v>
      </c>
      <c r="G34" s="8">
        <v>0.2</v>
      </c>
      <c r="H34" s="8">
        <v>0.7</v>
      </c>
      <c r="I34" s="9">
        <v>0</v>
      </c>
    </row>
    <row r="35" spans="1:9" ht="15.75" thickBot="1" x14ac:dyDescent="0.3">
      <c r="A35" s="10" t="s">
        <v>97</v>
      </c>
    </row>
    <row r="36" spans="1:9" x14ac:dyDescent="0.25">
      <c r="A36" s="2" t="s">
        <v>2</v>
      </c>
      <c r="B36" s="3" t="s">
        <v>3</v>
      </c>
      <c r="C36" s="3" t="s">
        <v>4</v>
      </c>
      <c r="D36" s="3" t="s">
        <v>5</v>
      </c>
      <c r="E36" s="3" t="s">
        <v>6</v>
      </c>
      <c r="F36" s="3" t="s">
        <v>7</v>
      </c>
      <c r="G36" s="3" t="s">
        <v>8</v>
      </c>
      <c r="H36" s="3" t="s">
        <v>9</v>
      </c>
      <c r="I36" s="4" t="s">
        <v>10</v>
      </c>
    </row>
    <row r="37" spans="1:9" x14ac:dyDescent="0.25">
      <c r="A37" s="5"/>
      <c r="B37" s="1" t="s">
        <v>11</v>
      </c>
      <c r="C37" s="1" t="s">
        <v>11</v>
      </c>
      <c r="D37" s="1" t="s">
        <v>11</v>
      </c>
      <c r="E37" s="1" t="s">
        <v>11</v>
      </c>
      <c r="F37" s="1" t="s">
        <v>11</v>
      </c>
      <c r="G37" s="1" t="s">
        <v>11</v>
      </c>
      <c r="H37" s="1" t="s">
        <v>11</v>
      </c>
      <c r="I37" s="6" t="s">
        <v>11</v>
      </c>
    </row>
    <row r="38" spans="1:9" x14ac:dyDescent="0.25">
      <c r="A38" s="5">
        <v>8</v>
      </c>
      <c r="B38" s="1">
        <v>11.3</v>
      </c>
      <c r="C38" s="1">
        <v>0.05</v>
      </c>
      <c r="D38" s="1">
        <v>3.7</v>
      </c>
      <c r="E38" s="1">
        <v>0.74</v>
      </c>
      <c r="F38" s="1">
        <v>0</v>
      </c>
      <c r="G38" s="1">
        <v>0.31</v>
      </c>
      <c r="H38" s="1">
        <v>0.1</v>
      </c>
      <c r="I38" s="6">
        <v>0</v>
      </c>
    </row>
    <row r="39" spans="1:9" x14ac:dyDescent="0.25">
      <c r="A39" s="29">
        <v>24.5</v>
      </c>
      <c r="B39" s="1">
        <v>8.52</v>
      </c>
      <c r="C39" s="1">
        <v>0.12</v>
      </c>
      <c r="D39" s="1">
        <v>3.73</v>
      </c>
      <c r="E39" s="1">
        <v>5.07</v>
      </c>
      <c r="F39" s="1">
        <v>0</v>
      </c>
      <c r="G39" s="1">
        <v>0.7</v>
      </c>
      <c r="H39" s="1">
        <v>0.16</v>
      </c>
      <c r="I39" s="6">
        <v>0</v>
      </c>
    </row>
    <row r="40" spans="1:9" x14ac:dyDescent="0.25">
      <c r="A40" s="5">
        <v>47.5</v>
      </c>
      <c r="B40" s="1">
        <v>5.76</v>
      </c>
      <c r="C40" s="1">
        <v>0.09</v>
      </c>
      <c r="D40" s="1">
        <v>3.32</v>
      </c>
      <c r="E40" s="1">
        <v>7.58</v>
      </c>
      <c r="F40" s="1">
        <v>0</v>
      </c>
      <c r="G40" s="1">
        <v>0.73</v>
      </c>
      <c r="H40" s="1">
        <v>0.18</v>
      </c>
      <c r="I40" s="6">
        <v>0</v>
      </c>
    </row>
    <row r="41" spans="1:9" x14ac:dyDescent="0.25">
      <c r="A41" s="5">
        <v>75.5</v>
      </c>
      <c r="B41" s="1">
        <v>5.31</v>
      </c>
      <c r="C41" s="1">
        <v>0.1</v>
      </c>
      <c r="D41" s="1">
        <v>3.74</v>
      </c>
      <c r="E41" s="1">
        <v>7.53</v>
      </c>
      <c r="F41" s="1">
        <v>0</v>
      </c>
      <c r="G41" s="1">
        <v>0.73</v>
      </c>
      <c r="H41" s="1">
        <v>0.17</v>
      </c>
      <c r="I41" s="6">
        <v>0</v>
      </c>
    </row>
    <row r="42" spans="1:9" x14ac:dyDescent="0.25">
      <c r="A42" s="5">
        <v>99.75</v>
      </c>
      <c r="B42" s="1">
        <v>5.12</v>
      </c>
      <c r="C42" s="1">
        <v>0</v>
      </c>
      <c r="D42" s="1">
        <v>3.46</v>
      </c>
      <c r="E42" s="1">
        <v>7.88</v>
      </c>
      <c r="F42" s="1">
        <v>0</v>
      </c>
      <c r="G42" s="1">
        <v>0.72</v>
      </c>
      <c r="H42" s="1">
        <v>0.16</v>
      </c>
      <c r="I42" s="6">
        <v>0</v>
      </c>
    </row>
    <row r="43" spans="1:9" ht="15.75" thickBot="1" x14ac:dyDescent="0.3">
      <c r="A43" s="30">
        <v>162.30000000000001</v>
      </c>
      <c r="B43" s="8">
        <v>4.97</v>
      </c>
      <c r="C43" s="8">
        <v>0</v>
      </c>
      <c r="D43" s="8">
        <v>3.39</v>
      </c>
      <c r="E43" s="8">
        <v>8.7799999999999994</v>
      </c>
      <c r="F43" s="8">
        <v>0</v>
      </c>
      <c r="G43" s="8">
        <v>0.72</v>
      </c>
      <c r="H43" s="8">
        <v>0.18</v>
      </c>
      <c r="I43" s="9">
        <v>0</v>
      </c>
    </row>
    <row r="44" spans="1:9" ht="15.75" thickBot="1" x14ac:dyDescent="0.3">
      <c r="A44" s="10" t="s">
        <v>60</v>
      </c>
    </row>
    <row r="45" spans="1:9" x14ac:dyDescent="0.25">
      <c r="A45" s="2" t="s">
        <v>2</v>
      </c>
      <c r="B45" s="3" t="s">
        <v>54</v>
      </c>
      <c r="C45" s="3" t="s">
        <v>55</v>
      </c>
      <c r="D45" s="3" t="s">
        <v>55</v>
      </c>
      <c r="E45" s="3" t="s">
        <v>55</v>
      </c>
      <c r="F45" s="3" t="s">
        <v>55</v>
      </c>
      <c r="G45" s="4" t="s">
        <v>10</v>
      </c>
      <c r="H45" s="27"/>
      <c r="I45" s="27"/>
    </row>
    <row r="46" spans="1:9" x14ac:dyDescent="0.25">
      <c r="A46" s="5"/>
      <c r="B46" s="1" t="s">
        <v>11</v>
      </c>
      <c r="C46" s="1" t="s">
        <v>56</v>
      </c>
      <c r="D46" s="1" t="s">
        <v>57</v>
      </c>
      <c r="E46" s="1" t="s">
        <v>58</v>
      </c>
      <c r="F46" s="1" t="s">
        <v>59</v>
      </c>
      <c r="G46" s="6" t="s">
        <v>11</v>
      </c>
      <c r="H46" s="27"/>
      <c r="I46" s="27"/>
    </row>
    <row r="47" spans="1:9" x14ac:dyDescent="0.25">
      <c r="A47" s="5"/>
      <c r="B47" s="1"/>
      <c r="C47" s="1" t="s">
        <v>11</v>
      </c>
      <c r="D47" s="1" t="s">
        <v>11</v>
      </c>
      <c r="E47" s="1" t="s">
        <v>11</v>
      </c>
      <c r="F47" s="1" t="s">
        <v>11</v>
      </c>
      <c r="G47" s="6"/>
      <c r="H47" s="27"/>
      <c r="I47" s="27"/>
    </row>
    <row r="48" spans="1:9" x14ac:dyDescent="0.25">
      <c r="A48" s="29">
        <v>8</v>
      </c>
      <c r="B48" s="1">
        <v>28.7</v>
      </c>
      <c r="C48" s="1">
        <v>2.2400000000000002</v>
      </c>
      <c r="D48" s="1">
        <v>0</v>
      </c>
      <c r="E48" s="1">
        <v>0</v>
      </c>
      <c r="F48" s="1">
        <v>0.17</v>
      </c>
      <c r="G48" s="6">
        <v>0</v>
      </c>
      <c r="H48" s="27"/>
      <c r="I48" s="27"/>
    </row>
    <row r="49" spans="1:9" x14ac:dyDescent="0.25">
      <c r="A49" s="5">
        <v>24.5</v>
      </c>
      <c r="B49" s="1">
        <v>25.38</v>
      </c>
      <c r="C49" s="1">
        <v>4.6100000000000003</v>
      </c>
      <c r="D49" s="1">
        <v>0</v>
      </c>
      <c r="E49" s="1">
        <v>0</v>
      </c>
      <c r="F49" s="1">
        <v>0.17</v>
      </c>
      <c r="G49" s="6">
        <v>0</v>
      </c>
      <c r="H49" s="27"/>
      <c r="I49" s="27"/>
    </row>
    <row r="50" spans="1:9" x14ac:dyDescent="0.25">
      <c r="A50" s="5">
        <v>47.5</v>
      </c>
      <c r="B50" s="1">
        <v>23.85</v>
      </c>
      <c r="C50" s="1">
        <v>5.13</v>
      </c>
      <c r="D50" s="1">
        <v>0</v>
      </c>
      <c r="E50" s="1">
        <v>0</v>
      </c>
      <c r="F50" s="1">
        <v>0.19</v>
      </c>
      <c r="G50" s="6">
        <v>0</v>
      </c>
      <c r="H50" s="27"/>
      <c r="I50" s="27"/>
    </row>
    <row r="51" spans="1:9" x14ac:dyDescent="0.25">
      <c r="A51" s="5">
        <v>75.5</v>
      </c>
      <c r="B51" s="1">
        <v>23.32</v>
      </c>
      <c r="C51" s="1">
        <v>6.07</v>
      </c>
      <c r="D51" s="1">
        <v>0</v>
      </c>
      <c r="E51" s="1">
        <v>0</v>
      </c>
      <c r="F51" s="1">
        <v>0.2</v>
      </c>
      <c r="G51" s="6">
        <v>0</v>
      </c>
      <c r="H51" s="27"/>
      <c r="I51" s="27"/>
    </row>
    <row r="52" spans="1:9" x14ac:dyDescent="0.25">
      <c r="A52" s="31">
        <v>99.75</v>
      </c>
      <c r="B52" s="1">
        <v>23.23</v>
      </c>
      <c r="C52" s="1">
        <v>9.1999999999999993</v>
      </c>
      <c r="D52" s="1">
        <v>0</v>
      </c>
      <c r="E52" s="1">
        <v>0</v>
      </c>
      <c r="F52" s="1">
        <v>0.24</v>
      </c>
      <c r="G52" s="6">
        <v>0</v>
      </c>
      <c r="H52" s="27"/>
      <c r="I52" s="27"/>
    </row>
    <row r="53" spans="1:9" ht="15.75" thickBot="1" x14ac:dyDescent="0.3">
      <c r="A53" s="7">
        <v>162.30000000000001</v>
      </c>
      <c r="B53" s="8">
        <v>22.64</v>
      </c>
      <c r="C53" s="8">
        <v>10.67</v>
      </c>
      <c r="D53" s="8">
        <v>0.14000000000000001</v>
      </c>
      <c r="E53" s="8">
        <v>0</v>
      </c>
      <c r="F53" s="8">
        <v>0.22</v>
      </c>
      <c r="G53" s="9">
        <v>0</v>
      </c>
    </row>
    <row r="55" spans="1:9" x14ac:dyDescent="0.25">
      <c r="A55" s="27" t="s">
        <v>20</v>
      </c>
      <c r="B55" s="27" t="s">
        <v>14</v>
      </c>
      <c r="C55" s="27" t="s">
        <v>13</v>
      </c>
      <c r="D55" s="27" t="s">
        <v>15</v>
      </c>
      <c r="E55" s="27" t="s">
        <v>16</v>
      </c>
      <c r="F55" s="27" t="s">
        <v>17</v>
      </c>
      <c r="G55" s="27" t="s">
        <v>18</v>
      </c>
      <c r="H55" s="27" t="s">
        <v>19</v>
      </c>
    </row>
    <row r="56" spans="1:9" x14ac:dyDescent="0.25">
      <c r="A56" s="27" t="s">
        <v>32</v>
      </c>
      <c r="B56" s="27">
        <f>E34</f>
        <v>9.65</v>
      </c>
      <c r="C56" s="28">
        <f>(B56/A34)</f>
        <v>5.9457794208256316E-2</v>
      </c>
      <c r="D56" s="28">
        <f>(E34/($D$2-B34-C34-D34))</f>
        <v>0.67247386759581884</v>
      </c>
      <c r="E56" s="28">
        <f>(F34/($D$2-B34-C34-D34))</f>
        <v>0</v>
      </c>
      <c r="F56" s="28">
        <f>(G34/($D$2-B34-C34-D34))</f>
        <v>1.3937282229965159E-2</v>
      </c>
      <c r="G56" s="28">
        <f>(H34/($D$2-B34-C34-D34))</f>
        <v>4.8780487804878044E-2</v>
      </c>
      <c r="H56" s="28">
        <f>(I34/($D$2-B34-C34-D34))</f>
        <v>0</v>
      </c>
    </row>
    <row r="57" spans="1:9" x14ac:dyDescent="0.25">
      <c r="A57" s="27" t="s">
        <v>100</v>
      </c>
      <c r="B57" s="27">
        <f>E43</f>
        <v>8.7799999999999994</v>
      </c>
      <c r="C57" s="28">
        <f>(B57/A43)</f>
        <v>5.4097350585335789E-2</v>
      </c>
      <c r="D57" s="28">
        <f>(E43/($D$2-B43-C43-D43))</f>
        <v>0.40573012939001846</v>
      </c>
      <c r="E57" s="28">
        <f>(F43/($D$2-B43-C43-D43))</f>
        <v>0</v>
      </c>
      <c r="F57" s="28">
        <f>(G43/($D$2-B43-C43-D43))</f>
        <v>3.3271719038817003E-2</v>
      </c>
      <c r="G57" s="28">
        <f>(H43/($D$2-B43-C43-D43))</f>
        <v>8.3179297597042508E-3</v>
      </c>
      <c r="H57" s="28">
        <f>(I43/($D$2-B43-C43-D43))</f>
        <v>0</v>
      </c>
    </row>
    <row r="58" spans="1:9" x14ac:dyDescent="0.25">
      <c r="A58" s="32" t="s">
        <v>62</v>
      </c>
      <c r="B58" s="27">
        <f>C53</f>
        <v>10.67</v>
      </c>
      <c r="C58" s="28">
        <f>B58/A53</f>
        <v>6.5742452248921751E-2</v>
      </c>
      <c r="D58" s="28">
        <f>(C53/($D$2-B53))</f>
        <v>1.4497282608695654</v>
      </c>
      <c r="E58" s="28">
        <f>(D53/($D$2-B53))</f>
        <v>1.9021739130434787E-2</v>
      </c>
      <c r="F58" s="28">
        <f>(E53/($D$2-B53))</f>
        <v>0</v>
      </c>
      <c r="G58" s="28">
        <f>(F53/($D$2-B53))</f>
        <v>2.9891304347826088E-2</v>
      </c>
      <c r="H58" s="28">
        <f>(G53/($D$2-B53))</f>
        <v>0</v>
      </c>
    </row>
    <row r="60" spans="1:9" ht="18.75" x14ac:dyDescent="0.3">
      <c r="A60" s="12" t="s">
        <v>101</v>
      </c>
    </row>
    <row r="62" spans="1:9" ht="15.75" thickBot="1" x14ac:dyDescent="0.3">
      <c r="A62" s="10" t="s">
        <v>42</v>
      </c>
    </row>
    <row r="63" spans="1:9" x14ac:dyDescent="0.25">
      <c r="A63" s="2" t="s">
        <v>2</v>
      </c>
      <c r="B63" s="3" t="s">
        <v>3</v>
      </c>
      <c r="C63" s="3" t="s">
        <v>4</v>
      </c>
      <c r="D63" s="3" t="s">
        <v>5</v>
      </c>
      <c r="E63" s="3" t="s">
        <v>6</v>
      </c>
      <c r="F63" s="3" t="s">
        <v>7</v>
      </c>
      <c r="G63" s="3" t="s">
        <v>8</v>
      </c>
      <c r="H63" s="3" t="s">
        <v>9</v>
      </c>
      <c r="I63" s="4" t="s">
        <v>10</v>
      </c>
    </row>
    <row r="64" spans="1:9" x14ac:dyDescent="0.25">
      <c r="A64" s="5"/>
      <c r="B64" s="1" t="s">
        <v>11</v>
      </c>
      <c r="C64" s="1" t="s">
        <v>11</v>
      </c>
      <c r="D64" s="1" t="s">
        <v>11</v>
      </c>
      <c r="E64" s="1" t="s">
        <v>11</v>
      </c>
      <c r="F64" s="1" t="s">
        <v>11</v>
      </c>
      <c r="G64" s="1" t="s">
        <v>11</v>
      </c>
      <c r="H64" s="1" t="s">
        <v>11</v>
      </c>
      <c r="I64" s="6" t="s">
        <v>11</v>
      </c>
    </row>
    <row r="65" spans="1:9" x14ac:dyDescent="0.25">
      <c r="A65" s="5">
        <v>72</v>
      </c>
      <c r="B65" s="1">
        <v>29</v>
      </c>
      <c r="C65" s="1">
        <v>0.06</v>
      </c>
      <c r="D65" s="1">
        <v>0.46</v>
      </c>
      <c r="E65" s="1">
        <v>0</v>
      </c>
      <c r="F65" s="1">
        <v>2.0699999999999998</v>
      </c>
      <c r="G65" s="1">
        <v>0.13</v>
      </c>
      <c r="H65" s="1">
        <v>1.23</v>
      </c>
      <c r="I65" s="6">
        <v>0</v>
      </c>
    </row>
    <row r="66" spans="1:9" x14ac:dyDescent="0.25">
      <c r="A66" s="29">
        <v>96</v>
      </c>
      <c r="B66" s="1">
        <v>28.85</v>
      </c>
      <c r="C66" s="1">
        <v>0.04</v>
      </c>
      <c r="D66" s="1">
        <v>0.46</v>
      </c>
      <c r="E66" s="1">
        <v>0</v>
      </c>
      <c r="F66" s="1">
        <v>2.5</v>
      </c>
      <c r="G66" s="1">
        <v>0.15</v>
      </c>
      <c r="H66" s="1">
        <v>1.23</v>
      </c>
      <c r="I66" s="6">
        <v>0</v>
      </c>
    </row>
    <row r="67" spans="1:9" x14ac:dyDescent="0.25">
      <c r="A67" s="5">
        <v>120</v>
      </c>
      <c r="B67" s="1">
        <v>28.77</v>
      </c>
      <c r="C67" s="1">
        <v>0</v>
      </c>
      <c r="D67" s="1">
        <v>0</v>
      </c>
      <c r="E67" s="1">
        <v>0</v>
      </c>
      <c r="F67" s="1">
        <v>4.22</v>
      </c>
      <c r="G67" s="1">
        <v>0.22</v>
      </c>
      <c r="H67" s="1">
        <v>1.32</v>
      </c>
      <c r="I67" s="6">
        <v>0</v>
      </c>
    </row>
    <row r="68" spans="1:9" x14ac:dyDescent="0.25">
      <c r="A68" s="5">
        <v>144</v>
      </c>
      <c r="B68" s="1">
        <v>28.03</v>
      </c>
      <c r="C68" s="1">
        <v>0</v>
      </c>
      <c r="D68" s="1">
        <v>0</v>
      </c>
      <c r="E68" s="1">
        <v>0</v>
      </c>
      <c r="F68" s="1">
        <v>4.25</v>
      </c>
      <c r="G68" s="1">
        <v>0.23</v>
      </c>
      <c r="H68" s="1">
        <v>1.51</v>
      </c>
      <c r="I68" s="6">
        <v>0</v>
      </c>
    </row>
    <row r="69" spans="1:9" x14ac:dyDescent="0.25">
      <c r="A69" s="5">
        <v>168</v>
      </c>
      <c r="B69" s="1">
        <v>27.37</v>
      </c>
      <c r="C69" s="1">
        <v>0</v>
      </c>
      <c r="D69" s="1">
        <v>0</v>
      </c>
      <c r="E69" s="1">
        <v>0</v>
      </c>
      <c r="F69" s="1">
        <v>4.75</v>
      </c>
      <c r="G69" s="1">
        <v>0.36</v>
      </c>
      <c r="H69" s="1">
        <v>1.38</v>
      </c>
      <c r="I69" s="6">
        <v>0.48</v>
      </c>
    </row>
    <row r="70" spans="1:9" x14ac:dyDescent="0.25">
      <c r="A70" s="31">
        <v>240</v>
      </c>
      <c r="B70" s="1">
        <v>24.34</v>
      </c>
      <c r="C70" s="1">
        <v>0</v>
      </c>
      <c r="D70" s="1">
        <v>0</v>
      </c>
      <c r="E70" s="1">
        <v>0</v>
      </c>
      <c r="F70" s="1">
        <v>4.8499999999999996</v>
      </c>
      <c r="G70" s="1">
        <v>0.35</v>
      </c>
      <c r="H70" s="1">
        <v>1.46</v>
      </c>
      <c r="I70" s="6">
        <v>0.45</v>
      </c>
    </row>
    <row r="71" spans="1:9" x14ac:dyDescent="0.25">
      <c r="A71" s="5">
        <v>264</v>
      </c>
      <c r="B71" s="1">
        <v>23.44</v>
      </c>
      <c r="C71" s="1">
        <v>0</v>
      </c>
      <c r="D71" s="1">
        <v>0</v>
      </c>
      <c r="E71" s="1">
        <v>0</v>
      </c>
      <c r="F71" s="1">
        <v>4.8499999999999996</v>
      </c>
      <c r="G71" s="1">
        <v>0.36</v>
      </c>
      <c r="H71" s="1">
        <v>1.59</v>
      </c>
      <c r="I71" s="6">
        <v>0.48</v>
      </c>
    </row>
    <row r="72" spans="1:9" x14ac:dyDescent="0.25">
      <c r="A72" s="5">
        <v>288</v>
      </c>
      <c r="B72" s="1">
        <v>23.02</v>
      </c>
      <c r="C72" s="1">
        <v>0</v>
      </c>
      <c r="D72" s="1">
        <v>0</v>
      </c>
      <c r="E72" s="1">
        <v>0</v>
      </c>
      <c r="F72" s="1">
        <v>4.95</v>
      </c>
      <c r="G72" s="1">
        <v>0.35</v>
      </c>
      <c r="H72" s="1">
        <v>1.58</v>
      </c>
      <c r="I72" s="6">
        <v>0.47</v>
      </c>
    </row>
    <row r="73" spans="1:9" x14ac:dyDescent="0.25">
      <c r="A73" s="5">
        <v>312</v>
      </c>
      <c r="B73" s="1">
        <v>22.03</v>
      </c>
      <c r="C73" s="1">
        <v>0</v>
      </c>
      <c r="D73" s="1">
        <v>0</v>
      </c>
      <c r="E73" s="1">
        <v>0</v>
      </c>
      <c r="F73" s="1">
        <v>4.9800000000000004</v>
      </c>
      <c r="G73" s="1">
        <v>0.27</v>
      </c>
      <c r="H73" s="1">
        <v>1.68</v>
      </c>
      <c r="I73" s="6">
        <v>0.6</v>
      </c>
    </row>
    <row r="74" spans="1:9" x14ac:dyDescent="0.25">
      <c r="A74" s="31">
        <v>336</v>
      </c>
      <c r="B74" s="1">
        <v>21.97</v>
      </c>
      <c r="C74" s="1">
        <v>0</v>
      </c>
      <c r="D74" s="1">
        <v>0</v>
      </c>
      <c r="E74" s="1">
        <v>0</v>
      </c>
      <c r="F74" s="1">
        <v>5.0999999999999996</v>
      </c>
      <c r="G74" s="1">
        <v>0.34</v>
      </c>
      <c r="H74" s="1">
        <v>2</v>
      </c>
      <c r="I74" s="6">
        <v>0.8</v>
      </c>
    </row>
    <row r="75" spans="1:9" x14ac:dyDescent="0.25">
      <c r="A75" s="5">
        <v>408</v>
      </c>
      <c r="B75" s="1">
        <v>21.24</v>
      </c>
      <c r="C75" s="1">
        <v>0</v>
      </c>
      <c r="D75" s="1">
        <v>0</v>
      </c>
      <c r="E75" s="1">
        <v>0</v>
      </c>
      <c r="F75" s="1">
        <v>5.12</v>
      </c>
      <c r="G75" s="1">
        <v>0.36</v>
      </c>
      <c r="H75" s="1">
        <v>2.04</v>
      </c>
      <c r="I75" s="6">
        <v>0.93</v>
      </c>
    </row>
    <row r="76" spans="1:9" ht="15.75" thickBot="1" x14ac:dyDescent="0.3">
      <c r="A76" s="7">
        <v>432</v>
      </c>
      <c r="B76" s="8">
        <v>20.99</v>
      </c>
      <c r="C76" s="8">
        <v>0</v>
      </c>
      <c r="D76" s="8">
        <v>0</v>
      </c>
      <c r="E76" s="8">
        <v>0</v>
      </c>
      <c r="F76" s="8">
        <v>5.13</v>
      </c>
      <c r="G76" s="8">
        <v>0.35</v>
      </c>
      <c r="H76" s="8">
        <v>2.04</v>
      </c>
      <c r="I76" s="9">
        <v>0.95</v>
      </c>
    </row>
    <row r="77" spans="1:9" ht="15.75" thickBot="1" x14ac:dyDescent="0.3">
      <c r="A77" s="10" t="s">
        <v>86</v>
      </c>
    </row>
    <row r="78" spans="1:9" x14ac:dyDescent="0.25">
      <c r="A78" s="2" t="s">
        <v>2</v>
      </c>
      <c r="B78" s="3" t="s">
        <v>3</v>
      </c>
      <c r="C78" s="3" t="s">
        <v>4</v>
      </c>
      <c r="D78" s="3" t="s">
        <v>5</v>
      </c>
      <c r="E78" s="3" t="s">
        <v>6</v>
      </c>
      <c r="F78" s="3" t="s">
        <v>7</v>
      </c>
      <c r="G78" s="3" t="s">
        <v>8</v>
      </c>
      <c r="H78" s="3" t="s">
        <v>9</v>
      </c>
      <c r="I78" s="4" t="s">
        <v>10</v>
      </c>
    </row>
    <row r="79" spans="1:9" x14ac:dyDescent="0.25">
      <c r="A79" s="5"/>
      <c r="B79" s="1" t="s">
        <v>11</v>
      </c>
      <c r="C79" s="1" t="s">
        <v>11</v>
      </c>
      <c r="D79" s="1" t="s">
        <v>11</v>
      </c>
      <c r="E79" s="1" t="s">
        <v>11</v>
      </c>
      <c r="F79" s="1" t="s">
        <v>11</v>
      </c>
      <c r="G79" s="1" t="s">
        <v>11</v>
      </c>
      <c r="H79" s="1" t="s">
        <v>11</v>
      </c>
      <c r="I79" s="6" t="s">
        <v>11</v>
      </c>
    </row>
    <row r="80" spans="1:9" x14ac:dyDescent="0.25">
      <c r="A80" s="5">
        <v>48</v>
      </c>
      <c r="B80" s="1">
        <v>27.4</v>
      </c>
      <c r="C80" s="1">
        <v>0</v>
      </c>
      <c r="D80" s="1">
        <v>0.22</v>
      </c>
      <c r="E80" s="1">
        <v>0</v>
      </c>
      <c r="F80" s="1">
        <v>0.17</v>
      </c>
      <c r="G80" s="1">
        <v>0.6</v>
      </c>
      <c r="H80" s="1">
        <v>2.95</v>
      </c>
      <c r="I80" s="6">
        <v>2.13</v>
      </c>
    </row>
    <row r="81" spans="1:9" ht="15.75" thickBot="1" x14ac:dyDescent="0.3">
      <c r="A81" s="7">
        <v>192</v>
      </c>
      <c r="B81" s="8">
        <v>23.7</v>
      </c>
      <c r="C81" s="8">
        <v>2.98</v>
      </c>
      <c r="D81" s="8">
        <v>1</v>
      </c>
      <c r="E81" s="8">
        <v>0</v>
      </c>
      <c r="F81" s="8">
        <v>0.37</v>
      </c>
      <c r="G81" s="8">
        <v>2.7</v>
      </c>
      <c r="H81" s="8">
        <v>3.56</v>
      </c>
      <c r="I81" s="9">
        <v>2.6</v>
      </c>
    </row>
    <row r="83" spans="1:9" x14ac:dyDescent="0.25">
      <c r="A83" s="27" t="s">
        <v>20</v>
      </c>
      <c r="B83" s="27" t="s">
        <v>14</v>
      </c>
      <c r="C83" s="27" t="s">
        <v>13</v>
      </c>
      <c r="D83" s="27" t="s">
        <v>15</v>
      </c>
      <c r="E83" s="27" t="s">
        <v>16</v>
      </c>
      <c r="F83" s="27" t="s">
        <v>17</v>
      </c>
      <c r="G83" s="27" t="s">
        <v>18</v>
      </c>
      <c r="H83" s="27" t="s">
        <v>19</v>
      </c>
    </row>
    <row r="84" spans="1:9" x14ac:dyDescent="0.25">
      <c r="A84" s="27" t="s">
        <v>43</v>
      </c>
      <c r="B84" s="27">
        <f>F69</f>
        <v>4.75</v>
      </c>
      <c r="C84" s="28">
        <f>(B84/A81)</f>
        <v>2.4739583333333332E-2</v>
      </c>
      <c r="D84" s="28">
        <f>(E69/($D$2-B69-C69-D69))</f>
        <v>0</v>
      </c>
      <c r="E84" s="28">
        <f>(F69/($D$2-B69-C69-D69))</f>
        <v>1.8060836501901147</v>
      </c>
      <c r="F84" s="28">
        <f>(G69/($D$2-B69-C69-D69))</f>
        <v>0.1368821292775666</v>
      </c>
      <c r="G84" s="28">
        <f>(H69/($D$2-B69-C69-D69))</f>
        <v>0.52471482889733856</v>
      </c>
      <c r="H84" s="28">
        <f>(I69/($D$2-B69-C69-D69))</f>
        <v>0.18250950570342211</v>
      </c>
    </row>
    <row r="85" spans="1:9" x14ac:dyDescent="0.25">
      <c r="A85" s="27" t="s">
        <v>83</v>
      </c>
      <c r="B85" s="27">
        <f>F81</f>
        <v>0.37</v>
      </c>
      <c r="C85" s="28">
        <f>(B85/A81)</f>
        <v>1.9270833333333334E-3</v>
      </c>
      <c r="D85" s="28">
        <f>(E81/($D$2-B81-C81-D81))</f>
        <v>0</v>
      </c>
      <c r="E85" s="28">
        <f>(F81/($D$2-B81-C81-D81))</f>
        <v>0.15948275862068961</v>
      </c>
      <c r="F85" s="28">
        <f>(G81/($D$2-B81-C81-D81))</f>
        <v>1.1637931034482756</v>
      </c>
      <c r="G85" s="28">
        <f>(H81/($D$2-B81-C81-D81))</f>
        <v>1.5344827586206893</v>
      </c>
      <c r="H85" s="28">
        <f>(I81/($D$2-B81-C81-D81))</f>
        <v>1.1206896551724135</v>
      </c>
    </row>
    <row r="86" spans="1:9" x14ac:dyDescent="0.25">
      <c r="B86" s="2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9"/>
  <sheetViews>
    <sheetView topLeftCell="A17" zoomScale="40" zoomScaleNormal="40" workbookViewId="0">
      <selection activeCell="AA63" sqref="AA63"/>
    </sheetView>
  </sheetViews>
  <sheetFormatPr baseColWidth="10" defaultRowHeight="15" x14ac:dyDescent="0.25"/>
  <cols>
    <col min="5" max="5" width="11.5703125" bestFit="1" customWidth="1"/>
    <col min="6" max="6" width="12.5703125" bestFit="1" customWidth="1"/>
    <col min="7" max="7" width="11.5703125" bestFit="1" customWidth="1"/>
    <col min="8" max="8" width="12.5703125" bestFit="1" customWidth="1"/>
    <col min="9" max="9" width="11.5703125" bestFit="1" customWidth="1"/>
    <col min="13" max="13" width="10.140625" customWidth="1"/>
  </cols>
  <sheetData>
    <row r="1" spans="1:27" ht="18.75" x14ac:dyDescent="0.3">
      <c r="A1" s="12" t="s">
        <v>102</v>
      </c>
    </row>
    <row r="2" spans="1:27" x14ac:dyDescent="0.25">
      <c r="C2" t="s">
        <v>127</v>
      </c>
      <c r="D2">
        <v>40</v>
      </c>
    </row>
    <row r="3" spans="1:27" x14ac:dyDescent="0.25">
      <c r="A3" s="10" t="s">
        <v>103</v>
      </c>
    </row>
    <row r="4" spans="1:27" ht="15.75" thickBot="1" x14ac:dyDescent="0.3"/>
    <row r="5" spans="1:27" x14ac:dyDescent="0.25">
      <c r="A5" s="2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4" t="s">
        <v>10</v>
      </c>
      <c r="K5" s="2" t="s">
        <v>2</v>
      </c>
      <c r="L5" s="3" t="s">
        <v>111</v>
      </c>
      <c r="M5" s="4" t="s">
        <v>109</v>
      </c>
      <c r="N5" s="4" t="s">
        <v>108</v>
      </c>
    </row>
    <row r="6" spans="1:27" x14ac:dyDescent="0.25">
      <c r="A6" s="5"/>
      <c r="B6" s="1" t="s">
        <v>11</v>
      </c>
      <c r="C6" s="1" t="s">
        <v>11</v>
      </c>
      <c r="D6" s="1" t="s">
        <v>11</v>
      </c>
      <c r="E6" s="1" t="s">
        <v>11</v>
      </c>
      <c r="F6" s="1" t="s">
        <v>11</v>
      </c>
      <c r="G6" s="1" t="s">
        <v>11</v>
      </c>
      <c r="H6" s="1" t="s">
        <v>11</v>
      </c>
      <c r="I6" s="6" t="s">
        <v>11</v>
      </c>
      <c r="K6" s="5">
        <v>0</v>
      </c>
      <c r="L6" s="1">
        <v>0.107</v>
      </c>
      <c r="M6" s="6">
        <v>0.40500000000000003</v>
      </c>
      <c r="N6" s="6">
        <f t="shared" ref="N6:N15" si="0">LN(M6)</f>
        <v>-0.90386821187559785</v>
      </c>
    </row>
    <row r="7" spans="1:27" x14ac:dyDescent="0.25">
      <c r="A7" s="5">
        <v>0</v>
      </c>
      <c r="B7" s="1">
        <v>32.1</v>
      </c>
      <c r="C7" s="1">
        <v>0</v>
      </c>
      <c r="D7" s="1">
        <v>0.64</v>
      </c>
      <c r="E7" s="1">
        <v>0.51</v>
      </c>
      <c r="F7" s="1">
        <v>0.32</v>
      </c>
      <c r="G7" s="1">
        <v>0</v>
      </c>
      <c r="H7" s="1">
        <v>0</v>
      </c>
      <c r="I7" s="6">
        <v>0</v>
      </c>
      <c r="K7" s="5">
        <v>2.69</v>
      </c>
      <c r="L7" s="1">
        <v>0.32300000000000001</v>
      </c>
      <c r="M7" s="6">
        <v>1.222</v>
      </c>
      <c r="N7" s="6">
        <f t="shared" si="0"/>
        <v>0.20048886074940356</v>
      </c>
      <c r="O7" s="32">
        <v>1</v>
      </c>
    </row>
    <row r="8" spans="1:27" x14ac:dyDescent="0.25">
      <c r="A8" s="5">
        <v>2.69</v>
      </c>
      <c r="B8" s="1">
        <v>31.94</v>
      </c>
      <c r="C8" s="1">
        <v>0</v>
      </c>
      <c r="D8" s="1">
        <v>0.51</v>
      </c>
      <c r="E8" s="1">
        <v>0.51</v>
      </c>
      <c r="F8" s="1">
        <v>0.33</v>
      </c>
      <c r="G8" s="1">
        <v>0.18</v>
      </c>
      <c r="H8" s="1">
        <v>0.23</v>
      </c>
      <c r="I8" s="6">
        <v>0</v>
      </c>
      <c r="K8" s="5">
        <v>20.07</v>
      </c>
      <c r="L8" s="1">
        <v>0.38200000000000001</v>
      </c>
      <c r="M8" s="6">
        <v>1.4450000000000001</v>
      </c>
      <c r="N8" s="6">
        <f t="shared" si="0"/>
        <v>0.36810932156439552</v>
      </c>
      <c r="O8" s="32"/>
      <c r="P8" s="32"/>
    </row>
    <row r="9" spans="1:27" x14ac:dyDescent="0.25">
      <c r="A9" s="5">
        <v>20.07</v>
      </c>
      <c r="B9" s="1">
        <v>31.48</v>
      </c>
      <c r="C9" s="1">
        <v>0</v>
      </c>
      <c r="D9" s="1">
        <v>0.51</v>
      </c>
      <c r="E9" s="1">
        <v>0.52</v>
      </c>
      <c r="F9" s="1">
        <v>0.89</v>
      </c>
      <c r="G9" s="1">
        <v>0.31</v>
      </c>
      <c r="H9" s="1">
        <v>0.48</v>
      </c>
      <c r="I9" s="6">
        <v>0</v>
      </c>
      <c r="K9" s="5">
        <v>26.16</v>
      </c>
      <c r="L9" s="1">
        <v>0.39900000000000002</v>
      </c>
      <c r="M9" s="6">
        <v>1.51</v>
      </c>
      <c r="N9" s="6">
        <f t="shared" si="0"/>
        <v>0.41210965082683298</v>
      </c>
      <c r="P9" s="32"/>
    </row>
    <row r="10" spans="1:27" x14ac:dyDescent="0.25">
      <c r="A10" s="5">
        <v>26.16</v>
      </c>
      <c r="B10" s="1">
        <v>31.36</v>
      </c>
      <c r="C10" s="1">
        <v>0</v>
      </c>
      <c r="D10" s="1">
        <v>0.52</v>
      </c>
      <c r="E10" s="1">
        <v>0.53</v>
      </c>
      <c r="F10" s="1">
        <v>1.1000000000000001</v>
      </c>
      <c r="G10" s="1">
        <v>0.34</v>
      </c>
      <c r="H10" s="1">
        <v>0.51</v>
      </c>
      <c r="I10" s="6">
        <v>0</v>
      </c>
      <c r="K10" s="5">
        <v>44.56</v>
      </c>
      <c r="L10" s="1">
        <v>0.42099999999999999</v>
      </c>
      <c r="M10" s="6">
        <v>1.593</v>
      </c>
      <c r="N10" s="6">
        <f t="shared" si="0"/>
        <v>0.46561903092791146</v>
      </c>
      <c r="O10" s="32">
        <v>2</v>
      </c>
    </row>
    <row r="11" spans="1:27" x14ac:dyDescent="0.25">
      <c r="A11" s="5">
        <v>44.56</v>
      </c>
      <c r="B11" s="1">
        <v>30.58</v>
      </c>
      <c r="C11" s="1">
        <v>0</v>
      </c>
      <c r="D11" s="1">
        <v>0.53</v>
      </c>
      <c r="E11" s="1">
        <v>0.55000000000000004</v>
      </c>
      <c r="F11" s="1">
        <v>1.68</v>
      </c>
      <c r="G11" s="1">
        <v>0.38</v>
      </c>
      <c r="H11" s="1">
        <v>0.57999999999999996</v>
      </c>
      <c r="I11" s="6">
        <v>0</v>
      </c>
      <c r="K11" s="5">
        <v>75.38</v>
      </c>
      <c r="L11" s="1">
        <v>0.35399999999999998</v>
      </c>
      <c r="M11" s="6">
        <v>1.339</v>
      </c>
      <c r="N11" s="6">
        <f t="shared" si="0"/>
        <v>0.29192306670903545</v>
      </c>
      <c r="O11" s="32"/>
    </row>
    <row r="12" spans="1:27" x14ac:dyDescent="0.25">
      <c r="A12" s="5">
        <v>75.38</v>
      </c>
      <c r="B12" s="1">
        <v>30.46</v>
      </c>
      <c r="C12" s="1">
        <v>0</v>
      </c>
      <c r="D12" s="1">
        <v>0.55000000000000004</v>
      </c>
      <c r="E12" s="1">
        <v>0.55000000000000004</v>
      </c>
      <c r="F12" s="1">
        <v>2.89</v>
      </c>
      <c r="G12" s="1">
        <v>0.45</v>
      </c>
      <c r="H12" s="1">
        <v>0.71</v>
      </c>
      <c r="I12" s="6">
        <v>0</v>
      </c>
      <c r="K12" s="5">
        <v>93.03</v>
      </c>
      <c r="L12" s="1">
        <v>0.313</v>
      </c>
      <c r="M12" s="6">
        <v>1.1839999999999999</v>
      </c>
      <c r="N12" s="6">
        <f t="shared" si="0"/>
        <v>0.16889853646181388</v>
      </c>
      <c r="O12" s="32"/>
    </row>
    <row r="13" spans="1:27" x14ac:dyDescent="0.25">
      <c r="A13" s="5">
        <v>93.03</v>
      </c>
      <c r="B13" s="1">
        <v>30.36</v>
      </c>
      <c r="C13" s="1">
        <v>0</v>
      </c>
      <c r="D13" s="1">
        <v>0.55000000000000004</v>
      </c>
      <c r="E13" s="1">
        <v>0.62</v>
      </c>
      <c r="F13" s="1">
        <v>3.61</v>
      </c>
      <c r="G13" s="1">
        <v>0.48</v>
      </c>
      <c r="H13" s="1">
        <v>0.8</v>
      </c>
      <c r="I13" s="6">
        <v>0</v>
      </c>
      <c r="K13" s="5">
        <v>139.72999999999999</v>
      </c>
      <c r="L13" s="1">
        <v>0.311</v>
      </c>
      <c r="M13" s="6">
        <v>1.177</v>
      </c>
      <c r="N13" s="6">
        <f t="shared" si="0"/>
        <v>0.16296882827813972</v>
      </c>
    </row>
    <row r="14" spans="1:27" ht="15.75" thickBot="1" x14ac:dyDescent="0.3">
      <c r="A14" s="5">
        <v>139.72999999999999</v>
      </c>
      <c r="B14" s="1">
        <v>30.16</v>
      </c>
      <c r="C14" s="1">
        <v>0</v>
      </c>
      <c r="D14" s="1">
        <v>0.62</v>
      </c>
      <c r="E14" s="1">
        <v>0.65</v>
      </c>
      <c r="F14" s="1">
        <v>4.84</v>
      </c>
      <c r="G14" s="1">
        <v>0.49</v>
      </c>
      <c r="H14" s="1">
        <v>0.97</v>
      </c>
      <c r="I14" s="6">
        <v>0</v>
      </c>
      <c r="K14" s="5">
        <v>168.14</v>
      </c>
      <c r="L14" s="1">
        <v>0.31</v>
      </c>
      <c r="M14" s="6">
        <v>1.173</v>
      </c>
      <c r="N14" s="9">
        <f t="shared" si="0"/>
        <v>0.15956456967133845</v>
      </c>
    </row>
    <row r="15" spans="1:27" ht="15.75" thickBot="1" x14ac:dyDescent="0.3">
      <c r="A15" s="5">
        <v>168.14</v>
      </c>
      <c r="B15" s="1">
        <v>30.1</v>
      </c>
      <c r="C15" s="1">
        <v>0</v>
      </c>
      <c r="D15" s="1">
        <v>0.68</v>
      </c>
      <c r="E15" s="1">
        <v>0.64</v>
      </c>
      <c r="F15" s="1">
        <v>5.45</v>
      </c>
      <c r="G15" s="1">
        <v>0.52</v>
      </c>
      <c r="H15" s="1">
        <v>1.08</v>
      </c>
      <c r="I15" s="6">
        <v>0</v>
      </c>
      <c r="K15" s="7">
        <v>187.03</v>
      </c>
      <c r="L15" s="8">
        <v>0.313</v>
      </c>
      <c r="M15" s="9">
        <v>1.1839999999999999</v>
      </c>
      <c r="N15" s="9">
        <f t="shared" si="0"/>
        <v>0.16889853646181388</v>
      </c>
    </row>
    <row r="16" spans="1:27" ht="15.75" thickBot="1" x14ac:dyDescent="0.3">
      <c r="A16" s="7">
        <v>187.03</v>
      </c>
      <c r="B16" s="8">
        <v>30.09</v>
      </c>
      <c r="C16" s="8">
        <v>0</v>
      </c>
      <c r="D16" s="8">
        <v>0.65</v>
      </c>
      <c r="E16" s="8">
        <v>0.68</v>
      </c>
      <c r="F16" s="8">
        <v>5.46</v>
      </c>
      <c r="G16" s="8">
        <v>0.51</v>
      </c>
      <c r="H16" s="8">
        <v>1.18</v>
      </c>
      <c r="I16" s="9">
        <v>0</v>
      </c>
      <c r="AA16" s="27"/>
    </row>
    <row r="17" spans="1:40" x14ac:dyDescent="0.25">
      <c r="AA17" s="27"/>
    </row>
    <row r="18" spans="1:40" x14ac:dyDescent="0.25">
      <c r="A18" t="s">
        <v>20</v>
      </c>
      <c r="B18" s="27" t="s">
        <v>14</v>
      </c>
      <c r="C18" s="27" t="s">
        <v>13</v>
      </c>
      <c r="D18" s="27" t="s">
        <v>15</v>
      </c>
      <c r="E18" s="27" t="s">
        <v>16</v>
      </c>
      <c r="F18" s="27" t="s">
        <v>17</v>
      </c>
      <c r="G18" s="27" t="s">
        <v>18</v>
      </c>
      <c r="H18" s="27" t="s">
        <v>126</v>
      </c>
      <c r="I18" s="27" t="s">
        <v>106</v>
      </c>
      <c r="J18" s="27" t="s">
        <v>105</v>
      </c>
      <c r="K18" s="33" t="s">
        <v>107</v>
      </c>
      <c r="AA18" s="27"/>
    </row>
    <row r="19" spans="1:40" x14ac:dyDescent="0.25">
      <c r="A19" t="s">
        <v>113</v>
      </c>
      <c r="B19" s="27">
        <f>F16</f>
        <v>5.46</v>
      </c>
      <c r="C19" s="28">
        <f>B19/A16</f>
        <v>2.9193177565096508E-2</v>
      </c>
      <c r="D19" s="28">
        <f>E16/($D$2-B16-C16-D16)</f>
        <v>7.3434125269978404E-2</v>
      </c>
      <c r="E19" s="28">
        <f>(F16/($D$2-B16-C16-D16))</f>
        <v>0.58963282937365014</v>
      </c>
      <c r="F19" s="28">
        <f>(G16/($D$2-B16-C16-D16))</f>
        <v>5.5075593952483806E-2</v>
      </c>
      <c r="G19" s="28">
        <f>(H16/($D$2-B16-C16-D16))</f>
        <v>0.12742980561555076</v>
      </c>
      <c r="H19" s="28">
        <f>(I16/($D$2-B16-C16-D16))</f>
        <v>0</v>
      </c>
      <c r="I19" s="27">
        <f>M10</f>
        <v>1.593</v>
      </c>
      <c r="J19" s="27">
        <f>(((M7-M6)/((B7+C7+D7)-(B8+C8+D8)))+((M10-M7)/((B8+C8+D8)-(B11+C11+D11))))/2</f>
        <v>1.5470535254760716</v>
      </c>
      <c r="K19" s="27">
        <f>((N7-N6)/(K7-K6)+(N10-N7)/(K10-K7))/2</f>
        <v>0.20843694276135727</v>
      </c>
      <c r="AA19" s="27"/>
      <c r="AG19" s="27"/>
      <c r="AH19" s="27"/>
      <c r="AI19" s="28"/>
      <c r="AJ19" s="28"/>
      <c r="AK19" s="28"/>
      <c r="AL19" s="28"/>
      <c r="AM19" s="28"/>
      <c r="AN19" s="28"/>
    </row>
    <row r="20" spans="1:40" ht="18.75" x14ac:dyDescent="0.3">
      <c r="A20" s="12" t="s">
        <v>121</v>
      </c>
      <c r="AA20" s="27"/>
    </row>
    <row r="21" spans="1:40" x14ac:dyDescent="0.25">
      <c r="AA21" s="27"/>
    </row>
    <row r="22" spans="1:40" x14ac:dyDescent="0.25">
      <c r="A22" s="10" t="s">
        <v>110</v>
      </c>
      <c r="AA22" s="27"/>
    </row>
    <row r="23" spans="1:40" ht="15.75" thickBot="1" x14ac:dyDescent="0.3">
      <c r="AA23" s="27"/>
    </row>
    <row r="24" spans="1:40" x14ac:dyDescent="0.25">
      <c r="A24" s="2" t="s">
        <v>2</v>
      </c>
      <c r="B24" s="3" t="s">
        <v>117</v>
      </c>
      <c r="C24" s="3" t="s">
        <v>118</v>
      </c>
      <c r="D24" s="3" t="s">
        <v>119</v>
      </c>
      <c r="E24" s="3" t="s">
        <v>66</v>
      </c>
      <c r="F24" s="3" t="s">
        <v>67</v>
      </c>
      <c r="G24" s="3" t="s">
        <v>68</v>
      </c>
      <c r="H24" s="3" t="s">
        <v>69</v>
      </c>
      <c r="I24" s="4" t="s">
        <v>70</v>
      </c>
      <c r="K24" s="2" t="s">
        <v>2</v>
      </c>
      <c r="L24" s="3" t="s">
        <v>104</v>
      </c>
      <c r="M24" s="4" t="s">
        <v>109</v>
      </c>
      <c r="N24" s="4" t="s">
        <v>108</v>
      </c>
      <c r="AA24" s="27"/>
    </row>
    <row r="25" spans="1:40" x14ac:dyDescent="0.25">
      <c r="A25" s="5">
        <v>0</v>
      </c>
      <c r="B25" s="1">
        <f>3.555*10</f>
        <v>35.550000000000004</v>
      </c>
      <c r="C25" s="1">
        <f>0.009*10</f>
        <v>0.09</v>
      </c>
      <c r="D25" s="1">
        <f>0.038*10</f>
        <v>0.38</v>
      </c>
      <c r="E25" s="35">
        <f>0.113*10*(1000/(1000-29-6))</f>
        <v>1.1709844559585492</v>
      </c>
      <c r="F25" s="35">
        <f>0*10*(1000/(1000-29-6))</f>
        <v>0</v>
      </c>
      <c r="G25" s="35">
        <f>0*10*(1000/(1000-29-6))</f>
        <v>0</v>
      </c>
      <c r="H25" s="35">
        <f>0*10*(1000/(1000-29-6))</f>
        <v>0</v>
      </c>
      <c r="I25" s="36">
        <f>0*10*(1000/(1000-29-6))</f>
        <v>0</v>
      </c>
      <c r="K25" s="5">
        <v>0</v>
      </c>
      <c r="L25" s="1">
        <v>0.17799999999999999</v>
      </c>
      <c r="M25" s="6">
        <f>3.7835*L25</f>
        <v>0.67346300000000003</v>
      </c>
      <c r="N25" s="6">
        <f t="shared" ref="N25:N33" si="1">LN(M25)</f>
        <v>-0.39532222153761265</v>
      </c>
      <c r="O25">
        <v>1</v>
      </c>
      <c r="AA25" s="27"/>
    </row>
    <row r="26" spans="1:40" x14ac:dyDescent="0.25">
      <c r="A26" s="5">
        <v>6.48</v>
      </c>
      <c r="B26" s="1">
        <f>3.449*10</f>
        <v>34.489999999999995</v>
      </c>
      <c r="C26" s="1">
        <f>0*10</f>
        <v>0</v>
      </c>
      <c r="D26" s="1">
        <f>0.034*10</f>
        <v>0.34</v>
      </c>
      <c r="E26" s="35">
        <f>0.106*10*(1000/(1000-29-13))</f>
        <v>1.1064718162839251</v>
      </c>
      <c r="F26" s="35">
        <f>0*10*(1000/(1000-29-13))</f>
        <v>0</v>
      </c>
      <c r="G26" s="35">
        <f>0.103*10*(1000/(1000-29-13))</f>
        <v>1.0751565762004176</v>
      </c>
      <c r="H26" s="35">
        <f>0.095*10*(1000/(1000-29-13))</f>
        <v>0.99164926931106478</v>
      </c>
      <c r="I26" s="36">
        <f>0*10*(1000/(1000-29-13))</f>
        <v>0</v>
      </c>
      <c r="K26" s="5">
        <v>6.48</v>
      </c>
      <c r="L26" s="1">
        <v>0.72899999999999998</v>
      </c>
      <c r="M26" s="6">
        <f t="shared" ref="M26:M33" si="2">3.7835*L26</f>
        <v>2.7581715</v>
      </c>
      <c r="N26" s="6">
        <f t="shared" si="1"/>
        <v>1.0145679601789603</v>
      </c>
      <c r="O26" s="32"/>
      <c r="AA26" s="33"/>
    </row>
    <row r="27" spans="1:40" x14ac:dyDescent="0.25">
      <c r="A27" s="5">
        <v>22.37</v>
      </c>
      <c r="B27" s="1">
        <f>2.69*10</f>
        <v>26.9</v>
      </c>
      <c r="C27" s="1">
        <f>0.078*10</f>
        <v>0.78</v>
      </c>
      <c r="D27" s="1">
        <f>0.227*10</f>
        <v>2.27</v>
      </c>
      <c r="E27" s="35">
        <f>0.136*10*(1000/(1000-42-40))</f>
        <v>1.4814814814814816</v>
      </c>
      <c r="F27" s="35">
        <f>0.229*10*(1000/(1000-42-40))</f>
        <v>2.494553376906318</v>
      </c>
      <c r="G27" s="35">
        <f>0.241*10*(1000/(1000-42-40))</f>
        <v>2.6252723311546844</v>
      </c>
      <c r="H27" s="35">
        <f>0.29*10*(1000/(1000-42-40))</f>
        <v>3.159041394335512</v>
      </c>
      <c r="I27" s="36">
        <f>0*10*(1000/(1000-42-40))</f>
        <v>0</v>
      </c>
      <c r="K27" s="5">
        <v>22.37</v>
      </c>
      <c r="L27" s="1">
        <v>0.81399999999999995</v>
      </c>
      <c r="M27" s="6">
        <f t="shared" si="2"/>
        <v>3.0797689999999998</v>
      </c>
      <c r="N27" s="6">
        <f t="shared" si="1"/>
        <v>1.1248545941728423</v>
      </c>
    </row>
    <row r="28" spans="1:40" x14ac:dyDescent="0.25">
      <c r="A28" s="5">
        <v>31.84</v>
      </c>
      <c r="B28" s="1">
        <f>0.73*10</f>
        <v>7.3</v>
      </c>
      <c r="C28" s="1">
        <f>0.049*10</f>
        <v>0.49</v>
      </c>
      <c r="D28" s="1">
        <f>0.386*10</f>
        <v>3.8600000000000003</v>
      </c>
      <c r="E28" s="35">
        <f>0.197*10*(1000/(1000-42-96))</f>
        <v>2.2853828306264505</v>
      </c>
      <c r="F28" s="35">
        <f>1.09*10*(1000/(1000-42-96))</f>
        <v>12.645011600928076</v>
      </c>
      <c r="G28" s="35">
        <f>0.409*10*(1000/(1000-42-96))</f>
        <v>4.744779582366589</v>
      </c>
      <c r="H28" s="35">
        <f>0.566*10*(1000/(1000-42-96))</f>
        <v>6.5661252900232014</v>
      </c>
      <c r="I28" s="36">
        <f>0*10*(1000/(1000-42-96))</f>
        <v>0</v>
      </c>
      <c r="K28" s="5">
        <v>31.84</v>
      </c>
      <c r="L28" s="1">
        <v>0.84099999999999997</v>
      </c>
      <c r="M28" s="6">
        <f t="shared" si="2"/>
        <v>3.1819234999999999</v>
      </c>
      <c r="N28" s="6">
        <f t="shared" si="1"/>
        <v>1.1574858881432502</v>
      </c>
      <c r="O28">
        <v>2</v>
      </c>
    </row>
    <row r="29" spans="1:40" x14ac:dyDescent="0.25">
      <c r="A29" s="5">
        <v>53.2</v>
      </c>
      <c r="B29" s="1">
        <v>0</v>
      </c>
      <c r="C29" s="1">
        <f>0.013*10</f>
        <v>0.13</v>
      </c>
      <c r="D29" s="1">
        <f>0.065*10</f>
        <v>0.65</v>
      </c>
      <c r="E29" s="35">
        <f>0.377*10*(1000/(1000-42-159))</f>
        <v>4.7183979974968713</v>
      </c>
      <c r="F29" s="35">
        <f>1.77*10*(1000/(1000-42-159))</f>
        <v>22.152690863579473</v>
      </c>
      <c r="G29" s="35">
        <f>0.441*10*(1000/(1000-42-159))</f>
        <v>5.5193992490613271</v>
      </c>
      <c r="H29" s="35">
        <f>0.757*10*(1000/(1000-42-159))</f>
        <v>9.4743429286608265</v>
      </c>
      <c r="I29" s="36">
        <f>0.22*10*(1000/(1000-42-159))</f>
        <v>2.7534418022528162</v>
      </c>
      <c r="K29" s="5">
        <v>53.2</v>
      </c>
      <c r="L29" s="1">
        <v>0.82399999999999995</v>
      </c>
      <c r="M29" s="6">
        <f t="shared" si="2"/>
        <v>3.117604</v>
      </c>
      <c r="N29" s="6">
        <f t="shared" si="1"/>
        <v>1.1370647580797739</v>
      </c>
      <c r="O29" s="32"/>
    </row>
    <row r="30" spans="1:40" x14ac:dyDescent="0.25">
      <c r="A30" s="5">
        <v>80.06</v>
      </c>
      <c r="B30" s="1">
        <v>0</v>
      </c>
      <c r="C30" s="1">
        <f>0.01*10</f>
        <v>0.1</v>
      </c>
      <c r="D30" s="1">
        <v>0</v>
      </c>
      <c r="E30" s="35">
        <f>0.374*10*(1000/(1000-49-167))</f>
        <v>4.7704081632653059</v>
      </c>
      <c r="F30" s="35">
        <f>1.868*10*(1000/(1000-49-167))</f>
        <v>23.826530612244898</v>
      </c>
      <c r="G30" s="35">
        <f>0.442*10*(1000/(1000-49-167))</f>
        <v>5.6377551020408161</v>
      </c>
      <c r="H30" s="35">
        <f>0.799*10*(1000/(1000-49-167))</f>
        <v>10.191326530612246</v>
      </c>
      <c r="I30" s="36">
        <f>0.295*10*(1000/(1000-49-167))</f>
        <v>3.7627551020408161</v>
      </c>
      <c r="K30" s="5">
        <v>80.06</v>
      </c>
      <c r="L30" s="1">
        <v>0.81</v>
      </c>
      <c r="M30" s="6">
        <f t="shared" si="2"/>
        <v>3.0646350000000004</v>
      </c>
      <c r="N30" s="6">
        <f t="shared" si="1"/>
        <v>1.1199284758367867</v>
      </c>
    </row>
    <row r="31" spans="1:40" x14ac:dyDescent="0.25">
      <c r="A31" s="5">
        <v>118.58</v>
      </c>
      <c r="B31" s="1">
        <v>0</v>
      </c>
      <c r="C31" s="1">
        <f>0.009*10</f>
        <v>0.09</v>
      </c>
      <c r="D31" s="1">
        <v>0</v>
      </c>
      <c r="E31" s="35">
        <f>0.336*10*(1000/(1000-65-167))</f>
        <v>4.375</v>
      </c>
      <c r="F31" s="35">
        <f>1.813*10*(1000/(1000-65-167))</f>
        <v>23.606770833333332</v>
      </c>
      <c r="G31" s="35">
        <f>0.398*10*(1000/(1000-65-167))</f>
        <v>5.182291666666667</v>
      </c>
      <c r="H31" s="35">
        <f>0.789*10*(1000/(1000-65-167))</f>
        <v>10.2734375</v>
      </c>
      <c r="I31" s="36">
        <f>0.346*10*(1000/(1000-65-167))</f>
        <v>4.505208333333333</v>
      </c>
      <c r="K31" s="5">
        <v>118.58</v>
      </c>
      <c r="L31" s="1">
        <v>0.78300000000000003</v>
      </c>
      <c r="M31" s="6">
        <f t="shared" si="2"/>
        <v>2.9624805000000003</v>
      </c>
      <c r="N31" s="6">
        <f t="shared" si="1"/>
        <v>1.0860269241611054</v>
      </c>
    </row>
    <row r="32" spans="1:40" x14ac:dyDescent="0.25">
      <c r="A32" s="5">
        <v>142.75</v>
      </c>
      <c r="B32" s="1">
        <v>0</v>
      </c>
      <c r="C32" s="1">
        <f>0.01*10</f>
        <v>0.1</v>
      </c>
      <c r="D32" s="1">
        <v>0</v>
      </c>
      <c r="E32" s="35">
        <f>0.296*10*(1000/(1000-110-167))</f>
        <v>4.0940525587828489</v>
      </c>
      <c r="F32" s="35">
        <f>1.864*10*(1000/(1000-110-167))</f>
        <v>25.781466113416322</v>
      </c>
      <c r="G32" s="35">
        <f>0.377*10*(1000/(1000-110-167))</f>
        <v>5.2143845089903182</v>
      </c>
      <c r="H32" s="35">
        <f>0.815*10*(1000/(1000-110-167))</f>
        <v>11.272475795297369</v>
      </c>
      <c r="I32" s="36">
        <f>0.385*10*(1000/(1000-110-167))</f>
        <v>5.3250345781466111</v>
      </c>
      <c r="K32" s="5">
        <v>142.75</v>
      </c>
      <c r="L32" s="1">
        <v>0.77300000000000002</v>
      </c>
      <c r="M32" s="6">
        <f t="shared" si="2"/>
        <v>2.9246455</v>
      </c>
      <c r="N32" s="6">
        <f t="shared" si="1"/>
        <v>1.0731732767577242</v>
      </c>
    </row>
    <row r="33" spans="1:28" ht="15.75" thickBot="1" x14ac:dyDescent="0.3">
      <c r="A33" s="5">
        <v>214.79</v>
      </c>
      <c r="B33" s="1">
        <v>0</v>
      </c>
      <c r="C33" s="1">
        <f>0.01*10</f>
        <v>0.1</v>
      </c>
      <c r="D33" s="1">
        <v>0</v>
      </c>
      <c r="E33" s="35">
        <f>0.13*10*(1000/(1000-186-167))</f>
        <v>2.009273570324575</v>
      </c>
      <c r="F33" s="35">
        <f>1.861*10*(1000/(1000-186-167))</f>
        <v>28.76352395672334</v>
      </c>
      <c r="G33" s="35">
        <f>0.333*10*(1000/(1000-186-167))</f>
        <v>5.1468315301391039</v>
      </c>
      <c r="H33" s="35">
        <f>0.899*10*(1000/(1000-186-167))</f>
        <v>13.894899536321486</v>
      </c>
      <c r="I33" s="36">
        <f>0.415*10*(1000/(1000-186-167))</f>
        <v>6.4142194744976813</v>
      </c>
      <c r="K33" s="7">
        <v>214.79</v>
      </c>
      <c r="L33" s="8">
        <v>0.78100000000000003</v>
      </c>
      <c r="M33" s="9">
        <f t="shared" si="2"/>
        <v>2.9549135</v>
      </c>
      <c r="N33" s="9">
        <f t="shared" si="1"/>
        <v>1.0834693780099882</v>
      </c>
    </row>
    <row r="34" spans="1:28" x14ac:dyDescent="0.25">
      <c r="AB34" s="27"/>
    </row>
    <row r="35" spans="1:28" x14ac:dyDescent="0.25">
      <c r="A35" s="27" t="s">
        <v>20</v>
      </c>
      <c r="B35" s="27" t="s">
        <v>14</v>
      </c>
      <c r="C35" s="27" t="s">
        <v>13</v>
      </c>
      <c r="D35" s="27" t="s">
        <v>15</v>
      </c>
      <c r="E35" s="27" t="s">
        <v>16</v>
      </c>
      <c r="F35" s="27" t="s">
        <v>17</v>
      </c>
      <c r="G35" s="27" t="s">
        <v>18</v>
      </c>
      <c r="H35" s="27" t="s">
        <v>126</v>
      </c>
      <c r="I35" s="27" t="s">
        <v>106</v>
      </c>
      <c r="J35" s="27" t="s">
        <v>105</v>
      </c>
      <c r="K35" s="33" t="s">
        <v>107</v>
      </c>
      <c r="AB35" s="28"/>
    </row>
    <row r="36" spans="1:28" x14ac:dyDescent="0.25">
      <c r="A36" s="27" t="s">
        <v>120</v>
      </c>
      <c r="B36" s="34">
        <f>F33</f>
        <v>28.76352395672334</v>
      </c>
      <c r="C36" s="28">
        <f>B36/A33</f>
        <v>0.1339146326957649</v>
      </c>
      <c r="D36" s="28">
        <f>E33/($D$2-B33-C33-D33)</f>
        <v>5.0357733592094611E-2</v>
      </c>
      <c r="E36" s="28">
        <f>(F33/($D$2-B33-C33-D33))</f>
        <v>0.72089032472990833</v>
      </c>
      <c r="F36" s="28">
        <f>(G33/($D$2-B33-C33-D33))</f>
        <v>0.12899327143205774</v>
      </c>
      <c r="G36" s="28">
        <f>(H33/($D$2-B33-C33-D33))</f>
        <v>0.34824309614840815</v>
      </c>
      <c r="H36" s="28">
        <f>(I33/($D$2-B33-C33-D33))</f>
        <v>0.16075738031322509</v>
      </c>
      <c r="I36" s="27">
        <f>M28</f>
        <v>3.1819234999999999</v>
      </c>
      <c r="J36" s="27">
        <f>(M28-M25)/((B25+C25+D25)-(B28+C28+D28))</f>
        <v>0.10293231432088629</v>
      </c>
      <c r="K36" s="27">
        <f>(N28-N25)/(K28-K25)</f>
        <v>4.8769098922137648E-2</v>
      </c>
      <c r="AB36" s="28"/>
    </row>
    <row r="37" spans="1:28" x14ac:dyDescent="0.25">
      <c r="AB37" s="28"/>
    </row>
    <row r="38" spans="1:28" x14ac:dyDescent="0.25">
      <c r="AB38" s="28"/>
    </row>
    <row r="39" spans="1:28" x14ac:dyDescent="0.25">
      <c r="AB39" s="28"/>
    </row>
    <row r="40" spans="1:28" ht="18.75" x14ac:dyDescent="0.3">
      <c r="A40" s="12" t="s">
        <v>122</v>
      </c>
      <c r="AB40" s="28"/>
    </row>
    <row r="41" spans="1:28" x14ac:dyDescent="0.25">
      <c r="AB41" s="28"/>
    </row>
    <row r="42" spans="1:28" x14ac:dyDescent="0.25">
      <c r="A42" s="10" t="s">
        <v>112</v>
      </c>
      <c r="AB42" s="28"/>
    </row>
    <row r="43" spans="1:28" ht="15.75" thickBot="1" x14ac:dyDescent="0.3">
      <c r="AB43" s="28"/>
    </row>
    <row r="44" spans="1:28" x14ac:dyDescent="0.25">
      <c r="A44" s="2" t="s">
        <v>2</v>
      </c>
      <c r="B44" s="3" t="s">
        <v>3</v>
      </c>
      <c r="C44" s="3" t="s">
        <v>4</v>
      </c>
      <c r="D44" s="3" t="s">
        <v>5</v>
      </c>
      <c r="E44" s="3" t="s">
        <v>6</v>
      </c>
      <c r="F44" s="3" t="s">
        <v>7</v>
      </c>
      <c r="G44" s="3" t="s">
        <v>8</v>
      </c>
      <c r="H44" s="3" t="s">
        <v>9</v>
      </c>
      <c r="I44" s="4" t="s">
        <v>10</v>
      </c>
      <c r="K44" s="2" t="s">
        <v>2</v>
      </c>
      <c r="L44" s="3" t="s">
        <v>111</v>
      </c>
      <c r="M44" s="3" t="s">
        <v>109</v>
      </c>
      <c r="N44" s="4" t="s">
        <v>108</v>
      </c>
      <c r="AB44" s="28"/>
    </row>
    <row r="45" spans="1:28" x14ac:dyDescent="0.25">
      <c r="A45" s="5"/>
      <c r="B45" s="1" t="s">
        <v>11</v>
      </c>
      <c r="C45" s="1" t="s">
        <v>11</v>
      </c>
      <c r="D45" s="1" t="s">
        <v>11</v>
      </c>
      <c r="E45" s="1" t="s">
        <v>11</v>
      </c>
      <c r="F45" s="1" t="s">
        <v>11</v>
      </c>
      <c r="G45" s="1" t="s">
        <v>11</v>
      </c>
      <c r="H45" s="1" t="s">
        <v>11</v>
      </c>
      <c r="I45" s="6" t="s">
        <v>11</v>
      </c>
      <c r="K45" s="5">
        <v>0</v>
      </c>
      <c r="L45" s="1">
        <v>6.4000000000000001E-2</v>
      </c>
      <c r="M45" s="1">
        <v>0.24199999999999999</v>
      </c>
      <c r="N45" s="6">
        <f t="shared" ref="N45:N53" si="3">LN(M45)</f>
        <v>-1.4188175528254507</v>
      </c>
    </row>
    <row r="46" spans="1:28" x14ac:dyDescent="0.25">
      <c r="A46" s="5">
        <v>0</v>
      </c>
      <c r="B46" s="1">
        <v>37.409999999999997</v>
      </c>
      <c r="C46" s="1">
        <v>0.95</v>
      </c>
      <c r="D46" s="1">
        <v>0.61</v>
      </c>
      <c r="E46" s="1">
        <v>0.04</v>
      </c>
      <c r="F46" s="1">
        <v>0</v>
      </c>
      <c r="G46" s="1">
        <v>0.89</v>
      </c>
      <c r="H46" s="1">
        <v>0.93</v>
      </c>
      <c r="I46" s="6">
        <v>0</v>
      </c>
      <c r="K46" s="5">
        <v>2.56</v>
      </c>
      <c r="L46" s="1">
        <v>0.19</v>
      </c>
      <c r="M46" s="1">
        <v>0.71899999999999997</v>
      </c>
      <c r="N46" s="6">
        <f t="shared" si="3"/>
        <v>-0.32989392126109041</v>
      </c>
    </row>
    <row r="47" spans="1:28" x14ac:dyDescent="0.25">
      <c r="A47" s="5">
        <v>2.56</v>
      </c>
      <c r="B47" s="1">
        <v>36.840000000000003</v>
      </c>
      <c r="C47" s="1">
        <v>1.1499999999999999</v>
      </c>
      <c r="D47" s="1">
        <v>1.71</v>
      </c>
      <c r="E47" s="1">
        <v>0.51</v>
      </c>
      <c r="F47" s="1">
        <v>0</v>
      </c>
      <c r="G47" s="1">
        <v>1.03</v>
      </c>
      <c r="H47" s="1">
        <v>1.91</v>
      </c>
      <c r="I47" s="6">
        <v>0.06</v>
      </c>
      <c r="K47" s="5">
        <v>5.62</v>
      </c>
      <c r="L47" s="1">
        <v>0.38100000000000001</v>
      </c>
      <c r="M47" s="1">
        <v>1.4419999999999999</v>
      </c>
      <c r="N47" s="6">
        <f t="shared" si="3"/>
        <v>0.36603103886275729</v>
      </c>
      <c r="O47" s="32">
        <v>1</v>
      </c>
    </row>
    <row r="48" spans="1:28" x14ac:dyDescent="0.25">
      <c r="A48" s="5">
        <v>5.62</v>
      </c>
      <c r="B48" s="1">
        <v>36.76</v>
      </c>
      <c r="C48" s="1">
        <v>0.97</v>
      </c>
      <c r="D48" s="1">
        <v>0.63</v>
      </c>
      <c r="E48" s="1">
        <v>1.08</v>
      </c>
      <c r="F48" s="1">
        <v>0</v>
      </c>
      <c r="G48" s="1">
        <v>1.28</v>
      </c>
      <c r="H48" s="1">
        <v>2.46</v>
      </c>
      <c r="I48" s="6">
        <v>0.38</v>
      </c>
      <c r="K48" s="5">
        <v>19.36</v>
      </c>
      <c r="L48" s="1">
        <v>0.44</v>
      </c>
      <c r="M48" s="1">
        <v>1.665</v>
      </c>
      <c r="N48" s="6">
        <f t="shared" si="3"/>
        <v>0.50982512343240716</v>
      </c>
    </row>
    <row r="49" spans="1:26" x14ac:dyDescent="0.25">
      <c r="A49" s="5">
        <v>19.36</v>
      </c>
      <c r="B49" s="1">
        <v>35.71</v>
      </c>
      <c r="C49" s="1">
        <v>1.22</v>
      </c>
      <c r="D49" s="1">
        <v>0.87</v>
      </c>
      <c r="E49" s="1">
        <v>2.17</v>
      </c>
      <c r="F49" s="1">
        <v>0</v>
      </c>
      <c r="G49" s="1">
        <v>1.23</v>
      </c>
      <c r="H49" s="1">
        <v>3.11</v>
      </c>
      <c r="I49" s="6">
        <v>0.28999999999999998</v>
      </c>
      <c r="K49" s="5">
        <v>25.57</v>
      </c>
      <c r="L49" s="1">
        <v>0.47</v>
      </c>
      <c r="M49" s="1">
        <v>1.778</v>
      </c>
      <c r="N49" s="6">
        <f t="shared" si="3"/>
        <v>0.5754891370917129</v>
      </c>
      <c r="O49" s="32"/>
    </row>
    <row r="50" spans="1:26" x14ac:dyDescent="0.25">
      <c r="A50" s="5">
        <v>25.57</v>
      </c>
      <c r="B50" s="1">
        <v>35.020000000000003</v>
      </c>
      <c r="C50" s="1">
        <v>1.28</v>
      </c>
      <c r="D50" s="1">
        <v>0.88</v>
      </c>
      <c r="E50" s="1">
        <v>3.6</v>
      </c>
      <c r="F50" s="1">
        <v>0</v>
      </c>
      <c r="G50" s="1">
        <v>2.78</v>
      </c>
      <c r="H50" s="1">
        <v>3.28</v>
      </c>
      <c r="I50" s="6">
        <v>0.31</v>
      </c>
      <c r="K50" s="5">
        <v>42.78</v>
      </c>
      <c r="L50" s="1">
        <v>0.53</v>
      </c>
      <c r="M50" s="1">
        <v>2.0049999999999999</v>
      </c>
      <c r="N50" s="6">
        <f t="shared" si="3"/>
        <v>0.69564406075853247</v>
      </c>
      <c r="O50" s="32">
        <v>2</v>
      </c>
    </row>
    <row r="51" spans="1:26" x14ac:dyDescent="0.25">
      <c r="A51" s="5">
        <v>42.78</v>
      </c>
      <c r="B51" s="1">
        <v>34.81</v>
      </c>
      <c r="C51" s="1">
        <v>1.47</v>
      </c>
      <c r="D51" s="1">
        <v>1.31</v>
      </c>
      <c r="E51" s="1">
        <v>4.0599999999999996</v>
      </c>
      <c r="F51" s="1">
        <v>0</v>
      </c>
      <c r="G51" s="1">
        <v>2.94</v>
      </c>
      <c r="H51" s="1">
        <v>3.39</v>
      </c>
      <c r="I51" s="6">
        <v>0.89</v>
      </c>
      <c r="K51" s="5">
        <v>53.57</v>
      </c>
      <c r="L51" s="1">
        <v>0.67300000000000004</v>
      </c>
      <c r="M51" s="1">
        <v>2.5459999999999998</v>
      </c>
      <c r="N51" s="6">
        <f t="shared" si="3"/>
        <v>0.93452350013521468</v>
      </c>
      <c r="Z51" s="27"/>
    </row>
    <row r="52" spans="1:26" x14ac:dyDescent="0.25">
      <c r="A52" s="5">
        <v>53.57</v>
      </c>
      <c r="B52" s="1">
        <v>34.89</v>
      </c>
      <c r="C52" s="1">
        <v>1.2</v>
      </c>
      <c r="D52" s="1">
        <v>1.65</v>
      </c>
      <c r="E52" s="1">
        <v>4.3</v>
      </c>
      <c r="F52" s="1">
        <v>0</v>
      </c>
      <c r="G52" s="1">
        <v>3.15</v>
      </c>
      <c r="H52" s="1">
        <v>3.47</v>
      </c>
      <c r="I52" s="6">
        <v>1.1100000000000001</v>
      </c>
      <c r="K52" s="5">
        <v>78.06</v>
      </c>
      <c r="L52" s="1">
        <v>0.71</v>
      </c>
      <c r="M52" s="1">
        <v>2.6859999999999999</v>
      </c>
      <c r="N52" s="6">
        <f t="shared" si="3"/>
        <v>0.9880530981010458</v>
      </c>
      <c r="Z52" s="28"/>
    </row>
    <row r="53" spans="1:26" ht="15.75" thickBot="1" x14ac:dyDescent="0.3">
      <c r="A53" s="5">
        <v>78.06</v>
      </c>
      <c r="B53" s="1">
        <v>28.12</v>
      </c>
      <c r="C53" s="1">
        <v>0.88</v>
      </c>
      <c r="D53" s="1">
        <v>1.84</v>
      </c>
      <c r="E53" s="1">
        <v>4.66</v>
      </c>
      <c r="F53" s="1">
        <v>0</v>
      </c>
      <c r="G53" s="1">
        <v>3.32</v>
      </c>
      <c r="H53" s="1">
        <v>3.33</v>
      </c>
      <c r="I53" s="6">
        <v>1.45</v>
      </c>
      <c r="K53" s="7">
        <v>93.25</v>
      </c>
      <c r="L53" s="8">
        <v>0.67700000000000005</v>
      </c>
      <c r="M53" s="8">
        <v>2.5609999999999999</v>
      </c>
      <c r="N53" s="9">
        <f t="shared" si="3"/>
        <v>0.94039780721738819</v>
      </c>
      <c r="Z53" s="28"/>
    </row>
    <row r="54" spans="1:26" ht="15.75" thickBot="1" x14ac:dyDescent="0.3">
      <c r="A54" s="7">
        <v>93.25</v>
      </c>
      <c r="B54" s="8">
        <v>27.37</v>
      </c>
      <c r="C54" s="8">
        <v>0.81</v>
      </c>
      <c r="D54" s="8">
        <v>2.41</v>
      </c>
      <c r="E54" s="8">
        <v>5.36</v>
      </c>
      <c r="F54" s="8">
        <v>0</v>
      </c>
      <c r="G54" s="8">
        <v>3.5</v>
      </c>
      <c r="H54" s="8">
        <v>3.63</v>
      </c>
      <c r="I54" s="9">
        <v>2</v>
      </c>
      <c r="Z54" s="28"/>
    </row>
    <row r="55" spans="1:26" x14ac:dyDescent="0.25">
      <c r="Z55" s="28"/>
    </row>
    <row r="56" spans="1:26" x14ac:dyDescent="0.25">
      <c r="A56" s="27" t="s">
        <v>20</v>
      </c>
      <c r="B56" s="27" t="s">
        <v>14</v>
      </c>
      <c r="C56" s="27" t="s">
        <v>13</v>
      </c>
      <c r="D56" s="27" t="s">
        <v>15</v>
      </c>
      <c r="E56" s="27" t="s">
        <v>16</v>
      </c>
      <c r="F56" s="27" t="s">
        <v>17</v>
      </c>
      <c r="G56" s="27" t="s">
        <v>18</v>
      </c>
      <c r="H56" s="27" t="s">
        <v>19</v>
      </c>
      <c r="I56" t="s">
        <v>106</v>
      </c>
      <c r="J56" t="s">
        <v>105</v>
      </c>
      <c r="K56" s="33" t="s">
        <v>107</v>
      </c>
      <c r="Z56" s="28"/>
    </row>
    <row r="57" spans="1:26" x14ac:dyDescent="0.25">
      <c r="A57" s="27" t="s">
        <v>114</v>
      </c>
      <c r="B57" s="27">
        <f>E54</f>
        <v>5.36</v>
      </c>
      <c r="C57" s="28">
        <f>E54/A54</f>
        <v>5.7479892761394105E-2</v>
      </c>
      <c r="D57" s="28">
        <f>E54/($D$2-B54-C54-D54)</f>
        <v>0.56960680127523922</v>
      </c>
      <c r="E57" s="28">
        <f>(F54/($D$2-B54-C54-D54))</f>
        <v>0</v>
      </c>
      <c r="F57" s="28">
        <f>(G54/($D$2-B54-C54-D54))</f>
        <v>0.3719447396386823</v>
      </c>
      <c r="G57" s="28">
        <f>(H54/($D$2-B54-C54-D54))</f>
        <v>0.38575982996811908</v>
      </c>
      <c r="H57" s="28">
        <f>(I54/($D$2-B54-C54-D54))</f>
        <v>0.21253985122210417</v>
      </c>
      <c r="I57">
        <f>M52</f>
        <v>2.6859999999999999</v>
      </c>
      <c r="J57">
        <f>(((M47-M45)/((B46+C46+D46)-(B48+C48+D48)))+((M50-M47)/((B48+C48+D48)-(B51+C51+D51))))/2</f>
        <v>1.3491909729614675</v>
      </c>
      <c r="K57">
        <f>((N47-N45)/(K47-K45)+(N50-N47)/(K50-K47))/2</f>
        <v>0.16322941011598413</v>
      </c>
      <c r="Z57" s="28"/>
    </row>
    <row r="58" spans="1:26" x14ac:dyDescent="0.25">
      <c r="Z58" s="28"/>
    </row>
    <row r="59" spans="1:26" ht="18.75" x14ac:dyDescent="0.3">
      <c r="A59" s="12" t="s">
        <v>123</v>
      </c>
      <c r="Z59" s="28"/>
    </row>
    <row r="60" spans="1:26" x14ac:dyDescent="0.25">
      <c r="Z60" s="28"/>
    </row>
    <row r="61" spans="1:26" x14ac:dyDescent="0.25">
      <c r="A61" s="10" t="s">
        <v>116</v>
      </c>
      <c r="Z61" s="28"/>
    </row>
    <row r="62" spans="1:26" ht="15.75" thickBot="1" x14ac:dyDescent="0.3"/>
    <row r="63" spans="1:26" ht="15.75" thickBot="1" x14ac:dyDescent="0.3">
      <c r="A63" s="2" t="s">
        <v>2</v>
      </c>
      <c r="B63" s="3" t="s">
        <v>3</v>
      </c>
      <c r="C63" s="3" t="s">
        <v>4</v>
      </c>
      <c r="D63" s="3" t="s">
        <v>5</v>
      </c>
      <c r="E63" s="3" t="s">
        <v>6</v>
      </c>
      <c r="F63" s="3" t="s">
        <v>7</v>
      </c>
      <c r="G63" s="3" t="s">
        <v>8</v>
      </c>
      <c r="H63" s="3" t="s">
        <v>9</v>
      </c>
      <c r="I63" s="4" t="s">
        <v>10</v>
      </c>
    </row>
    <row r="64" spans="1:26" x14ac:dyDescent="0.25">
      <c r="A64" s="5"/>
      <c r="B64" s="1" t="s">
        <v>11</v>
      </c>
      <c r="C64" s="1" t="s">
        <v>11</v>
      </c>
      <c r="D64" s="1" t="s">
        <v>11</v>
      </c>
      <c r="E64" s="1" t="s">
        <v>11</v>
      </c>
      <c r="F64" s="1" t="s">
        <v>11</v>
      </c>
      <c r="G64" s="1" t="s">
        <v>11</v>
      </c>
      <c r="H64" s="1" t="s">
        <v>11</v>
      </c>
      <c r="I64" s="6" t="s">
        <v>11</v>
      </c>
      <c r="K64" s="2" t="s">
        <v>2</v>
      </c>
      <c r="L64" s="3" t="s">
        <v>104</v>
      </c>
      <c r="M64" s="4" t="s">
        <v>109</v>
      </c>
      <c r="N64" s="4" t="s">
        <v>108</v>
      </c>
    </row>
    <row r="65" spans="1:24" x14ac:dyDescent="0.25">
      <c r="A65" s="5">
        <v>0</v>
      </c>
      <c r="B65" s="1">
        <v>37.549999999999997</v>
      </c>
      <c r="C65" s="1">
        <v>0.09</v>
      </c>
      <c r="D65" s="1">
        <v>0</v>
      </c>
      <c r="E65" s="1">
        <v>0.13</v>
      </c>
      <c r="F65" s="1">
        <v>0</v>
      </c>
      <c r="G65" s="1">
        <v>0</v>
      </c>
      <c r="H65" s="1">
        <v>0</v>
      </c>
      <c r="I65" s="6">
        <v>0</v>
      </c>
      <c r="K65" s="5">
        <v>0</v>
      </c>
      <c r="L65" s="1">
        <v>0.21299999999999999</v>
      </c>
      <c r="M65" s="6">
        <v>0.80600000000000005</v>
      </c>
      <c r="N65" s="6">
        <f t="shared" ref="N65:N73" si="4">LN(M65)</f>
        <v>-0.21567153647550871</v>
      </c>
    </row>
    <row r="66" spans="1:24" x14ac:dyDescent="0.25">
      <c r="A66" s="5">
        <v>2.62</v>
      </c>
      <c r="B66" s="1">
        <v>37.07</v>
      </c>
      <c r="C66" s="1">
        <v>0.4</v>
      </c>
      <c r="D66" s="1">
        <v>0</v>
      </c>
      <c r="E66" s="1">
        <v>0.87</v>
      </c>
      <c r="F66" s="1">
        <v>0</v>
      </c>
      <c r="G66" s="1">
        <v>0</v>
      </c>
      <c r="H66" s="1">
        <v>7.0000000000000007E-2</v>
      </c>
      <c r="I66" s="6">
        <v>0</v>
      </c>
      <c r="K66" s="5">
        <v>2.62</v>
      </c>
      <c r="L66" s="1">
        <v>0.48</v>
      </c>
      <c r="M66" s="6">
        <v>1.8160000000000001</v>
      </c>
      <c r="N66" s="6">
        <f t="shared" si="4"/>
        <v>0.59663628017910153</v>
      </c>
      <c r="O66">
        <v>1</v>
      </c>
    </row>
    <row r="67" spans="1:24" x14ac:dyDescent="0.25">
      <c r="A67" s="5">
        <v>7.12</v>
      </c>
      <c r="B67" s="1">
        <v>37.28</v>
      </c>
      <c r="C67" s="1">
        <v>0.08</v>
      </c>
      <c r="D67" s="1">
        <v>0</v>
      </c>
      <c r="E67" s="1">
        <v>1.66</v>
      </c>
      <c r="F67" s="1">
        <v>0</v>
      </c>
      <c r="G67" s="1">
        <v>0.17</v>
      </c>
      <c r="H67" s="1">
        <v>0.1</v>
      </c>
      <c r="I67" s="6">
        <v>0</v>
      </c>
      <c r="K67" s="5">
        <v>7.12</v>
      </c>
      <c r="L67" s="1">
        <v>0.48299999999999998</v>
      </c>
      <c r="M67" s="6">
        <v>1.827</v>
      </c>
      <c r="N67" s="6">
        <f t="shared" si="4"/>
        <v>0.60267527739586968</v>
      </c>
    </row>
    <row r="68" spans="1:24" x14ac:dyDescent="0.25">
      <c r="A68" s="5">
        <v>27.18</v>
      </c>
      <c r="B68" s="1">
        <v>32.909999999999997</v>
      </c>
      <c r="C68" s="1">
        <v>0.08</v>
      </c>
      <c r="D68" s="1">
        <v>0.05</v>
      </c>
      <c r="E68" s="1">
        <v>5.05</v>
      </c>
      <c r="F68" s="1">
        <v>0.75</v>
      </c>
      <c r="G68" s="1">
        <v>0.26</v>
      </c>
      <c r="H68" s="1">
        <v>0.14000000000000001</v>
      </c>
      <c r="I68" s="6">
        <v>0</v>
      </c>
      <c r="K68" s="5">
        <v>27.18</v>
      </c>
      <c r="L68" s="1">
        <v>0.71799999999999997</v>
      </c>
      <c r="M68" s="6">
        <v>2.7170000000000001</v>
      </c>
      <c r="N68" s="6">
        <f t="shared" si="4"/>
        <v>0.99952833044421074</v>
      </c>
      <c r="O68" s="32">
        <v>2</v>
      </c>
    </row>
    <row r="69" spans="1:24" x14ac:dyDescent="0.25">
      <c r="A69" s="5">
        <v>51.31</v>
      </c>
      <c r="B69" s="1">
        <v>25.39</v>
      </c>
      <c r="C69" s="1">
        <v>0.05</v>
      </c>
      <c r="D69" s="1">
        <v>0.49</v>
      </c>
      <c r="E69" s="1">
        <v>14.5</v>
      </c>
      <c r="F69" s="1">
        <v>0.93</v>
      </c>
      <c r="G69" s="1">
        <v>0.74</v>
      </c>
      <c r="H69" s="1">
        <v>0.54</v>
      </c>
      <c r="I69" s="6">
        <v>0</v>
      </c>
      <c r="K69" s="5">
        <v>51.31</v>
      </c>
      <c r="L69" s="1">
        <v>0.68</v>
      </c>
      <c r="M69" s="6">
        <v>2.573</v>
      </c>
      <c r="N69" s="6">
        <f t="shared" si="4"/>
        <v>0.94507253329960705</v>
      </c>
    </row>
    <row r="70" spans="1:24" x14ac:dyDescent="0.25">
      <c r="A70" s="5">
        <v>74.89</v>
      </c>
      <c r="B70" s="1">
        <v>21.59</v>
      </c>
      <c r="C70" s="1">
        <v>0.06</v>
      </c>
      <c r="D70" s="1">
        <v>0.71</v>
      </c>
      <c r="E70" s="1">
        <v>21.06</v>
      </c>
      <c r="F70" s="1">
        <v>1.07</v>
      </c>
      <c r="G70" s="1">
        <v>0.82</v>
      </c>
      <c r="H70" s="1">
        <v>0.66</v>
      </c>
      <c r="I70" s="6">
        <v>0</v>
      </c>
      <c r="K70" s="5">
        <v>74.89</v>
      </c>
      <c r="L70" s="1">
        <v>0.65400000000000003</v>
      </c>
      <c r="M70" s="6">
        <v>2.4740000000000002</v>
      </c>
      <c r="N70" s="6">
        <f t="shared" si="4"/>
        <v>0.9058362739702962</v>
      </c>
      <c r="X70" s="28"/>
    </row>
    <row r="71" spans="1:24" x14ac:dyDescent="0.25">
      <c r="A71" s="5">
        <v>99.3</v>
      </c>
      <c r="B71" s="1">
        <v>19.66</v>
      </c>
      <c r="C71" s="1">
        <v>7.0000000000000007E-2</v>
      </c>
      <c r="D71" s="1">
        <v>0.82</v>
      </c>
      <c r="E71" s="1">
        <v>24.11</v>
      </c>
      <c r="F71" s="1">
        <v>1.1599999999999999</v>
      </c>
      <c r="G71" s="1">
        <v>0.86</v>
      </c>
      <c r="H71" s="1">
        <v>0.75</v>
      </c>
      <c r="I71" s="6">
        <v>0</v>
      </c>
      <c r="K71" s="5">
        <v>99.3</v>
      </c>
      <c r="L71" s="1">
        <v>0.435</v>
      </c>
      <c r="M71" s="6">
        <v>1.6459999999999999</v>
      </c>
      <c r="N71" s="6">
        <f t="shared" si="4"/>
        <v>0.49834810225487802</v>
      </c>
      <c r="X71" s="28"/>
    </row>
    <row r="72" spans="1:24" x14ac:dyDescent="0.25">
      <c r="A72" s="5">
        <v>125.33</v>
      </c>
      <c r="B72" s="1">
        <v>19.45</v>
      </c>
      <c r="C72" s="1">
        <v>0.08</v>
      </c>
      <c r="D72" s="1">
        <v>0.77</v>
      </c>
      <c r="E72" s="1">
        <v>25.56</v>
      </c>
      <c r="F72" s="1">
        <v>1.21</v>
      </c>
      <c r="G72" s="1">
        <v>0.88</v>
      </c>
      <c r="H72" s="1">
        <v>0.78</v>
      </c>
      <c r="I72" s="6">
        <v>0</v>
      </c>
      <c r="K72" s="5">
        <v>125.33</v>
      </c>
      <c r="L72" s="1">
        <v>0.434</v>
      </c>
      <c r="M72" s="6">
        <v>1.6419999999999999</v>
      </c>
      <c r="N72" s="6">
        <f t="shared" si="4"/>
        <v>0.49591501103023644</v>
      </c>
      <c r="X72" s="28"/>
    </row>
    <row r="73" spans="1:24" ht="15.75" thickBot="1" x14ac:dyDescent="0.3">
      <c r="A73" s="7">
        <v>150.36000000000001</v>
      </c>
      <c r="B73" s="8">
        <v>19.5</v>
      </c>
      <c r="C73" s="8">
        <v>0.06</v>
      </c>
      <c r="D73" s="8">
        <v>0.71</v>
      </c>
      <c r="E73" s="8">
        <v>26.17</v>
      </c>
      <c r="F73" s="8">
        <v>1.22</v>
      </c>
      <c r="G73" s="8">
        <v>0.94</v>
      </c>
      <c r="H73" s="8">
        <v>0.84</v>
      </c>
      <c r="I73" s="9">
        <v>0</v>
      </c>
      <c r="K73" s="7">
        <v>150.36000000000001</v>
      </c>
      <c r="L73" s="8">
        <v>0.36799999999999999</v>
      </c>
      <c r="M73" s="9">
        <v>1.3919999999999999</v>
      </c>
      <c r="N73" s="9">
        <f t="shared" si="4"/>
        <v>0.33074156191222781</v>
      </c>
      <c r="X73" s="28"/>
    </row>
    <row r="74" spans="1:24" x14ac:dyDescent="0.25">
      <c r="X74" s="28"/>
    </row>
    <row r="75" spans="1:24" x14ac:dyDescent="0.25">
      <c r="A75" s="27" t="s">
        <v>20</v>
      </c>
      <c r="B75" s="27" t="s">
        <v>14</v>
      </c>
      <c r="C75" s="27" t="s">
        <v>13</v>
      </c>
      <c r="D75" s="27" t="s">
        <v>15</v>
      </c>
      <c r="E75" s="27" t="s">
        <v>16</v>
      </c>
      <c r="F75" s="27" t="s">
        <v>17</v>
      </c>
      <c r="G75" s="27" t="s">
        <v>18</v>
      </c>
      <c r="H75" s="27" t="s">
        <v>19</v>
      </c>
      <c r="I75" s="27" t="s">
        <v>106</v>
      </c>
      <c r="J75" s="27" t="s">
        <v>105</v>
      </c>
      <c r="K75" s="33" t="s">
        <v>107</v>
      </c>
      <c r="X75" s="28"/>
    </row>
    <row r="76" spans="1:24" x14ac:dyDescent="0.25">
      <c r="A76" s="27" t="s">
        <v>115</v>
      </c>
      <c r="B76" s="27">
        <f>E73</f>
        <v>26.17</v>
      </c>
      <c r="C76" s="28">
        <f>B76/A73</f>
        <v>0.17404894918861399</v>
      </c>
      <c r="D76" s="28">
        <f>E73/($D$2-B73-C73-D73)</f>
        <v>1.326406487582362</v>
      </c>
      <c r="E76" s="28">
        <f>(F73/($D$2-B73-C73-D73))</f>
        <v>6.183476938672073E-2</v>
      </c>
      <c r="F76" s="28">
        <f>(G73/($D$2-B73-C73-D73))</f>
        <v>4.7643182970096294E-2</v>
      </c>
      <c r="G76" s="28">
        <f>(H73/($D$2-B73-C73-D73))</f>
        <v>4.2574759249873285E-2</v>
      </c>
      <c r="H76" s="28">
        <f>(I73/($D$2-B73-C73-D73))</f>
        <v>0</v>
      </c>
      <c r="I76" s="27">
        <f>M68</f>
        <v>2.7170000000000001</v>
      </c>
      <c r="J76" s="27">
        <f>(((M66-M65)/((B65+C65+D65)-(B66+C66+D66)))+((M68-M66)/((B66+C66+D66)-(B68+C68+D68))))/2</f>
        <v>3.0722812375514241</v>
      </c>
      <c r="K76" s="27">
        <f>((N66-N65)/(K66-K65)+(N68-N66)/(K68-K66))/2</f>
        <v>0.16322277541782559</v>
      </c>
      <c r="X76" s="28"/>
    </row>
    <row r="77" spans="1:24" x14ac:dyDescent="0.25">
      <c r="X77" s="28"/>
    </row>
    <row r="78" spans="1:24" x14ac:dyDescent="0.25">
      <c r="X78" s="28"/>
    </row>
    <row r="79" spans="1:24" x14ac:dyDescent="0.25">
      <c r="X79" s="2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Glucosa</vt:lpstr>
      <vt:lpstr>Lactosa</vt:lpstr>
      <vt:lpstr>Cofermentación</vt:lpstr>
      <vt:lpstr>Glicerol</vt:lpstr>
      <vt:lpstr>Manitol</vt:lpstr>
      <vt:lpstr>Suero lácteo</vt:lpstr>
      <vt:lpstr>Comparación sustratos</vt:lpstr>
      <vt:lpstr>Biorreactor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Marta</cp:lastModifiedBy>
  <dcterms:created xsi:type="dcterms:W3CDTF">2015-07-22T16:39:47Z</dcterms:created>
  <dcterms:modified xsi:type="dcterms:W3CDTF">2015-07-23T23:48:08Z</dcterms:modified>
</cp:coreProperties>
</file>