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chartsheets/sheet23.xml" ContentType="application/vnd.openxmlformats-officedocument.spreadsheetml.chartsheet+xml"/>
  <Override PartName="/xl/chartsheets/sheet24.xml" ContentType="application/vnd.openxmlformats-officedocument.spreadsheetml.chartsheet+xml"/>
  <Override PartName="/xl/chartsheets/sheet25.xml" ContentType="application/vnd.openxmlformats-officedocument.spreadsheetml.chartsheet+xml"/>
  <Override PartName="/xl/chartsheets/sheet26.xml" ContentType="application/vnd.openxmlformats-officedocument.spreadsheetml.chartsheet+xml"/>
  <Override PartName="/xl/chartsheets/sheet27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8.xml" ContentType="application/vnd.openxmlformats-officedocument.spreadsheetml.chartsheet+xml"/>
  <Override PartName="/xl/chartsheets/sheet29.xml" ContentType="application/vnd.openxmlformats-officedocument.spreadsheetml.chartsheet+xml"/>
  <Override PartName="/xl/chartsheets/sheet30.xml" ContentType="application/vnd.openxmlformats-officedocument.spreadsheetml.chartsheet+xml"/>
  <Override PartName="/xl/chartsheets/sheet31.xml" ContentType="application/vnd.openxmlformats-officedocument.spreadsheetml.chartsheet+xml"/>
  <Override PartName="/xl/chartsheets/sheet32.xml" ContentType="application/vnd.openxmlformats-officedocument.spreadsheetml.chartsheet+xml"/>
  <Override PartName="/xl/chartsheets/sheet33.xml" ContentType="application/vnd.openxmlformats-officedocument.spreadsheetml.chartsheet+xml"/>
  <Override PartName="/xl/chartsheets/sheet34.xml" ContentType="application/vnd.openxmlformats-officedocument.spreadsheetml.chartsheet+xml"/>
  <Override PartName="/xl/worksheets/sheet4.xml" ContentType="application/vnd.openxmlformats-officedocument.spreadsheetml.worksheet+xml"/>
  <Override PartName="/xl/chartsheets/sheet35.xml" ContentType="application/vnd.openxmlformats-officedocument.spreadsheetml.chartsheet+xml"/>
  <Override PartName="/xl/chartsheets/sheet36.xml" ContentType="application/vnd.openxmlformats-officedocument.spreadsheetml.chartsheet+xml"/>
  <Override PartName="/xl/chartsheets/sheet37.xml" ContentType="application/vnd.openxmlformats-officedocument.spreadsheetml.chartsheet+xml"/>
  <Override PartName="/xl/chartsheets/sheet38.xml" ContentType="application/vnd.openxmlformats-officedocument.spreadsheetml.chartsheet+xml"/>
  <Override PartName="/xl/chartsheets/sheet39.xml" ContentType="application/vnd.openxmlformats-officedocument.spreadsheetml.chartsheet+xml"/>
  <Override PartName="/xl/chartsheets/sheet40.xml" ContentType="application/vnd.openxmlformats-officedocument.spreadsheetml.chartsheet+xml"/>
  <Override PartName="/xl/chartsheets/sheet4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theme/themeOverride3.xml" ContentType="application/vnd.openxmlformats-officedocument.themeOverrid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theme/themeOverride4.xml" ContentType="application/vnd.openxmlformats-officedocument.themeOverrid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theme/themeOverride5.xml" ContentType="application/vnd.openxmlformats-officedocument.themeOverrid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theme/themeOverride6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theme/themeOverride7.xml" ContentType="application/vnd.openxmlformats-officedocument.themeOverrid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theme/themeOverride8.xml" ContentType="application/vnd.openxmlformats-officedocument.themeOverrid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theme/themeOverride9.xml" ContentType="application/vnd.openxmlformats-officedocument.themeOverrid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theme/themeOverride10.xml" ContentType="application/vnd.openxmlformats-officedocument.themeOverrid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theme/themeOverride11.xml" ContentType="application/vnd.openxmlformats-officedocument.themeOverrid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theme/themeOverride12.xml" ContentType="application/vnd.openxmlformats-officedocument.themeOverrid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theme/themeOverride13.xml" ContentType="application/vnd.openxmlformats-officedocument.themeOverride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theme/themeOverride14.xml" ContentType="application/vnd.openxmlformats-officedocument.themeOverride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theme/themeOverride15.xml" ContentType="application/vnd.openxmlformats-officedocument.themeOverride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theme/themeOverride16.xml" ContentType="application/vnd.openxmlformats-officedocument.themeOverride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theme/themeOverride17.xml" ContentType="application/vnd.openxmlformats-officedocument.themeOverride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theme/themeOverride18.xml" ContentType="application/vnd.openxmlformats-officedocument.themeOverride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theme/themeOverride19.xml" ContentType="application/vnd.openxmlformats-officedocument.themeOverride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theme/themeOverride20.xml" ContentType="application/vnd.openxmlformats-officedocument.themeOverride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theme/themeOverride21.xml" ContentType="application/vnd.openxmlformats-officedocument.themeOverride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theme/themeOverride22.xml" ContentType="application/vnd.openxmlformats-officedocument.themeOverride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theme/themeOverride23.xml" ContentType="application/vnd.openxmlformats-officedocument.themeOverride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theme/themeOverride24.xml" ContentType="application/vnd.openxmlformats-officedocument.themeOverride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theme/themeOverride25.xml" ContentType="application/vnd.openxmlformats-officedocument.themeOverride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theme/themeOverride26.xml" ContentType="application/vnd.openxmlformats-officedocument.themeOverride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theme/themeOverride27.xml" ContentType="application/vnd.openxmlformats-officedocument.themeOverride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theme/themeOverride28.xml" ContentType="application/vnd.openxmlformats-officedocument.themeOverride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theme/themeOverride29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225"/>
  <workbookPr autoCompressPictures="0"/>
  <bookViews>
    <workbookView xWindow="0" yWindow="0" windowWidth="25520" windowHeight="15540" tabRatio="789" firstSheet="38"/>
  </bookViews>
  <sheets>
    <sheet name="Caso modelo inicial" sheetId="11" r:id="rId1"/>
    <sheet name="Emisión de CO" sheetId="45" r:id="rId2"/>
    <sheet name="Emisión VOC" sheetId="46" r:id="rId3"/>
    <sheet name="Emisión NMVOC" sheetId="47" r:id="rId4"/>
    <sheet name="Emisión CH4" sheetId="48" r:id="rId5"/>
    <sheet name="Emisión NOX" sheetId="49" r:id="rId6"/>
    <sheet name="Emisión NO" sheetId="50" r:id="rId7"/>
    <sheet name="Emisión NO2" sheetId="52" r:id="rId8"/>
    <sheet name="Emisión N2O" sheetId="53" r:id="rId9"/>
    <sheet name="Emisión PM2.5" sheetId="54" r:id="rId10"/>
    <sheet name="Emisión PM10" sheetId="55" r:id="rId11"/>
    <sheet name="Emision PM(ex)" sheetId="56" r:id="rId12"/>
    <sheet name="Emisión EC" sheetId="57" r:id="rId13"/>
    <sheet name="Emisión OM" sheetId="58" r:id="rId14"/>
    <sheet name="Emisión CO2" sheetId="44" r:id="rId15"/>
    <sheet name="FC" sheetId="43" r:id="rId16"/>
    <sheet name="Emisión SO2" sheetId="59" r:id="rId17"/>
    <sheet name="Emisión Pb" sheetId="60" r:id="rId18"/>
    <sheet name="Emisión Cobre" sheetId="61" r:id="rId19"/>
    <sheet name="Emisión Niquel" sheetId="62" r:id="rId20"/>
    <sheet name="Emisión de Zinc" sheetId="63" r:id="rId21"/>
    <sheet name="Caso influencia pendiente" sheetId="39" r:id="rId22"/>
    <sheet name="FC CO2 PEND" sheetId="68" r:id="rId23"/>
    <sheet name="SO2 PEND" sheetId="82" r:id="rId24"/>
    <sheet name="CO, VOC, NMVOC, CH4 PEND" sheetId="69" r:id="rId25"/>
    <sheet name="NOX, NO, NO2, N2O PEND" sheetId="71" r:id="rId26"/>
    <sheet name="PM2.5, PM10, PMESCAP PEND" sheetId="72" r:id="rId27"/>
    <sheet name="EC, OM PEND" sheetId="73" r:id="rId28"/>
    <sheet name="Pb, Cu, Ni, Zn PEND" sheetId="74" r:id="rId29"/>
    <sheet name="Caso influencia carga" sheetId="75" r:id="rId30"/>
    <sheet name="FC CO2 CARGA" sheetId="83" r:id="rId31"/>
    <sheet name="SO2 CARGA" sheetId="76" r:id="rId32"/>
    <sheet name="CO, VOC, NMVOC, CH4 CARGA" sheetId="77" r:id="rId33"/>
    <sheet name="NOX, NO, NO2, N2O CARGA" sheetId="78" r:id="rId34"/>
    <sheet name="PM2.5, PM10, PMESCAP CARGA" sheetId="79" r:id="rId35"/>
    <sheet name="EC, OM CARGA" sheetId="80" r:id="rId36"/>
    <sheet name="Pb, Cu, Ni, Zn CARGA" sheetId="81" r:id="rId37"/>
    <sheet name="Caso influencia velocidad" sheetId="84" r:id="rId38"/>
    <sheet name="FC CO2 VEL" sheetId="85" r:id="rId39"/>
    <sheet name="SO2 VEL" sheetId="86" r:id="rId40"/>
    <sheet name="CO, VOC, NMVOC, CH4 VEL" sheetId="87" r:id="rId41"/>
    <sheet name="NOX, NO, NO2, N2O VEL" sheetId="88" r:id="rId42"/>
    <sheet name="PM2.5, PM10, PMESCAP VEL" sheetId="89" r:id="rId43"/>
    <sheet name="EC, OM VEL" sheetId="90" r:id="rId44"/>
    <sheet name="Pb, Cu, Ni, Zn VEL" sheetId="91" r:id="rId45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78" i="84" l="1"/>
  <c r="BP23" i="84"/>
  <c r="AJ78" i="84"/>
  <c r="BO23" i="84"/>
  <c r="AI78" i="84"/>
  <c r="AZ78" i="84"/>
  <c r="BS23" i="84"/>
  <c r="AY78" i="84"/>
  <c r="BR23" i="84"/>
  <c r="AX78" i="84"/>
  <c r="BQ23" i="84"/>
  <c r="BB69" i="84"/>
  <c r="BA69" i="84"/>
  <c r="BR22" i="84"/>
  <c r="AZ69" i="84"/>
  <c r="BQ22" i="84"/>
  <c r="AW69" i="84"/>
  <c r="BS14" i="84"/>
  <c r="AV69" i="84"/>
  <c r="AU69" i="84"/>
  <c r="BQ14" i="84"/>
  <c r="BB58" i="84"/>
  <c r="BB59" i="84"/>
  <c r="BB60" i="84"/>
  <c r="BB61" i="84"/>
  <c r="BA57" i="84"/>
  <c r="BA58" i="84"/>
  <c r="BA59" i="84"/>
  <c r="BA61" i="84"/>
  <c r="AZ57" i="84"/>
  <c r="AZ58" i="84"/>
  <c r="AZ61" i="84"/>
  <c r="AW61" i="84"/>
  <c r="BS13" i="84"/>
  <c r="AV61" i="84"/>
  <c r="AU61" i="84"/>
  <c r="BQ13" i="84"/>
  <c r="AM69" i="84"/>
  <c r="AL69" i="84"/>
  <c r="BO22" i="84"/>
  <c r="AK69" i="84"/>
  <c r="AH69" i="84"/>
  <c r="BP14" i="84"/>
  <c r="AG69" i="84"/>
  <c r="AF69" i="84"/>
  <c r="BN14" i="84"/>
  <c r="AM58" i="84"/>
  <c r="AM59" i="84"/>
  <c r="AM60" i="84"/>
  <c r="AM61" i="84"/>
  <c r="AL57" i="84"/>
  <c r="AL58" i="84"/>
  <c r="AL59" i="84"/>
  <c r="AL61" i="84"/>
  <c r="AK57" i="84"/>
  <c r="AK58" i="84"/>
  <c r="AK61" i="84"/>
  <c r="AH61" i="84"/>
  <c r="BP13" i="84"/>
  <c r="AG61" i="84"/>
  <c r="AF61" i="84"/>
  <c r="BG53" i="84"/>
  <c r="BF53" i="84"/>
  <c r="BR30" i="84"/>
  <c r="BE53" i="84"/>
  <c r="BQ30" i="84"/>
  <c r="BB53" i="84"/>
  <c r="BA53" i="84"/>
  <c r="AZ53" i="84"/>
  <c r="BQ20" i="84"/>
  <c r="AW53" i="84"/>
  <c r="AV53" i="84"/>
  <c r="AU53" i="84"/>
  <c r="BG45" i="84"/>
  <c r="BF45" i="84"/>
  <c r="BR29" i="84"/>
  <c r="BE45" i="84"/>
  <c r="BQ29" i="84"/>
  <c r="BB45" i="84"/>
  <c r="BS19" i="84"/>
  <c r="BA45" i="84"/>
  <c r="AZ45" i="84"/>
  <c r="AW45" i="84"/>
  <c r="AV45" i="84"/>
  <c r="AU45" i="84"/>
  <c r="BQ11" i="84"/>
  <c r="BG37" i="84"/>
  <c r="BF37" i="84"/>
  <c r="BE37" i="84"/>
  <c r="BB37" i="84"/>
  <c r="BS18" i="84"/>
  <c r="BA37" i="84"/>
  <c r="AZ37" i="84"/>
  <c r="BQ18" i="84"/>
  <c r="AW37" i="84"/>
  <c r="AV37" i="84"/>
  <c r="BR10" i="84"/>
  <c r="AU37" i="84"/>
  <c r="BG29" i="84"/>
  <c r="BF29" i="84"/>
  <c r="BE29" i="84"/>
  <c r="BQ27" i="84"/>
  <c r="BB29" i="84"/>
  <c r="BA29" i="84"/>
  <c r="AZ29" i="84"/>
  <c r="BQ17" i="84"/>
  <c r="AW29" i="84"/>
  <c r="AV29" i="84"/>
  <c r="AU29" i="84"/>
  <c r="BQ9" i="84"/>
  <c r="BG21" i="84"/>
  <c r="BF21" i="84"/>
  <c r="BR26" i="84"/>
  <c r="BE21" i="84"/>
  <c r="BB21" i="84"/>
  <c r="BS16" i="84"/>
  <c r="BA21" i="84"/>
  <c r="AZ21" i="84"/>
  <c r="BQ16" i="84"/>
  <c r="AW21" i="84"/>
  <c r="AV21" i="84"/>
  <c r="BR8" i="84"/>
  <c r="AU21" i="84"/>
  <c r="BG13" i="84"/>
  <c r="BS25" i="84"/>
  <c r="BF13" i="84"/>
  <c r="BE13" i="84"/>
  <c r="BB13" i="84"/>
  <c r="BS15" i="84"/>
  <c r="BA13" i="84"/>
  <c r="AZ13" i="84"/>
  <c r="AW13" i="84"/>
  <c r="BS7" i="84"/>
  <c r="AV13" i="84"/>
  <c r="BR7" i="84"/>
  <c r="AU13" i="84"/>
  <c r="BQ7" i="84"/>
  <c r="AR53" i="84"/>
  <c r="BP30" i="84"/>
  <c r="AQ53" i="84"/>
  <c r="AP53" i="84"/>
  <c r="AM53" i="84"/>
  <c r="BP20" i="84"/>
  <c r="AL53" i="84"/>
  <c r="AK53" i="84"/>
  <c r="AH53" i="84"/>
  <c r="AG53" i="84"/>
  <c r="BO12" i="84"/>
  <c r="AF53" i="84"/>
  <c r="AR45" i="84"/>
  <c r="BP29" i="84"/>
  <c r="AQ45" i="84"/>
  <c r="AP45" i="84"/>
  <c r="AM45" i="84"/>
  <c r="AL45" i="84"/>
  <c r="BO19" i="84"/>
  <c r="AK45" i="84"/>
  <c r="BN19" i="84"/>
  <c r="AH45" i="84"/>
  <c r="AG45" i="84"/>
  <c r="AF45" i="84"/>
  <c r="BN11" i="84"/>
  <c r="AR37" i="84"/>
  <c r="BP28" i="84"/>
  <c r="AQ37" i="84"/>
  <c r="BO28" i="84"/>
  <c r="AP37" i="84"/>
  <c r="AM37" i="84"/>
  <c r="BP18" i="84"/>
  <c r="AL37" i="84"/>
  <c r="AK37" i="84"/>
  <c r="BN18" i="84"/>
  <c r="AH37" i="84"/>
  <c r="AG37" i="84"/>
  <c r="BO10" i="84"/>
  <c r="AF37" i="84"/>
  <c r="AR29" i="84"/>
  <c r="BP27" i="84"/>
  <c r="AQ29" i="84"/>
  <c r="BO27" i="84"/>
  <c r="AP29" i="84"/>
  <c r="AM29" i="84"/>
  <c r="AL29" i="84"/>
  <c r="AK29" i="84"/>
  <c r="AH29" i="84"/>
  <c r="AG29" i="84"/>
  <c r="BO9" i="84"/>
  <c r="AF29" i="84"/>
  <c r="AR21" i="84"/>
  <c r="AQ21" i="84"/>
  <c r="BO26" i="84"/>
  <c r="AP21" i="84"/>
  <c r="AM21" i="84"/>
  <c r="AL21" i="84"/>
  <c r="AK21" i="84"/>
  <c r="AH21" i="84"/>
  <c r="AG21" i="84"/>
  <c r="BO8" i="84"/>
  <c r="AF21" i="84"/>
  <c r="AR13" i="84"/>
  <c r="AQ13" i="84"/>
  <c r="BO25" i="84"/>
  <c r="AP13" i="84"/>
  <c r="AM13" i="84"/>
  <c r="BP15" i="84"/>
  <c r="AL13" i="84"/>
  <c r="AK13" i="84"/>
  <c r="BN15" i="84"/>
  <c r="AH13" i="84"/>
  <c r="AG13" i="84"/>
  <c r="AF13" i="84"/>
  <c r="BR14" i="84"/>
  <c r="BN22" i="84"/>
  <c r="BO14" i="84"/>
  <c r="BG67" i="84"/>
  <c r="BG65" i="84"/>
  <c r="BE65" i="84"/>
  <c r="BO13" i="84"/>
  <c r="BG60" i="84"/>
  <c r="AR60" i="84"/>
  <c r="AR67" i="84"/>
  <c r="BG66" i="84"/>
  <c r="BF66" i="84"/>
  <c r="AR66" i="84"/>
  <c r="AQ66" i="84"/>
  <c r="BG58" i="84"/>
  <c r="BE58" i="84"/>
  <c r="BF65" i="84"/>
  <c r="AR58" i="84"/>
  <c r="AP58" i="84"/>
  <c r="AR65" i="84"/>
  <c r="AQ58" i="84"/>
  <c r="AP65" i="84"/>
  <c r="BE64" i="84"/>
  <c r="AP64" i="84"/>
  <c r="BS11" i="84"/>
  <c r="BO29" i="84"/>
  <c r="BO11" i="84"/>
  <c r="BS28" i="84"/>
  <c r="BR17" i="84"/>
  <c r="BS9" i="84"/>
  <c r="BN17" i="84"/>
  <c r="BS26" i="84"/>
  <c r="BR15" i="84"/>
  <c r="V78" i="84"/>
  <c r="U78" i="84"/>
  <c r="T78" i="84"/>
  <c r="BP22" i="84"/>
  <c r="V69" i="84"/>
  <c r="S69" i="84"/>
  <c r="R69" i="84"/>
  <c r="Q69" i="84"/>
  <c r="X68" i="84"/>
  <c r="X67" i="84"/>
  <c r="X59" i="84"/>
  <c r="AC59" i="84"/>
  <c r="W67" i="84"/>
  <c r="AC66" i="84"/>
  <c r="X66" i="84"/>
  <c r="X58" i="84"/>
  <c r="AC58" i="84"/>
  <c r="W66" i="84"/>
  <c r="W69" i="84"/>
  <c r="BL22" i="84"/>
  <c r="V58" i="84"/>
  <c r="AA65" i="84"/>
  <c r="W57" i="84"/>
  <c r="W58" i="84"/>
  <c r="W59" i="84"/>
  <c r="W61" i="84"/>
  <c r="BL21" i="84"/>
  <c r="BV8" i="84"/>
  <c r="S61" i="84"/>
  <c r="R61" i="84"/>
  <c r="Q61" i="84"/>
  <c r="X60" i="84"/>
  <c r="AB66" i="84"/>
  <c r="AB58" i="84"/>
  <c r="AB65" i="84"/>
  <c r="AA58" i="84"/>
  <c r="BQ21" i="84"/>
  <c r="AB64" i="84"/>
  <c r="V57" i="84"/>
  <c r="V61" i="84"/>
  <c r="BK21" i="84"/>
  <c r="BS20" i="84"/>
  <c r="BN30" i="84"/>
  <c r="BO20" i="84"/>
  <c r="AC53" i="84"/>
  <c r="AB53" i="84"/>
  <c r="BL30" i="84"/>
  <c r="AA53" i="84"/>
  <c r="X53" i="84"/>
  <c r="BM20" i="84"/>
  <c r="W53" i="84"/>
  <c r="V53" i="84"/>
  <c r="BK20" i="84"/>
  <c r="S53" i="84"/>
  <c r="R53" i="84"/>
  <c r="Q53" i="84"/>
  <c r="BS29" i="84"/>
  <c r="BR19" i="84"/>
  <c r="BP19" i="84"/>
  <c r="AC45" i="84"/>
  <c r="BM29" i="84"/>
  <c r="AB45" i="84"/>
  <c r="AA45" i="84"/>
  <c r="BK29" i="84"/>
  <c r="X45" i="84"/>
  <c r="W45" i="84"/>
  <c r="BL19" i="84"/>
  <c r="V45" i="84"/>
  <c r="S45" i="84"/>
  <c r="R45" i="84"/>
  <c r="Q45" i="84"/>
  <c r="BR28" i="84"/>
  <c r="BN28" i="84"/>
  <c r="BO18" i="84"/>
  <c r="AC37" i="84"/>
  <c r="AB37" i="84"/>
  <c r="BL28" i="84"/>
  <c r="AA37" i="84"/>
  <c r="X37" i="84"/>
  <c r="BM18" i="84"/>
  <c r="W37" i="84"/>
  <c r="V37" i="84"/>
  <c r="BK18" i="84"/>
  <c r="S37" i="84"/>
  <c r="R37" i="84"/>
  <c r="Q37" i="84"/>
  <c r="BS30" i="84"/>
  <c r="BO30" i="84"/>
  <c r="BM30" i="84"/>
  <c r="BK30" i="84"/>
  <c r="BN29" i="84"/>
  <c r="BL29" i="84"/>
  <c r="BP17" i="84"/>
  <c r="AC29" i="84"/>
  <c r="AB29" i="84"/>
  <c r="AA29" i="84"/>
  <c r="X29" i="84"/>
  <c r="W29" i="84"/>
  <c r="BL17" i="84"/>
  <c r="V29" i="84"/>
  <c r="S29" i="84"/>
  <c r="R29" i="84"/>
  <c r="Q29" i="84"/>
  <c r="BQ28" i="84"/>
  <c r="BM28" i="84"/>
  <c r="BK28" i="84"/>
  <c r="BS27" i="84"/>
  <c r="BR27" i="84"/>
  <c r="BN27" i="84"/>
  <c r="BM27" i="84"/>
  <c r="BL27" i="84"/>
  <c r="BK27" i="84"/>
  <c r="L27" i="84"/>
  <c r="M27" i="84"/>
  <c r="BP26" i="84"/>
  <c r="BN26" i="84"/>
  <c r="AB21" i="84"/>
  <c r="BL26" i="84"/>
  <c r="L26" i="84"/>
  <c r="M26" i="84"/>
  <c r="L25" i="84"/>
  <c r="M25" i="84"/>
  <c r="BN23" i="84"/>
  <c r="BM23" i="84"/>
  <c r="BL23" i="84"/>
  <c r="BK23" i="84"/>
  <c r="BS22" i="84"/>
  <c r="BK22" i="84"/>
  <c r="BN21" i="84"/>
  <c r="BW7" i="84"/>
  <c r="BQ26" i="84"/>
  <c r="AC21" i="84"/>
  <c r="BM26" i="84"/>
  <c r="AA21" i="84"/>
  <c r="BK26" i="84"/>
  <c r="X21" i="84"/>
  <c r="W21" i="84"/>
  <c r="V21" i="84"/>
  <c r="S21" i="84"/>
  <c r="R21" i="84"/>
  <c r="Q21" i="84"/>
  <c r="L21" i="84"/>
  <c r="M21" i="84"/>
  <c r="BR20" i="84"/>
  <c r="BN20" i="84"/>
  <c r="BL20" i="84"/>
  <c r="L20" i="84"/>
  <c r="M20" i="84"/>
  <c r="BQ19" i="84"/>
  <c r="BM19" i="84"/>
  <c r="BK19" i="84"/>
  <c r="L19" i="84"/>
  <c r="M19" i="84"/>
  <c r="BR18" i="84"/>
  <c r="BL18" i="84"/>
  <c r="BS17" i="84"/>
  <c r="BO17" i="84"/>
  <c r="BM17" i="84"/>
  <c r="BK17" i="84"/>
  <c r="BR16" i="84"/>
  <c r="BP16" i="84"/>
  <c r="BO16" i="84"/>
  <c r="BN16" i="84"/>
  <c r="BM16" i="84"/>
  <c r="BL16" i="84"/>
  <c r="BK16" i="84"/>
  <c r="BO15" i="84"/>
  <c r="L15" i="84"/>
  <c r="M15" i="84"/>
  <c r="BM14" i="84"/>
  <c r="BL14" i="84"/>
  <c r="BK14" i="84"/>
  <c r="L14" i="84"/>
  <c r="M14" i="84"/>
  <c r="BR13" i="84"/>
  <c r="BN13" i="84"/>
  <c r="BM13" i="84"/>
  <c r="BL13" i="84"/>
  <c r="BK13" i="84"/>
  <c r="BR25" i="84"/>
  <c r="BQ25" i="84"/>
  <c r="BQ15" i="84"/>
  <c r="BP25" i="84"/>
  <c r="BN25" i="84"/>
  <c r="BO7" i="84"/>
  <c r="AC13" i="84"/>
  <c r="BM25" i="84"/>
  <c r="AB13" i="84"/>
  <c r="BL25" i="84"/>
  <c r="AA13" i="84"/>
  <c r="BK25" i="84"/>
  <c r="X13" i="84"/>
  <c r="BM15" i="84"/>
  <c r="W13" i="84"/>
  <c r="BL15" i="84"/>
  <c r="V13" i="84"/>
  <c r="BK15" i="84"/>
  <c r="S13" i="84"/>
  <c r="BM7" i="84"/>
  <c r="R13" i="84"/>
  <c r="Q13" i="84"/>
  <c r="BK7" i="84"/>
  <c r="BS12" i="84"/>
  <c r="BR12" i="84"/>
  <c r="BQ12" i="84"/>
  <c r="BP12" i="84"/>
  <c r="BN12" i="84"/>
  <c r="BM12" i="84"/>
  <c r="BL12" i="84"/>
  <c r="BK12" i="84"/>
  <c r="BR11" i="84"/>
  <c r="BP11" i="84"/>
  <c r="BM11" i="84"/>
  <c r="BL11" i="84"/>
  <c r="BK11" i="84"/>
  <c r="BS10" i="84"/>
  <c r="BQ10" i="84"/>
  <c r="BP10" i="84"/>
  <c r="BN10" i="84"/>
  <c r="BM10" i="84"/>
  <c r="BL10" i="84"/>
  <c r="BK10" i="84"/>
  <c r="BR9" i="84"/>
  <c r="BP9" i="84"/>
  <c r="BN9" i="84"/>
  <c r="BM9" i="84"/>
  <c r="BL9" i="84"/>
  <c r="BK9" i="84"/>
  <c r="BS8" i="84"/>
  <c r="BQ8" i="84"/>
  <c r="BP8" i="84"/>
  <c r="BN8" i="84"/>
  <c r="BM8" i="84"/>
  <c r="BL8" i="84"/>
  <c r="BK8" i="84"/>
  <c r="M8" i="84"/>
  <c r="L8" i="84"/>
  <c r="K8" i="84"/>
  <c r="BX7" i="84"/>
  <c r="BV7" i="84"/>
  <c r="BP7" i="84"/>
  <c r="BN7" i="84"/>
  <c r="BL7" i="84"/>
  <c r="M7" i="84"/>
  <c r="L7" i="84"/>
  <c r="K7" i="84"/>
  <c r="C7" i="84"/>
  <c r="M6" i="84"/>
  <c r="M5" i="84"/>
  <c r="M9" i="84"/>
  <c r="L6" i="84"/>
  <c r="K6" i="84"/>
  <c r="K5" i="84"/>
  <c r="K9" i="84"/>
  <c r="L5" i="84"/>
  <c r="L9" i="84"/>
  <c r="C5" i="84"/>
  <c r="AZ78" i="75"/>
  <c r="AY78" i="75"/>
  <c r="BR23" i="75"/>
  <c r="AX78" i="75"/>
  <c r="BQ23" i="75"/>
  <c r="AK78" i="75"/>
  <c r="BP23" i="75"/>
  <c r="AJ78" i="75"/>
  <c r="BO23" i="75"/>
  <c r="AI78" i="75"/>
  <c r="V78" i="75"/>
  <c r="U78" i="75"/>
  <c r="T78" i="75"/>
  <c r="X66" i="75"/>
  <c r="X67" i="75"/>
  <c r="X68" i="75"/>
  <c r="X69" i="75"/>
  <c r="W66" i="75"/>
  <c r="W67" i="75"/>
  <c r="W69" i="75"/>
  <c r="V69" i="75"/>
  <c r="S69" i="75"/>
  <c r="R69" i="75"/>
  <c r="Q69" i="75"/>
  <c r="BK14" i="75"/>
  <c r="AM69" i="75"/>
  <c r="BP22" i="75"/>
  <c r="AL69" i="75"/>
  <c r="AK69" i="75"/>
  <c r="AH69" i="75"/>
  <c r="AG69" i="75"/>
  <c r="BO14" i="75"/>
  <c r="AF69" i="75"/>
  <c r="BB69" i="75"/>
  <c r="BA69" i="75"/>
  <c r="AZ69" i="75"/>
  <c r="AW69" i="75"/>
  <c r="AV69" i="75"/>
  <c r="AU69" i="75"/>
  <c r="BB58" i="75"/>
  <c r="BB59" i="75"/>
  <c r="BB60" i="75"/>
  <c r="BB61" i="75"/>
  <c r="BA57" i="75"/>
  <c r="BA58" i="75"/>
  <c r="BA59" i="75"/>
  <c r="BA61" i="75"/>
  <c r="AZ57" i="75"/>
  <c r="AZ58" i="75"/>
  <c r="AZ61" i="75"/>
  <c r="AW61" i="75"/>
  <c r="BS13" i="75"/>
  <c r="AV61" i="75"/>
  <c r="BR13" i="75"/>
  <c r="AU61" i="75"/>
  <c r="BQ13" i="75"/>
  <c r="AM58" i="75"/>
  <c r="AM59" i="75"/>
  <c r="AM60" i="75"/>
  <c r="AM61" i="75"/>
  <c r="AL57" i="75"/>
  <c r="AL58" i="75"/>
  <c r="AL59" i="75"/>
  <c r="AL61" i="75"/>
  <c r="AK57" i="75"/>
  <c r="AK58" i="75"/>
  <c r="AK61" i="75"/>
  <c r="AH61" i="75"/>
  <c r="BP13" i="75"/>
  <c r="AG61" i="75"/>
  <c r="AF61" i="75"/>
  <c r="BN13" i="75"/>
  <c r="AR21" i="75"/>
  <c r="AQ21" i="75"/>
  <c r="BO26" i="75"/>
  <c r="AP21" i="75"/>
  <c r="BN26" i="75"/>
  <c r="AM21" i="75"/>
  <c r="AL21" i="75"/>
  <c r="BO16" i="75"/>
  <c r="AK21" i="75"/>
  <c r="AH21" i="75"/>
  <c r="AG21" i="75"/>
  <c r="BO8" i="75"/>
  <c r="AF21" i="75"/>
  <c r="AR29" i="75"/>
  <c r="AQ29" i="75"/>
  <c r="AP29" i="75"/>
  <c r="AM29" i="75"/>
  <c r="BP17" i="75"/>
  <c r="AL29" i="75"/>
  <c r="AK29" i="75"/>
  <c r="BN17" i="75"/>
  <c r="AH29" i="75"/>
  <c r="AG29" i="75"/>
  <c r="AF29" i="75"/>
  <c r="AR37" i="75"/>
  <c r="BP28" i="75"/>
  <c r="AQ37" i="75"/>
  <c r="BO28" i="75"/>
  <c r="AP37" i="75"/>
  <c r="BN28" i="75"/>
  <c r="AM37" i="75"/>
  <c r="BP18" i="75"/>
  <c r="AL37" i="75"/>
  <c r="BO18" i="75"/>
  <c r="AK37" i="75"/>
  <c r="BN18" i="75"/>
  <c r="AH37" i="75"/>
  <c r="AG37" i="75"/>
  <c r="AF37" i="75"/>
  <c r="BN10" i="75"/>
  <c r="AR45" i="75"/>
  <c r="AQ45" i="75"/>
  <c r="AP45" i="75"/>
  <c r="AM45" i="75"/>
  <c r="AL45" i="75"/>
  <c r="AK45" i="75"/>
  <c r="AH45" i="75"/>
  <c r="AG45" i="75"/>
  <c r="AF45" i="75"/>
  <c r="AR53" i="75"/>
  <c r="AQ53" i="75"/>
  <c r="BO30" i="75"/>
  <c r="AP53" i="75"/>
  <c r="BN30" i="75"/>
  <c r="AM53" i="75"/>
  <c r="BP20" i="75"/>
  <c r="AL53" i="75"/>
  <c r="AK53" i="75"/>
  <c r="BN20" i="75"/>
  <c r="AH53" i="75"/>
  <c r="BP12" i="75"/>
  <c r="AG53" i="75"/>
  <c r="AF53" i="75"/>
  <c r="BN12" i="75"/>
  <c r="BG53" i="75"/>
  <c r="BF53" i="75"/>
  <c r="BR30" i="75"/>
  <c r="BE53" i="75"/>
  <c r="BB53" i="75"/>
  <c r="BS20" i="75"/>
  <c r="BA53" i="75"/>
  <c r="AZ53" i="75"/>
  <c r="BQ20" i="75"/>
  <c r="AW53" i="75"/>
  <c r="AV53" i="75"/>
  <c r="BR12" i="75"/>
  <c r="AU53" i="75"/>
  <c r="BG45" i="75"/>
  <c r="BF45" i="75"/>
  <c r="BR29" i="75"/>
  <c r="BE45" i="75"/>
  <c r="BQ29" i="75"/>
  <c r="BB45" i="75"/>
  <c r="BS19" i="75"/>
  <c r="BA45" i="75"/>
  <c r="BR19" i="75"/>
  <c r="AZ45" i="75"/>
  <c r="AW45" i="75"/>
  <c r="AV45" i="75"/>
  <c r="BR11" i="75"/>
  <c r="AU45" i="75"/>
  <c r="BQ11" i="75"/>
  <c r="BG37" i="75"/>
  <c r="BF37" i="75"/>
  <c r="BE37" i="75"/>
  <c r="BB37" i="75"/>
  <c r="BA37" i="75"/>
  <c r="AZ37" i="75"/>
  <c r="BQ18" i="75"/>
  <c r="AW37" i="75"/>
  <c r="BS10" i="75"/>
  <c r="AV37" i="75"/>
  <c r="AU37" i="75"/>
  <c r="BG29" i="75"/>
  <c r="BF29" i="75"/>
  <c r="BR27" i="75"/>
  <c r="BE29" i="75"/>
  <c r="BQ27" i="75"/>
  <c r="BB29" i="75"/>
  <c r="BS17" i="75"/>
  <c r="BA29" i="75"/>
  <c r="AZ29" i="75"/>
  <c r="AW29" i="75"/>
  <c r="BS9" i="75"/>
  <c r="AV29" i="75"/>
  <c r="AU29" i="75"/>
  <c r="BQ9" i="75"/>
  <c r="BG21" i="75"/>
  <c r="BF21" i="75"/>
  <c r="BR26" i="75"/>
  <c r="BE21" i="75"/>
  <c r="BB21" i="75"/>
  <c r="BS16" i="75"/>
  <c r="BA21" i="75"/>
  <c r="BR16" i="75"/>
  <c r="AZ21" i="75"/>
  <c r="BQ16" i="75"/>
  <c r="AW21" i="75"/>
  <c r="AV21" i="75"/>
  <c r="AU21" i="75"/>
  <c r="BG13" i="75"/>
  <c r="BF13" i="75"/>
  <c r="BR25" i="75"/>
  <c r="BE13" i="75"/>
  <c r="BQ25" i="75"/>
  <c r="BB13" i="75"/>
  <c r="BS15" i="75"/>
  <c r="BA13" i="75"/>
  <c r="BR15" i="75"/>
  <c r="AZ13" i="75"/>
  <c r="AW13" i="75"/>
  <c r="BS7" i="75"/>
  <c r="AV13" i="75"/>
  <c r="AU13" i="75"/>
  <c r="BQ7" i="75"/>
  <c r="AR13" i="75"/>
  <c r="AQ13" i="75"/>
  <c r="AP13" i="75"/>
  <c r="AM13" i="75"/>
  <c r="AL13" i="75"/>
  <c r="AK13" i="75"/>
  <c r="BN15" i="75"/>
  <c r="AH13" i="75"/>
  <c r="AG13" i="75"/>
  <c r="BO7" i="75"/>
  <c r="AF13" i="75"/>
  <c r="BS23" i="75"/>
  <c r="BN23" i="75"/>
  <c r="BS22" i="75"/>
  <c r="BR22" i="75"/>
  <c r="BQ22" i="75"/>
  <c r="BS14" i="75"/>
  <c r="BR14" i="75"/>
  <c r="BQ14" i="75"/>
  <c r="BN22" i="75"/>
  <c r="BP14" i="75"/>
  <c r="BN14" i="75"/>
  <c r="BO13" i="75"/>
  <c r="BG67" i="75"/>
  <c r="AR60" i="75"/>
  <c r="BG66" i="75"/>
  <c r="BF66" i="75"/>
  <c r="AR66" i="75"/>
  <c r="AQ66" i="75"/>
  <c r="BG65" i="75"/>
  <c r="BF58" i="75"/>
  <c r="BE65" i="75"/>
  <c r="AQ65" i="75"/>
  <c r="AP58" i="75"/>
  <c r="BF64" i="75"/>
  <c r="AQ64" i="75"/>
  <c r="BN21" i="75"/>
  <c r="BW7" i="75"/>
  <c r="BS30" i="75"/>
  <c r="BS12" i="75"/>
  <c r="BP30" i="75"/>
  <c r="BO20" i="75"/>
  <c r="BO12" i="75"/>
  <c r="BQ19" i="75"/>
  <c r="BP29" i="75"/>
  <c r="BN29" i="75"/>
  <c r="BP19" i="75"/>
  <c r="BO19" i="75"/>
  <c r="BP11" i="75"/>
  <c r="BN11" i="75"/>
  <c r="BR28" i="75"/>
  <c r="BQ28" i="75"/>
  <c r="BS18" i="75"/>
  <c r="BR10" i="75"/>
  <c r="BQ10" i="75"/>
  <c r="BP10" i="75"/>
  <c r="BQ17" i="75"/>
  <c r="BR9" i="75"/>
  <c r="BP27" i="75"/>
  <c r="BN27" i="75"/>
  <c r="BO17" i="75"/>
  <c r="BP9" i="75"/>
  <c r="BO9" i="75"/>
  <c r="BN9" i="75"/>
  <c r="BQ26" i="75"/>
  <c r="BS8" i="75"/>
  <c r="BR8" i="75"/>
  <c r="BP26" i="75"/>
  <c r="BP16" i="75"/>
  <c r="BP8" i="75"/>
  <c r="BN8" i="75"/>
  <c r="BQ15" i="75"/>
  <c r="BR7" i="75"/>
  <c r="BP25" i="75"/>
  <c r="BO25" i="75"/>
  <c r="BN25" i="75"/>
  <c r="BP15" i="75"/>
  <c r="BO15" i="75"/>
  <c r="BP7" i="75"/>
  <c r="BN7" i="75"/>
  <c r="BL23" i="75"/>
  <c r="BO22" i="75"/>
  <c r="BK22" i="75"/>
  <c r="BM14" i="75"/>
  <c r="BL14" i="75"/>
  <c r="S61" i="75"/>
  <c r="BM13" i="75"/>
  <c r="R61" i="75"/>
  <c r="Q61" i="75"/>
  <c r="BK13" i="75"/>
  <c r="X60" i="75"/>
  <c r="X59" i="75"/>
  <c r="AC66" i="75"/>
  <c r="W59" i="75"/>
  <c r="X58" i="75"/>
  <c r="AC65" i="75"/>
  <c r="W58" i="75"/>
  <c r="V58" i="75"/>
  <c r="AA65" i="75"/>
  <c r="W57" i="75"/>
  <c r="AB64" i="75"/>
  <c r="V57" i="75"/>
  <c r="AA64" i="75"/>
  <c r="AC53" i="75"/>
  <c r="BM30" i="75"/>
  <c r="AB53" i="75"/>
  <c r="BL30" i="75"/>
  <c r="AA53" i="75"/>
  <c r="BK30" i="75"/>
  <c r="X53" i="75"/>
  <c r="BM20" i="75"/>
  <c r="W53" i="75"/>
  <c r="BL20" i="75"/>
  <c r="V53" i="75"/>
  <c r="S53" i="75"/>
  <c r="R53" i="75"/>
  <c r="BL12" i="75"/>
  <c r="Q53" i="75"/>
  <c r="BK12" i="75"/>
  <c r="AC45" i="75"/>
  <c r="BM29" i="75"/>
  <c r="AB45" i="75"/>
  <c r="BL29" i="75"/>
  <c r="AA45" i="75"/>
  <c r="X45" i="75"/>
  <c r="BM19" i="75"/>
  <c r="W45" i="75"/>
  <c r="BL19" i="75"/>
  <c r="V45" i="75"/>
  <c r="BK19" i="75"/>
  <c r="S45" i="75"/>
  <c r="R45" i="75"/>
  <c r="Q45" i="75"/>
  <c r="BS28" i="75"/>
  <c r="AC37" i="75"/>
  <c r="BM28" i="75"/>
  <c r="AB37" i="75"/>
  <c r="BL28" i="75"/>
  <c r="AA37" i="75"/>
  <c r="BK28" i="75"/>
  <c r="X37" i="75"/>
  <c r="BM18" i="75"/>
  <c r="W37" i="75"/>
  <c r="BL18" i="75"/>
  <c r="V37" i="75"/>
  <c r="BK18" i="75"/>
  <c r="S37" i="75"/>
  <c r="BM10" i="75"/>
  <c r="R37" i="75"/>
  <c r="BL10" i="75"/>
  <c r="Q37" i="75"/>
  <c r="BK10" i="75"/>
  <c r="BQ30" i="75"/>
  <c r="BS29" i="75"/>
  <c r="BO29" i="75"/>
  <c r="BK29" i="75"/>
  <c r="AC29" i="75"/>
  <c r="AB29" i="75"/>
  <c r="BL27" i="75"/>
  <c r="AA29" i="75"/>
  <c r="BK27" i="75"/>
  <c r="X29" i="75"/>
  <c r="BM17" i="75"/>
  <c r="W29" i="75"/>
  <c r="V29" i="75"/>
  <c r="BK17" i="75"/>
  <c r="S29" i="75"/>
  <c r="R29" i="75"/>
  <c r="BL9" i="75"/>
  <c r="Q29" i="75"/>
  <c r="BK9" i="75"/>
  <c r="BS27" i="75"/>
  <c r="BO27" i="75"/>
  <c r="BM27" i="75"/>
  <c r="L27" i="75"/>
  <c r="M27" i="75"/>
  <c r="L26" i="75"/>
  <c r="M26" i="75"/>
  <c r="L25" i="75"/>
  <c r="M25" i="75"/>
  <c r="BM23" i="75"/>
  <c r="BK23" i="75"/>
  <c r="BS26" i="75"/>
  <c r="BN16" i="75"/>
  <c r="AC21" i="75"/>
  <c r="BM26" i="75"/>
  <c r="AB21" i="75"/>
  <c r="BL26" i="75"/>
  <c r="AA21" i="75"/>
  <c r="BK26" i="75"/>
  <c r="X21" i="75"/>
  <c r="W21" i="75"/>
  <c r="BL16" i="75"/>
  <c r="V21" i="75"/>
  <c r="BK16" i="75"/>
  <c r="S21" i="75"/>
  <c r="BM8" i="75"/>
  <c r="R21" i="75"/>
  <c r="Q21" i="75"/>
  <c r="BK8" i="75"/>
  <c r="L21" i="75"/>
  <c r="M21" i="75"/>
  <c r="BR20" i="75"/>
  <c r="BK20" i="75"/>
  <c r="L20" i="75"/>
  <c r="M20" i="75"/>
  <c r="BN19" i="75"/>
  <c r="L19" i="75"/>
  <c r="M19" i="75"/>
  <c r="BR18" i="75"/>
  <c r="BR17" i="75"/>
  <c r="BL17" i="75"/>
  <c r="BM16" i="75"/>
  <c r="L15" i="75"/>
  <c r="M15" i="75"/>
  <c r="L14" i="75"/>
  <c r="M14" i="75"/>
  <c r="BL13" i="75"/>
  <c r="BS25" i="75"/>
  <c r="AC13" i="75"/>
  <c r="BM25" i="75"/>
  <c r="AB13" i="75"/>
  <c r="BL25" i="75"/>
  <c r="AA13" i="75"/>
  <c r="BK25" i="75"/>
  <c r="X13" i="75"/>
  <c r="BM15" i="75"/>
  <c r="W13" i="75"/>
  <c r="BL15" i="75"/>
  <c r="V13" i="75"/>
  <c r="BK15" i="75"/>
  <c r="S13" i="75"/>
  <c r="BM7" i="75"/>
  <c r="R13" i="75"/>
  <c r="BL7" i="75"/>
  <c r="Q13" i="75"/>
  <c r="BK7" i="75"/>
  <c r="BQ12" i="75"/>
  <c r="BM12" i="75"/>
  <c r="BS11" i="75"/>
  <c r="BO11" i="75"/>
  <c r="BM11" i="75"/>
  <c r="BL11" i="75"/>
  <c r="BK11" i="75"/>
  <c r="BO10" i="75"/>
  <c r="BM9" i="75"/>
  <c r="BQ8" i="75"/>
  <c r="BL8" i="75"/>
  <c r="M8" i="75"/>
  <c r="L8" i="75"/>
  <c r="K8" i="75"/>
  <c r="M7" i="75"/>
  <c r="L7" i="75"/>
  <c r="K7" i="75"/>
  <c r="C7" i="75"/>
  <c r="M6" i="75"/>
  <c r="L6" i="75"/>
  <c r="K6" i="75"/>
  <c r="M5" i="75"/>
  <c r="L5" i="75"/>
  <c r="K5" i="75"/>
  <c r="C5" i="75"/>
  <c r="DH78" i="39"/>
  <c r="DG78" i="39"/>
  <c r="DF78" i="39"/>
  <c r="CS78" i="39"/>
  <c r="CR78" i="39"/>
  <c r="CQ78" i="39"/>
  <c r="CD78" i="39"/>
  <c r="CC78" i="39"/>
  <c r="CB78" i="39"/>
  <c r="BO78" i="39"/>
  <c r="BN78" i="39"/>
  <c r="BM78" i="39"/>
  <c r="AZ78" i="39"/>
  <c r="AY78" i="39"/>
  <c r="AX78" i="39"/>
  <c r="AK78" i="39"/>
  <c r="AJ78" i="39"/>
  <c r="AI78" i="39"/>
  <c r="DJ69" i="39"/>
  <c r="DI69" i="39"/>
  <c r="DH69" i="39"/>
  <c r="DE69" i="39"/>
  <c r="DD69" i="39"/>
  <c r="DC69" i="39"/>
  <c r="DJ58" i="39"/>
  <c r="DJ59" i="39"/>
  <c r="DJ60" i="39"/>
  <c r="DJ61" i="39"/>
  <c r="DI57" i="39"/>
  <c r="DI58" i="39"/>
  <c r="DI59" i="39"/>
  <c r="DI61" i="39"/>
  <c r="DH57" i="39"/>
  <c r="DH58" i="39"/>
  <c r="DH61" i="39"/>
  <c r="DE61" i="39"/>
  <c r="DD61" i="39"/>
  <c r="DC61" i="39"/>
  <c r="CU69" i="39"/>
  <c r="CT69" i="39"/>
  <c r="CS69" i="39"/>
  <c r="CP69" i="39"/>
  <c r="CO69" i="39"/>
  <c r="CN69" i="39"/>
  <c r="CU58" i="39"/>
  <c r="CU59" i="39"/>
  <c r="CU60" i="39"/>
  <c r="CU61" i="39"/>
  <c r="CT57" i="39"/>
  <c r="CT58" i="39"/>
  <c r="CT59" i="39"/>
  <c r="CT61" i="39"/>
  <c r="CS57" i="39"/>
  <c r="CS58" i="39"/>
  <c r="CS61" i="39"/>
  <c r="CP61" i="39"/>
  <c r="CO61" i="39"/>
  <c r="CN61" i="39"/>
  <c r="CF69" i="39"/>
  <c r="CE69" i="39"/>
  <c r="CD69" i="39"/>
  <c r="CA69" i="39"/>
  <c r="BZ69" i="39"/>
  <c r="BY69" i="39"/>
  <c r="CF58" i="39"/>
  <c r="CF59" i="39"/>
  <c r="CF60" i="39"/>
  <c r="CF61" i="39"/>
  <c r="CE57" i="39"/>
  <c r="CE58" i="39"/>
  <c r="CE59" i="39"/>
  <c r="CE61" i="39"/>
  <c r="CD57" i="39"/>
  <c r="CD58" i="39"/>
  <c r="CD61" i="39"/>
  <c r="CA61" i="39"/>
  <c r="BZ61" i="39"/>
  <c r="BY61" i="39"/>
  <c r="BQ69" i="39"/>
  <c r="BP69" i="39"/>
  <c r="BO69" i="39"/>
  <c r="BL69" i="39"/>
  <c r="BK69" i="39"/>
  <c r="BJ69" i="39"/>
  <c r="BQ58" i="39"/>
  <c r="BQ59" i="39"/>
  <c r="BQ60" i="39"/>
  <c r="BQ61" i="39"/>
  <c r="BP57" i="39"/>
  <c r="BP58" i="39"/>
  <c r="BP59" i="39"/>
  <c r="BP61" i="39"/>
  <c r="BO57" i="39"/>
  <c r="BO58" i="39"/>
  <c r="BO61" i="39"/>
  <c r="BL61" i="39"/>
  <c r="BK61" i="39"/>
  <c r="BJ61" i="39"/>
  <c r="BB69" i="39"/>
  <c r="BA69" i="39"/>
  <c r="AZ69" i="39"/>
  <c r="AW69" i="39"/>
  <c r="AV69" i="39"/>
  <c r="AU69" i="39"/>
  <c r="BB58" i="39"/>
  <c r="BB59" i="39"/>
  <c r="BB60" i="39"/>
  <c r="BB61" i="39"/>
  <c r="BA57" i="39"/>
  <c r="BA58" i="39"/>
  <c r="BA59" i="39"/>
  <c r="BA61" i="39"/>
  <c r="AZ57" i="39"/>
  <c r="AZ58" i="39"/>
  <c r="AZ61" i="39"/>
  <c r="AW61" i="39"/>
  <c r="AV61" i="39"/>
  <c r="AU61" i="39"/>
  <c r="AM69" i="39"/>
  <c r="AL69" i="39"/>
  <c r="AK69" i="39"/>
  <c r="AH69" i="39"/>
  <c r="AG69" i="39"/>
  <c r="AF69" i="39"/>
  <c r="AM58" i="39"/>
  <c r="AM59" i="39"/>
  <c r="AM60" i="39"/>
  <c r="AM61" i="39"/>
  <c r="AL57" i="39"/>
  <c r="AL58" i="39"/>
  <c r="AL59" i="39"/>
  <c r="AL61" i="39"/>
  <c r="AK57" i="39"/>
  <c r="AK58" i="39"/>
  <c r="AK61" i="39"/>
  <c r="AH61" i="39"/>
  <c r="AG61" i="39"/>
  <c r="AF61" i="39"/>
  <c r="DO13" i="39"/>
  <c r="DN13" i="39"/>
  <c r="DM13" i="39"/>
  <c r="DJ13" i="39"/>
  <c r="DI13" i="39"/>
  <c r="DH13" i="39"/>
  <c r="DE13" i="39"/>
  <c r="DD13" i="39"/>
  <c r="DC13" i="39"/>
  <c r="DO21" i="39"/>
  <c r="DN21" i="39"/>
  <c r="DM21" i="39"/>
  <c r="DJ21" i="39"/>
  <c r="DI21" i="39"/>
  <c r="DH21" i="39"/>
  <c r="DE21" i="39"/>
  <c r="DD21" i="39"/>
  <c r="DC21" i="39"/>
  <c r="DO29" i="39"/>
  <c r="DN29" i="39"/>
  <c r="DM29" i="39"/>
  <c r="DJ29" i="39"/>
  <c r="DI29" i="39"/>
  <c r="DH29" i="39"/>
  <c r="DE29" i="39"/>
  <c r="DD29" i="39"/>
  <c r="DC29" i="39"/>
  <c r="DO37" i="39"/>
  <c r="DN37" i="39"/>
  <c r="DM37" i="39"/>
  <c r="DJ37" i="39"/>
  <c r="DI37" i="39"/>
  <c r="DH37" i="39"/>
  <c r="DE37" i="39"/>
  <c r="DD37" i="39"/>
  <c r="DC37" i="39"/>
  <c r="DO45" i="39"/>
  <c r="DN45" i="39"/>
  <c r="DM45" i="39"/>
  <c r="DJ45" i="39"/>
  <c r="DI45" i="39"/>
  <c r="DH45" i="39"/>
  <c r="DE45" i="39"/>
  <c r="DD45" i="39"/>
  <c r="DC45" i="39"/>
  <c r="DO53" i="39"/>
  <c r="DN53" i="39"/>
  <c r="DM53" i="39"/>
  <c r="DJ53" i="39"/>
  <c r="DI53" i="39"/>
  <c r="DH53" i="39"/>
  <c r="DE53" i="39"/>
  <c r="DD53" i="39"/>
  <c r="DC53" i="39"/>
  <c r="CZ53" i="39"/>
  <c r="CY53" i="39"/>
  <c r="CX53" i="39"/>
  <c r="CU53" i="39"/>
  <c r="CT53" i="39"/>
  <c r="CS53" i="39"/>
  <c r="CP53" i="39"/>
  <c r="CO53" i="39"/>
  <c r="CN53" i="39"/>
  <c r="CZ45" i="39"/>
  <c r="CY45" i="39"/>
  <c r="CX45" i="39"/>
  <c r="CU45" i="39"/>
  <c r="CT45" i="39"/>
  <c r="CS45" i="39"/>
  <c r="CP45" i="39"/>
  <c r="CO45" i="39"/>
  <c r="CN45" i="39"/>
  <c r="CZ37" i="39"/>
  <c r="CY37" i="39"/>
  <c r="CX37" i="39"/>
  <c r="CU37" i="39"/>
  <c r="CT37" i="39"/>
  <c r="CS37" i="39"/>
  <c r="CP37" i="39"/>
  <c r="CO37" i="39"/>
  <c r="CN37" i="39"/>
  <c r="CZ29" i="39"/>
  <c r="CY29" i="39"/>
  <c r="CX29" i="39"/>
  <c r="CU29" i="39"/>
  <c r="CT29" i="39"/>
  <c r="CS29" i="39"/>
  <c r="CP29" i="39"/>
  <c r="CO29" i="39"/>
  <c r="CN29" i="39"/>
  <c r="CZ21" i="39"/>
  <c r="CY21" i="39"/>
  <c r="CX21" i="39"/>
  <c r="CU21" i="39"/>
  <c r="CT21" i="39"/>
  <c r="CS21" i="39"/>
  <c r="CP21" i="39"/>
  <c r="CO21" i="39"/>
  <c r="CN21" i="39"/>
  <c r="CZ13" i="39"/>
  <c r="CY13" i="39"/>
  <c r="CX13" i="39"/>
  <c r="CU13" i="39"/>
  <c r="CT13" i="39"/>
  <c r="CS13" i="39"/>
  <c r="CP13" i="39"/>
  <c r="CO13" i="39"/>
  <c r="CN13" i="39"/>
  <c r="CK13" i="39"/>
  <c r="CJ13" i="39"/>
  <c r="CI13" i="39"/>
  <c r="CF13" i="39"/>
  <c r="CE13" i="39"/>
  <c r="CD13" i="39"/>
  <c r="CA13" i="39"/>
  <c r="BZ13" i="39"/>
  <c r="BY13" i="39"/>
  <c r="CK21" i="39"/>
  <c r="CJ21" i="39"/>
  <c r="CI21" i="39"/>
  <c r="CF21" i="39"/>
  <c r="CE21" i="39"/>
  <c r="CD21" i="39"/>
  <c r="CA21" i="39"/>
  <c r="BZ21" i="39"/>
  <c r="BY21" i="39"/>
  <c r="CK29" i="39"/>
  <c r="CJ29" i="39"/>
  <c r="CI29" i="39"/>
  <c r="CF29" i="39"/>
  <c r="CE29" i="39"/>
  <c r="CD29" i="39"/>
  <c r="CA29" i="39"/>
  <c r="BZ29" i="39"/>
  <c r="BY29" i="39"/>
  <c r="CK37" i="39"/>
  <c r="CJ37" i="39"/>
  <c r="CI37" i="39"/>
  <c r="CF37" i="39"/>
  <c r="CE37" i="39"/>
  <c r="CD37" i="39"/>
  <c r="CA37" i="39"/>
  <c r="BZ37" i="39"/>
  <c r="BY37" i="39"/>
  <c r="CK45" i="39"/>
  <c r="CJ45" i="39"/>
  <c r="CI45" i="39"/>
  <c r="CF45" i="39"/>
  <c r="CE45" i="39"/>
  <c r="CD45" i="39"/>
  <c r="CA45" i="39"/>
  <c r="BZ45" i="39"/>
  <c r="BY45" i="39"/>
  <c r="CK53" i="39"/>
  <c r="CJ53" i="39"/>
  <c r="CI53" i="39"/>
  <c r="CF53" i="39"/>
  <c r="CE53" i="39"/>
  <c r="CD53" i="39"/>
  <c r="CA53" i="39"/>
  <c r="BZ53" i="39"/>
  <c r="BY53" i="39"/>
  <c r="BV53" i="39"/>
  <c r="BU53" i="39"/>
  <c r="BT53" i="39"/>
  <c r="BQ53" i="39"/>
  <c r="BP53" i="39"/>
  <c r="BO53" i="39"/>
  <c r="BL53" i="39"/>
  <c r="BK53" i="39"/>
  <c r="BJ53" i="39"/>
  <c r="BV45" i="39"/>
  <c r="BU45" i="39"/>
  <c r="BT45" i="39"/>
  <c r="BQ45" i="39"/>
  <c r="BP45" i="39"/>
  <c r="BO45" i="39"/>
  <c r="BL45" i="39"/>
  <c r="BK45" i="39"/>
  <c r="BJ45" i="39"/>
  <c r="BV37" i="39"/>
  <c r="BU37" i="39"/>
  <c r="BT37" i="39"/>
  <c r="BQ37" i="39"/>
  <c r="BP37" i="39"/>
  <c r="BO37" i="39"/>
  <c r="BL37" i="39"/>
  <c r="BK37" i="39"/>
  <c r="BJ37" i="39"/>
  <c r="BV29" i="39"/>
  <c r="BU29" i="39"/>
  <c r="BT29" i="39"/>
  <c r="BQ29" i="39"/>
  <c r="BP29" i="39"/>
  <c r="BO29" i="39"/>
  <c r="BL29" i="39"/>
  <c r="BK29" i="39"/>
  <c r="BJ29" i="39"/>
  <c r="BV21" i="39"/>
  <c r="BU21" i="39"/>
  <c r="BT21" i="39"/>
  <c r="BQ21" i="39"/>
  <c r="BP21" i="39"/>
  <c r="BO21" i="39"/>
  <c r="BL21" i="39"/>
  <c r="BK21" i="39"/>
  <c r="BJ21" i="39"/>
  <c r="BV13" i="39"/>
  <c r="BU13" i="39"/>
  <c r="BT13" i="39"/>
  <c r="BQ13" i="39"/>
  <c r="BP13" i="39"/>
  <c r="BO13" i="39"/>
  <c r="BL13" i="39"/>
  <c r="BK13" i="39"/>
  <c r="BJ13" i="39"/>
  <c r="BG13" i="39"/>
  <c r="BF13" i="39"/>
  <c r="BE13" i="39"/>
  <c r="BB13" i="39"/>
  <c r="BA13" i="39"/>
  <c r="AZ13" i="39"/>
  <c r="AW13" i="39"/>
  <c r="AV13" i="39"/>
  <c r="AU13" i="39"/>
  <c r="BG21" i="39"/>
  <c r="BF21" i="39"/>
  <c r="BE21" i="39"/>
  <c r="BB21" i="39"/>
  <c r="BA21" i="39"/>
  <c r="AZ21" i="39"/>
  <c r="AW21" i="39"/>
  <c r="AV21" i="39"/>
  <c r="AU21" i="39"/>
  <c r="BG29" i="39"/>
  <c r="BF29" i="39"/>
  <c r="BE29" i="39"/>
  <c r="BB29" i="39"/>
  <c r="BA29" i="39"/>
  <c r="AZ29" i="39"/>
  <c r="AW29" i="39"/>
  <c r="AV29" i="39"/>
  <c r="AU29" i="39"/>
  <c r="BG37" i="39"/>
  <c r="BF37" i="39"/>
  <c r="BE37" i="39"/>
  <c r="BB37" i="39"/>
  <c r="BA37" i="39"/>
  <c r="AZ37" i="39"/>
  <c r="AW37" i="39"/>
  <c r="AV37" i="39"/>
  <c r="AU37" i="39"/>
  <c r="BG45" i="39"/>
  <c r="BF45" i="39"/>
  <c r="BE45" i="39"/>
  <c r="BB45" i="39"/>
  <c r="BA45" i="39"/>
  <c r="AZ45" i="39"/>
  <c r="AW45" i="39"/>
  <c r="AV45" i="39"/>
  <c r="AU45" i="39"/>
  <c r="BG53" i="39"/>
  <c r="BF53" i="39"/>
  <c r="BE53" i="39"/>
  <c r="BB53" i="39"/>
  <c r="BA53" i="39"/>
  <c r="AZ53" i="39"/>
  <c r="AW53" i="39"/>
  <c r="AV53" i="39"/>
  <c r="AU53" i="39"/>
  <c r="AR53" i="39"/>
  <c r="AQ53" i="39"/>
  <c r="AP53" i="39"/>
  <c r="AM53" i="39"/>
  <c r="AL53" i="39"/>
  <c r="AK53" i="39"/>
  <c r="AH53" i="39"/>
  <c r="AG53" i="39"/>
  <c r="AF53" i="39"/>
  <c r="AR45" i="39"/>
  <c r="AQ45" i="39"/>
  <c r="AP45" i="39"/>
  <c r="AM45" i="39"/>
  <c r="AL45" i="39"/>
  <c r="AK45" i="39"/>
  <c r="AH45" i="39"/>
  <c r="AG45" i="39"/>
  <c r="AF45" i="39"/>
  <c r="AR37" i="39"/>
  <c r="AQ37" i="39"/>
  <c r="AP37" i="39"/>
  <c r="AM37" i="39"/>
  <c r="AL37" i="39"/>
  <c r="AK37" i="39"/>
  <c r="AH37" i="39"/>
  <c r="AG37" i="39"/>
  <c r="AF37" i="39"/>
  <c r="AR29" i="39"/>
  <c r="AQ29" i="39"/>
  <c r="AP29" i="39"/>
  <c r="AM29" i="39"/>
  <c r="AL29" i="39"/>
  <c r="AK29" i="39"/>
  <c r="AH29" i="39"/>
  <c r="AG29" i="39"/>
  <c r="AF29" i="39"/>
  <c r="AR21" i="39"/>
  <c r="AQ21" i="39"/>
  <c r="AP21" i="39"/>
  <c r="AM21" i="39"/>
  <c r="AL21" i="39"/>
  <c r="AK21" i="39"/>
  <c r="AH21" i="39"/>
  <c r="AG21" i="39"/>
  <c r="AF21" i="39"/>
  <c r="AR13" i="39"/>
  <c r="AQ13" i="39"/>
  <c r="AP13" i="39"/>
  <c r="AM13" i="39"/>
  <c r="AL13" i="39"/>
  <c r="AK13" i="39"/>
  <c r="AH13" i="39"/>
  <c r="AG13" i="39"/>
  <c r="AF13" i="39"/>
  <c r="V78" i="39"/>
  <c r="U78" i="39"/>
  <c r="T78" i="39"/>
  <c r="AC53" i="39"/>
  <c r="AB53" i="39"/>
  <c r="AA53" i="39"/>
  <c r="AC45" i="39"/>
  <c r="AB45" i="39"/>
  <c r="AA45" i="39"/>
  <c r="AC37" i="39"/>
  <c r="AB37" i="39"/>
  <c r="AA37" i="39"/>
  <c r="AC29" i="39"/>
  <c r="AB29" i="39"/>
  <c r="AA29" i="39"/>
  <c r="AC21" i="39"/>
  <c r="AB21" i="39"/>
  <c r="AA21" i="39"/>
  <c r="AC13" i="39"/>
  <c r="AB13" i="39"/>
  <c r="AA13" i="39"/>
  <c r="X13" i="39"/>
  <c r="W13" i="39"/>
  <c r="V13" i="39"/>
  <c r="X21" i="39"/>
  <c r="W21" i="39"/>
  <c r="V21" i="39"/>
  <c r="X29" i="39"/>
  <c r="W29" i="39"/>
  <c r="V29" i="39"/>
  <c r="X37" i="39"/>
  <c r="W37" i="39"/>
  <c r="V37" i="39"/>
  <c r="X45" i="39"/>
  <c r="W45" i="39"/>
  <c r="V45" i="39"/>
  <c r="X53" i="39"/>
  <c r="W53" i="39"/>
  <c r="V53" i="39"/>
  <c r="S69" i="39"/>
  <c r="R69" i="39"/>
  <c r="Q69" i="39"/>
  <c r="S61" i="39"/>
  <c r="R61" i="39"/>
  <c r="Q61" i="39"/>
  <c r="S53" i="39"/>
  <c r="R53" i="39"/>
  <c r="Q53" i="39"/>
  <c r="S45" i="39"/>
  <c r="R45" i="39"/>
  <c r="Q45" i="39"/>
  <c r="S37" i="39"/>
  <c r="R37" i="39"/>
  <c r="Q37" i="39"/>
  <c r="S29" i="39"/>
  <c r="R29" i="39"/>
  <c r="Q29" i="39"/>
  <c r="S21" i="39"/>
  <c r="R21" i="39"/>
  <c r="Q21" i="39"/>
  <c r="S13" i="39"/>
  <c r="R13" i="39"/>
  <c r="Q13" i="39"/>
  <c r="AC53" i="11"/>
  <c r="AB53" i="11"/>
  <c r="AA53" i="11"/>
  <c r="AC45" i="11"/>
  <c r="AB45" i="11"/>
  <c r="AA45" i="11"/>
  <c r="AC37" i="11"/>
  <c r="AB37" i="11"/>
  <c r="AA37" i="11"/>
  <c r="AC29" i="11"/>
  <c r="AB29" i="11"/>
  <c r="AA29" i="11"/>
  <c r="AC21" i="11"/>
  <c r="AB21" i="11"/>
  <c r="AA21" i="11"/>
  <c r="AC13" i="11"/>
  <c r="AB13" i="11"/>
  <c r="AA13" i="11"/>
  <c r="X13" i="11"/>
  <c r="W13" i="11"/>
  <c r="V13" i="11"/>
  <c r="X21" i="11"/>
  <c r="W21" i="11"/>
  <c r="V21" i="11"/>
  <c r="X29" i="11"/>
  <c r="W29" i="11"/>
  <c r="V29" i="11"/>
  <c r="X37" i="11"/>
  <c r="W37" i="11"/>
  <c r="V37" i="11"/>
  <c r="X45" i="11"/>
  <c r="W45" i="11"/>
  <c r="V45" i="11"/>
  <c r="X53" i="11"/>
  <c r="W53" i="11"/>
  <c r="V53" i="11"/>
  <c r="X58" i="11"/>
  <c r="X59" i="11"/>
  <c r="X60" i="11"/>
  <c r="X61" i="11"/>
  <c r="W57" i="11"/>
  <c r="W58" i="11"/>
  <c r="W59" i="11"/>
  <c r="W61" i="11"/>
  <c r="V57" i="11"/>
  <c r="V58" i="11"/>
  <c r="V61" i="11"/>
  <c r="X66" i="11"/>
  <c r="X67" i="11"/>
  <c r="X68" i="11"/>
  <c r="X69" i="11"/>
  <c r="W66" i="11"/>
  <c r="W67" i="11"/>
  <c r="W69" i="11"/>
  <c r="V69" i="11"/>
  <c r="V78" i="11"/>
  <c r="U78" i="11"/>
  <c r="T78" i="11"/>
  <c r="S69" i="11"/>
  <c r="R69" i="11"/>
  <c r="Q69" i="11"/>
  <c r="S61" i="11"/>
  <c r="R61" i="11"/>
  <c r="Q61" i="11"/>
  <c r="S53" i="11"/>
  <c r="R53" i="11"/>
  <c r="Q53" i="11"/>
  <c r="S45" i="11"/>
  <c r="R45" i="11"/>
  <c r="Q45" i="11"/>
  <c r="S37" i="11"/>
  <c r="R37" i="11"/>
  <c r="Q37" i="11"/>
  <c r="S29" i="11"/>
  <c r="R29" i="11"/>
  <c r="Q29" i="11"/>
  <c r="S21" i="11"/>
  <c r="R21" i="11"/>
  <c r="Q21" i="11"/>
  <c r="R13" i="11"/>
  <c r="S13" i="11"/>
  <c r="Q13" i="11"/>
  <c r="X58" i="39"/>
  <c r="X59" i="39"/>
  <c r="X60" i="39"/>
  <c r="X61" i="39"/>
  <c r="ED21" i="39"/>
  <c r="ES9" i="39"/>
  <c r="W57" i="39"/>
  <c r="W58" i="39"/>
  <c r="W59" i="39"/>
  <c r="W61" i="39"/>
  <c r="EC21" i="39"/>
  <c r="ES8" i="39"/>
  <c r="V57" i="39"/>
  <c r="V58" i="39"/>
  <c r="V61" i="39"/>
  <c r="EB21" i="39"/>
  <c r="ES7" i="39"/>
  <c r="BR21" i="84"/>
  <c r="BX8" i="84"/>
  <c r="AQ57" i="84"/>
  <c r="BF57" i="84"/>
  <c r="AR59" i="84"/>
  <c r="BG59" i="84"/>
  <c r="AQ64" i="84"/>
  <c r="BF64" i="84"/>
  <c r="AQ65" i="84"/>
  <c r="AP57" i="84"/>
  <c r="BE57" i="84"/>
  <c r="BF58" i="84"/>
  <c r="AQ59" i="84"/>
  <c r="BF59" i="84"/>
  <c r="AA57" i="84"/>
  <c r="BO21" i="84"/>
  <c r="BW8" i="84"/>
  <c r="X69" i="84"/>
  <c r="BM22" i="84"/>
  <c r="X61" i="84"/>
  <c r="BM21" i="84"/>
  <c r="BV9" i="84"/>
  <c r="BP21" i="84"/>
  <c r="BW9" i="84"/>
  <c r="BS21" i="84"/>
  <c r="BX9" i="84"/>
  <c r="AB59" i="84"/>
  <c r="AA64" i="84"/>
  <c r="AC65" i="84"/>
  <c r="AC67" i="84"/>
  <c r="AC60" i="84"/>
  <c r="AB57" i="84"/>
  <c r="AB57" i="75"/>
  <c r="AC67" i="75"/>
  <c r="AB65" i="75"/>
  <c r="BM22" i="75"/>
  <c r="AC59" i="75"/>
  <c r="BQ21" i="75"/>
  <c r="BX7" i="75"/>
  <c r="BP21" i="75"/>
  <c r="BW9" i="75"/>
  <c r="BF65" i="75"/>
  <c r="AC58" i="75"/>
  <c r="K9" i="75"/>
  <c r="M9" i="75"/>
  <c r="L9" i="75"/>
  <c r="AA58" i="75"/>
  <c r="AC60" i="75"/>
  <c r="V61" i="75"/>
  <c r="BK21" i="75"/>
  <c r="BV7" i="75"/>
  <c r="AB59" i="75"/>
  <c r="AQ58" i="75"/>
  <c r="AP57" i="75"/>
  <c r="BE57" i="75"/>
  <c r="AQ59" i="75"/>
  <c r="BF59" i="75"/>
  <c r="BO21" i="75"/>
  <c r="BW8" i="75"/>
  <c r="BR21" i="75"/>
  <c r="BX8" i="75"/>
  <c r="AP64" i="75"/>
  <c r="BE64" i="75"/>
  <c r="AP65" i="75"/>
  <c r="AR65" i="75"/>
  <c r="AR67" i="75"/>
  <c r="AQ57" i="75"/>
  <c r="BF57" i="75"/>
  <c r="AR58" i="75"/>
  <c r="BE58" i="75"/>
  <c r="BG58" i="75"/>
  <c r="AR59" i="75"/>
  <c r="BG59" i="75"/>
  <c r="BG60" i="75"/>
  <c r="BS21" i="75"/>
  <c r="BX9" i="75"/>
  <c r="W61" i="75"/>
  <c r="BL21" i="75"/>
  <c r="BV8" i="75"/>
  <c r="X61" i="75"/>
  <c r="BM21" i="75"/>
  <c r="BV9" i="75"/>
  <c r="AB58" i="75"/>
  <c r="AB66" i="75"/>
  <c r="BL22" i="75"/>
  <c r="AA57" i="75"/>
  <c r="DO59" i="39"/>
  <c r="DN66" i="39"/>
  <c r="DN58" i="39"/>
  <c r="DS21" i="39"/>
  <c r="EP7" i="39"/>
  <c r="CZ66" i="39"/>
  <c r="CY66" i="39"/>
  <c r="CK66" i="39"/>
  <c r="CJ66" i="39"/>
  <c r="DY21" i="39"/>
  <c r="ER7" i="39"/>
  <c r="BU64" i="39"/>
  <c r="BG59" i="39"/>
  <c r="BF66" i="39"/>
  <c r="EH21" i="39"/>
  <c r="EU7" i="39"/>
  <c r="AR66" i="39"/>
  <c r="AQ66" i="39"/>
  <c r="DU23" i="39"/>
  <c r="DT23" i="39"/>
  <c r="DS22" i="39"/>
  <c r="DT14" i="39"/>
  <c r="DO67" i="39"/>
  <c r="DO66" i="39"/>
  <c r="DO58" i="39"/>
  <c r="DM58" i="39"/>
  <c r="DN64" i="39"/>
  <c r="DT30" i="39"/>
  <c r="DT20" i="39"/>
  <c r="DS20" i="39"/>
  <c r="DU12" i="39"/>
  <c r="DT12" i="39"/>
  <c r="DS12" i="39"/>
  <c r="DU19" i="39"/>
  <c r="DT19" i="39"/>
  <c r="DS19" i="39"/>
  <c r="DU11" i="39"/>
  <c r="DT11" i="39"/>
  <c r="DT28" i="39"/>
  <c r="DS28" i="39"/>
  <c r="DU18" i="39"/>
  <c r="DT18" i="39"/>
  <c r="DS10" i="39"/>
  <c r="DS27" i="39"/>
  <c r="DU17" i="39"/>
  <c r="DT17" i="39"/>
  <c r="DS17" i="39"/>
  <c r="DT9" i="39"/>
  <c r="DT16" i="39"/>
  <c r="DT8" i="39"/>
  <c r="DT25" i="39"/>
  <c r="DS15" i="39"/>
  <c r="DX23" i="39"/>
  <c r="DW23" i="39"/>
  <c r="DV23" i="39"/>
  <c r="DV22" i="39"/>
  <c r="DV14" i="39"/>
  <c r="CZ67" i="39"/>
  <c r="CZ59" i="39"/>
  <c r="CZ58" i="39"/>
  <c r="DW22" i="39"/>
  <c r="DX13" i="39"/>
  <c r="DV13" i="39"/>
  <c r="CY58" i="39"/>
  <c r="CY65" i="39"/>
  <c r="CX58" i="39"/>
  <c r="CY64" i="39"/>
  <c r="DW30" i="39"/>
  <c r="DV30" i="39"/>
  <c r="DX20" i="39"/>
  <c r="DV20" i="39"/>
  <c r="DV12" i="39"/>
  <c r="DX29" i="39"/>
  <c r="DW29" i="39"/>
  <c r="DX11" i="39"/>
  <c r="DW11" i="39"/>
  <c r="DX28" i="39"/>
  <c r="DX18" i="39"/>
  <c r="DW18" i="39"/>
  <c r="DV18" i="39"/>
  <c r="DX27" i="39"/>
  <c r="DW27" i="39"/>
  <c r="DV17" i="39"/>
  <c r="DX9" i="39"/>
  <c r="DW9" i="39"/>
  <c r="DX26" i="39"/>
  <c r="DW26" i="39"/>
  <c r="DV16" i="39"/>
  <c r="DX8" i="39"/>
  <c r="DW8" i="39"/>
  <c r="DV8" i="39"/>
  <c r="DX25" i="39"/>
  <c r="DW25" i="39"/>
  <c r="DV25" i="39"/>
  <c r="DW15" i="39"/>
  <c r="DV15" i="39"/>
  <c r="EA23" i="39"/>
  <c r="DY23" i="39"/>
  <c r="DY22" i="39"/>
  <c r="DY14" i="39"/>
  <c r="CK67" i="39"/>
  <c r="CK58" i="39"/>
  <c r="DZ22" i="39"/>
  <c r="DZ13" i="39"/>
  <c r="DY13" i="39"/>
  <c r="CJ58" i="39"/>
  <c r="CJ65" i="39"/>
  <c r="CI58" i="39"/>
  <c r="CJ64" i="39"/>
  <c r="EA30" i="39"/>
  <c r="DZ30" i="39"/>
  <c r="DY30" i="39"/>
  <c r="EA20" i="39"/>
  <c r="DZ12" i="39"/>
  <c r="DY12" i="39"/>
  <c r="EA29" i="39"/>
  <c r="DZ19" i="39"/>
  <c r="DZ11" i="39"/>
  <c r="DZ28" i="39"/>
  <c r="EA18" i="39"/>
  <c r="DZ18" i="39"/>
  <c r="DY18" i="39"/>
  <c r="DZ10" i="39"/>
  <c r="EA17" i="39"/>
  <c r="DZ17" i="39"/>
  <c r="DY9" i="39"/>
  <c r="DZ26" i="39"/>
  <c r="DZ8" i="39"/>
  <c r="DY8" i="39"/>
  <c r="DY25" i="39"/>
  <c r="EK23" i="39"/>
  <c r="BV67" i="39"/>
  <c r="BV66" i="39"/>
  <c r="BV58" i="39"/>
  <c r="EM13" i="39"/>
  <c r="EL13" i="39"/>
  <c r="EK13" i="39"/>
  <c r="BU66" i="39"/>
  <c r="BU58" i="39"/>
  <c r="BU65" i="39"/>
  <c r="BT58" i="39"/>
  <c r="EM30" i="39"/>
  <c r="EL30" i="39"/>
  <c r="EM20" i="39"/>
  <c r="EL20" i="39"/>
  <c r="EK20" i="39"/>
  <c r="EM12" i="39"/>
  <c r="EL12" i="39"/>
  <c r="EM29" i="39"/>
  <c r="EK29" i="39"/>
  <c r="EM11" i="39"/>
  <c r="EK11" i="39"/>
  <c r="EL28" i="39"/>
  <c r="EM18" i="39"/>
  <c r="EK18" i="39"/>
  <c r="EL10" i="39"/>
  <c r="EM27" i="39"/>
  <c r="EL27" i="39"/>
  <c r="EK27" i="39"/>
  <c r="EL17" i="39"/>
  <c r="EM9" i="39"/>
  <c r="EK9" i="39"/>
  <c r="EM26" i="39"/>
  <c r="EL8" i="39"/>
  <c r="EM25" i="39"/>
  <c r="EL25" i="39"/>
  <c r="EK25" i="39"/>
  <c r="EL15" i="39"/>
  <c r="EI23" i="39"/>
  <c r="EI14" i="39"/>
  <c r="BG67" i="39"/>
  <c r="BG66" i="39"/>
  <c r="EJ13" i="39"/>
  <c r="EH13" i="39"/>
  <c r="BF58" i="39"/>
  <c r="BF65" i="39"/>
  <c r="BE58" i="39"/>
  <c r="BF64" i="39"/>
  <c r="EI30" i="39"/>
  <c r="EJ20" i="39"/>
  <c r="EI20" i="39"/>
  <c r="EI12" i="39"/>
  <c r="EH12" i="39"/>
  <c r="EJ29" i="39"/>
  <c r="EI29" i="39"/>
  <c r="EH19" i="39"/>
  <c r="EJ11" i="39"/>
  <c r="EJ28" i="39"/>
  <c r="EJ18" i="39"/>
  <c r="EI18" i="39"/>
  <c r="EH18" i="39"/>
  <c r="EJ10" i="39"/>
  <c r="EI10" i="39"/>
  <c r="EI27" i="39"/>
  <c r="EH27" i="39"/>
  <c r="EI17" i="39"/>
  <c r="EH17" i="39"/>
  <c r="EI9" i="39"/>
  <c r="EJ26" i="39"/>
  <c r="EJ16" i="39"/>
  <c r="EI16" i="39"/>
  <c r="EH16" i="39"/>
  <c r="EJ8" i="39"/>
  <c r="EI8" i="39"/>
  <c r="EJ25" i="39"/>
  <c r="EI25" i="39"/>
  <c r="EH25" i="39"/>
  <c r="EI15" i="39"/>
  <c r="EH15" i="39"/>
  <c r="EG23" i="39"/>
  <c r="EF23" i="39"/>
  <c r="EE23" i="39"/>
  <c r="EF14" i="39"/>
  <c r="EE14" i="39"/>
  <c r="AR67" i="39"/>
  <c r="AR59" i="39"/>
  <c r="AR58" i="39"/>
  <c r="EF22" i="39"/>
  <c r="EG13" i="39"/>
  <c r="EE13" i="39"/>
  <c r="AQ58" i="39"/>
  <c r="AQ65" i="39"/>
  <c r="AP58" i="39"/>
  <c r="AQ64" i="39"/>
  <c r="EG30" i="39"/>
  <c r="EE30" i="39"/>
  <c r="EG20" i="39"/>
  <c r="EF20" i="39"/>
  <c r="EE20" i="39"/>
  <c r="EG12" i="39"/>
  <c r="EF12" i="39"/>
  <c r="EG29" i="39"/>
  <c r="EG19" i="39"/>
  <c r="EF19" i="39"/>
  <c r="EE11" i="39"/>
  <c r="EE28" i="39"/>
  <c r="EG18" i="39"/>
  <c r="EF10" i="39"/>
  <c r="EE10" i="39"/>
  <c r="EE27" i="39"/>
  <c r="EF17" i="39"/>
  <c r="EE17" i="39"/>
  <c r="EF9" i="39"/>
  <c r="EE9" i="39"/>
  <c r="EF26" i="39"/>
  <c r="EE26" i="39"/>
  <c r="EG16" i="39"/>
  <c r="EF16" i="39"/>
  <c r="EE16" i="39"/>
  <c r="EG8" i="39"/>
  <c r="EF8" i="39"/>
  <c r="EE8" i="39"/>
  <c r="EG25" i="39"/>
  <c r="EF25" i="39"/>
  <c r="EG15" i="39"/>
  <c r="EF15" i="39"/>
  <c r="EM23" i="39"/>
  <c r="EH22" i="39"/>
  <c r="V69" i="39"/>
  <c r="X68" i="39"/>
  <c r="X67" i="39"/>
  <c r="AC66" i="39"/>
  <c r="W67" i="39"/>
  <c r="DX14" i="39"/>
  <c r="EE22" i="39"/>
  <c r="X66" i="39"/>
  <c r="W66" i="39"/>
  <c r="W69" i="39"/>
  <c r="DZ14" i="39"/>
  <c r="AC60" i="39"/>
  <c r="AC59" i="39"/>
  <c r="AB66" i="39"/>
  <c r="DU13" i="39"/>
  <c r="AC58" i="39"/>
  <c r="AA65" i="39"/>
  <c r="DS13" i="39"/>
  <c r="DU30" i="39"/>
  <c r="DW12" i="39"/>
  <c r="EA12" i="39"/>
  <c r="EJ30" i="39"/>
  <c r="DZ20" i="39"/>
  <c r="EF30" i="39"/>
  <c r="DX30" i="39"/>
  <c r="DW20" i="39"/>
  <c r="EK30" i="39"/>
  <c r="DV11" i="39"/>
  <c r="ED29" i="39"/>
  <c r="EC29" i="39"/>
  <c r="ED19" i="39"/>
  <c r="EC19" i="39"/>
  <c r="EB19" i="39"/>
  <c r="EC11" i="39"/>
  <c r="EB11" i="39"/>
  <c r="EA19" i="39"/>
  <c r="EJ19" i="39"/>
  <c r="EG11" i="39"/>
  <c r="DU29" i="39"/>
  <c r="EH11" i="39"/>
  <c r="DT29" i="39"/>
  <c r="DW19" i="39"/>
  <c r="DZ29" i="39"/>
  <c r="EL29" i="39"/>
  <c r="EL19" i="39"/>
  <c r="EI11" i="39"/>
  <c r="EE29" i="39"/>
  <c r="DV28" i="39"/>
  <c r="EM28" i="39"/>
  <c r="EG28" i="39"/>
  <c r="DY10" i="39"/>
  <c r="EI28" i="39"/>
  <c r="EH10" i="39"/>
  <c r="EE18" i="39"/>
  <c r="DS30" i="39"/>
  <c r="EH30" i="39"/>
  <c r="ED30" i="39"/>
  <c r="EC30" i="39"/>
  <c r="EB30" i="39"/>
  <c r="DV29" i="39"/>
  <c r="EB29" i="39"/>
  <c r="ED17" i="39"/>
  <c r="EB17" i="39"/>
  <c r="EC9" i="39"/>
  <c r="DU28" i="39"/>
  <c r="DW28" i="39"/>
  <c r="EA28" i="39"/>
  <c r="DY28" i="39"/>
  <c r="EK28" i="39"/>
  <c r="EH28" i="39"/>
  <c r="EF28" i="39"/>
  <c r="ED28" i="39"/>
  <c r="EC28" i="39"/>
  <c r="EB28" i="39"/>
  <c r="ED27" i="39"/>
  <c r="EC27" i="39"/>
  <c r="EB27" i="39"/>
  <c r="L27" i="39"/>
  <c r="M27" i="39"/>
  <c r="DY26" i="39"/>
  <c r="DV27" i="39"/>
  <c r="DV9" i="39"/>
  <c r="DY17" i="39"/>
  <c r="EJ17" i="39"/>
  <c r="EG27" i="39"/>
  <c r="EG9" i="39"/>
  <c r="L26" i="39"/>
  <c r="M26" i="39"/>
  <c r="EE25" i="39"/>
  <c r="DT27" i="39"/>
  <c r="DW17" i="39"/>
  <c r="DZ27" i="39"/>
  <c r="DY27" i="39"/>
  <c r="DZ9" i="39"/>
  <c r="EF27" i="39"/>
  <c r="L25" i="39"/>
  <c r="M25" i="39"/>
  <c r="DS23" i="39"/>
  <c r="DZ23" i="39"/>
  <c r="EL23" i="39"/>
  <c r="EJ23" i="39"/>
  <c r="EH23" i="39"/>
  <c r="ED23" i="39"/>
  <c r="EC23" i="39"/>
  <c r="EB23" i="39"/>
  <c r="EC22" i="39"/>
  <c r="EB22" i="39"/>
  <c r="DV26" i="39"/>
  <c r="EK8" i="39"/>
  <c r="ED26" i="39"/>
  <c r="EC26" i="39"/>
  <c r="EB26" i="39"/>
  <c r="ED8" i="39"/>
  <c r="EC8" i="39"/>
  <c r="L21" i="39"/>
  <c r="M21" i="39"/>
  <c r="DU20" i="39"/>
  <c r="DY20" i="39"/>
  <c r="EH20" i="39"/>
  <c r="ED20" i="39"/>
  <c r="EC20" i="39"/>
  <c r="EB20" i="39"/>
  <c r="L20" i="39"/>
  <c r="M20" i="39"/>
  <c r="DX19" i="39"/>
  <c r="DY19" i="39"/>
  <c r="EM19" i="39"/>
  <c r="EI19" i="39"/>
  <c r="EE19" i="39"/>
  <c r="DU16" i="39"/>
  <c r="L19" i="39"/>
  <c r="M19" i="39"/>
  <c r="DS18" i="39"/>
  <c r="EL18" i="39"/>
  <c r="EF18" i="39"/>
  <c r="ED18" i="39"/>
  <c r="EC18" i="39"/>
  <c r="EB18" i="39"/>
  <c r="DU26" i="39"/>
  <c r="DS16" i="39"/>
  <c r="DU8" i="39"/>
  <c r="DX16" i="39"/>
  <c r="EA26" i="39"/>
  <c r="EA16" i="39"/>
  <c r="EK26" i="39"/>
  <c r="EM16" i="39"/>
  <c r="EM8" i="39"/>
  <c r="EG26" i="39"/>
  <c r="EK17" i="39"/>
  <c r="EC17" i="39"/>
  <c r="DT26" i="39"/>
  <c r="DS26" i="39"/>
  <c r="DW16" i="39"/>
  <c r="DZ16" i="39"/>
  <c r="EL26" i="39"/>
  <c r="EL16" i="39"/>
  <c r="EK16" i="39"/>
  <c r="EI26" i="39"/>
  <c r="EH26" i="39"/>
  <c r="DY16" i="39"/>
  <c r="ED16" i="39"/>
  <c r="EC16" i="39"/>
  <c r="EB16" i="39"/>
  <c r="L15" i="39"/>
  <c r="M15" i="39"/>
  <c r="DU14" i="39"/>
  <c r="DS14" i="39"/>
  <c r="DW14" i="39"/>
  <c r="EA14" i="39"/>
  <c r="EM14" i="39"/>
  <c r="EK14" i="39"/>
  <c r="EJ14" i="39"/>
  <c r="EH14" i="39"/>
  <c r="EG14" i="39"/>
  <c r="ED14" i="39"/>
  <c r="EC14" i="39"/>
  <c r="EB14" i="39"/>
  <c r="L14" i="39"/>
  <c r="M14" i="39"/>
  <c r="DT13" i="39"/>
  <c r="EI13" i="39"/>
  <c r="ED13" i="39"/>
  <c r="EC13" i="39"/>
  <c r="EB13" i="39"/>
  <c r="DS25" i="39"/>
  <c r="EA25" i="39"/>
  <c r="EM15" i="39"/>
  <c r="EE15" i="39"/>
  <c r="ED25" i="39"/>
  <c r="EC25" i="39"/>
  <c r="EB25" i="39"/>
  <c r="ED15" i="39"/>
  <c r="EC15" i="39"/>
  <c r="EB15" i="39"/>
  <c r="ED7" i="39"/>
  <c r="EB7" i="39"/>
  <c r="DX12" i="39"/>
  <c r="EK12" i="39"/>
  <c r="EJ12" i="39"/>
  <c r="EE12" i="39"/>
  <c r="ED12" i="39"/>
  <c r="EC12" i="39"/>
  <c r="EB12" i="39"/>
  <c r="EA11" i="39"/>
  <c r="EL11" i="39"/>
  <c r="ED11" i="39"/>
  <c r="DZ15" i="39"/>
  <c r="DU10" i="39"/>
  <c r="DT10" i="39"/>
  <c r="DX10" i="39"/>
  <c r="DW10" i="39"/>
  <c r="DV10" i="39"/>
  <c r="EA10" i="39"/>
  <c r="EM10" i="39"/>
  <c r="EK10" i="39"/>
  <c r="EG10" i="39"/>
  <c r="ED10" i="39"/>
  <c r="EC10" i="39"/>
  <c r="EB10" i="39"/>
  <c r="DU25" i="39"/>
  <c r="DU15" i="39"/>
  <c r="DT15" i="39"/>
  <c r="DX15" i="39"/>
  <c r="EA15" i="39"/>
  <c r="EJ15" i="39"/>
  <c r="DS9" i="39"/>
  <c r="EL9" i="39"/>
  <c r="EH9" i="39"/>
  <c r="ED9" i="39"/>
  <c r="EB9" i="39"/>
  <c r="DZ25" i="39"/>
  <c r="DY15" i="39"/>
  <c r="EK15" i="39"/>
  <c r="DS8" i="39"/>
  <c r="EA8" i="39"/>
  <c r="EH8" i="39"/>
  <c r="EB8" i="39"/>
  <c r="M8" i="39"/>
  <c r="L8" i="39"/>
  <c r="K8" i="39"/>
  <c r="EC7" i="39"/>
  <c r="M7" i="39"/>
  <c r="L7" i="39"/>
  <c r="K7" i="39"/>
  <c r="C7" i="39"/>
  <c r="M6" i="39"/>
  <c r="L6" i="39"/>
  <c r="K6" i="39"/>
  <c r="M5" i="39"/>
  <c r="L5" i="39"/>
  <c r="K5" i="39"/>
  <c r="C5" i="39"/>
  <c r="AB64" i="11"/>
  <c r="AA58" i="11"/>
  <c r="AA64" i="11"/>
  <c r="L9" i="39"/>
  <c r="AA58" i="39"/>
  <c r="AC67" i="39"/>
  <c r="BV59" i="39"/>
  <c r="DX21" i="39"/>
  <c r="EQ9" i="39"/>
  <c r="DN65" i="39"/>
  <c r="CK59" i="39"/>
  <c r="BG58" i="39"/>
  <c r="DM57" i="39"/>
  <c r="DN59" i="39"/>
  <c r="DM64" i="39"/>
  <c r="DM65" i="39"/>
  <c r="DO65" i="39"/>
  <c r="DU22" i="39"/>
  <c r="DN57" i="39"/>
  <c r="DO60" i="39"/>
  <c r="CX57" i="39"/>
  <c r="CY59" i="39"/>
  <c r="DW21" i="39"/>
  <c r="EQ8" i="39"/>
  <c r="CX64" i="39"/>
  <c r="CX65" i="39"/>
  <c r="CZ65" i="39"/>
  <c r="CY57" i="39"/>
  <c r="CZ60" i="39"/>
  <c r="CI57" i="39"/>
  <c r="CJ59" i="39"/>
  <c r="DZ21" i="39"/>
  <c r="ER8" i="39"/>
  <c r="CI64" i="39"/>
  <c r="CI65" i="39"/>
  <c r="CK65" i="39"/>
  <c r="EA22" i="39"/>
  <c r="CJ57" i="39"/>
  <c r="CK60" i="39"/>
  <c r="BT57" i="39"/>
  <c r="BU59" i="39"/>
  <c r="EL21" i="39"/>
  <c r="EV8" i="39"/>
  <c r="BT64" i="39"/>
  <c r="BT65" i="39"/>
  <c r="BV65" i="39"/>
  <c r="EM22" i="39"/>
  <c r="BU57" i="39"/>
  <c r="BV60" i="39"/>
  <c r="BE57" i="39"/>
  <c r="BF59" i="39"/>
  <c r="EI21" i="39"/>
  <c r="EU8" i="39"/>
  <c r="BE64" i="39"/>
  <c r="BE65" i="39"/>
  <c r="BG65" i="39"/>
  <c r="EJ22" i="39"/>
  <c r="BF57" i="39"/>
  <c r="BG60" i="39"/>
  <c r="AP57" i="39"/>
  <c r="AQ59" i="39"/>
  <c r="EF21" i="39"/>
  <c r="ET8" i="39"/>
  <c r="AP64" i="39"/>
  <c r="AP65" i="39"/>
  <c r="AR65" i="39"/>
  <c r="AQ57" i="39"/>
  <c r="AR60" i="39"/>
  <c r="AA57" i="11"/>
  <c r="AA65" i="11"/>
  <c r="AB57" i="11"/>
  <c r="EM7" i="39"/>
  <c r="EG21" i="39"/>
  <c r="ET9" i="39"/>
  <c r="DT21" i="39"/>
  <c r="EP8" i="39"/>
  <c r="X69" i="39"/>
  <c r="ED22" i="39"/>
  <c r="AC65" i="39"/>
  <c r="K9" i="39"/>
  <c r="M9" i="39"/>
  <c r="EJ7" i="39"/>
  <c r="DY7" i="39"/>
  <c r="DU7" i="39"/>
  <c r="EG17" i="39"/>
  <c r="EJ9" i="39"/>
  <c r="EJ27" i="39"/>
  <c r="EM17" i="39"/>
  <c r="EA9" i="39"/>
  <c r="EA27" i="39"/>
  <c r="DX17" i="39"/>
  <c r="DU9" i="39"/>
  <c r="DU27" i="39"/>
  <c r="AB64" i="39"/>
  <c r="AB57" i="39"/>
  <c r="EL14" i="39"/>
  <c r="EL22" i="39"/>
  <c r="EF11" i="39"/>
  <c r="EF29" i="39"/>
  <c r="EH29" i="39"/>
  <c r="EK19" i="39"/>
  <c r="DY11" i="39"/>
  <c r="DY29" i="39"/>
  <c r="DV19" i="39"/>
  <c r="DS11" i="39"/>
  <c r="DS29" i="39"/>
  <c r="EF13" i="39"/>
  <c r="DW13" i="39"/>
  <c r="AB65" i="39"/>
  <c r="AB58" i="39"/>
  <c r="EM21" i="39"/>
  <c r="EV9" i="39"/>
  <c r="EA13" i="39"/>
  <c r="EK22" i="39"/>
  <c r="EG22" i="39"/>
  <c r="DX22" i="39"/>
  <c r="AA57" i="39"/>
  <c r="EE21" i="39"/>
  <c r="ET7" i="39"/>
  <c r="EK21" i="39"/>
  <c r="EV7" i="39"/>
  <c r="DV21" i="39"/>
  <c r="EQ7" i="39"/>
  <c r="EJ21" i="39"/>
  <c r="EU9" i="39"/>
  <c r="EA21" i="39"/>
  <c r="ER9" i="39"/>
  <c r="DU21" i="39"/>
  <c r="EP9" i="39"/>
  <c r="AB59" i="39"/>
  <c r="AA64" i="39"/>
  <c r="EI22" i="39"/>
  <c r="DT22" i="39"/>
  <c r="DX7" i="39"/>
  <c r="EI7" i="39"/>
  <c r="DS7" i="39"/>
  <c r="EA7" i="39"/>
  <c r="EF7" i="39"/>
  <c r="DV7" i="39"/>
  <c r="EK7" i="39"/>
  <c r="DT7" i="39"/>
  <c r="DZ7" i="39"/>
  <c r="EG7" i="39"/>
  <c r="DW7" i="39"/>
  <c r="EH7" i="39"/>
  <c r="EE7" i="39"/>
  <c r="EL7" i="39"/>
  <c r="AC59" i="11"/>
  <c r="AC66" i="11"/>
  <c r="AB65" i="11"/>
  <c r="AB58" i="11"/>
  <c r="AC58" i="11"/>
  <c r="AC65" i="11"/>
  <c r="AC67" i="11"/>
  <c r="AC60" i="11"/>
  <c r="AB66" i="11"/>
  <c r="AB59" i="11"/>
  <c r="L27" i="11"/>
  <c r="M27" i="11"/>
  <c r="L26" i="11"/>
  <c r="M26" i="11"/>
  <c r="L25" i="11"/>
  <c r="L21" i="11"/>
  <c r="M21" i="11"/>
  <c r="L20" i="11"/>
  <c r="L19" i="11"/>
  <c r="M19" i="11"/>
  <c r="L15" i="11"/>
  <c r="L14" i="11"/>
  <c r="K6" i="11"/>
  <c r="L6" i="11"/>
  <c r="M6" i="11"/>
  <c r="K7" i="11"/>
  <c r="L7" i="11"/>
  <c r="M7" i="11"/>
  <c r="K8" i="11"/>
  <c r="L8" i="11"/>
  <c r="M8" i="11"/>
  <c r="L5" i="11"/>
  <c r="M5" i="11"/>
  <c r="K5" i="11"/>
  <c r="M25" i="11"/>
  <c r="M20" i="11"/>
  <c r="M15" i="11"/>
  <c r="M14" i="11"/>
  <c r="C7" i="11"/>
  <c r="C5" i="11"/>
  <c r="M9" i="11"/>
  <c r="K9" i="11"/>
  <c r="L9" i="11"/>
</calcChain>
</file>

<file path=xl/sharedStrings.xml><?xml version="1.0" encoding="utf-8"?>
<sst xmlns="http://schemas.openxmlformats.org/spreadsheetml/2006/main" count="3715" uniqueCount="144">
  <si>
    <t>km/año</t>
  </si>
  <si>
    <t>km/día</t>
  </si>
  <si>
    <t>km/mes</t>
  </si>
  <si>
    <t>Euro I</t>
  </si>
  <si>
    <t>Euro II</t>
  </si>
  <si>
    <t>Euro III</t>
  </si>
  <si>
    <t>Convencional</t>
  </si>
  <si>
    <t>Cooperativa Jerpazsol</t>
  </si>
  <si>
    <t>Cooperativa Tungurahua</t>
  </si>
  <si>
    <t>Cooperativa Libertadores</t>
  </si>
  <si>
    <t>Distancia promedio recorrida</t>
  </si>
  <si>
    <t>Distancia Recorrida (km)</t>
  </si>
  <si>
    <t>Distancia total recorrido</t>
  </si>
  <si>
    <t>Turnos completos por bus</t>
  </si>
  <si>
    <t>Tiempo parcial recorrido (horas)</t>
  </si>
  <si>
    <t>Tiempo total recorrido (horas)</t>
  </si>
  <si>
    <t>Población</t>
  </si>
  <si>
    <t>Km/año</t>
  </si>
  <si>
    <t>Mean Fleet Mileage (km)</t>
  </si>
  <si>
    <t>año 2000</t>
  </si>
  <si>
    <t>año 2007</t>
  </si>
  <si>
    <t>año 2015</t>
  </si>
  <si>
    <t>EMISIONES  GASEOSAS PRODUCIDAS</t>
  </si>
  <si>
    <t>EMISIONES DE METALES PRODUCIDOS</t>
  </si>
  <si>
    <t xml:space="preserve">Total  </t>
  </si>
  <si>
    <t>Total de buses por cooperativa</t>
  </si>
  <si>
    <t>CO</t>
  </si>
  <si>
    <t>VOC</t>
  </si>
  <si>
    <t>NMVOC</t>
  </si>
  <si>
    <t>CH4</t>
  </si>
  <si>
    <t>NOX</t>
  </si>
  <si>
    <t>NO</t>
  </si>
  <si>
    <t>NO2</t>
  </si>
  <si>
    <t>NH3</t>
  </si>
  <si>
    <t>PM2.5</t>
  </si>
  <si>
    <t>PM10</t>
  </si>
  <si>
    <t>PM (escape)</t>
  </si>
  <si>
    <t>EC</t>
  </si>
  <si>
    <t>OM</t>
  </si>
  <si>
    <t>FC</t>
  </si>
  <si>
    <t>CO2</t>
  </si>
  <si>
    <t>SO2</t>
  </si>
  <si>
    <t>Pb</t>
  </si>
  <si>
    <t>Cadmio</t>
  </si>
  <si>
    <t>Cobre</t>
  </si>
  <si>
    <t>Niquel</t>
  </si>
  <si>
    <t>Selenio</t>
  </si>
  <si>
    <t>Zinc</t>
  </si>
  <si>
    <t>N2O</t>
  </si>
  <si>
    <t>NA</t>
  </si>
  <si>
    <t>Total buses de la flota real</t>
  </si>
  <si>
    <t>Datos fleet caso inicial modelo</t>
  </si>
  <si>
    <t>Emision de Pb (mg/vehículo.km)</t>
  </si>
  <si>
    <t>Emision de Cadmio (mg/vehículo.km)</t>
  </si>
  <si>
    <t>Emision de Cobre (mg/vehículo.km)</t>
  </si>
  <si>
    <t>Emision de Niquel (mg/vehículo.km)</t>
  </si>
  <si>
    <t>Emision de Selenio (mg/vehículo.km)</t>
  </si>
  <si>
    <t>Emision de Zinc (mg/vehículo.km)</t>
  </si>
  <si>
    <t>Emisiones caso modelo inicial, Velocidad = 20 km/h, sin pendiente, 100% carga.</t>
  </si>
  <si>
    <t>Emision de CO2  (kg/vehículo.km)</t>
  </si>
  <si>
    <t>Emision de FC  (lts/100km.vehiculo)</t>
  </si>
  <si>
    <t>Relación validación CO2/FC (g/g)</t>
  </si>
  <si>
    <t>Emision de CO (g/vehículo.km)</t>
  </si>
  <si>
    <t>Emision de VOC (g/vehículo.km)</t>
  </si>
  <si>
    <t>Emision de NMVOC (g/vehículo.km)</t>
  </si>
  <si>
    <t>Emision de CH4 (g/vehículo.km)</t>
  </si>
  <si>
    <t>Emision de NOX (g/vehículo.km)</t>
  </si>
  <si>
    <t>Emision de NO (g/vehículo.km)</t>
  </si>
  <si>
    <t>Emision de NO2 (g/vehículo.km)</t>
  </si>
  <si>
    <t>Emision de N2O (g/vehículo.km)</t>
  </si>
  <si>
    <t>Emision de SO2  (g/vehículo.km)</t>
  </si>
  <si>
    <t>Emision de OM  (g/vehículo.km)</t>
  </si>
  <si>
    <t>Emision de EC  (g/vehículo.km)</t>
  </si>
  <si>
    <t>Emision de PM (ESCAPE) (g/vehículo.km)</t>
  </si>
  <si>
    <t>Emision de PM10 (g/vehículo.km)</t>
  </si>
  <si>
    <t>Emision de PM2.5 (g/vehículo.km)</t>
  </si>
  <si>
    <t>Emision de NH3 (g/vehículo.km)</t>
  </si>
  <si>
    <t>Factor de emisión CO2/FC ( Informe Inventarios GEI 1990-2009 (2011))</t>
  </si>
  <si>
    <t>EMISIONES PRODUCIDAS</t>
  </si>
  <si>
    <t>Emisiones caso modelo inicial, Velocidad = 20 km/h, pendiente 2º positiva, 100% carga.</t>
  </si>
  <si>
    <t>Emisiones caso modelo inicial, Velocidad = 20 km/h, pendiente 4º positiva, 100% carga.</t>
  </si>
  <si>
    <t>EMISIONES  PRODUCIDAS</t>
  </si>
  <si>
    <t>Emisiones caso modelo inicial, Velocidad = 20 km/h, 6º pendiente positiva, 100% carga.</t>
  </si>
  <si>
    <t>Emisiones caso modelo inicial, Velocidad = 20 km/h, 2º pendiente negativa, 100% carga.</t>
  </si>
  <si>
    <t>Emisiones caso modelo inicial, Velocidad = 20 km/h, 4º pendiente negativa, 100% carga.</t>
  </si>
  <si>
    <t>Emisiones caso modelo inicial, Velocidad = 20 km/h, 6º pendiente negativa, 100% carga.</t>
  </si>
  <si>
    <t>Velocidad = 20 km/h, sin pendiente</t>
  </si>
  <si>
    <t>Velocidad = 20 km/h, 2 grados pendiente positiva</t>
  </si>
  <si>
    <t>Velocidad = 20 km/h, 4 grados, pendiente positiva</t>
  </si>
  <si>
    <t>Velocidad = 20 km/h, 6 grados, pendiente positiva</t>
  </si>
  <si>
    <t>Velocidad = 20 km/h, -2 grados pendiente negativa</t>
  </si>
  <si>
    <t>Velocidad = 20 km/h, - 4 grados pendiente negativa</t>
  </si>
  <si>
    <t>Velocidad = 20 km/h, - 6 grados pendiente negativa</t>
  </si>
  <si>
    <t>Emisiones caso modelo inicial, Velocidad = 20 km/h, sin pendiente, 50% carga.</t>
  </si>
  <si>
    <t>Emisiones caso modelo inicial, Velocidad = 20 km/h, sin pendiente, 0% carga.</t>
  </si>
  <si>
    <t>Velocidad = 20 km/h, sin pendiente, 100% carga</t>
  </si>
  <si>
    <t>Velocidad = 20 km/h, sin pendiente, 50% carga</t>
  </si>
  <si>
    <t>Velocidad = 20 km/h, sin pendiente, 0% carga</t>
  </si>
  <si>
    <t>Emisiones caso modelo inicial, Velocidad = 25 km/h, sin pendiente, 100% carga</t>
  </si>
  <si>
    <t>Emisiones caso modelo inicial, Velocidad = 35 km/h, sin pendiente, 100% carga.</t>
  </si>
  <si>
    <t>Velocidad = 25 km/h, sin pendiente, 100% carga</t>
  </si>
  <si>
    <t>Velocidad = 35 km/h, sin pendiente, 100% carga</t>
  </si>
  <si>
    <t>Emisiones caso modelo inicial, Velocidad = 20 km/h, sin pendiente, 100% carga, (medida por vehículo)</t>
  </si>
  <si>
    <t>Emision de CO (g/km)</t>
  </si>
  <si>
    <t>Emision de VOC (g/km)</t>
  </si>
  <si>
    <t>Emision de NMVOC (g/km)</t>
  </si>
  <si>
    <t>Emision de CH4 (g/km)</t>
  </si>
  <si>
    <t>Emision de NOX (g/km)</t>
  </si>
  <si>
    <t>Emision de NO (g/km)</t>
  </si>
  <si>
    <t>Emision de NO2 (g/km)</t>
  </si>
  <si>
    <t>Emision de N2O (g/km)</t>
  </si>
  <si>
    <t>Emision de SO2  (g/km)</t>
  </si>
  <si>
    <t>Emision de CO2  (kg/km)</t>
  </si>
  <si>
    <t>Emision de FC  (lts/100km)</t>
  </si>
  <si>
    <t>Emision de OM  (g/km)</t>
  </si>
  <si>
    <t>Emision de EC  (g/km)</t>
  </si>
  <si>
    <t>Emision de PM (ESCAPE) (g/km)</t>
  </si>
  <si>
    <t>Emision de PM10 (g/km)</t>
  </si>
  <si>
    <t>Emision de PM2.5 (g/km)</t>
  </si>
  <si>
    <t>Emision de NH3 (g/km)</t>
  </si>
  <si>
    <t>Emision de Pb (mg/km)</t>
  </si>
  <si>
    <t>Emision de Cadmio (mg/km)</t>
  </si>
  <si>
    <t>Emision de Cobre (mg/km)</t>
  </si>
  <si>
    <t>Emision de Niquel (mg/km)</t>
  </si>
  <si>
    <t>Emision de Selenio (mg/km)</t>
  </si>
  <si>
    <t>Emision de Zinc (mg/km)</t>
  </si>
  <si>
    <t>Variaciónes expuestas de valores en COPERT 4 por influencia de la pendiente</t>
  </si>
  <si>
    <t>FC - 2000</t>
  </si>
  <si>
    <t>FC - 2007</t>
  </si>
  <si>
    <t>FC - 2015</t>
  </si>
  <si>
    <t>"-6º"</t>
  </si>
  <si>
    <t>"-4º"</t>
  </si>
  <si>
    <t>"-2º"</t>
  </si>
  <si>
    <t>"0º"</t>
  </si>
  <si>
    <t>"2º"</t>
  </si>
  <si>
    <t>"4º"</t>
  </si>
  <si>
    <t>"6º"</t>
  </si>
  <si>
    <t>Total Promedio</t>
  </si>
  <si>
    <t>0% carga</t>
  </si>
  <si>
    <t>100% carga</t>
  </si>
  <si>
    <t>50% carga</t>
  </si>
  <si>
    <t>25 km/h</t>
  </si>
  <si>
    <t>20 km/h</t>
  </si>
  <si>
    <t>35 km/h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</si>
</sst>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 applyBorder="1"/>
    <xf numFmtId="0" fontId="0" fillId="0" borderId="0" xfId="0" applyFont="1"/>
    <xf numFmtId="2" fontId="0" fillId="0" borderId="1" xfId="0" applyNumberFormat="1" applyBorder="1"/>
    <xf numFmtId="164" fontId="0" fillId="0" borderId="1" xfId="0" applyNumberFormat="1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18" xfId="0" applyFont="1" applyBorder="1"/>
    <xf numFmtId="0" fontId="1" fillId="0" borderId="19" xfId="0" applyFont="1" applyBorder="1"/>
    <xf numFmtId="0" fontId="0" fillId="0" borderId="20" xfId="0" applyBorder="1"/>
    <xf numFmtId="0" fontId="1" fillId="0" borderId="17" xfId="0" applyFon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165" fontId="0" fillId="0" borderId="1" xfId="0" applyNumberFormat="1" applyBorder="1"/>
    <xf numFmtId="165" fontId="0" fillId="0" borderId="1" xfId="0" quotePrefix="1" applyNumberFormat="1" applyBorder="1"/>
    <xf numFmtId="0" fontId="1" fillId="0" borderId="0" xfId="0" applyFont="1" applyFill="1" applyBorder="1"/>
    <xf numFmtId="2" fontId="0" fillId="0" borderId="10" xfId="0" applyNumberFormat="1" applyBorder="1"/>
    <xf numFmtId="2" fontId="0" fillId="0" borderId="11" xfId="0" applyNumberFormat="1" applyBorder="1"/>
    <xf numFmtId="0" fontId="1" fillId="0" borderId="0" xfId="0" applyFont="1" applyBorder="1" applyAlignment="1"/>
    <xf numFmtId="0" fontId="0" fillId="0" borderId="0" xfId="0" applyBorder="1"/>
    <xf numFmtId="2" fontId="0" fillId="0" borderId="0" xfId="0" applyNumberFormat="1"/>
    <xf numFmtId="0" fontId="1" fillId="0" borderId="0" xfId="0" applyFont="1"/>
    <xf numFmtId="2" fontId="0" fillId="0" borderId="7" xfId="0" applyNumberFormat="1" applyBorder="1"/>
    <xf numFmtId="2" fontId="0" fillId="0" borderId="8" xfId="0" applyNumberFormat="1" applyBorder="1"/>
    <xf numFmtId="2" fontId="0" fillId="0" borderId="9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2" fontId="0" fillId="0" borderId="14" xfId="0" applyNumberFormat="1" applyBorder="1"/>
    <xf numFmtId="165" fontId="0" fillId="0" borderId="7" xfId="0" applyNumberFormat="1" applyBorder="1"/>
    <xf numFmtId="165" fontId="0" fillId="0" borderId="8" xfId="0" applyNumberFormat="1" applyBorder="1"/>
    <xf numFmtId="165" fontId="0" fillId="0" borderId="9" xfId="0" applyNumberFormat="1" applyBorder="1"/>
    <xf numFmtId="165" fontId="0" fillId="0" borderId="10" xfId="0" applyNumberFormat="1" applyBorder="1"/>
    <xf numFmtId="165" fontId="0" fillId="0" borderId="11" xfId="0" applyNumberFormat="1" applyBorder="1"/>
    <xf numFmtId="165" fontId="0" fillId="0" borderId="12" xfId="0" applyNumberFormat="1" applyBorder="1"/>
    <xf numFmtId="165" fontId="0" fillId="0" borderId="13" xfId="0" applyNumberFormat="1" applyBorder="1"/>
    <xf numFmtId="165" fontId="0" fillId="0" borderId="14" xfId="0" applyNumberFormat="1" applyBorder="1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46" Type="http://schemas.openxmlformats.org/officeDocument/2006/relationships/theme" Target="theme/theme1.xml"/><Relationship Id="rId47" Type="http://schemas.openxmlformats.org/officeDocument/2006/relationships/styles" Target="styles.xml"/><Relationship Id="rId48" Type="http://schemas.openxmlformats.org/officeDocument/2006/relationships/sharedStrings" Target="sharedStrings.xml"/><Relationship Id="rId49" Type="http://schemas.openxmlformats.org/officeDocument/2006/relationships/calcChain" Target="calcChain.xml"/><Relationship Id="rId20" Type="http://schemas.openxmlformats.org/officeDocument/2006/relationships/chartsheet" Target="chartsheets/sheet19.xml"/><Relationship Id="rId21" Type="http://schemas.openxmlformats.org/officeDocument/2006/relationships/chartsheet" Target="chartsheets/sheet20.xml"/><Relationship Id="rId22" Type="http://schemas.openxmlformats.org/officeDocument/2006/relationships/worksheet" Target="worksheets/sheet2.xml"/><Relationship Id="rId23" Type="http://schemas.openxmlformats.org/officeDocument/2006/relationships/chartsheet" Target="chartsheets/sheet21.xml"/><Relationship Id="rId24" Type="http://schemas.openxmlformats.org/officeDocument/2006/relationships/chartsheet" Target="chartsheets/sheet22.xml"/><Relationship Id="rId25" Type="http://schemas.openxmlformats.org/officeDocument/2006/relationships/chartsheet" Target="chartsheets/sheet23.xml"/><Relationship Id="rId26" Type="http://schemas.openxmlformats.org/officeDocument/2006/relationships/chartsheet" Target="chartsheets/sheet24.xml"/><Relationship Id="rId27" Type="http://schemas.openxmlformats.org/officeDocument/2006/relationships/chartsheet" Target="chartsheets/sheet25.xml"/><Relationship Id="rId28" Type="http://schemas.openxmlformats.org/officeDocument/2006/relationships/chartsheet" Target="chartsheets/sheet26.xml"/><Relationship Id="rId29" Type="http://schemas.openxmlformats.org/officeDocument/2006/relationships/chartsheet" Target="chartsheets/sheet27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chartsheet" Target="chartsheets/sheet2.xml"/><Relationship Id="rId4" Type="http://schemas.openxmlformats.org/officeDocument/2006/relationships/chartsheet" Target="chartsheets/sheet3.xml"/><Relationship Id="rId5" Type="http://schemas.openxmlformats.org/officeDocument/2006/relationships/chartsheet" Target="chartsheets/sheet4.xml"/><Relationship Id="rId30" Type="http://schemas.openxmlformats.org/officeDocument/2006/relationships/worksheet" Target="worksheets/sheet3.xml"/><Relationship Id="rId31" Type="http://schemas.openxmlformats.org/officeDocument/2006/relationships/chartsheet" Target="chartsheets/sheet28.xml"/><Relationship Id="rId32" Type="http://schemas.openxmlformats.org/officeDocument/2006/relationships/chartsheet" Target="chartsheets/sheet29.xml"/><Relationship Id="rId9" Type="http://schemas.openxmlformats.org/officeDocument/2006/relationships/chartsheet" Target="chartsheets/sheet8.xml"/><Relationship Id="rId6" Type="http://schemas.openxmlformats.org/officeDocument/2006/relationships/chartsheet" Target="chartsheets/sheet5.xml"/><Relationship Id="rId7" Type="http://schemas.openxmlformats.org/officeDocument/2006/relationships/chartsheet" Target="chartsheets/sheet6.xml"/><Relationship Id="rId8" Type="http://schemas.openxmlformats.org/officeDocument/2006/relationships/chartsheet" Target="chartsheets/sheet7.xml"/><Relationship Id="rId33" Type="http://schemas.openxmlformats.org/officeDocument/2006/relationships/chartsheet" Target="chartsheets/sheet30.xml"/><Relationship Id="rId34" Type="http://schemas.openxmlformats.org/officeDocument/2006/relationships/chartsheet" Target="chartsheets/sheet31.xml"/><Relationship Id="rId35" Type="http://schemas.openxmlformats.org/officeDocument/2006/relationships/chartsheet" Target="chartsheets/sheet32.xml"/><Relationship Id="rId36" Type="http://schemas.openxmlformats.org/officeDocument/2006/relationships/chartsheet" Target="chartsheets/sheet33.xml"/><Relationship Id="rId10" Type="http://schemas.openxmlformats.org/officeDocument/2006/relationships/chartsheet" Target="chartsheets/sheet9.xml"/><Relationship Id="rId11" Type="http://schemas.openxmlformats.org/officeDocument/2006/relationships/chartsheet" Target="chartsheets/sheet10.xml"/><Relationship Id="rId12" Type="http://schemas.openxmlformats.org/officeDocument/2006/relationships/chartsheet" Target="chartsheets/sheet11.xml"/><Relationship Id="rId13" Type="http://schemas.openxmlformats.org/officeDocument/2006/relationships/chartsheet" Target="chartsheets/sheet12.xml"/><Relationship Id="rId14" Type="http://schemas.openxmlformats.org/officeDocument/2006/relationships/chartsheet" Target="chartsheets/sheet13.xml"/><Relationship Id="rId15" Type="http://schemas.openxmlformats.org/officeDocument/2006/relationships/chartsheet" Target="chartsheets/sheet14.xml"/><Relationship Id="rId16" Type="http://schemas.openxmlformats.org/officeDocument/2006/relationships/chartsheet" Target="chartsheets/sheet15.xml"/><Relationship Id="rId17" Type="http://schemas.openxmlformats.org/officeDocument/2006/relationships/chartsheet" Target="chartsheets/sheet16.xml"/><Relationship Id="rId18" Type="http://schemas.openxmlformats.org/officeDocument/2006/relationships/chartsheet" Target="chartsheets/sheet17.xml"/><Relationship Id="rId19" Type="http://schemas.openxmlformats.org/officeDocument/2006/relationships/chartsheet" Target="chartsheets/sheet18.xml"/><Relationship Id="rId37" Type="http://schemas.openxmlformats.org/officeDocument/2006/relationships/chartsheet" Target="chartsheets/sheet34.xml"/><Relationship Id="rId38" Type="http://schemas.openxmlformats.org/officeDocument/2006/relationships/worksheet" Target="worksheets/sheet4.xml"/><Relationship Id="rId39" Type="http://schemas.openxmlformats.org/officeDocument/2006/relationships/chartsheet" Target="chartsheets/sheet35.xml"/><Relationship Id="rId40" Type="http://schemas.openxmlformats.org/officeDocument/2006/relationships/chartsheet" Target="chartsheets/sheet36.xml"/><Relationship Id="rId41" Type="http://schemas.openxmlformats.org/officeDocument/2006/relationships/chartsheet" Target="chartsheets/sheet37.xml"/><Relationship Id="rId42" Type="http://schemas.openxmlformats.org/officeDocument/2006/relationships/chartsheet" Target="chartsheets/sheet38.xml"/><Relationship Id="rId43" Type="http://schemas.openxmlformats.org/officeDocument/2006/relationships/chartsheet" Target="chartsheets/sheet39.xml"/><Relationship Id="rId44" Type="http://schemas.openxmlformats.org/officeDocument/2006/relationships/chartsheet" Target="chartsheets/sheet40.xml"/><Relationship Id="rId45" Type="http://schemas.openxmlformats.org/officeDocument/2006/relationships/chartsheet" Target="chartsheets/sheet4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Comportamiento de la emisión de CO</a:t>
            </a:r>
            <a:r>
              <a:rPr lang="es-ES" b="1" baseline="0"/>
              <a:t> según COPERT 4 - autobuses</a:t>
            </a:r>
            <a:endParaRPr lang="es-ES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854072314964513"/>
          <c:y val="0.0774220450900331"/>
          <c:w val="0.899588505123199"/>
          <c:h val="0.7821402825137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'Caso modelo inicial'!$P$9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inicial'!$Q$9:$S$9</c:f>
              <c:numCache>
                <c:formatCode>General</c:formatCode>
                <c:ptCount val="3"/>
                <c:pt idx="0">
                  <c:v>7.11</c:v>
                </c:pt>
                <c:pt idx="1">
                  <c:v>7.27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inicial'!$P$10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inicial'!$Q$10:$S$10</c:f>
              <c:numCache>
                <c:formatCode>General</c:formatCode>
                <c:ptCount val="3"/>
                <c:pt idx="0">
                  <c:v>3.43</c:v>
                </c:pt>
                <c:pt idx="1">
                  <c:v>3.51</c:v>
                </c:pt>
                <c:pt idx="2">
                  <c:v>4.0</c:v>
                </c:pt>
              </c:numCache>
            </c:numRef>
          </c:val>
        </c:ser>
        <c:ser>
          <c:idx val="2"/>
          <c:order val="2"/>
          <c:tx>
            <c:strRef>
              <c:f>'Caso modelo inicial'!$P$11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inicial'!$Q$11:$S$11</c:f>
              <c:numCache>
                <c:formatCode>General</c:formatCode>
                <c:ptCount val="3"/>
                <c:pt idx="0">
                  <c:v>0.0</c:v>
                </c:pt>
                <c:pt idx="1">
                  <c:v>3.28</c:v>
                </c:pt>
                <c:pt idx="2">
                  <c:v>3.73</c:v>
                </c:pt>
              </c:numCache>
            </c:numRef>
          </c:val>
        </c:ser>
        <c:ser>
          <c:idx val="3"/>
          <c:order val="3"/>
          <c:tx>
            <c:strRef>
              <c:f>'Caso modelo inicial'!$P$12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inicial'!$Q$12:$S$12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3.94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73525384"/>
        <c:axId val="2073531896"/>
      </c:barChart>
      <c:catAx>
        <c:axId val="20735253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Año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3531896"/>
        <c:crosses val="autoZero"/>
        <c:auto val="1"/>
        <c:lblAlgn val="ctr"/>
        <c:lblOffset val="100"/>
        <c:noMultiLvlLbl val="0"/>
      </c:catAx>
      <c:valAx>
        <c:axId val="2073531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200" b="1"/>
                  <a:t>Emisión de CO por vehículo (g/km)</a:t>
                </a:r>
              </a:p>
            </c:rich>
          </c:tx>
          <c:layout>
            <c:manualLayout>
              <c:xMode val="edge"/>
              <c:yMode val="edge"/>
              <c:x val="0.0250994368084761"/>
              <c:y val="0.32558323392110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3525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Comportamiento de la emisión de</a:t>
            </a:r>
            <a:r>
              <a:rPr lang="es-ES" b="1" baseline="0"/>
              <a:t> PM10 según COPERT 4 - autobuses</a:t>
            </a:r>
            <a:endParaRPr lang="es-E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'Caso modelo inicial'!$P$9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inicial'!$V$25:$X$25</c:f>
              <c:numCache>
                <c:formatCode>General</c:formatCode>
                <c:ptCount val="3"/>
                <c:pt idx="0">
                  <c:v>1.08</c:v>
                </c:pt>
                <c:pt idx="1">
                  <c:v>1.07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inicial'!$P$10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inicial'!$V$26:$X$26</c:f>
              <c:numCache>
                <c:formatCode>General</c:formatCode>
                <c:ptCount val="3"/>
                <c:pt idx="0">
                  <c:v>0.62</c:v>
                </c:pt>
                <c:pt idx="1">
                  <c:v>0.62</c:v>
                </c:pt>
                <c:pt idx="2">
                  <c:v>0.62</c:v>
                </c:pt>
              </c:numCache>
            </c:numRef>
          </c:val>
        </c:ser>
        <c:ser>
          <c:idx val="2"/>
          <c:order val="2"/>
          <c:tx>
            <c:strRef>
              <c:f>'Caso modelo inicial'!$P$11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inicial'!$V$27:$X$27</c:f>
              <c:numCache>
                <c:formatCode>General</c:formatCode>
                <c:ptCount val="3"/>
                <c:pt idx="0">
                  <c:v>0.0</c:v>
                </c:pt>
                <c:pt idx="1">
                  <c:v>0.35</c:v>
                </c:pt>
                <c:pt idx="2">
                  <c:v>0.35</c:v>
                </c:pt>
              </c:numCache>
            </c:numRef>
          </c:val>
        </c:ser>
        <c:ser>
          <c:idx val="3"/>
          <c:order val="3"/>
          <c:tx>
            <c:strRef>
              <c:f>'Caso modelo inicial'!$P$12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inicial'!$V$28:$X$28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0.34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98718072"/>
        <c:axId val="2098647528"/>
      </c:barChart>
      <c:catAx>
        <c:axId val="20987180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8647528"/>
        <c:crosses val="autoZero"/>
        <c:auto val="1"/>
        <c:lblAlgn val="ctr"/>
        <c:lblOffset val="100"/>
        <c:noMultiLvlLbl val="0"/>
      </c:catAx>
      <c:valAx>
        <c:axId val="2098647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Emisión de PM10 por vehículo (g/km)</a:t>
                </a:r>
              </a:p>
            </c:rich>
          </c:tx>
          <c:layout>
            <c:manualLayout>
              <c:xMode val="edge"/>
              <c:yMode val="edge"/>
              <c:x val="0.0333333333333333"/>
              <c:y val="0.1119444444444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8718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Comportamiento de la emisión de</a:t>
            </a:r>
            <a:r>
              <a:rPr lang="es-ES" b="1" baseline="0"/>
              <a:t> PM (Escape) según COPERT 4 - autobuses</a:t>
            </a:r>
            <a:endParaRPr lang="es-E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'Caso modelo inicial'!$P$9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inicial'!$V$33:$X$33</c:f>
              <c:numCache>
                <c:formatCode>General</c:formatCode>
                <c:ptCount val="3"/>
                <c:pt idx="0">
                  <c:v>0.99</c:v>
                </c:pt>
                <c:pt idx="1">
                  <c:v>0.98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inicial'!$P$10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inicial'!$V$34:$X$34</c:f>
              <c:numCache>
                <c:formatCode>General</c:formatCode>
                <c:ptCount val="3"/>
                <c:pt idx="0">
                  <c:v>0.53</c:v>
                </c:pt>
                <c:pt idx="1">
                  <c:v>0.52</c:v>
                </c:pt>
                <c:pt idx="2">
                  <c:v>0.52</c:v>
                </c:pt>
              </c:numCache>
            </c:numRef>
          </c:val>
        </c:ser>
        <c:ser>
          <c:idx val="2"/>
          <c:order val="2"/>
          <c:tx>
            <c:strRef>
              <c:f>'Caso modelo inicial'!$P$11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inicial'!$V$35:$X$35</c:f>
              <c:numCache>
                <c:formatCode>General</c:formatCode>
                <c:ptCount val="3"/>
                <c:pt idx="0">
                  <c:v>0.0</c:v>
                </c:pt>
                <c:pt idx="1">
                  <c:v>0.26</c:v>
                </c:pt>
                <c:pt idx="2">
                  <c:v>0.26</c:v>
                </c:pt>
              </c:numCache>
            </c:numRef>
          </c:val>
        </c:ser>
        <c:ser>
          <c:idx val="3"/>
          <c:order val="3"/>
          <c:tx>
            <c:strRef>
              <c:f>'Caso modelo inicial'!$P$12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inicial'!$V$36:$X$36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0.24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78627224"/>
        <c:axId val="2078633736"/>
      </c:barChart>
      <c:catAx>
        <c:axId val="2078627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8633736"/>
        <c:crosses val="autoZero"/>
        <c:auto val="1"/>
        <c:lblAlgn val="ctr"/>
        <c:lblOffset val="100"/>
        <c:noMultiLvlLbl val="0"/>
      </c:catAx>
      <c:valAx>
        <c:axId val="2078633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Emisión de PM(Escape) por vehículo (g/km)</a:t>
                </a:r>
              </a:p>
            </c:rich>
          </c:tx>
          <c:layout>
            <c:manualLayout>
              <c:xMode val="edge"/>
              <c:yMode val="edge"/>
              <c:x val="0.0333333333333333"/>
              <c:y val="0.1119444444444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8627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Comportamiento de la emisión de</a:t>
            </a:r>
            <a:r>
              <a:rPr lang="es-ES" b="1" baseline="0"/>
              <a:t> EC según COPERT 4 - autobuses</a:t>
            </a:r>
            <a:endParaRPr lang="es-E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'Caso modelo inicial'!$P$9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inicial'!$V$41:$X$41</c:f>
              <c:numCache>
                <c:formatCode>General</c:formatCode>
                <c:ptCount val="3"/>
                <c:pt idx="0">
                  <c:v>0.5</c:v>
                </c:pt>
                <c:pt idx="1">
                  <c:v>0.49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inicial'!$P$10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inicial'!$V$42:$X$42</c:f>
              <c:numCache>
                <c:formatCode>General</c:formatCode>
                <c:ptCount val="3"/>
                <c:pt idx="0">
                  <c:v>0.34</c:v>
                </c:pt>
                <c:pt idx="1">
                  <c:v>0.34</c:v>
                </c:pt>
                <c:pt idx="2">
                  <c:v>0.34</c:v>
                </c:pt>
              </c:numCache>
            </c:numRef>
          </c:val>
        </c:ser>
        <c:ser>
          <c:idx val="2"/>
          <c:order val="2"/>
          <c:tx>
            <c:strRef>
              <c:f>'Caso modelo inicial'!$P$11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inicial'!$V$43:$X$43</c:f>
              <c:numCache>
                <c:formatCode>General</c:formatCode>
                <c:ptCount val="3"/>
                <c:pt idx="0">
                  <c:v>0.0</c:v>
                </c:pt>
                <c:pt idx="1">
                  <c:v>0.17</c:v>
                </c:pt>
                <c:pt idx="2">
                  <c:v>0.17</c:v>
                </c:pt>
              </c:numCache>
            </c:numRef>
          </c:val>
        </c:ser>
        <c:ser>
          <c:idx val="3"/>
          <c:order val="3"/>
          <c:tx>
            <c:strRef>
              <c:f>'Caso modelo inicial'!$P$12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inicial'!$V$44:$X$44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0.17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78293432"/>
        <c:axId val="2078300008"/>
      </c:barChart>
      <c:catAx>
        <c:axId val="20782934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8300008"/>
        <c:crosses val="autoZero"/>
        <c:auto val="1"/>
        <c:lblAlgn val="ctr"/>
        <c:lblOffset val="100"/>
        <c:noMultiLvlLbl val="0"/>
      </c:catAx>
      <c:valAx>
        <c:axId val="2078300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Emisión de</a:t>
                </a:r>
                <a:r>
                  <a:rPr lang="es-ES" b="1" baseline="0"/>
                  <a:t> EC</a:t>
                </a:r>
                <a:r>
                  <a:rPr lang="es-ES" b="1"/>
                  <a:t> por vehículo (g/km)</a:t>
                </a:r>
              </a:p>
            </c:rich>
          </c:tx>
          <c:layout>
            <c:manualLayout>
              <c:xMode val="edge"/>
              <c:yMode val="edge"/>
              <c:x val="0.0333333333333333"/>
              <c:y val="0.1119444444444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8293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Comportamiento de la emisión de</a:t>
            </a:r>
            <a:r>
              <a:rPr lang="es-ES" b="1" baseline="0"/>
              <a:t> OM según COPERT 4 - autobuses</a:t>
            </a:r>
            <a:endParaRPr lang="es-E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'Caso modelo inicial'!$P$9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inicial'!$V$49:$X$49</c:f>
              <c:numCache>
                <c:formatCode>General</c:formatCode>
                <c:ptCount val="3"/>
                <c:pt idx="0">
                  <c:v>0.4</c:v>
                </c:pt>
                <c:pt idx="1">
                  <c:v>0.39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inicial'!$P$10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inicial'!$V$50:$X$50</c:f>
              <c:numCache>
                <c:formatCode>General</c:formatCode>
                <c:ptCount val="3"/>
                <c:pt idx="0">
                  <c:v>0.14</c:v>
                </c:pt>
                <c:pt idx="1">
                  <c:v>0.14</c:v>
                </c:pt>
                <c:pt idx="2">
                  <c:v>0.14</c:v>
                </c:pt>
              </c:numCache>
            </c:numRef>
          </c:val>
        </c:ser>
        <c:ser>
          <c:idx val="2"/>
          <c:order val="2"/>
          <c:tx>
            <c:strRef>
              <c:f>'Caso modelo inicial'!$P$11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inicial'!$V$51:$X$51</c:f>
              <c:numCache>
                <c:formatCode>General</c:formatCode>
                <c:ptCount val="3"/>
                <c:pt idx="0">
                  <c:v>0.0</c:v>
                </c:pt>
                <c:pt idx="1">
                  <c:v>0.07</c:v>
                </c:pt>
                <c:pt idx="2">
                  <c:v>0.07</c:v>
                </c:pt>
              </c:numCache>
            </c:numRef>
          </c:val>
        </c:ser>
        <c:ser>
          <c:idx val="3"/>
          <c:order val="3"/>
          <c:tx>
            <c:strRef>
              <c:f>'Caso modelo inicial'!$P$12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inicial'!$V$52:$X$52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0.05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79105944"/>
        <c:axId val="2079112456"/>
      </c:barChart>
      <c:catAx>
        <c:axId val="20791059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9112456"/>
        <c:crosses val="autoZero"/>
        <c:auto val="1"/>
        <c:lblAlgn val="ctr"/>
        <c:lblOffset val="100"/>
        <c:noMultiLvlLbl val="0"/>
      </c:catAx>
      <c:valAx>
        <c:axId val="207911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Emisión de</a:t>
                </a:r>
                <a:r>
                  <a:rPr lang="es-ES" b="1" baseline="0"/>
                  <a:t> OM</a:t>
                </a:r>
                <a:r>
                  <a:rPr lang="es-ES" b="1"/>
                  <a:t> por vehículo (g/km)</a:t>
                </a:r>
              </a:p>
            </c:rich>
          </c:tx>
          <c:layout>
            <c:manualLayout>
              <c:xMode val="edge"/>
              <c:yMode val="edge"/>
              <c:x val="0.0333333333333333"/>
              <c:y val="0.1119444444444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9105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800" b="1"/>
              <a:t>Comportamiento de</a:t>
            </a:r>
            <a:r>
              <a:rPr lang="es-ES" sz="1800" b="1" baseline="0"/>
              <a:t> la emisión de CO2 según COPERT 4 - autobuses</a:t>
            </a:r>
            <a:endParaRPr lang="es-ES" sz="1800" b="1"/>
          </a:p>
        </c:rich>
      </c:tx>
      <c:layout>
        <c:manualLayout>
          <c:xMode val="edge"/>
          <c:yMode val="edge"/>
          <c:x val="0.200034111338938"/>
          <c:y val="0.0229615124289664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7657403798452"/>
          <c:y val="0.0970356473782292"/>
          <c:w val="0.829009180525562"/>
          <c:h val="0.714438337080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'Caso modelo inicial'!$U$65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inicial'!$V$64:$X$64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inicial'!$V$65:$X$65</c:f>
              <c:numCache>
                <c:formatCode>0.000</c:formatCode>
                <c:ptCount val="3"/>
                <c:pt idx="0">
                  <c:v>1.454</c:v>
                </c:pt>
                <c:pt idx="1">
                  <c:v>1.454</c:v>
                </c:pt>
                <c:pt idx="2" formatCode="General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inicial'!$U$66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inicial'!$V$64:$X$64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inicial'!$V$66:$X$66</c:f>
              <c:numCache>
                <c:formatCode>0.000</c:formatCode>
                <c:ptCount val="3"/>
                <c:pt idx="0">
                  <c:v>1.243</c:v>
                </c:pt>
                <c:pt idx="1">
                  <c:v>1.24320659</c:v>
                </c:pt>
                <c:pt idx="2">
                  <c:v>1.24320659</c:v>
                </c:pt>
              </c:numCache>
            </c:numRef>
          </c:val>
        </c:ser>
        <c:ser>
          <c:idx val="2"/>
          <c:order val="2"/>
          <c:tx>
            <c:strRef>
              <c:f>'Caso modelo inicial'!$U$67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inicial'!$V$64:$X$64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inicial'!$V$67:$X$67</c:f>
              <c:numCache>
                <c:formatCode>0.000</c:formatCode>
                <c:ptCount val="3"/>
                <c:pt idx="0" formatCode="General">
                  <c:v>0.0</c:v>
                </c:pt>
                <c:pt idx="1">
                  <c:v>1.19662594</c:v>
                </c:pt>
                <c:pt idx="2">
                  <c:v>1.19662594</c:v>
                </c:pt>
              </c:numCache>
            </c:numRef>
          </c:val>
        </c:ser>
        <c:ser>
          <c:idx val="3"/>
          <c:order val="3"/>
          <c:tx>
            <c:strRef>
              <c:f>'Caso modelo inicial'!$U$68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inicial'!$V$64:$X$64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inicial'!$V$68:$X$68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 formatCode="0.000">
                  <c:v>1.24606163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97738184"/>
        <c:axId val="2079040520"/>
      </c:barChart>
      <c:catAx>
        <c:axId val="2097738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400" b="1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9040520"/>
        <c:crosses val="autoZero"/>
        <c:auto val="1"/>
        <c:lblAlgn val="ctr"/>
        <c:lblOffset val="100"/>
        <c:noMultiLvlLbl val="0"/>
      </c:catAx>
      <c:valAx>
        <c:axId val="2079040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400" b="1"/>
                  <a:t>Emisión</a:t>
                </a:r>
                <a:r>
                  <a:rPr lang="es-ES" sz="1400" b="1" baseline="0"/>
                  <a:t> de CO2 (g/km)</a:t>
                </a:r>
                <a:endParaRPr lang="es-ES" sz="1400" b="1"/>
              </a:p>
            </c:rich>
          </c:tx>
          <c:layout>
            <c:manualLayout>
              <c:xMode val="edge"/>
              <c:yMode val="edge"/>
              <c:x val="0.0306449996654382"/>
              <c:y val="0.23591170682109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7738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800" b="1"/>
              <a:t>Comportamiento de</a:t>
            </a:r>
            <a:r>
              <a:rPr lang="es-ES" sz="1800" b="1" baseline="0"/>
              <a:t> la emisión de CO2 según COPERT 4 - autobuses</a:t>
            </a:r>
            <a:endParaRPr lang="es-ES" sz="1800" b="1"/>
          </a:p>
        </c:rich>
      </c:tx>
      <c:layout>
        <c:manualLayout>
          <c:xMode val="edge"/>
          <c:yMode val="edge"/>
          <c:x val="0.200034111338938"/>
          <c:y val="0.0229615124289664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7657403798452"/>
          <c:y val="0.0970356473782292"/>
          <c:w val="0.829009180525562"/>
          <c:h val="0.714438337080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'Caso modelo inicial'!$U$65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inicial'!$V$64:$X$64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inicial'!$V$57:$X$57</c:f>
              <c:numCache>
                <c:formatCode>0.000</c:formatCode>
                <c:ptCount val="3"/>
                <c:pt idx="0">
                  <c:v>55.1820359281437</c:v>
                </c:pt>
                <c:pt idx="1">
                  <c:v>55.1820359281437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inicial'!$U$66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inicial'!$V$64:$X$64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inicial'!$V$58:$X$58</c:f>
              <c:numCache>
                <c:formatCode>0.000</c:formatCode>
                <c:ptCount val="3"/>
                <c:pt idx="0">
                  <c:v>47.16766467065869</c:v>
                </c:pt>
                <c:pt idx="1">
                  <c:v>47.16766467065869</c:v>
                </c:pt>
                <c:pt idx="2">
                  <c:v>47.16766467065869</c:v>
                </c:pt>
              </c:numCache>
            </c:numRef>
          </c:val>
        </c:ser>
        <c:ser>
          <c:idx val="2"/>
          <c:order val="2"/>
          <c:tx>
            <c:strRef>
              <c:f>'Caso modelo inicial'!$U$67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inicial'!$V$64:$X$64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inicial'!$V$59:$X$59</c:f>
              <c:numCache>
                <c:formatCode>0.000</c:formatCode>
                <c:ptCount val="3"/>
                <c:pt idx="0">
                  <c:v>0.0</c:v>
                </c:pt>
                <c:pt idx="1">
                  <c:v>45.42035928143712</c:v>
                </c:pt>
                <c:pt idx="2">
                  <c:v>45.42035928143712</c:v>
                </c:pt>
              </c:numCache>
            </c:numRef>
          </c:val>
        </c:ser>
        <c:ser>
          <c:idx val="3"/>
          <c:order val="3"/>
          <c:tx>
            <c:strRef>
              <c:f>'Caso modelo inicial'!$U$68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inicial'!$V$64:$X$64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inicial'!$V$60:$X$60</c:f>
              <c:numCache>
                <c:formatCode>0.000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47.32215568862275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79296120"/>
        <c:axId val="2079302632"/>
      </c:barChart>
      <c:catAx>
        <c:axId val="2079296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400" b="1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9302632"/>
        <c:crosses val="autoZero"/>
        <c:auto val="1"/>
        <c:lblAlgn val="ctr"/>
        <c:lblOffset val="100"/>
        <c:noMultiLvlLbl val="0"/>
      </c:catAx>
      <c:valAx>
        <c:axId val="207930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400" b="1"/>
                  <a:t>Consumo de combustible </a:t>
                </a:r>
                <a:r>
                  <a:rPr lang="es-ES" sz="1400" b="1" baseline="0"/>
                  <a:t>(lts/100km)</a:t>
                </a:r>
                <a:endParaRPr lang="es-ES" sz="1400" b="1"/>
              </a:p>
            </c:rich>
          </c:tx>
          <c:layout>
            <c:manualLayout>
              <c:xMode val="edge"/>
              <c:yMode val="edge"/>
              <c:x val="0.0306449996654382"/>
              <c:y val="0.23591170682109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9296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Comportamiento de la emisión de</a:t>
            </a:r>
            <a:r>
              <a:rPr lang="es-ES" b="1" baseline="0"/>
              <a:t> SO2 según COPERT 4 - autobuses</a:t>
            </a:r>
            <a:endParaRPr lang="es-E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'Caso modelo inicial'!$P$9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inicial'!$T$74:$V$74</c:f>
              <c:numCache>
                <c:formatCode>General</c:formatCode>
                <c:ptCount val="3"/>
                <c:pt idx="0">
                  <c:v>0.41</c:v>
                </c:pt>
                <c:pt idx="1">
                  <c:v>0.41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inicial'!$P$10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inicial'!$T$75:$V$75</c:f>
              <c:numCache>
                <c:formatCode>General</c:formatCode>
                <c:ptCount val="3"/>
                <c:pt idx="0">
                  <c:v>0.35</c:v>
                </c:pt>
                <c:pt idx="1">
                  <c:v>0.35</c:v>
                </c:pt>
                <c:pt idx="2">
                  <c:v>0.36</c:v>
                </c:pt>
              </c:numCache>
            </c:numRef>
          </c:val>
        </c:ser>
        <c:ser>
          <c:idx val="2"/>
          <c:order val="2"/>
          <c:tx>
            <c:strRef>
              <c:f>'Caso modelo inicial'!$P$11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inicial'!$T$76:$V$76</c:f>
              <c:numCache>
                <c:formatCode>General</c:formatCode>
                <c:ptCount val="3"/>
                <c:pt idx="0">
                  <c:v>0.0</c:v>
                </c:pt>
                <c:pt idx="1">
                  <c:v>0.34</c:v>
                </c:pt>
                <c:pt idx="2">
                  <c:v>0.35</c:v>
                </c:pt>
              </c:numCache>
            </c:numRef>
          </c:val>
        </c:ser>
        <c:ser>
          <c:idx val="3"/>
          <c:order val="3"/>
          <c:tx>
            <c:strRef>
              <c:f>'Caso modelo inicial'!$P$12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inicial'!$T$77:$V$77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0.37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79168488"/>
        <c:axId val="2079175000"/>
      </c:barChart>
      <c:catAx>
        <c:axId val="20791684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9175000"/>
        <c:crosses val="autoZero"/>
        <c:auto val="1"/>
        <c:lblAlgn val="ctr"/>
        <c:lblOffset val="100"/>
        <c:noMultiLvlLbl val="0"/>
      </c:catAx>
      <c:valAx>
        <c:axId val="2079175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Emisión de</a:t>
                </a:r>
                <a:r>
                  <a:rPr lang="es-ES" b="1" baseline="0"/>
                  <a:t> SO2</a:t>
                </a:r>
                <a:r>
                  <a:rPr lang="es-ES" b="1"/>
                  <a:t> por vehículo (g/km)</a:t>
                </a:r>
              </a:p>
            </c:rich>
          </c:tx>
          <c:layout>
            <c:manualLayout>
              <c:xMode val="edge"/>
              <c:yMode val="edge"/>
              <c:x val="0.0333333333333333"/>
              <c:y val="0.1119444444444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9168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Comportamiento de la emisión de</a:t>
            </a:r>
            <a:r>
              <a:rPr lang="es-ES" b="1" baseline="0"/>
              <a:t> Pb según COPERT 4 - autobuses</a:t>
            </a:r>
            <a:endParaRPr lang="es-E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'Caso modelo inicial'!$Z$9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inicial'!$AA$9:$AC$9</c:f>
              <c:numCache>
                <c:formatCode>General</c:formatCode>
                <c:ptCount val="3"/>
                <c:pt idx="0">
                  <c:v>0.19</c:v>
                </c:pt>
                <c:pt idx="1">
                  <c:v>0.19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inicial'!$P$10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inicial'!$AA$10:$AC$10</c:f>
              <c:numCache>
                <c:formatCode>General</c:formatCode>
                <c:ptCount val="3"/>
                <c:pt idx="0">
                  <c:v>0.19</c:v>
                </c:pt>
                <c:pt idx="1">
                  <c:v>0.19</c:v>
                </c:pt>
                <c:pt idx="2">
                  <c:v>0.19</c:v>
                </c:pt>
              </c:numCache>
            </c:numRef>
          </c:val>
        </c:ser>
        <c:ser>
          <c:idx val="2"/>
          <c:order val="2"/>
          <c:tx>
            <c:strRef>
              <c:f>'Caso modelo inicial'!$P$11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inicial'!$AA$11:$AC$11</c:f>
              <c:numCache>
                <c:formatCode>General</c:formatCode>
                <c:ptCount val="3"/>
                <c:pt idx="0">
                  <c:v>0.0</c:v>
                </c:pt>
                <c:pt idx="1">
                  <c:v>0.19</c:v>
                </c:pt>
                <c:pt idx="2">
                  <c:v>0.19</c:v>
                </c:pt>
              </c:numCache>
            </c:numRef>
          </c:val>
        </c:ser>
        <c:ser>
          <c:idx val="3"/>
          <c:order val="3"/>
          <c:tx>
            <c:strRef>
              <c:f>'Caso modelo inicial'!$P$12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inicial'!$AA$12:$AC$12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0.19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78907416"/>
        <c:axId val="2078720120"/>
      </c:barChart>
      <c:catAx>
        <c:axId val="2078907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8720120"/>
        <c:crosses val="autoZero"/>
        <c:auto val="1"/>
        <c:lblAlgn val="ctr"/>
        <c:lblOffset val="100"/>
        <c:noMultiLvlLbl val="0"/>
      </c:catAx>
      <c:valAx>
        <c:axId val="2078720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Emisión de</a:t>
                </a:r>
                <a:r>
                  <a:rPr lang="es-ES" b="1" baseline="0"/>
                  <a:t> Pb</a:t>
                </a:r>
                <a:r>
                  <a:rPr lang="es-ES" b="1"/>
                  <a:t> por vehículo (mg/km)</a:t>
                </a:r>
              </a:p>
            </c:rich>
          </c:tx>
          <c:layout>
            <c:manualLayout>
              <c:xMode val="edge"/>
              <c:yMode val="edge"/>
              <c:x val="0.0333333333333333"/>
              <c:y val="0.1119444444444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8907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Comportamiento de la emisión de</a:t>
            </a:r>
            <a:r>
              <a:rPr lang="es-ES" b="1" baseline="0"/>
              <a:t> Cobre según COPERT 4 - autobuses</a:t>
            </a:r>
            <a:endParaRPr lang="es-E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'Caso modelo inicial'!$Z$9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inicial'!$AA$25:$AC$25</c:f>
              <c:numCache>
                <c:formatCode>General</c:formatCode>
                <c:ptCount val="3"/>
                <c:pt idx="0">
                  <c:v>1.41</c:v>
                </c:pt>
                <c:pt idx="1">
                  <c:v>1.41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inicial'!$P$10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inicial'!$AA$26:$AC$26</c:f>
              <c:numCache>
                <c:formatCode>General</c:formatCode>
                <c:ptCount val="3"/>
                <c:pt idx="0">
                  <c:v>1.41</c:v>
                </c:pt>
                <c:pt idx="1">
                  <c:v>1.41</c:v>
                </c:pt>
                <c:pt idx="2">
                  <c:v>1.41</c:v>
                </c:pt>
              </c:numCache>
            </c:numRef>
          </c:val>
        </c:ser>
        <c:ser>
          <c:idx val="2"/>
          <c:order val="2"/>
          <c:tx>
            <c:strRef>
              <c:f>'Caso modelo inicial'!$P$11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inicial'!$AA$27:$AC$27</c:f>
              <c:numCache>
                <c:formatCode>General</c:formatCode>
                <c:ptCount val="3"/>
                <c:pt idx="0">
                  <c:v>0.0</c:v>
                </c:pt>
                <c:pt idx="1">
                  <c:v>1.41</c:v>
                </c:pt>
                <c:pt idx="2">
                  <c:v>1.41</c:v>
                </c:pt>
              </c:numCache>
            </c:numRef>
          </c:val>
        </c:ser>
        <c:ser>
          <c:idx val="3"/>
          <c:order val="3"/>
          <c:tx>
            <c:strRef>
              <c:f>'Caso modelo inicial'!$P$12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inicial'!$AA$28:$AC$28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1.41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80784216"/>
        <c:axId val="2080790728"/>
      </c:barChart>
      <c:catAx>
        <c:axId val="2080784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0790728"/>
        <c:crosses val="autoZero"/>
        <c:auto val="1"/>
        <c:lblAlgn val="ctr"/>
        <c:lblOffset val="100"/>
        <c:noMultiLvlLbl val="0"/>
      </c:catAx>
      <c:valAx>
        <c:axId val="2080790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Emisión de</a:t>
                </a:r>
                <a:r>
                  <a:rPr lang="es-ES" b="1" baseline="0"/>
                  <a:t> Cobre</a:t>
                </a:r>
                <a:r>
                  <a:rPr lang="es-ES" b="1"/>
                  <a:t> por vehículo (mg/km)</a:t>
                </a:r>
              </a:p>
            </c:rich>
          </c:tx>
          <c:layout>
            <c:manualLayout>
              <c:xMode val="edge"/>
              <c:yMode val="edge"/>
              <c:x val="0.0333333333333333"/>
              <c:y val="0.1119444444444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0784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Comportamiento de la emisión de</a:t>
            </a:r>
            <a:r>
              <a:rPr lang="es-ES" b="1" baseline="0"/>
              <a:t> Niquel según COPERT 4 - autobuses</a:t>
            </a:r>
            <a:endParaRPr lang="es-E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'Caso modelo inicial'!$Z$9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inicial'!$AA$33:$AC$33</c:f>
              <c:numCache>
                <c:formatCode>General</c:formatCode>
                <c:ptCount val="3"/>
                <c:pt idx="0">
                  <c:v>0.01</c:v>
                </c:pt>
                <c:pt idx="1">
                  <c:v>0.01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inicial'!$P$10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inicial'!$AA$34:$AC$34</c:f>
              <c:numCache>
                <c:formatCode>General</c:formatCode>
                <c:ptCount val="3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'Caso modelo inicial'!$P$11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inicial'!$AA$35:$AC$35</c:f>
              <c:numCache>
                <c:formatCode>General</c:formatCode>
                <c:ptCount val="3"/>
                <c:pt idx="0">
                  <c:v>0.0</c:v>
                </c:pt>
                <c:pt idx="1">
                  <c:v>0.01</c:v>
                </c:pt>
                <c:pt idx="2">
                  <c:v>0.01</c:v>
                </c:pt>
              </c:numCache>
            </c:numRef>
          </c:val>
        </c:ser>
        <c:ser>
          <c:idx val="3"/>
          <c:order val="3"/>
          <c:tx>
            <c:strRef>
              <c:f>'Caso modelo inicial'!$P$12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inicial'!$AA$36:$AC$36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0.01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80521768"/>
        <c:axId val="2080556760"/>
      </c:barChart>
      <c:catAx>
        <c:axId val="2080521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0556760"/>
        <c:crosses val="autoZero"/>
        <c:auto val="1"/>
        <c:lblAlgn val="ctr"/>
        <c:lblOffset val="100"/>
        <c:noMultiLvlLbl val="0"/>
      </c:catAx>
      <c:valAx>
        <c:axId val="2080556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Emisión de</a:t>
                </a:r>
                <a:r>
                  <a:rPr lang="es-ES" b="1" baseline="0"/>
                  <a:t> Niquel</a:t>
                </a:r>
                <a:r>
                  <a:rPr lang="es-ES" b="1"/>
                  <a:t> por vehículo (mg/km)</a:t>
                </a:r>
              </a:p>
            </c:rich>
          </c:tx>
          <c:layout>
            <c:manualLayout>
              <c:xMode val="edge"/>
              <c:yMode val="edge"/>
              <c:x val="0.0333333333333333"/>
              <c:y val="0.1119444444444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0521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Comportamiento de la emisión de VOC</a:t>
            </a:r>
            <a:r>
              <a:rPr lang="es-ES" b="1" baseline="0"/>
              <a:t> según COPERT 4 - autobuses</a:t>
            </a:r>
            <a:endParaRPr lang="es-ES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'Caso modelo inicial'!$P$9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inicial'!$Q$17:$S$17</c:f>
              <c:numCache>
                <c:formatCode>General</c:formatCode>
                <c:ptCount val="3"/>
                <c:pt idx="0">
                  <c:v>2.38</c:v>
                </c:pt>
                <c:pt idx="1">
                  <c:v>2.47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inicial'!$P$10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inicial'!$Q$18:$S$18</c:f>
              <c:numCache>
                <c:formatCode>General</c:formatCode>
                <c:ptCount val="3"/>
                <c:pt idx="0">
                  <c:v>0.95</c:v>
                </c:pt>
                <c:pt idx="1">
                  <c:v>0.99</c:v>
                </c:pt>
                <c:pt idx="2">
                  <c:v>1.12</c:v>
                </c:pt>
              </c:numCache>
            </c:numRef>
          </c:val>
        </c:ser>
        <c:ser>
          <c:idx val="2"/>
          <c:order val="2"/>
          <c:tx>
            <c:strRef>
              <c:f>'Caso modelo inicial'!$P$11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inicial'!$Q$19:$S$19</c:f>
              <c:numCache>
                <c:formatCode>General</c:formatCode>
                <c:ptCount val="3"/>
                <c:pt idx="0">
                  <c:v>0.0</c:v>
                </c:pt>
                <c:pt idx="1">
                  <c:v>0.67</c:v>
                </c:pt>
                <c:pt idx="2">
                  <c:v>0.75</c:v>
                </c:pt>
              </c:numCache>
            </c:numRef>
          </c:val>
        </c:ser>
        <c:ser>
          <c:idx val="3"/>
          <c:order val="3"/>
          <c:tx>
            <c:strRef>
              <c:f>'Caso modelo inicial'!$P$12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inicial'!$Q$20:$S$20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0.67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79455256"/>
        <c:axId val="2073172024"/>
      </c:barChart>
      <c:catAx>
        <c:axId val="2079455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Año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3172024"/>
        <c:crosses val="autoZero"/>
        <c:auto val="1"/>
        <c:lblAlgn val="ctr"/>
        <c:lblOffset val="100"/>
        <c:noMultiLvlLbl val="0"/>
      </c:catAx>
      <c:valAx>
        <c:axId val="2073172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Emisión de VOC por vehículo (g/km)</a:t>
                </a:r>
              </a:p>
            </c:rich>
          </c:tx>
          <c:layout>
            <c:manualLayout>
              <c:xMode val="edge"/>
              <c:yMode val="edge"/>
              <c:x val="0.0333333333333333"/>
              <c:y val="0.1119444444444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9455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Comportamiento de la emisión de</a:t>
            </a:r>
            <a:r>
              <a:rPr lang="es-ES" b="1" baseline="0"/>
              <a:t> Zinc según COPERT 4 - autobuses</a:t>
            </a:r>
            <a:endParaRPr lang="es-E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'Caso modelo inicial'!$Z$9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inicial'!$AA$49:$AC$49</c:f>
              <c:numCache>
                <c:formatCode>General</c:formatCode>
                <c:ptCount val="3"/>
                <c:pt idx="0">
                  <c:v>1.17</c:v>
                </c:pt>
                <c:pt idx="1">
                  <c:v>1.17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inicial'!$P$10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inicial'!$AA$50:$AC$50</c:f>
              <c:numCache>
                <c:formatCode>General</c:formatCode>
                <c:ptCount val="3"/>
                <c:pt idx="0">
                  <c:v>1.05</c:v>
                </c:pt>
                <c:pt idx="1">
                  <c:v>1.05</c:v>
                </c:pt>
                <c:pt idx="2">
                  <c:v>1.05</c:v>
                </c:pt>
              </c:numCache>
            </c:numRef>
          </c:val>
        </c:ser>
        <c:ser>
          <c:idx val="2"/>
          <c:order val="2"/>
          <c:tx>
            <c:strRef>
              <c:f>'Caso modelo inicial'!$P$11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inicial'!$AA$51:$AC$51</c:f>
              <c:numCache>
                <c:formatCode>General</c:formatCode>
                <c:ptCount val="3"/>
                <c:pt idx="0">
                  <c:v>0.0</c:v>
                </c:pt>
                <c:pt idx="1">
                  <c:v>1.03</c:v>
                </c:pt>
                <c:pt idx="2">
                  <c:v>1.03</c:v>
                </c:pt>
              </c:numCache>
            </c:numRef>
          </c:val>
        </c:ser>
        <c:ser>
          <c:idx val="3"/>
          <c:order val="3"/>
          <c:tx>
            <c:strRef>
              <c:f>'Caso modelo inicial'!$P$12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inicial'!$AA$52:$AC$52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1.05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80865432"/>
        <c:axId val="2080871944"/>
      </c:barChart>
      <c:catAx>
        <c:axId val="20808654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0871944"/>
        <c:crosses val="autoZero"/>
        <c:auto val="1"/>
        <c:lblAlgn val="ctr"/>
        <c:lblOffset val="100"/>
        <c:noMultiLvlLbl val="0"/>
      </c:catAx>
      <c:valAx>
        <c:axId val="2080871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Emisión de</a:t>
                </a:r>
                <a:r>
                  <a:rPr lang="es-ES" b="1" baseline="0"/>
                  <a:t> Zinc</a:t>
                </a:r>
                <a:r>
                  <a:rPr lang="es-ES" b="1"/>
                  <a:t> por vehículo (mg/km)</a:t>
                </a:r>
              </a:p>
            </c:rich>
          </c:tx>
          <c:layout>
            <c:manualLayout>
              <c:xMode val="edge"/>
              <c:yMode val="edge"/>
              <c:x val="0.0333333333333333"/>
              <c:y val="0.1119444444444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0865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FC y CO2 por influencia de la pendiente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'Caso influencia pendiente'!$EO$7</c:f>
              <c:strCache>
                <c:ptCount val="1"/>
                <c:pt idx="0">
                  <c:v>FC - 2000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'Caso influencia pendiente'!$EP$6:$EV$6</c:f>
              <c:strCache>
                <c:ptCount val="7"/>
                <c:pt idx="0">
                  <c:v>"-6º"</c:v>
                </c:pt>
                <c:pt idx="1">
                  <c:v>"-4º"</c:v>
                </c:pt>
                <c:pt idx="2">
                  <c:v>"-2º"</c:v>
                </c:pt>
                <c:pt idx="3">
                  <c:v>"0º"</c:v>
                </c:pt>
                <c:pt idx="4">
                  <c:v>"2º"</c:v>
                </c:pt>
                <c:pt idx="5">
                  <c:v>"4º"</c:v>
                </c:pt>
                <c:pt idx="6">
                  <c:v>"6º"</c:v>
                </c:pt>
              </c:strCache>
            </c:strRef>
          </c:cat>
          <c:val>
            <c:numRef>
              <c:f>'Caso influencia pendiente'!$EP$7:$EV$7</c:f>
              <c:numCache>
                <c:formatCode>0.00</c:formatCode>
                <c:ptCount val="7"/>
                <c:pt idx="0">
                  <c:v>18.07784431137724</c:v>
                </c:pt>
                <c:pt idx="1">
                  <c:v>24.43832335329341</c:v>
                </c:pt>
                <c:pt idx="2">
                  <c:v>35.45329341317365</c:v>
                </c:pt>
                <c:pt idx="3">
                  <c:v>51.1748502994012</c:v>
                </c:pt>
                <c:pt idx="4">
                  <c:v>69.57724550898203</c:v>
                </c:pt>
                <c:pt idx="5">
                  <c:v>91.12934131736526</c:v>
                </c:pt>
                <c:pt idx="6">
                  <c:v>113.8880239520958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'Caso influencia pendiente'!$EO$8</c:f>
              <c:strCache>
                <c:ptCount val="1"/>
                <c:pt idx="0">
                  <c:v>FC - 2007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'Caso influencia pendiente'!$EP$6:$EV$6</c:f>
              <c:strCache>
                <c:ptCount val="7"/>
                <c:pt idx="0">
                  <c:v>"-6º"</c:v>
                </c:pt>
                <c:pt idx="1">
                  <c:v>"-4º"</c:v>
                </c:pt>
                <c:pt idx="2">
                  <c:v>"-2º"</c:v>
                </c:pt>
                <c:pt idx="3">
                  <c:v>"0º"</c:v>
                </c:pt>
                <c:pt idx="4">
                  <c:v>"2º"</c:v>
                </c:pt>
                <c:pt idx="5">
                  <c:v>"4º"</c:v>
                </c:pt>
                <c:pt idx="6">
                  <c:v>"6º"</c:v>
                </c:pt>
              </c:strCache>
            </c:strRef>
          </c:cat>
          <c:val>
            <c:numRef>
              <c:f>'Caso influencia pendiente'!$EP$8:$EV$8</c:f>
              <c:numCache>
                <c:formatCode>0.00</c:formatCode>
                <c:ptCount val="7"/>
                <c:pt idx="0">
                  <c:v>17.09780439121756</c:v>
                </c:pt>
                <c:pt idx="1">
                  <c:v>23.25788423153692</c:v>
                </c:pt>
                <c:pt idx="2">
                  <c:v>33.87105788423154</c:v>
                </c:pt>
                <c:pt idx="3">
                  <c:v>49.25668662674651</c:v>
                </c:pt>
                <c:pt idx="4">
                  <c:v>67.86467065868264</c:v>
                </c:pt>
                <c:pt idx="5">
                  <c:v>89.22674650698603</c:v>
                </c:pt>
                <c:pt idx="6">
                  <c:v>112.1077844311377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'Caso influencia pendiente'!$EO$9</c:f>
              <c:strCache>
                <c:ptCount val="1"/>
                <c:pt idx="0">
                  <c:v>FC - 2015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'Caso influencia pendiente'!$EP$6:$EV$6</c:f>
              <c:strCache>
                <c:ptCount val="7"/>
                <c:pt idx="0">
                  <c:v>"-6º"</c:v>
                </c:pt>
                <c:pt idx="1">
                  <c:v>"-4º"</c:v>
                </c:pt>
                <c:pt idx="2">
                  <c:v>"-2º"</c:v>
                </c:pt>
                <c:pt idx="3">
                  <c:v>"0º"</c:v>
                </c:pt>
                <c:pt idx="4">
                  <c:v>"2º"</c:v>
                </c:pt>
                <c:pt idx="5">
                  <c:v>"4º"</c:v>
                </c:pt>
                <c:pt idx="6">
                  <c:v>"6º"</c:v>
                </c:pt>
              </c:strCache>
            </c:strRef>
          </c:cat>
          <c:val>
            <c:numRef>
              <c:f>'Caso influencia pendiente'!$EP$9:$EV$9</c:f>
              <c:numCache>
                <c:formatCode>0.00</c:formatCode>
                <c:ptCount val="7"/>
                <c:pt idx="0">
                  <c:v>16.16087824351297</c:v>
                </c:pt>
                <c:pt idx="1">
                  <c:v>21.96966067864271</c:v>
                </c:pt>
                <c:pt idx="2">
                  <c:v>31.96087824351297</c:v>
                </c:pt>
                <c:pt idx="3">
                  <c:v>46.63672654690618</c:v>
                </c:pt>
                <c:pt idx="4">
                  <c:v>65.51417165668664</c:v>
                </c:pt>
                <c:pt idx="5">
                  <c:v>86.62315369261478</c:v>
                </c:pt>
                <c:pt idx="6">
                  <c:v>109.2678642714571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700616"/>
        <c:axId val="2080847144"/>
      </c:lineChart>
      <c:lineChart>
        <c:grouping val="standard"/>
        <c:varyColors val="0"/>
        <c:ser>
          <c:idx val="3"/>
          <c:order val="3"/>
          <c:tx>
            <c:v>CO2 - 2000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('Caso influencia pendiente'!$DS$22,'Caso influencia pendiente'!$DV$22,'Caso influencia pendiente'!$DY$22,'Caso influencia pendiente'!$EB$22,'Caso influencia pendiente'!$EE$22,'Caso influencia pendiente'!$EH$22,'Caso influencia pendiente'!$EK$22)</c:f>
              <c:numCache>
                <c:formatCode>0.000</c:formatCode>
                <c:ptCount val="7"/>
                <c:pt idx="0">
                  <c:v>0.478</c:v>
                </c:pt>
                <c:pt idx="1">
                  <c:v>0.6455</c:v>
                </c:pt>
                <c:pt idx="2">
                  <c:v>0.935</c:v>
                </c:pt>
                <c:pt idx="3">
                  <c:v>1.3485</c:v>
                </c:pt>
                <c:pt idx="4">
                  <c:v>1.8335</c:v>
                </c:pt>
                <c:pt idx="5">
                  <c:v>2.4</c:v>
                </c:pt>
                <c:pt idx="6">
                  <c:v>2.999</c:v>
                </c:pt>
              </c:numCache>
            </c:numRef>
          </c:val>
          <c:smooth val="0"/>
        </c:ser>
        <c:ser>
          <c:idx val="4"/>
          <c:order val="4"/>
          <c:tx>
            <c:v>CO2 - 2007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('Caso influencia pendiente'!$DT$22,'Caso influencia pendiente'!$DW$22,'Caso influencia pendiente'!$DZ$22,'Caso influencia pendiente'!$EC$22,'Caso influencia pendiente'!$EF$22,'Caso influencia pendiente'!$EI$22,'Caso influencia pendiente'!$EL$22)</c:f>
              <c:numCache>
                <c:formatCode>0.000</c:formatCode>
                <c:ptCount val="7"/>
                <c:pt idx="0">
                  <c:v>0.452</c:v>
                </c:pt>
                <c:pt idx="1">
                  <c:v>0.614</c:v>
                </c:pt>
                <c:pt idx="2">
                  <c:v>0.893</c:v>
                </c:pt>
                <c:pt idx="3">
                  <c:v>1.297944176666667</c:v>
                </c:pt>
                <c:pt idx="4">
                  <c:v>1.788</c:v>
                </c:pt>
                <c:pt idx="5">
                  <c:v>2.349666666666666</c:v>
                </c:pt>
                <c:pt idx="6">
                  <c:v>2.952</c:v>
                </c:pt>
              </c:numCache>
            </c:numRef>
          </c:val>
          <c:smooth val="0"/>
        </c:ser>
        <c:ser>
          <c:idx val="5"/>
          <c:order val="5"/>
          <c:tx>
            <c:v>CO2 - 2015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('Caso influencia pendiente'!$DU$22,'Caso influencia pendiente'!$DX$22,'Caso influencia pendiente'!$EA$22,'Caso influencia pendiente'!$ED$22,'Caso influencia pendiente'!$EG$22,'Caso influencia pendiente'!$EJ$22,'Caso influencia pendiente'!$EM$22)</c:f>
              <c:numCache>
                <c:formatCode>0.000</c:formatCode>
                <c:ptCount val="7"/>
                <c:pt idx="0">
                  <c:v>0.426666666666667</c:v>
                </c:pt>
                <c:pt idx="1">
                  <c:v>0.579666666666667</c:v>
                </c:pt>
                <c:pt idx="2">
                  <c:v>0.842333333333333</c:v>
                </c:pt>
                <c:pt idx="3">
                  <c:v>1.228631386666666</c:v>
                </c:pt>
                <c:pt idx="4">
                  <c:v>1.725333333333333</c:v>
                </c:pt>
                <c:pt idx="5">
                  <c:v>2.280666666666667</c:v>
                </c:pt>
                <c:pt idx="6">
                  <c:v>2.876666666666667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694088"/>
        <c:axId val="2080716136"/>
      </c:lineChart>
      <c:catAx>
        <c:axId val="2080700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Ángulo de pendiente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0847144"/>
        <c:crosses val="autoZero"/>
        <c:auto val="1"/>
        <c:lblAlgn val="ctr"/>
        <c:lblOffset val="100"/>
        <c:noMultiLvlLbl val="0"/>
      </c:catAx>
      <c:valAx>
        <c:axId val="2080847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Consumo promedio de combustible (l/100km)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0700616"/>
        <c:crosses val="autoZero"/>
        <c:crossBetween val="between"/>
      </c:valAx>
      <c:valAx>
        <c:axId val="2080716136"/>
        <c:scaling>
          <c:orientation val="minMax"/>
          <c:max val="4.0"/>
          <c:min val="0.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Emisión de CO2 por vehículo</a:t>
                </a:r>
                <a:r>
                  <a:rPr lang="es-ES" baseline="0"/>
                  <a:t> (kg/km)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8694088"/>
        <c:crosses val="max"/>
        <c:crossBetween val="between"/>
      </c:valAx>
      <c:catAx>
        <c:axId val="2098694088"/>
        <c:scaling>
          <c:orientation val="minMax"/>
        </c:scaling>
        <c:delete val="1"/>
        <c:axPos val="b"/>
        <c:majorTickMark val="out"/>
        <c:minorTickMark val="none"/>
        <c:tickLblPos val="nextTo"/>
        <c:crossAx val="20807161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SO2 por influencia de la pendiente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6"/>
          <c:order val="0"/>
          <c:tx>
            <c:v>SO2 - 2000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pendiente'!$DS$23,'Caso influencia pendiente'!$DV$23,'Caso influencia pendiente'!$DY$23,'Caso influencia pendiente'!$EB$23,'Caso influencia pendiente'!$EE$23,'Caso influencia pendiente'!$EH$23,'Caso influencia pendiente'!$EK$23)</c:f>
              <c:numCache>
                <c:formatCode>0.000</c:formatCode>
                <c:ptCount val="7"/>
                <c:pt idx="0">
                  <c:v>0.135</c:v>
                </c:pt>
                <c:pt idx="1">
                  <c:v>0.185</c:v>
                </c:pt>
                <c:pt idx="2">
                  <c:v>0.265</c:v>
                </c:pt>
                <c:pt idx="3">
                  <c:v>0.38</c:v>
                </c:pt>
                <c:pt idx="4">
                  <c:v>0.52</c:v>
                </c:pt>
                <c:pt idx="5">
                  <c:v>0.685</c:v>
                </c:pt>
                <c:pt idx="6">
                  <c:v>0.855</c:v>
                </c:pt>
              </c:numCache>
            </c:numRef>
          </c:val>
          <c:smooth val="0"/>
        </c:ser>
        <c:ser>
          <c:idx val="7"/>
          <c:order val="1"/>
          <c:tx>
            <c:v>SO2 - 2007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pendiente'!$DT$23,'Caso influencia pendiente'!$DW$23,'Caso influencia pendiente'!$DZ$23,'Caso influencia pendiente'!$EC$23,'Caso influencia pendiente'!$EF$23,'Caso influencia pendiente'!$EI$23,'Caso influencia pendiente'!$EL$23)</c:f>
              <c:numCache>
                <c:formatCode>0.000</c:formatCode>
                <c:ptCount val="7"/>
                <c:pt idx="0">
                  <c:v>0.126666666666667</c:v>
                </c:pt>
                <c:pt idx="1">
                  <c:v>0.176666666666667</c:v>
                </c:pt>
                <c:pt idx="2">
                  <c:v>0.253333333333333</c:v>
                </c:pt>
                <c:pt idx="3">
                  <c:v>0.366666666666667</c:v>
                </c:pt>
                <c:pt idx="4">
                  <c:v>0.506666666666667</c:v>
                </c:pt>
                <c:pt idx="5">
                  <c:v>0.67</c:v>
                </c:pt>
                <c:pt idx="6">
                  <c:v>0.843333333333333</c:v>
                </c:pt>
              </c:numCache>
            </c:numRef>
          </c:val>
          <c:smooth val="0"/>
        </c:ser>
        <c:ser>
          <c:idx val="8"/>
          <c:order val="2"/>
          <c:tx>
            <c:v>SO2 - 2015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pendiente'!$DU$23,'Caso influencia pendiente'!$DX$23,'Caso influencia pendiente'!$EA$23,'Caso influencia pendiente'!$ED$23,'Caso influencia pendiente'!$EG$23,'Caso influencia pendiente'!$EJ$23,'Caso influencia pendiente'!$EM$23)</c:f>
              <c:numCache>
                <c:formatCode>0.000</c:formatCode>
                <c:ptCount val="7"/>
                <c:pt idx="0">
                  <c:v>0.123333333333333</c:v>
                </c:pt>
                <c:pt idx="1">
                  <c:v>0.17</c:v>
                </c:pt>
                <c:pt idx="2">
                  <c:v>0.246666666666667</c:v>
                </c:pt>
                <c:pt idx="3">
                  <c:v>0.36</c:v>
                </c:pt>
                <c:pt idx="4">
                  <c:v>0.503333333333333</c:v>
                </c:pt>
                <c:pt idx="5">
                  <c:v>0.666666666666667</c:v>
                </c:pt>
                <c:pt idx="6">
                  <c:v>0.843333333333333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0948632"/>
        <c:axId val="2080956504"/>
      </c:lineChart>
      <c:catAx>
        <c:axId val="2080948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Ángulo de pendiente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0956504"/>
        <c:crosses val="autoZero"/>
        <c:auto val="1"/>
        <c:lblAlgn val="ctr"/>
        <c:lblOffset val="100"/>
        <c:noMultiLvlLbl val="0"/>
      </c:catAx>
      <c:valAx>
        <c:axId val="2080956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0948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CO, VOC, NMVOC y CH4 por influencia de la pendiente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 - 2000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'Caso influencia pendiente'!$EP$6:$EV$6</c:f>
              <c:strCache>
                <c:ptCount val="7"/>
                <c:pt idx="0">
                  <c:v>"-6º"</c:v>
                </c:pt>
                <c:pt idx="1">
                  <c:v>"-4º"</c:v>
                </c:pt>
                <c:pt idx="2">
                  <c:v>"-2º"</c:v>
                </c:pt>
                <c:pt idx="3">
                  <c:v>"0º"</c:v>
                </c:pt>
                <c:pt idx="4">
                  <c:v>"2º"</c:v>
                </c:pt>
                <c:pt idx="5">
                  <c:v>"4º"</c:v>
                </c:pt>
                <c:pt idx="6">
                  <c:v>"6º"</c:v>
                </c:pt>
              </c:strCache>
            </c:strRef>
          </c:cat>
          <c:val>
            <c:numRef>
              <c:f>('Caso influencia pendiente'!$DS$7,'Caso influencia pendiente'!$DV$7,'Caso influencia pendiente'!$DY$7,'Caso influencia pendiente'!$EB$7,'Caso influencia pendiente'!$EE$7,'Caso influencia pendiente'!$EH$7,'Caso influencia pendiente'!$EK$7)</c:f>
              <c:numCache>
                <c:formatCode>0.000</c:formatCode>
                <c:ptCount val="7"/>
                <c:pt idx="0">
                  <c:v>2.575</c:v>
                </c:pt>
                <c:pt idx="1">
                  <c:v>3.225</c:v>
                </c:pt>
                <c:pt idx="2">
                  <c:v>4.029999999999999</c:v>
                </c:pt>
                <c:pt idx="3">
                  <c:v>5.27</c:v>
                </c:pt>
                <c:pt idx="4">
                  <c:v>6.415000000000001</c:v>
                </c:pt>
                <c:pt idx="5">
                  <c:v>8.82</c:v>
                </c:pt>
                <c:pt idx="6">
                  <c:v>14.515</c:v>
                </c:pt>
              </c:numCache>
            </c:numRef>
          </c:val>
          <c:smooth val="0"/>
        </c:ser>
        <c:ser>
          <c:idx val="1"/>
          <c:order val="1"/>
          <c:tx>
            <c:v>CO - 2007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'Caso influencia pendiente'!$EP$6:$EV$6</c:f>
              <c:strCache>
                <c:ptCount val="7"/>
                <c:pt idx="0">
                  <c:v>"-6º"</c:v>
                </c:pt>
                <c:pt idx="1">
                  <c:v>"-4º"</c:v>
                </c:pt>
                <c:pt idx="2">
                  <c:v>"-2º"</c:v>
                </c:pt>
                <c:pt idx="3">
                  <c:v>"0º"</c:v>
                </c:pt>
                <c:pt idx="4">
                  <c:v>"2º"</c:v>
                </c:pt>
                <c:pt idx="5">
                  <c:v>"4º"</c:v>
                </c:pt>
                <c:pt idx="6">
                  <c:v>"6º"</c:v>
                </c:pt>
              </c:strCache>
            </c:strRef>
          </c:cat>
          <c:val>
            <c:numRef>
              <c:f>('Caso influencia pendiente'!$DT$7,'Caso influencia pendiente'!$DW$7,'Caso influencia pendiente'!$DZ$7,'Caso influencia pendiente'!$EC$7,'Caso influencia pendiente'!$EF$7,'Caso influencia pendiente'!$EI$7,'Caso influencia pendiente'!$EL$7)</c:f>
              <c:numCache>
                <c:formatCode>0.000</c:formatCode>
                <c:ptCount val="7"/>
                <c:pt idx="0">
                  <c:v>2.213333333333333</c:v>
                </c:pt>
                <c:pt idx="1">
                  <c:v>2.796666666666667</c:v>
                </c:pt>
                <c:pt idx="2">
                  <c:v>3.546666666666667</c:v>
                </c:pt>
                <c:pt idx="3">
                  <c:v>4.686666666666666</c:v>
                </c:pt>
                <c:pt idx="4">
                  <c:v>5.783333333333334</c:v>
                </c:pt>
                <c:pt idx="5">
                  <c:v>7.913333333333333</c:v>
                </c:pt>
                <c:pt idx="6">
                  <c:v>13.28</c:v>
                </c:pt>
              </c:numCache>
            </c:numRef>
          </c:val>
          <c:smooth val="0"/>
        </c:ser>
        <c:ser>
          <c:idx val="2"/>
          <c:order val="2"/>
          <c:tx>
            <c:v>CO - 2015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'Caso influencia pendiente'!$EP$6:$EV$6</c:f>
              <c:strCache>
                <c:ptCount val="7"/>
                <c:pt idx="0">
                  <c:v>"-6º"</c:v>
                </c:pt>
                <c:pt idx="1">
                  <c:v>"-4º"</c:v>
                </c:pt>
                <c:pt idx="2">
                  <c:v>"-2º"</c:v>
                </c:pt>
                <c:pt idx="3">
                  <c:v>"0º"</c:v>
                </c:pt>
                <c:pt idx="4">
                  <c:v>"2º"</c:v>
                </c:pt>
                <c:pt idx="5">
                  <c:v>"4º"</c:v>
                </c:pt>
                <c:pt idx="6">
                  <c:v>"6º"</c:v>
                </c:pt>
              </c:strCache>
            </c:strRef>
          </c:cat>
          <c:val>
            <c:numRef>
              <c:f>('Caso influencia pendiente'!$DU$7,'Caso influencia pendiente'!$DX$7,'Caso influencia pendiente'!$EA$7,'Caso influencia pendiente'!$ED$7,'Caso influencia pendiente'!$EG$7,'Caso influencia pendiente'!$EJ$7,'Caso influencia pendiente'!$EM$7)</c:f>
              <c:numCache>
                <c:formatCode>0.000</c:formatCode>
                <c:ptCount val="7"/>
                <c:pt idx="0">
                  <c:v>1.806666666666667</c:v>
                </c:pt>
                <c:pt idx="1">
                  <c:v>2.306666666666667</c:v>
                </c:pt>
                <c:pt idx="2">
                  <c:v>2.986666666666667</c:v>
                </c:pt>
                <c:pt idx="3">
                  <c:v>3.89</c:v>
                </c:pt>
                <c:pt idx="4">
                  <c:v>4.769999999999999</c:v>
                </c:pt>
                <c:pt idx="5">
                  <c:v>6.38</c:v>
                </c:pt>
                <c:pt idx="6">
                  <c:v>11.00666666666667</c:v>
                </c:pt>
              </c:numCache>
            </c:numRef>
          </c:val>
          <c:smooth val="0"/>
        </c:ser>
        <c:ser>
          <c:idx val="3"/>
          <c:order val="3"/>
          <c:tx>
            <c:v>VOC - 2000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('Caso influencia pendiente'!$DS$8,'Caso influencia pendiente'!$DV$8,'Caso influencia pendiente'!$DY$8,'Caso influencia pendiente'!$EB$8,'Caso influencia pendiente'!$EE$8,'Caso influencia pendiente'!$EH$8,'Caso influencia pendiente'!$EK$8)</c:f>
              <c:numCache>
                <c:formatCode>0.000</c:formatCode>
                <c:ptCount val="7"/>
                <c:pt idx="0">
                  <c:v>1.155</c:v>
                </c:pt>
                <c:pt idx="1">
                  <c:v>1.28</c:v>
                </c:pt>
                <c:pt idx="2">
                  <c:v>1.46</c:v>
                </c:pt>
                <c:pt idx="3">
                  <c:v>1.665</c:v>
                </c:pt>
                <c:pt idx="4">
                  <c:v>1.675</c:v>
                </c:pt>
                <c:pt idx="5">
                  <c:v>1.655</c:v>
                </c:pt>
                <c:pt idx="6">
                  <c:v>1.625</c:v>
                </c:pt>
              </c:numCache>
            </c:numRef>
          </c:val>
          <c:smooth val="0"/>
        </c:ser>
        <c:ser>
          <c:idx val="4"/>
          <c:order val="4"/>
          <c:tx>
            <c:v>VOC - 2007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('Caso influencia pendiente'!$DT$8,'Caso influencia pendiente'!$DW$8,'Caso influencia pendiente'!$DZ$8,'Caso influencia pendiente'!$EC$8,'Caso influencia pendiente'!$EF$8,'Caso influencia pendiente'!$EI$8,'Caso influencia pendiente'!$EL$8)</c:f>
              <c:numCache>
                <c:formatCode>0.000</c:formatCode>
                <c:ptCount val="7"/>
                <c:pt idx="0">
                  <c:v>0.953333333333333</c:v>
                </c:pt>
                <c:pt idx="1">
                  <c:v>1.056666666666667</c:v>
                </c:pt>
                <c:pt idx="2">
                  <c:v>1.203333333333333</c:v>
                </c:pt>
                <c:pt idx="3">
                  <c:v>1.376666666666667</c:v>
                </c:pt>
                <c:pt idx="4">
                  <c:v>1.066666666666667</c:v>
                </c:pt>
                <c:pt idx="5">
                  <c:v>1.406666666666666</c:v>
                </c:pt>
                <c:pt idx="6">
                  <c:v>1.396666666666667</c:v>
                </c:pt>
              </c:numCache>
            </c:numRef>
          </c:val>
          <c:smooth val="0"/>
        </c:ser>
        <c:ser>
          <c:idx val="5"/>
          <c:order val="5"/>
          <c:tx>
            <c:v>VOC - 2015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('Caso influencia pendiente'!$DU$8,'Caso influencia pendiente'!$DX$8,'Caso influencia pendiente'!$EA$8,'Caso influencia pendiente'!$ED$8,'Caso influencia pendiente'!$EG$8,'Caso influencia pendiente'!$EJ$8,'Caso influencia pendiente'!$EM$8)</c:f>
              <c:numCache>
                <c:formatCode>0.000</c:formatCode>
                <c:ptCount val="7"/>
                <c:pt idx="0">
                  <c:v>0.556666666666667</c:v>
                </c:pt>
                <c:pt idx="1">
                  <c:v>0.623333333333333</c:v>
                </c:pt>
                <c:pt idx="2">
                  <c:v>0.726666666666667</c:v>
                </c:pt>
                <c:pt idx="3">
                  <c:v>0.846666666666667</c:v>
                </c:pt>
                <c:pt idx="4">
                  <c:v>0.91</c:v>
                </c:pt>
                <c:pt idx="5">
                  <c:v>0.963333333333333</c:v>
                </c:pt>
                <c:pt idx="6">
                  <c:v>1.01</c:v>
                </c:pt>
              </c:numCache>
            </c:numRef>
          </c:val>
          <c:smooth val="0"/>
        </c:ser>
        <c:ser>
          <c:idx val="6"/>
          <c:order val="6"/>
          <c:tx>
            <c:v>NMVOC - 2000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pendiente'!$DS$9,'Caso influencia pendiente'!$DV$9,'Caso influencia pendiente'!$DY$9,'Caso influencia pendiente'!$EB$9,'Caso influencia pendiente'!$EE$9,'Caso influencia pendiente'!$EH$9,'Caso influencia pendiente'!$EK$9)</c:f>
              <c:numCache>
                <c:formatCode>0.000</c:formatCode>
                <c:ptCount val="7"/>
                <c:pt idx="0">
                  <c:v>0.98</c:v>
                </c:pt>
                <c:pt idx="1">
                  <c:v>1.11</c:v>
                </c:pt>
                <c:pt idx="2">
                  <c:v>1.28</c:v>
                </c:pt>
                <c:pt idx="3">
                  <c:v>1.49</c:v>
                </c:pt>
                <c:pt idx="4">
                  <c:v>1.5</c:v>
                </c:pt>
                <c:pt idx="5">
                  <c:v>1.485</c:v>
                </c:pt>
                <c:pt idx="6">
                  <c:v>1.445</c:v>
                </c:pt>
              </c:numCache>
            </c:numRef>
          </c:val>
          <c:smooth val="0"/>
        </c:ser>
        <c:ser>
          <c:idx val="7"/>
          <c:order val="7"/>
          <c:tx>
            <c:v>NMVOC - 2007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pendiente'!$DT$9,'Caso influencia pendiente'!$DW$9,'Caso influencia pendiente'!$DZ$9,'Caso influencia pendiente'!$EC$9,'Caso influencia pendiente'!$EF$9,'Caso influencia pendiente'!$EI$9,'Caso influencia pendiente'!$EL$9)</c:f>
              <c:numCache>
                <c:formatCode>0.000</c:formatCode>
                <c:ptCount val="7"/>
                <c:pt idx="0">
                  <c:v>0.8</c:v>
                </c:pt>
                <c:pt idx="1">
                  <c:v>0.9</c:v>
                </c:pt>
                <c:pt idx="2">
                  <c:v>1.046666666666667</c:v>
                </c:pt>
                <c:pt idx="3">
                  <c:v>1.22</c:v>
                </c:pt>
                <c:pt idx="4">
                  <c:v>1.246666666666667</c:v>
                </c:pt>
                <c:pt idx="5">
                  <c:v>1.25</c:v>
                </c:pt>
                <c:pt idx="6">
                  <c:v>1.24</c:v>
                </c:pt>
              </c:numCache>
            </c:numRef>
          </c:val>
          <c:smooth val="0"/>
        </c:ser>
        <c:ser>
          <c:idx val="8"/>
          <c:order val="8"/>
          <c:tx>
            <c:v>NMVOC - 2015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pendiente'!$DU$9,'Caso influencia pendiente'!$DX$9,'Caso influencia pendiente'!$EA$9,'Caso influencia pendiente'!$ED$9,'Caso influencia pendiente'!$EG$9,'Caso influencia pendiente'!$EJ$9,'Caso influencia pendiente'!$EM$9)</c:f>
              <c:numCache>
                <c:formatCode>0.000</c:formatCode>
                <c:ptCount val="7"/>
                <c:pt idx="0">
                  <c:v>0.43</c:v>
                </c:pt>
                <c:pt idx="1">
                  <c:v>0.493333333333333</c:v>
                </c:pt>
                <c:pt idx="2">
                  <c:v>0.593333333333333</c:v>
                </c:pt>
                <c:pt idx="3">
                  <c:v>0.716666666666667</c:v>
                </c:pt>
                <c:pt idx="4">
                  <c:v>0.776666666666667</c:v>
                </c:pt>
                <c:pt idx="5">
                  <c:v>0.836666666666667</c:v>
                </c:pt>
                <c:pt idx="6">
                  <c:v>0.88</c:v>
                </c:pt>
              </c:numCache>
            </c:numRef>
          </c:val>
          <c:smooth val="0"/>
        </c:ser>
        <c:ser>
          <c:idx val="9"/>
          <c:order val="9"/>
          <c:tx>
            <c:v>CH4 - 2000</c:v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pendiente'!$DS$10,'Caso influencia pendiente'!$DV$10,'Caso influencia pendiente'!$DY$10,'Caso influencia pendiente'!$EB$10,'Caso influencia pendiente'!$EE$10,'Caso influencia pendiente'!$EH$10,'Caso influencia pendiente'!$EK$10)</c:f>
              <c:numCache>
                <c:formatCode>0.000</c:formatCode>
                <c:ptCount val="7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0.18</c:v>
                </c:pt>
                <c:pt idx="4">
                  <c:v>0.18</c:v>
                </c:pt>
                <c:pt idx="5">
                  <c:v>0.18</c:v>
                </c:pt>
                <c:pt idx="6">
                  <c:v>0.18</c:v>
                </c:pt>
              </c:numCache>
            </c:numRef>
          </c:val>
          <c:smooth val="0"/>
        </c:ser>
        <c:ser>
          <c:idx val="10"/>
          <c:order val="10"/>
          <c:tx>
            <c:v>CH4 - 2007</c:v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pendiente'!$DT$10,'Caso influencia pendiente'!$DW$10,'Caso influencia pendiente'!$DZ$10,'Caso influencia pendiente'!$EC$10,'Caso influencia pendiente'!$EF$10,'Caso influencia pendiente'!$EI$10,'Caso influencia pendiente'!$EL$10)</c:f>
              <c:numCache>
                <c:formatCode>0.000</c:formatCode>
                <c:ptCount val="7"/>
                <c:pt idx="0">
                  <c:v>0.156666666666667</c:v>
                </c:pt>
                <c:pt idx="1">
                  <c:v>0.156666666666667</c:v>
                </c:pt>
                <c:pt idx="2">
                  <c:v>0.156666666666667</c:v>
                </c:pt>
                <c:pt idx="3">
                  <c:v>0.156666666666667</c:v>
                </c:pt>
                <c:pt idx="4">
                  <c:v>0.156666666666667</c:v>
                </c:pt>
                <c:pt idx="5">
                  <c:v>0.156666666666667</c:v>
                </c:pt>
                <c:pt idx="6">
                  <c:v>0.156666666666667</c:v>
                </c:pt>
              </c:numCache>
            </c:numRef>
          </c:val>
          <c:smooth val="0"/>
        </c:ser>
        <c:ser>
          <c:idx val="11"/>
          <c:order val="11"/>
          <c:tx>
            <c:v>CH4 - 2015</c:v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pendiente'!$DU$10,'Caso influencia pendiente'!$DX$10,'Caso influencia pendiente'!$EA$10,'Caso influencia pendiente'!$ED$10,'Caso influencia pendiente'!$EG$10,'Caso influencia pendiente'!$EJ$10,'Caso influencia pendiente'!$EM$10)</c:f>
              <c:numCache>
                <c:formatCode>0.000</c:formatCode>
                <c:ptCount val="7"/>
                <c:pt idx="0">
                  <c:v>0.13</c:v>
                </c:pt>
                <c:pt idx="1">
                  <c:v>0.13</c:v>
                </c:pt>
                <c:pt idx="2">
                  <c:v>0.13</c:v>
                </c:pt>
                <c:pt idx="3">
                  <c:v>0.13</c:v>
                </c:pt>
                <c:pt idx="4">
                  <c:v>0.13</c:v>
                </c:pt>
                <c:pt idx="5">
                  <c:v>0.13</c:v>
                </c:pt>
                <c:pt idx="6">
                  <c:v>0.13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9065704"/>
        <c:axId val="2099073784"/>
      </c:lineChart>
      <c:catAx>
        <c:axId val="20990657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Ángulo de pendiente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9073784"/>
        <c:crosses val="autoZero"/>
        <c:auto val="1"/>
        <c:lblAlgn val="ctr"/>
        <c:lblOffset val="100"/>
        <c:noMultiLvlLbl val="0"/>
      </c:catAx>
      <c:valAx>
        <c:axId val="2099073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9065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NOX, NO, NO2 Y N2O por influencia de la pendiente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NOX - 2000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'Caso influencia pendiente'!$EP$6:$EV$6</c:f>
              <c:strCache>
                <c:ptCount val="7"/>
                <c:pt idx="0">
                  <c:v>"-6º"</c:v>
                </c:pt>
                <c:pt idx="1">
                  <c:v>"-4º"</c:v>
                </c:pt>
                <c:pt idx="2">
                  <c:v>"-2º"</c:v>
                </c:pt>
                <c:pt idx="3">
                  <c:v>"0º"</c:v>
                </c:pt>
                <c:pt idx="4">
                  <c:v>"2º"</c:v>
                </c:pt>
                <c:pt idx="5">
                  <c:v>"4º"</c:v>
                </c:pt>
                <c:pt idx="6">
                  <c:v>"6º"</c:v>
                </c:pt>
              </c:strCache>
            </c:strRef>
          </c:cat>
          <c:val>
            <c:numRef>
              <c:f>('Caso influencia pendiente'!$DS$11,'Caso influencia pendiente'!$DV$11,'Caso influencia pendiente'!$DY$11,'Caso influencia pendiente'!$EB$11,'Caso influencia pendiente'!$EE$11,'Caso influencia pendiente'!$EH$11,'Caso influencia pendiente'!$EK$11)</c:f>
              <c:numCache>
                <c:formatCode>0.000</c:formatCode>
                <c:ptCount val="7"/>
                <c:pt idx="0">
                  <c:v>5.145</c:v>
                </c:pt>
                <c:pt idx="1">
                  <c:v>7.16</c:v>
                </c:pt>
                <c:pt idx="2">
                  <c:v>10.755</c:v>
                </c:pt>
                <c:pt idx="3">
                  <c:v>16.26</c:v>
                </c:pt>
                <c:pt idx="4">
                  <c:v>23.355</c:v>
                </c:pt>
                <c:pt idx="5">
                  <c:v>30.76</c:v>
                </c:pt>
                <c:pt idx="6">
                  <c:v>38.07</c:v>
                </c:pt>
              </c:numCache>
            </c:numRef>
          </c:val>
          <c:smooth val="0"/>
        </c:ser>
        <c:ser>
          <c:idx val="1"/>
          <c:order val="1"/>
          <c:tx>
            <c:v>NOX - 2007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'Caso influencia pendiente'!$EP$6:$EV$6</c:f>
              <c:strCache>
                <c:ptCount val="7"/>
                <c:pt idx="0">
                  <c:v>"-6º"</c:v>
                </c:pt>
                <c:pt idx="1">
                  <c:v>"-4º"</c:v>
                </c:pt>
                <c:pt idx="2">
                  <c:v>"-2º"</c:v>
                </c:pt>
                <c:pt idx="3">
                  <c:v>"0º"</c:v>
                </c:pt>
                <c:pt idx="4">
                  <c:v>"2º"</c:v>
                </c:pt>
                <c:pt idx="5">
                  <c:v>"4º"</c:v>
                </c:pt>
                <c:pt idx="6">
                  <c:v>"6º"</c:v>
                </c:pt>
              </c:strCache>
            </c:strRef>
          </c:cat>
          <c:val>
            <c:numRef>
              <c:f>('Caso influencia pendiente'!$DT$11,'Caso influencia pendiente'!$DW$11,'Caso influencia pendiente'!$DZ$11,'Caso influencia pendiente'!$EC$11,'Caso influencia pendiente'!$EF$11,'Caso influencia pendiente'!$EI$11,'Caso influencia pendiente'!$EL$11)</c:f>
              <c:numCache>
                <c:formatCode>0.000</c:formatCode>
                <c:ptCount val="7"/>
                <c:pt idx="0">
                  <c:v>4.943333333333333</c:v>
                </c:pt>
                <c:pt idx="1">
                  <c:v>6.816666666666666</c:v>
                </c:pt>
                <c:pt idx="2">
                  <c:v>10.18</c:v>
                </c:pt>
                <c:pt idx="3">
                  <c:v>15.22</c:v>
                </c:pt>
                <c:pt idx="4">
                  <c:v>21.70333333333333</c:v>
                </c:pt>
                <c:pt idx="5">
                  <c:v>28.45333333333333</c:v>
                </c:pt>
                <c:pt idx="6">
                  <c:v>35.03666666666667</c:v>
                </c:pt>
              </c:numCache>
            </c:numRef>
          </c:val>
          <c:smooth val="0"/>
        </c:ser>
        <c:ser>
          <c:idx val="2"/>
          <c:order val="2"/>
          <c:tx>
            <c:v>NOX - 2015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'Caso influencia pendiente'!$EP$6:$EV$6</c:f>
              <c:strCache>
                <c:ptCount val="7"/>
                <c:pt idx="0">
                  <c:v>"-6º"</c:v>
                </c:pt>
                <c:pt idx="1">
                  <c:v>"-4º"</c:v>
                </c:pt>
                <c:pt idx="2">
                  <c:v>"-2º"</c:v>
                </c:pt>
                <c:pt idx="3">
                  <c:v>"0º"</c:v>
                </c:pt>
                <c:pt idx="4">
                  <c:v>"2º"</c:v>
                </c:pt>
                <c:pt idx="5">
                  <c:v>"4º"</c:v>
                </c:pt>
                <c:pt idx="6">
                  <c:v>"6º"</c:v>
                </c:pt>
              </c:strCache>
            </c:strRef>
          </c:cat>
          <c:val>
            <c:numRef>
              <c:f>('Caso influencia pendiente'!$DU$11,'Caso influencia pendiente'!$DX$11,'Caso influencia pendiente'!$EA$11,'Caso influencia pendiente'!$ED$11,'Caso influencia pendiente'!$EG$11,'Caso influencia pendiente'!$EJ$11,'Caso influencia pendiente'!$EM$11)</c:f>
              <c:numCache>
                <c:formatCode>0.000</c:formatCode>
                <c:ptCount val="7"/>
                <c:pt idx="0">
                  <c:v>4.406666666666666</c:v>
                </c:pt>
                <c:pt idx="1">
                  <c:v>5.883333333333333</c:v>
                </c:pt>
                <c:pt idx="2">
                  <c:v>8.513333333333333</c:v>
                </c:pt>
                <c:pt idx="3">
                  <c:v>12.38666666666666</c:v>
                </c:pt>
                <c:pt idx="4">
                  <c:v>17.25666666666666</c:v>
                </c:pt>
                <c:pt idx="5">
                  <c:v>22.53666666666667</c:v>
                </c:pt>
                <c:pt idx="6">
                  <c:v>27.56333333333333</c:v>
                </c:pt>
              </c:numCache>
            </c:numRef>
          </c:val>
          <c:smooth val="0"/>
        </c:ser>
        <c:ser>
          <c:idx val="3"/>
          <c:order val="3"/>
          <c:tx>
            <c:v>NO - 2000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('Caso influencia pendiente'!$DS$12,'Caso influencia pendiente'!$DV$12,'Caso influencia pendiente'!$DY$12,'Caso influencia pendiente'!$EB$12,'Caso influencia pendiente'!$EE$12,'Caso influencia pendiente'!$EH$12,'Caso influencia pendiente'!$EK$12)</c:f>
              <c:numCache>
                <c:formatCode>0.000</c:formatCode>
                <c:ptCount val="7"/>
                <c:pt idx="0">
                  <c:v>4.575</c:v>
                </c:pt>
                <c:pt idx="1">
                  <c:v>6.37</c:v>
                </c:pt>
                <c:pt idx="2">
                  <c:v>9.57</c:v>
                </c:pt>
                <c:pt idx="3">
                  <c:v>14.475</c:v>
                </c:pt>
                <c:pt idx="4">
                  <c:v>20.785</c:v>
                </c:pt>
                <c:pt idx="5">
                  <c:v>27.38</c:v>
                </c:pt>
                <c:pt idx="6">
                  <c:v>33.885</c:v>
                </c:pt>
              </c:numCache>
            </c:numRef>
          </c:val>
          <c:smooth val="0"/>
        </c:ser>
        <c:ser>
          <c:idx val="4"/>
          <c:order val="4"/>
          <c:tx>
            <c:v>NO - 2007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('Caso influencia pendiente'!$DT$12,'Caso influencia pendiente'!$DW$12,'Caso influencia pendiente'!$DZ$12,'Caso influencia pendiente'!$EC$12,'Caso influencia pendiente'!$EF$12,'Caso influencia pendiente'!$EI$12,'Caso influencia pendiente'!$EL$12)</c:f>
              <c:numCache>
                <c:formatCode>0.000</c:formatCode>
                <c:ptCount val="7"/>
                <c:pt idx="0">
                  <c:v>4.399999999999999</c:v>
                </c:pt>
                <c:pt idx="1">
                  <c:v>6.066666666666666</c:v>
                </c:pt>
                <c:pt idx="2">
                  <c:v>9.06</c:v>
                </c:pt>
                <c:pt idx="3">
                  <c:v>13.54666666666667</c:v>
                </c:pt>
                <c:pt idx="4">
                  <c:v>19.31666666666667</c:v>
                </c:pt>
                <c:pt idx="5">
                  <c:v>25.32666666666667</c:v>
                </c:pt>
                <c:pt idx="6">
                  <c:v>31.18666666666667</c:v>
                </c:pt>
              </c:numCache>
            </c:numRef>
          </c:val>
          <c:smooth val="0"/>
        </c:ser>
        <c:ser>
          <c:idx val="5"/>
          <c:order val="5"/>
          <c:tx>
            <c:v>NO - 2015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('Caso influencia pendiente'!$DU$12,'Caso influencia pendiente'!$DX$12,'Caso influencia pendiente'!$EA$12,'Caso influencia pendiente'!$ED$12,'Caso influencia pendiente'!$EG$12,'Caso influencia pendiente'!$EJ$12,'Caso influencia pendiente'!$EM$12)</c:f>
              <c:numCache>
                <c:formatCode>0.000</c:formatCode>
                <c:ptCount val="7"/>
                <c:pt idx="0">
                  <c:v>3.873333333333333</c:v>
                </c:pt>
                <c:pt idx="1">
                  <c:v>5.176666666666666</c:v>
                </c:pt>
                <c:pt idx="2">
                  <c:v>7.493333333333332</c:v>
                </c:pt>
                <c:pt idx="3">
                  <c:v>10.90333333333333</c:v>
                </c:pt>
                <c:pt idx="4">
                  <c:v>15.2</c:v>
                </c:pt>
                <c:pt idx="5">
                  <c:v>19.84666666666667</c:v>
                </c:pt>
                <c:pt idx="6">
                  <c:v>24.27666666666667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9177656"/>
        <c:axId val="2099184184"/>
      </c:lineChart>
      <c:lineChart>
        <c:grouping val="standard"/>
        <c:varyColors val="0"/>
        <c:ser>
          <c:idx val="6"/>
          <c:order val="6"/>
          <c:tx>
            <c:v>NO2 - 2000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('Caso influencia pendiente'!$DS$13,'Caso influencia pendiente'!$DV$13,'Caso influencia pendiente'!$DY$13,'Caso influencia pendiente'!$EB$13,'Caso influencia pendiente'!$EE$13,'Caso influencia pendiente'!$EH$13,'Caso influencia pendiente'!$EK$13)</c:f>
              <c:numCache>
                <c:formatCode>0.000</c:formatCode>
                <c:ptCount val="7"/>
                <c:pt idx="0">
                  <c:v>0.565</c:v>
                </c:pt>
                <c:pt idx="1">
                  <c:v>0.785</c:v>
                </c:pt>
                <c:pt idx="2">
                  <c:v>1.18</c:v>
                </c:pt>
                <c:pt idx="3">
                  <c:v>1.79</c:v>
                </c:pt>
                <c:pt idx="4">
                  <c:v>2.57</c:v>
                </c:pt>
                <c:pt idx="5">
                  <c:v>3.385</c:v>
                </c:pt>
                <c:pt idx="6">
                  <c:v>4.19</c:v>
                </c:pt>
              </c:numCache>
            </c:numRef>
          </c:val>
          <c:smooth val="0"/>
        </c:ser>
        <c:ser>
          <c:idx val="7"/>
          <c:order val="7"/>
          <c:tx>
            <c:v>NO2 - 2007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('Caso influencia pendiente'!$DT$13,'Caso influencia pendiente'!$DW$13,'Caso influencia pendiente'!$DZ$13,'Caso influencia pendiente'!$EC$13,'Caso influencia pendiente'!$EF$13,'Caso influencia pendiente'!$EI$13,'Caso influencia pendiente'!$EL$13)</c:f>
              <c:numCache>
                <c:formatCode>0.000</c:formatCode>
                <c:ptCount val="7"/>
                <c:pt idx="0">
                  <c:v>0.546666666666667</c:v>
                </c:pt>
                <c:pt idx="1">
                  <c:v>0.75</c:v>
                </c:pt>
                <c:pt idx="2">
                  <c:v>1.12</c:v>
                </c:pt>
                <c:pt idx="3">
                  <c:v>1.673333333333333</c:v>
                </c:pt>
                <c:pt idx="4">
                  <c:v>2.386666666666667</c:v>
                </c:pt>
                <c:pt idx="5">
                  <c:v>3.13</c:v>
                </c:pt>
                <c:pt idx="6">
                  <c:v>3.856666666666667</c:v>
                </c:pt>
              </c:numCache>
            </c:numRef>
          </c:val>
          <c:smooth val="0"/>
        </c:ser>
        <c:ser>
          <c:idx val="8"/>
          <c:order val="8"/>
          <c:tx>
            <c:v>NO2 - 2015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('Caso influencia pendiente'!$DU$13,'Caso influencia pendiente'!$DX$13,'Caso influencia pendiente'!$EA$13,'Caso influencia pendiente'!$ED$13,'Caso influencia pendiente'!$EG$13,'Caso influencia pendiente'!$EJ$13,'Caso influencia pendiente'!$EM$13)</c:f>
              <c:numCache>
                <c:formatCode>0.000</c:formatCode>
                <c:ptCount val="7"/>
                <c:pt idx="0">
                  <c:v>0.533333333333333</c:v>
                </c:pt>
                <c:pt idx="1">
                  <c:v>0.706666666666667</c:v>
                </c:pt>
                <c:pt idx="2">
                  <c:v>1.02</c:v>
                </c:pt>
                <c:pt idx="3">
                  <c:v>1.483333333333333</c:v>
                </c:pt>
                <c:pt idx="4">
                  <c:v>2.06</c:v>
                </c:pt>
                <c:pt idx="5">
                  <c:v>2.683333333333333</c:v>
                </c:pt>
                <c:pt idx="6">
                  <c:v>3.283333333333333</c:v>
                </c:pt>
              </c:numCache>
            </c:numRef>
          </c:val>
          <c:smooth val="0"/>
        </c:ser>
        <c:ser>
          <c:idx val="9"/>
          <c:order val="9"/>
          <c:tx>
            <c:v>N2O - 2000</c:v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('Caso influencia pendiente'!$DS$14,'Caso influencia pendiente'!$DV$14,'Caso influencia pendiente'!$DY$14,'Caso influencia pendiente'!$EB$14,'Caso influencia pendiente'!$EE$14,'Caso influencia pendiente'!$EH$14,'Caso influencia pendiente'!$EK$14)</c:f>
              <c:numCache>
                <c:formatCode>0.000</c:formatCode>
                <c:ptCount val="7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</c:numCache>
            </c:numRef>
          </c:val>
          <c:smooth val="0"/>
        </c:ser>
        <c:ser>
          <c:idx val="10"/>
          <c:order val="10"/>
          <c:tx>
            <c:v>N2O - 2007</c:v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('Caso influencia pendiente'!$DT$14,'Caso influencia pendiente'!$DW$14,'Caso influencia pendiente'!$DZ$14,'Caso influencia pendiente'!$EC$14,'Caso influencia pendiente'!$EF$14,'Caso influencia pendiente'!$EI$14,'Caso influencia pendiente'!$EL$14)</c:f>
              <c:numCache>
                <c:formatCode>0.000</c:formatCode>
                <c:ptCount val="7"/>
                <c:pt idx="0">
                  <c:v>0.0166666666666667</c:v>
                </c:pt>
                <c:pt idx="1">
                  <c:v>0.0166666666666667</c:v>
                </c:pt>
                <c:pt idx="2">
                  <c:v>0.0166666666666667</c:v>
                </c:pt>
                <c:pt idx="3">
                  <c:v>0.0166666666666667</c:v>
                </c:pt>
                <c:pt idx="4">
                  <c:v>0.0166666666666667</c:v>
                </c:pt>
                <c:pt idx="5">
                  <c:v>0.0166666666666667</c:v>
                </c:pt>
                <c:pt idx="6">
                  <c:v>0.0166666666666667</c:v>
                </c:pt>
              </c:numCache>
            </c:numRef>
          </c:val>
          <c:smooth val="0"/>
        </c:ser>
        <c:ser>
          <c:idx val="11"/>
          <c:order val="11"/>
          <c:tx>
            <c:v>N2O - 2015</c:v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('Caso influencia pendiente'!$DU$14,'Caso influencia pendiente'!$DX$14,'Caso influencia pendiente'!$EA$14,'Caso influencia pendiente'!$ED$14,'Caso influencia pendiente'!$EG$14,'Caso influencia pendiente'!$EJ$14,'Caso influencia pendiente'!$EM$14)</c:f>
              <c:numCache>
                <c:formatCode>0.000</c:formatCode>
                <c:ptCount val="7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0.00666666666666667</c:v>
                </c:pt>
                <c:pt idx="6">
                  <c:v>0.01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9197528"/>
        <c:axId val="2099191304"/>
      </c:lineChart>
      <c:catAx>
        <c:axId val="2099177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Ángulo de pendiente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9184184"/>
        <c:crosses val="autoZero"/>
        <c:auto val="1"/>
        <c:lblAlgn val="ctr"/>
        <c:lblOffset val="100"/>
        <c:noMultiLvlLbl val="0"/>
      </c:catAx>
      <c:valAx>
        <c:axId val="2099184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NOX, NO (g/km)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9177656"/>
        <c:crosses val="autoZero"/>
        <c:crossBetween val="between"/>
      </c:valAx>
      <c:valAx>
        <c:axId val="2099191304"/>
        <c:scaling>
          <c:orientation val="minMax"/>
          <c:max val="10.0"/>
          <c:min val="0.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NO2 y N2O (g/km)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9197528"/>
        <c:crosses val="max"/>
        <c:crossBetween val="between"/>
      </c:valAx>
      <c:catAx>
        <c:axId val="2099197528"/>
        <c:scaling>
          <c:orientation val="minMax"/>
        </c:scaling>
        <c:delete val="1"/>
        <c:axPos val="b"/>
        <c:majorTickMark val="out"/>
        <c:minorTickMark val="none"/>
        <c:tickLblPos val="nextTo"/>
        <c:crossAx val="209919130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PM2.5, PM10 y PM (escape) por influencia de la pendiente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PM2.5 - 2000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'Caso influencia pendiente'!$EP$6:$EV$6</c:f>
              <c:strCache>
                <c:ptCount val="7"/>
                <c:pt idx="0">
                  <c:v>"-6º"</c:v>
                </c:pt>
                <c:pt idx="1">
                  <c:v>"-4º"</c:v>
                </c:pt>
                <c:pt idx="2">
                  <c:v>"-2º"</c:v>
                </c:pt>
                <c:pt idx="3">
                  <c:v>"0º"</c:v>
                </c:pt>
                <c:pt idx="4">
                  <c:v>"2º"</c:v>
                </c:pt>
                <c:pt idx="5">
                  <c:v>"4º"</c:v>
                </c:pt>
                <c:pt idx="6">
                  <c:v>"6º"</c:v>
                </c:pt>
              </c:strCache>
            </c:strRef>
          </c:cat>
          <c:val>
            <c:numRef>
              <c:f>('Caso influencia pendiente'!$DS$16,'Caso influencia pendiente'!$DV$16,'Caso influencia pendiente'!$DY$16,'Caso influencia pendiente'!$EB$16,'Caso influencia pendiente'!$EE$16,'Caso influencia pendiente'!$EH$16,'Caso influencia pendiente'!$EK$16)</c:f>
              <c:numCache>
                <c:formatCode>0.000</c:formatCode>
                <c:ptCount val="7"/>
                <c:pt idx="0">
                  <c:v>0.49</c:v>
                </c:pt>
                <c:pt idx="1">
                  <c:v>0.56</c:v>
                </c:pt>
                <c:pt idx="2">
                  <c:v>0.655</c:v>
                </c:pt>
                <c:pt idx="3">
                  <c:v>0.805</c:v>
                </c:pt>
                <c:pt idx="4">
                  <c:v>0.945</c:v>
                </c:pt>
                <c:pt idx="5">
                  <c:v>1.22</c:v>
                </c:pt>
                <c:pt idx="6">
                  <c:v>1.74</c:v>
                </c:pt>
              </c:numCache>
            </c:numRef>
          </c:val>
          <c:smooth val="0"/>
        </c:ser>
        <c:ser>
          <c:idx val="1"/>
          <c:order val="1"/>
          <c:tx>
            <c:v>PM2.5 - 2007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'Caso influencia pendiente'!$EP$6:$EV$6</c:f>
              <c:strCache>
                <c:ptCount val="7"/>
                <c:pt idx="0">
                  <c:v>"-6º"</c:v>
                </c:pt>
                <c:pt idx="1">
                  <c:v>"-4º"</c:v>
                </c:pt>
                <c:pt idx="2">
                  <c:v>"-2º"</c:v>
                </c:pt>
                <c:pt idx="3">
                  <c:v>"0º"</c:v>
                </c:pt>
                <c:pt idx="4">
                  <c:v>"2º"</c:v>
                </c:pt>
                <c:pt idx="5">
                  <c:v>"4º"</c:v>
                </c:pt>
                <c:pt idx="6">
                  <c:v>"6º"</c:v>
                </c:pt>
              </c:strCache>
            </c:strRef>
          </c:cat>
          <c:val>
            <c:numRef>
              <c:f>('Caso influencia pendiente'!$DT$16,'Caso influencia pendiente'!$DW$16,'Caso influencia pendiente'!$DZ$16,'Caso influencia pendiente'!$EC$16,'Caso influencia pendiente'!$EF$16,'Caso influencia pendiente'!$EI$16,'Caso influencia pendiente'!$EL$16)</c:f>
              <c:numCache>
                <c:formatCode>0.000</c:formatCode>
                <c:ptCount val="7"/>
                <c:pt idx="0">
                  <c:v>0.376666666666667</c:v>
                </c:pt>
                <c:pt idx="1">
                  <c:v>0.436666666666667</c:v>
                </c:pt>
                <c:pt idx="2">
                  <c:v>0.513333333333333</c:v>
                </c:pt>
                <c:pt idx="3">
                  <c:v>0.63</c:v>
                </c:pt>
                <c:pt idx="4">
                  <c:v>0.76</c:v>
                </c:pt>
                <c:pt idx="5">
                  <c:v>0.963333333333333</c:v>
                </c:pt>
                <c:pt idx="6">
                  <c:v>1.36</c:v>
                </c:pt>
              </c:numCache>
            </c:numRef>
          </c:val>
          <c:smooth val="0"/>
        </c:ser>
        <c:ser>
          <c:idx val="2"/>
          <c:order val="2"/>
          <c:tx>
            <c:v>PM2.5 - 2015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'Caso influencia pendiente'!$EP$6:$EV$6</c:f>
              <c:strCache>
                <c:ptCount val="7"/>
                <c:pt idx="0">
                  <c:v>"-6º"</c:v>
                </c:pt>
                <c:pt idx="1">
                  <c:v>"-4º"</c:v>
                </c:pt>
                <c:pt idx="2">
                  <c:v>"-2º"</c:v>
                </c:pt>
                <c:pt idx="3">
                  <c:v>"0º"</c:v>
                </c:pt>
                <c:pt idx="4">
                  <c:v>"2º"</c:v>
                </c:pt>
                <c:pt idx="5">
                  <c:v>"4º"</c:v>
                </c:pt>
                <c:pt idx="6">
                  <c:v>"6º"</c:v>
                </c:pt>
              </c:strCache>
            </c:strRef>
          </c:cat>
          <c:val>
            <c:numRef>
              <c:f>('Caso influencia pendiente'!$DU$16,'Caso influencia pendiente'!$DX$16,'Caso influencia pendiente'!$EA$16,'Caso influencia pendiente'!$ED$16,'Caso influencia pendiente'!$EG$16,'Caso influencia pendiente'!$EJ$16,'Caso influencia pendiente'!$EM$16)</c:f>
              <c:numCache>
                <c:formatCode>0.000</c:formatCode>
                <c:ptCount val="7"/>
                <c:pt idx="0">
                  <c:v>0.253333333333333</c:v>
                </c:pt>
                <c:pt idx="1">
                  <c:v>0.29</c:v>
                </c:pt>
                <c:pt idx="2">
                  <c:v>0.33</c:v>
                </c:pt>
                <c:pt idx="3">
                  <c:v>0.386666666666667</c:v>
                </c:pt>
                <c:pt idx="4">
                  <c:v>0.453333333333333</c:v>
                </c:pt>
                <c:pt idx="5">
                  <c:v>0.543333333333333</c:v>
                </c:pt>
                <c:pt idx="6">
                  <c:v>0.716666666666667</c:v>
                </c:pt>
              </c:numCache>
            </c:numRef>
          </c:val>
          <c:smooth val="0"/>
        </c:ser>
        <c:ser>
          <c:idx val="3"/>
          <c:order val="3"/>
          <c:tx>
            <c:v>PM10 - 2000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('Caso influencia pendiente'!$DS$17,'Caso influencia pendiente'!$DV$17,'Caso influencia pendiente'!$DY$17,'Caso influencia pendiente'!$EB$17,'Caso influencia pendiente'!$EE$17,'Caso influencia pendiente'!$EH$17,'Caso influencia pendiente'!$EK$17)</c:f>
              <c:numCache>
                <c:formatCode>0.000</c:formatCode>
                <c:ptCount val="7"/>
                <c:pt idx="0">
                  <c:v>0.54</c:v>
                </c:pt>
                <c:pt idx="1">
                  <c:v>0.61</c:v>
                </c:pt>
                <c:pt idx="2">
                  <c:v>0.705</c:v>
                </c:pt>
                <c:pt idx="3">
                  <c:v>0.85</c:v>
                </c:pt>
                <c:pt idx="4">
                  <c:v>0.995</c:v>
                </c:pt>
                <c:pt idx="5">
                  <c:v>1.27</c:v>
                </c:pt>
                <c:pt idx="6">
                  <c:v>1.79</c:v>
                </c:pt>
              </c:numCache>
            </c:numRef>
          </c:val>
          <c:smooth val="0"/>
        </c:ser>
        <c:ser>
          <c:idx val="4"/>
          <c:order val="4"/>
          <c:tx>
            <c:v>PM10 - 2007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('Caso influencia pendiente'!$DT$17,'Caso influencia pendiente'!$DW$17,'Caso influencia pendiente'!$DZ$17,'Caso influencia pendiente'!$EC$17,'Caso influencia pendiente'!$EF$17,'Caso influencia pendiente'!$EI$17,'Caso influencia pendiente'!$EL$17)</c:f>
              <c:numCache>
                <c:formatCode>0.000</c:formatCode>
                <c:ptCount val="7"/>
                <c:pt idx="0">
                  <c:v>0.426666666666667</c:v>
                </c:pt>
                <c:pt idx="1">
                  <c:v>0.486666666666667</c:v>
                </c:pt>
                <c:pt idx="2">
                  <c:v>0.563333333333333</c:v>
                </c:pt>
                <c:pt idx="3">
                  <c:v>0.68</c:v>
                </c:pt>
                <c:pt idx="4">
                  <c:v>0.806666666666667</c:v>
                </c:pt>
                <c:pt idx="5">
                  <c:v>1.013333333333333</c:v>
                </c:pt>
                <c:pt idx="6">
                  <c:v>1.41</c:v>
                </c:pt>
              </c:numCache>
            </c:numRef>
          </c:val>
          <c:smooth val="0"/>
        </c:ser>
        <c:ser>
          <c:idx val="5"/>
          <c:order val="5"/>
          <c:tx>
            <c:v>PM10 - 2015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('Caso influencia pendiente'!$DU$17,'Caso influencia pendiente'!$DX$17,'Caso influencia pendiente'!$EA$17,'Caso influencia pendiente'!$ED$17,'Caso influencia pendiente'!$EG$17,'Caso influencia pendiente'!$EJ$17,'Caso influencia pendiente'!$EM$17)</c:f>
              <c:numCache>
                <c:formatCode>0.000</c:formatCode>
                <c:ptCount val="7"/>
                <c:pt idx="0">
                  <c:v>0.303333333333333</c:v>
                </c:pt>
                <c:pt idx="1">
                  <c:v>0.336666666666667</c:v>
                </c:pt>
                <c:pt idx="2">
                  <c:v>0.38</c:v>
                </c:pt>
                <c:pt idx="3">
                  <c:v>0.436666666666667</c:v>
                </c:pt>
                <c:pt idx="4">
                  <c:v>0.503333333333333</c:v>
                </c:pt>
                <c:pt idx="5">
                  <c:v>0.593333333333333</c:v>
                </c:pt>
                <c:pt idx="6">
                  <c:v>0.766666666666667</c:v>
                </c:pt>
              </c:numCache>
            </c:numRef>
          </c:val>
          <c:smooth val="0"/>
        </c:ser>
        <c:ser>
          <c:idx val="6"/>
          <c:order val="6"/>
          <c:tx>
            <c:v>PM ESCAPE - 2000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pendiente'!$DS$18,'Caso influencia pendiente'!$DV$18,'Caso influencia pendiente'!$DY$18,'Caso influencia pendiente'!$EB$18,'Caso influencia pendiente'!$EE$18,'Caso influencia pendiente'!$EH$18,'Caso influencia pendiente'!$EK$18)</c:f>
              <c:numCache>
                <c:formatCode>0.000</c:formatCode>
                <c:ptCount val="7"/>
                <c:pt idx="0">
                  <c:v>0.44</c:v>
                </c:pt>
                <c:pt idx="1">
                  <c:v>0.52</c:v>
                </c:pt>
                <c:pt idx="2">
                  <c:v>0.615</c:v>
                </c:pt>
                <c:pt idx="3">
                  <c:v>0.76</c:v>
                </c:pt>
                <c:pt idx="4">
                  <c:v>0.905</c:v>
                </c:pt>
                <c:pt idx="5">
                  <c:v>1.175</c:v>
                </c:pt>
                <c:pt idx="6">
                  <c:v>1.69</c:v>
                </c:pt>
              </c:numCache>
            </c:numRef>
          </c:val>
          <c:smooth val="0"/>
        </c:ser>
        <c:ser>
          <c:idx val="7"/>
          <c:order val="7"/>
          <c:tx>
            <c:v>PM ESCAPE - 2007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pendiente'!$DT$18,'Caso influencia pendiente'!$DW$18,'Caso influencia pendiente'!$DZ$18,'Caso influencia pendiente'!$EC$18,'Caso influencia pendiente'!$EF$18,'Caso influencia pendiente'!$EI$18,'Caso influencia pendiente'!$EL$18)</c:f>
              <c:numCache>
                <c:formatCode>0.000</c:formatCode>
                <c:ptCount val="7"/>
                <c:pt idx="0">
                  <c:v>0.336666666666667</c:v>
                </c:pt>
                <c:pt idx="1">
                  <c:v>0.393333333333333</c:v>
                </c:pt>
                <c:pt idx="2">
                  <c:v>0.47</c:v>
                </c:pt>
                <c:pt idx="3">
                  <c:v>0.586666666666667</c:v>
                </c:pt>
                <c:pt idx="4">
                  <c:v>0.71</c:v>
                </c:pt>
                <c:pt idx="5">
                  <c:v>0.92</c:v>
                </c:pt>
                <c:pt idx="6">
                  <c:v>1.313333333333333</c:v>
                </c:pt>
              </c:numCache>
            </c:numRef>
          </c:val>
          <c:smooth val="0"/>
        </c:ser>
        <c:ser>
          <c:idx val="8"/>
          <c:order val="8"/>
          <c:tx>
            <c:v>PM ESCAPE - 2015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pendiente'!$DU$18,'Caso influencia pendiente'!$DX$18,'Caso influencia pendiente'!$EA$18,'Caso influencia pendiente'!$ED$18,'Caso influencia pendiente'!$EG$18,'Caso influencia pendiente'!$EJ$18,'Caso influencia pendiente'!$EM$18)</c:f>
              <c:numCache>
                <c:formatCode>0.000</c:formatCode>
                <c:ptCount val="7"/>
                <c:pt idx="0">
                  <c:v>0.213333333333333</c:v>
                </c:pt>
                <c:pt idx="1">
                  <c:v>0.243333333333333</c:v>
                </c:pt>
                <c:pt idx="2">
                  <c:v>0.286666666666667</c:v>
                </c:pt>
                <c:pt idx="3">
                  <c:v>0.34</c:v>
                </c:pt>
                <c:pt idx="4">
                  <c:v>0.403333333333333</c:v>
                </c:pt>
                <c:pt idx="5">
                  <c:v>0.503333333333333</c:v>
                </c:pt>
                <c:pt idx="6">
                  <c:v>0.673333333333333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8280088"/>
        <c:axId val="2098272088"/>
      </c:lineChart>
      <c:catAx>
        <c:axId val="2098280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Ángulo de pendiente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8272088"/>
        <c:crosses val="autoZero"/>
        <c:auto val="1"/>
        <c:lblAlgn val="ctr"/>
        <c:lblOffset val="100"/>
        <c:noMultiLvlLbl val="0"/>
      </c:catAx>
      <c:valAx>
        <c:axId val="2098272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8280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EC y OM por influencia de la pendiente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EC - 2000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'Caso influencia pendiente'!$EP$6:$EV$6</c:f>
              <c:strCache>
                <c:ptCount val="7"/>
                <c:pt idx="0">
                  <c:v>"-6º"</c:v>
                </c:pt>
                <c:pt idx="1">
                  <c:v>"-4º"</c:v>
                </c:pt>
                <c:pt idx="2">
                  <c:v>"-2º"</c:v>
                </c:pt>
                <c:pt idx="3">
                  <c:v>"0º"</c:v>
                </c:pt>
                <c:pt idx="4">
                  <c:v>"2º"</c:v>
                </c:pt>
                <c:pt idx="5">
                  <c:v>"4º"</c:v>
                </c:pt>
                <c:pt idx="6">
                  <c:v>"6º"</c:v>
                </c:pt>
              </c:strCache>
            </c:strRef>
          </c:cat>
          <c:val>
            <c:numRef>
              <c:f>('Caso influencia pendiente'!$DS$19,'Caso influencia pendiente'!$DV$19,'Caso influencia pendiente'!$DY$19,'Caso influencia pendiente'!$EB$19,'Caso influencia pendiente'!$EE$19,'Caso influencia pendiente'!$EH$19,'Caso influencia pendiente'!$EK$19)</c:f>
              <c:numCache>
                <c:formatCode>0.000</c:formatCode>
                <c:ptCount val="7"/>
                <c:pt idx="0">
                  <c:v>0.25</c:v>
                </c:pt>
                <c:pt idx="1">
                  <c:v>0.29</c:v>
                </c:pt>
                <c:pt idx="2">
                  <c:v>0.34</c:v>
                </c:pt>
                <c:pt idx="3">
                  <c:v>0.42</c:v>
                </c:pt>
                <c:pt idx="4">
                  <c:v>0.495</c:v>
                </c:pt>
                <c:pt idx="5">
                  <c:v>0.645</c:v>
                </c:pt>
                <c:pt idx="6">
                  <c:v>0.925</c:v>
                </c:pt>
              </c:numCache>
            </c:numRef>
          </c:val>
          <c:smooth val="0"/>
        </c:ser>
        <c:ser>
          <c:idx val="1"/>
          <c:order val="1"/>
          <c:tx>
            <c:v>EC - 2007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'Caso influencia pendiente'!$EP$6:$EV$6</c:f>
              <c:strCache>
                <c:ptCount val="7"/>
                <c:pt idx="0">
                  <c:v>"-6º"</c:v>
                </c:pt>
                <c:pt idx="1">
                  <c:v>"-4º"</c:v>
                </c:pt>
                <c:pt idx="2">
                  <c:v>"-2º"</c:v>
                </c:pt>
                <c:pt idx="3">
                  <c:v>"0º"</c:v>
                </c:pt>
                <c:pt idx="4">
                  <c:v>"2º"</c:v>
                </c:pt>
                <c:pt idx="5">
                  <c:v>"4º"</c:v>
                </c:pt>
                <c:pt idx="6">
                  <c:v>"6º"</c:v>
                </c:pt>
              </c:strCache>
            </c:strRef>
          </c:cat>
          <c:val>
            <c:numRef>
              <c:f>('Caso influencia pendiente'!$DT$19,'Caso influencia pendiente'!$DW$19,'Caso influencia pendiente'!$DZ$19,'Caso influencia pendiente'!$EC$19,'Caso influencia pendiente'!$EF$19,'Caso influencia pendiente'!$EI$19,'Caso influencia pendiente'!$EL$19)</c:f>
              <c:numCache>
                <c:formatCode>0.000</c:formatCode>
                <c:ptCount val="7"/>
                <c:pt idx="0">
                  <c:v>0.186666666666667</c:v>
                </c:pt>
                <c:pt idx="1">
                  <c:v>0.22</c:v>
                </c:pt>
                <c:pt idx="2">
                  <c:v>0.266666666666667</c:v>
                </c:pt>
                <c:pt idx="3">
                  <c:v>0.333333333333333</c:v>
                </c:pt>
                <c:pt idx="4">
                  <c:v>0.406666666666667</c:v>
                </c:pt>
                <c:pt idx="5">
                  <c:v>0.523333333333333</c:v>
                </c:pt>
                <c:pt idx="6">
                  <c:v>0.736666666666667</c:v>
                </c:pt>
              </c:numCache>
            </c:numRef>
          </c:val>
          <c:smooth val="0"/>
        </c:ser>
        <c:ser>
          <c:idx val="2"/>
          <c:order val="2"/>
          <c:tx>
            <c:v>EC - 2015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'Caso influencia pendiente'!$EP$6:$EV$6</c:f>
              <c:strCache>
                <c:ptCount val="7"/>
                <c:pt idx="0">
                  <c:v>"-6º"</c:v>
                </c:pt>
                <c:pt idx="1">
                  <c:v>"-4º"</c:v>
                </c:pt>
                <c:pt idx="2">
                  <c:v>"-2º"</c:v>
                </c:pt>
                <c:pt idx="3">
                  <c:v>"0º"</c:v>
                </c:pt>
                <c:pt idx="4">
                  <c:v>"2º"</c:v>
                </c:pt>
                <c:pt idx="5">
                  <c:v>"4º"</c:v>
                </c:pt>
                <c:pt idx="6">
                  <c:v>"6º"</c:v>
                </c:pt>
              </c:strCache>
            </c:strRef>
          </c:cat>
          <c:val>
            <c:numRef>
              <c:f>('Caso influencia pendiente'!$DU$19,'Caso influencia pendiente'!$DX$19,'Caso influencia pendiente'!$EA$19,'Caso influencia pendiente'!$ED$19,'Caso influencia pendiente'!$EG$19,'Caso influencia pendiente'!$EJ$19,'Caso influencia pendiente'!$EM$19)</c:f>
              <c:numCache>
                <c:formatCode>0.000</c:formatCode>
                <c:ptCount val="7"/>
                <c:pt idx="0">
                  <c:v>0.14</c:v>
                </c:pt>
                <c:pt idx="1">
                  <c:v>0.16</c:v>
                </c:pt>
                <c:pt idx="2">
                  <c:v>0.19</c:v>
                </c:pt>
                <c:pt idx="3">
                  <c:v>0.226666666666667</c:v>
                </c:pt>
                <c:pt idx="4">
                  <c:v>0.27</c:v>
                </c:pt>
                <c:pt idx="5">
                  <c:v>0.333333333333333</c:v>
                </c:pt>
                <c:pt idx="6">
                  <c:v>0.443333333333333</c:v>
                </c:pt>
              </c:numCache>
            </c:numRef>
          </c:val>
          <c:smooth val="0"/>
        </c:ser>
        <c:ser>
          <c:idx val="3"/>
          <c:order val="3"/>
          <c:tx>
            <c:v>OM - 2000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('Caso influencia pendiente'!$DS$20,'Caso influencia pendiente'!$DV$20,'Caso influencia pendiente'!$DY$20,'Caso influencia pendiente'!$EB$20,'Caso influencia pendiente'!$EE$20,'Caso influencia pendiente'!$EH$20,'Caso influencia pendiente'!$EK$20)</c:f>
              <c:numCache>
                <c:formatCode>0.000</c:formatCode>
                <c:ptCount val="7"/>
                <c:pt idx="0">
                  <c:v>0.155</c:v>
                </c:pt>
                <c:pt idx="1">
                  <c:v>0.18</c:v>
                </c:pt>
                <c:pt idx="2">
                  <c:v>0.21</c:v>
                </c:pt>
                <c:pt idx="3">
                  <c:v>0.27</c:v>
                </c:pt>
                <c:pt idx="4">
                  <c:v>0.32</c:v>
                </c:pt>
                <c:pt idx="5">
                  <c:v>0.42</c:v>
                </c:pt>
                <c:pt idx="6">
                  <c:v>0.605</c:v>
                </c:pt>
              </c:numCache>
            </c:numRef>
          </c:val>
          <c:smooth val="0"/>
        </c:ser>
        <c:ser>
          <c:idx val="4"/>
          <c:order val="4"/>
          <c:tx>
            <c:v>OM - 2007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('Caso influencia pendiente'!$DT$20,'Caso influencia pendiente'!$DW$20,'Caso influencia pendiente'!$DZ$20,'Caso influencia pendiente'!$EC$20,'Caso influencia pendiente'!$EF$20,'Caso influencia pendiente'!$EI$20,'Caso influencia pendiente'!$EL$20)</c:f>
              <c:numCache>
                <c:formatCode>0.000</c:formatCode>
                <c:ptCount val="7"/>
                <c:pt idx="0">
                  <c:v>0.113333333333333</c:v>
                </c:pt>
                <c:pt idx="1">
                  <c:v>0.133333333333333</c:v>
                </c:pt>
                <c:pt idx="2">
                  <c:v>0.156666666666667</c:v>
                </c:pt>
                <c:pt idx="3">
                  <c:v>0.2</c:v>
                </c:pt>
                <c:pt idx="4">
                  <c:v>0.24</c:v>
                </c:pt>
                <c:pt idx="5">
                  <c:v>0.31</c:v>
                </c:pt>
                <c:pt idx="6">
                  <c:v>0.453333333333333</c:v>
                </c:pt>
              </c:numCache>
            </c:numRef>
          </c:val>
          <c:smooth val="0"/>
        </c:ser>
        <c:ser>
          <c:idx val="5"/>
          <c:order val="5"/>
          <c:tx>
            <c:v>OM - 2015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('Caso influencia pendiente'!$DU$20,'Caso influencia pendiente'!$DX$20,'Caso influencia pendiente'!$EA$20,'Caso influencia pendiente'!$ED$20,'Caso influencia pendiente'!$EG$20,'Caso influencia pendiente'!$EJ$20,'Caso influencia pendiente'!$EM$20)</c:f>
              <c:numCache>
                <c:formatCode>0.000</c:formatCode>
                <c:ptCount val="7"/>
                <c:pt idx="0">
                  <c:v>0.0533333333333333</c:v>
                </c:pt>
                <c:pt idx="1">
                  <c:v>0.06</c:v>
                </c:pt>
                <c:pt idx="2">
                  <c:v>0.07</c:v>
                </c:pt>
                <c:pt idx="3">
                  <c:v>0.0866666666666667</c:v>
                </c:pt>
                <c:pt idx="4">
                  <c:v>0.1</c:v>
                </c:pt>
                <c:pt idx="5">
                  <c:v>0.123333333333333</c:v>
                </c:pt>
                <c:pt idx="6">
                  <c:v>0.17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992648"/>
        <c:axId val="2075996344"/>
      </c:lineChart>
      <c:catAx>
        <c:axId val="2075992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Ángulo de pendiente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5996344"/>
        <c:crosses val="autoZero"/>
        <c:auto val="1"/>
        <c:lblAlgn val="ctr"/>
        <c:lblOffset val="100"/>
        <c:noMultiLvlLbl val="0"/>
      </c:catAx>
      <c:valAx>
        <c:axId val="2075996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5992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Pb, Cu, Ni, Zn por influencia de la pendiente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Pb - 2000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'Caso influencia pendiente'!$EP$6:$EV$6</c:f>
              <c:strCache>
                <c:ptCount val="7"/>
                <c:pt idx="0">
                  <c:v>"-6º"</c:v>
                </c:pt>
                <c:pt idx="1">
                  <c:v>"-4º"</c:v>
                </c:pt>
                <c:pt idx="2">
                  <c:v>"-2º"</c:v>
                </c:pt>
                <c:pt idx="3">
                  <c:v>"0º"</c:v>
                </c:pt>
                <c:pt idx="4">
                  <c:v>"2º"</c:v>
                </c:pt>
                <c:pt idx="5">
                  <c:v>"4º"</c:v>
                </c:pt>
                <c:pt idx="6">
                  <c:v>"6º"</c:v>
                </c:pt>
              </c:strCache>
            </c:strRef>
          </c:cat>
          <c:val>
            <c:numRef>
              <c:f>('Caso influencia pendiente'!$DS$25,'Caso influencia pendiente'!$DV$25,'Caso influencia pendiente'!$DY$25,'Caso influencia pendiente'!$EB$25,'Caso influencia pendiente'!$EE$25,'Caso influencia pendiente'!$EH$25,'Caso influencia pendiente'!$EK$25)</c:f>
              <c:numCache>
                <c:formatCode>0.00</c:formatCode>
                <c:ptCount val="7"/>
                <c:pt idx="0">
                  <c:v>0.18</c:v>
                </c:pt>
                <c:pt idx="1">
                  <c:v>0.18</c:v>
                </c:pt>
                <c:pt idx="2">
                  <c:v>0.185</c:v>
                </c:pt>
                <c:pt idx="3">
                  <c:v>0.19</c:v>
                </c:pt>
                <c:pt idx="4">
                  <c:v>0.2</c:v>
                </c:pt>
                <c:pt idx="5">
                  <c:v>0.21</c:v>
                </c:pt>
                <c:pt idx="6">
                  <c:v>0.22</c:v>
                </c:pt>
              </c:numCache>
            </c:numRef>
          </c:val>
          <c:smooth val="0"/>
        </c:ser>
        <c:ser>
          <c:idx val="1"/>
          <c:order val="1"/>
          <c:tx>
            <c:v>Pb - 2007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'Caso influencia pendiente'!$EP$6:$EV$6</c:f>
              <c:strCache>
                <c:ptCount val="7"/>
                <c:pt idx="0">
                  <c:v>"-6º"</c:v>
                </c:pt>
                <c:pt idx="1">
                  <c:v>"-4º"</c:v>
                </c:pt>
                <c:pt idx="2">
                  <c:v>"-2º"</c:v>
                </c:pt>
                <c:pt idx="3">
                  <c:v>"0º"</c:v>
                </c:pt>
                <c:pt idx="4">
                  <c:v>"2º"</c:v>
                </c:pt>
                <c:pt idx="5">
                  <c:v>"4º"</c:v>
                </c:pt>
                <c:pt idx="6">
                  <c:v>"6º"</c:v>
                </c:pt>
              </c:strCache>
            </c:strRef>
          </c:cat>
          <c:val>
            <c:numRef>
              <c:f>('Caso influencia pendiente'!$DT$25,'Caso influencia pendiente'!$DW$25,'Caso influencia pendiente'!$DZ$25,'Caso influencia pendiente'!$EC$25,'Caso influencia pendiente'!$EF$25,'Caso influencia pendiente'!$EI$25,'Caso influencia pendiente'!$EL$25)</c:f>
              <c:numCache>
                <c:formatCode>0.00</c:formatCode>
                <c:ptCount val="7"/>
                <c:pt idx="0">
                  <c:v>0.18</c:v>
                </c:pt>
                <c:pt idx="1">
                  <c:v>0.18</c:v>
                </c:pt>
                <c:pt idx="2">
                  <c:v>0.183333333333333</c:v>
                </c:pt>
                <c:pt idx="3">
                  <c:v>0.19</c:v>
                </c:pt>
                <c:pt idx="4">
                  <c:v>0.2</c:v>
                </c:pt>
                <c:pt idx="5">
                  <c:v>0.21</c:v>
                </c:pt>
                <c:pt idx="6">
                  <c:v>0.22</c:v>
                </c:pt>
              </c:numCache>
            </c:numRef>
          </c:val>
          <c:smooth val="0"/>
        </c:ser>
        <c:ser>
          <c:idx val="2"/>
          <c:order val="2"/>
          <c:tx>
            <c:v>Pb - 2015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'Caso influencia pendiente'!$EP$6:$EV$6</c:f>
              <c:strCache>
                <c:ptCount val="7"/>
                <c:pt idx="0">
                  <c:v>"-6º"</c:v>
                </c:pt>
                <c:pt idx="1">
                  <c:v>"-4º"</c:v>
                </c:pt>
                <c:pt idx="2">
                  <c:v>"-2º"</c:v>
                </c:pt>
                <c:pt idx="3">
                  <c:v>"0º"</c:v>
                </c:pt>
                <c:pt idx="4">
                  <c:v>"2º"</c:v>
                </c:pt>
                <c:pt idx="5">
                  <c:v>"4º"</c:v>
                </c:pt>
                <c:pt idx="6">
                  <c:v>"6º"</c:v>
                </c:pt>
              </c:strCache>
            </c:strRef>
          </c:cat>
          <c:val>
            <c:numRef>
              <c:f>('Caso influencia pendiente'!$DU$25,'Caso influencia pendiente'!$DX$25,'Caso influencia pendiente'!$EA$25,'Caso influencia pendiente'!$ED$25,'Caso influencia pendiente'!$EG$25,'Caso influencia pendiente'!$EJ$25,'Caso influencia pendiente'!$EM$25)</c:f>
              <c:numCache>
                <c:formatCode>0.00</c:formatCode>
                <c:ptCount val="7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  <c:pt idx="3">
                  <c:v>0.19</c:v>
                </c:pt>
                <c:pt idx="4">
                  <c:v>0.2</c:v>
                </c:pt>
                <c:pt idx="5">
                  <c:v>0.21</c:v>
                </c:pt>
                <c:pt idx="6">
                  <c:v>0.22</c:v>
                </c:pt>
              </c:numCache>
            </c:numRef>
          </c:val>
          <c:smooth val="0"/>
        </c:ser>
        <c:ser>
          <c:idx val="3"/>
          <c:order val="3"/>
          <c:tx>
            <c:v>Cu - 2000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('Caso influencia pendiente'!$DS$27,'Caso influencia pendiente'!$DV$27,'Caso influencia pendiente'!$DY$27,'Caso influencia pendiente'!$EB$27,'Caso influencia pendiente'!$EE$27,'Caso influencia pendiente'!$EH$27,'Caso influencia pendiente'!$EK$27)</c:f>
              <c:numCache>
                <c:formatCode>0.00</c:formatCode>
                <c:ptCount val="7"/>
                <c:pt idx="0">
                  <c:v>1.405</c:v>
                </c:pt>
                <c:pt idx="1">
                  <c:v>1.41</c:v>
                </c:pt>
                <c:pt idx="2">
                  <c:v>1.41</c:v>
                </c:pt>
                <c:pt idx="3">
                  <c:v>1.41</c:v>
                </c:pt>
                <c:pt idx="4">
                  <c:v>1.41</c:v>
                </c:pt>
                <c:pt idx="5">
                  <c:v>1.42</c:v>
                </c:pt>
                <c:pt idx="6">
                  <c:v>1.42</c:v>
                </c:pt>
              </c:numCache>
            </c:numRef>
          </c:val>
          <c:smooth val="0"/>
        </c:ser>
        <c:ser>
          <c:idx val="4"/>
          <c:order val="4"/>
          <c:tx>
            <c:v>Cu - 2007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('Caso influencia pendiente'!$DT$27,'Caso influencia pendiente'!$DW$27,'Caso influencia pendiente'!$DZ$27,'Caso influencia pendiente'!$EC$27,'Caso influencia pendiente'!$EF$27,'Caso influencia pendiente'!$EI$27,'Caso influencia pendiente'!$EL$27)</c:f>
              <c:numCache>
                <c:formatCode>0.00</c:formatCode>
                <c:ptCount val="7"/>
                <c:pt idx="0">
                  <c:v>1.403333333333333</c:v>
                </c:pt>
                <c:pt idx="1">
                  <c:v>1.41</c:v>
                </c:pt>
                <c:pt idx="2">
                  <c:v>1.41</c:v>
                </c:pt>
                <c:pt idx="3">
                  <c:v>1.41</c:v>
                </c:pt>
                <c:pt idx="4">
                  <c:v>1.41</c:v>
                </c:pt>
                <c:pt idx="5">
                  <c:v>1.42</c:v>
                </c:pt>
                <c:pt idx="6">
                  <c:v>1.42</c:v>
                </c:pt>
              </c:numCache>
            </c:numRef>
          </c:val>
          <c:smooth val="0"/>
        </c:ser>
        <c:ser>
          <c:idx val="5"/>
          <c:order val="5"/>
          <c:tx>
            <c:v>Cu - 2015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('Caso influencia pendiente'!$DU$27,'Caso influencia pendiente'!$DX$27,'Caso influencia pendiente'!$EA$27,'Caso influencia pendiente'!$ED$27,'Caso influencia pendiente'!$EG$27,'Caso influencia pendiente'!$EJ$27,'Caso influencia pendiente'!$EM$27)</c:f>
              <c:numCache>
                <c:formatCode>0.00</c:formatCode>
                <c:ptCount val="7"/>
                <c:pt idx="0">
                  <c:v>1.4</c:v>
                </c:pt>
                <c:pt idx="1">
                  <c:v>1.41</c:v>
                </c:pt>
                <c:pt idx="2">
                  <c:v>1.41</c:v>
                </c:pt>
                <c:pt idx="3">
                  <c:v>1.41</c:v>
                </c:pt>
                <c:pt idx="4">
                  <c:v>1.41</c:v>
                </c:pt>
                <c:pt idx="5">
                  <c:v>1.42</c:v>
                </c:pt>
                <c:pt idx="6">
                  <c:v>1.42</c:v>
                </c:pt>
              </c:numCache>
            </c:numRef>
          </c:val>
          <c:smooth val="0"/>
        </c:ser>
        <c:ser>
          <c:idx val="6"/>
          <c:order val="6"/>
          <c:tx>
            <c:v>Ni - 2000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pendiente'!$DS$28,'Caso influencia pendiente'!$DV$28,'Caso influencia pendiente'!$DY$28,'Caso influencia pendiente'!$EB$28,'Caso influencia pendiente'!$EE$28,'Caso influencia pendiente'!$EH$28,'Caso influencia pendiente'!$EK$28)</c:f>
              <c:numCache>
                <c:formatCode>General</c:formatCode>
                <c:ptCount val="7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0.02</c:v>
                </c:pt>
                <c:pt idx="6">
                  <c:v>0.02</c:v>
                </c:pt>
              </c:numCache>
            </c:numRef>
          </c:val>
          <c:smooth val="0"/>
        </c:ser>
        <c:ser>
          <c:idx val="7"/>
          <c:order val="7"/>
          <c:tx>
            <c:v>Ni - 2007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pendiente'!$DT$28,'Caso influencia pendiente'!$DW$28,'Caso influencia pendiente'!$DZ$28,'Caso influencia pendiente'!$EC$28,'Caso influencia pendiente'!$EF$28,'Caso influencia pendiente'!$EI$28,'Caso influencia pendiente'!$EL$28)</c:f>
              <c:numCache>
                <c:formatCode>General</c:formatCode>
                <c:ptCount val="7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0.02</c:v>
                </c:pt>
                <c:pt idx="6">
                  <c:v>0.02</c:v>
                </c:pt>
              </c:numCache>
            </c:numRef>
          </c:val>
          <c:smooth val="0"/>
        </c:ser>
        <c:ser>
          <c:idx val="8"/>
          <c:order val="8"/>
          <c:tx>
            <c:v>Ni - 2015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pendiente'!$DU$28,'Caso influencia pendiente'!$DX$28,'Caso influencia pendiente'!$EA$28,'Caso influencia pendiente'!$ED$28,'Caso influencia pendiente'!$EG$28,'Caso influencia pendiente'!$EJ$28,'Caso influencia pendiente'!$EM$28)</c:f>
              <c:numCache>
                <c:formatCode>General</c:formatCode>
                <c:ptCount val="7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0.02</c:v>
                </c:pt>
                <c:pt idx="6">
                  <c:v>0.02</c:v>
                </c:pt>
              </c:numCache>
            </c:numRef>
          </c:val>
          <c:smooth val="0"/>
        </c:ser>
        <c:ser>
          <c:idx val="9"/>
          <c:order val="9"/>
          <c:tx>
            <c:v>Zn - 2000</c:v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pendiente'!$DS$30,'Caso influencia pendiente'!$DV$30,'Caso influencia pendiente'!$DY$30,'Caso influencia pendiente'!$EB$30,'Caso influencia pendiente'!$EE$30,'Caso influencia pendiente'!$EH$30,'Caso influencia pendiente'!$EK$30)</c:f>
              <c:numCache>
                <c:formatCode>0.00</c:formatCode>
                <c:ptCount val="7"/>
                <c:pt idx="0" formatCode="General">
                  <c:v>0.63</c:v>
                </c:pt>
                <c:pt idx="1">
                  <c:v>0.725</c:v>
                </c:pt>
                <c:pt idx="2">
                  <c:v>0.885</c:v>
                </c:pt>
                <c:pt idx="3">
                  <c:v>1.11</c:v>
                </c:pt>
                <c:pt idx="4">
                  <c:v>1.38</c:v>
                </c:pt>
                <c:pt idx="5">
                  <c:v>1.69</c:v>
                </c:pt>
                <c:pt idx="6">
                  <c:v>2.02</c:v>
                </c:pt>
              </c:numCache>
            </c:numRef>
          </c:val>
          <c:smooth val="0"/>
        </c:ser>
        <c:ser>
          <c:idx val="10"/>
          <c:order val="10"/>
          <c:tx>
            <c:v>Zn - 2007</c:v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pendiente'!$DT$30,'Caso influencia pendiente'!$DW$30,'Caso influencia pendiente'!$DZ$30,'Caso influencia pendiente'!$EC$30,'Caso influencia pendiente'!$EF$30,'Caso influencia pendiente'!$EI$30,'Caso influencia pendiente'!$EL$30)</c:f>
              <c:numCache>
                <c:formatCode>0.00</c:formatCode>
                <c:ptCount val="7"/>
                <c:pt idx="0">
                  <c:v>0.616666666666667</c:v>
                </c:pt>
                <c:pt idx="1">
                  <c:v>0.706666666666667</c:v>
                </c:pt>
                <c:pt idx="2">
                  <c:v>0.86</c:v>
                </c:pt>
                <c:pt idx="3">
                  <c:v>1.083333333333333</c:v>
                </c:pt>
                <c:pt idx="4">
                  <c:v>1.353333333333333</c:v>
                </c:pt>
                <c:pt idx="5">
                  <c:v>1.663333333333333</c:v>
                </c:pt>
                <c:pt idx="6">
                  <c:v>1.993333333333333</c:v>
                </c:pt>
              </c:numCache>
            </c:numRef>
          </c:val>
          <c:smooth val="0"/>
        </c:ser>
        <c:ser>
          <c:idx val="11"/>
          <c:order val="11"/>
          <c:tx>
            <c:v>Zn - 2015</c:v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pendiente'!$DU$30,'Caso influencia pendiente'!$DX$30,'Caso influencia pendiente'!$EA$30,'Caso influencia pendiente'!$ED$30,'Caso influencia pendiente'!$EG$30,'Caso influencia pendiente'!$EJ$30,'Caso influencia pendiente'!$EM$30)</c:f>
              <c:numCache>
                <c:formatCode>0.00</c:formatCode>
                <c:ptCount val="7"/>
                <c:pt idx="0">
                  <c:v>0.603333333333333</c:v>
                </c:pt>
                <c:pt idx="1">
                  <c:v>0.686666666666666</c:v>
                </c:pt>
                <c:pt idx="2">
                  <c:v>0.83</c:v>
                </c:pt>
                <c:pt idx="3">
                  <c:v>1.043333333333333</c:v>
                </c:pt>
                <c:pt idx="4">
                  <c:v>1.316666666666667</c:v>
                </c:pt>
                <c:pt idx="5">
                  <c:v>1.626666666666667</c:v>
                </c:pt>
                <c:pt idx="6">
                  <c:v>1.953333333333333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6096312"/>
        <c:axId val="2076104264"/>
      </c:lineChart>
      <c:catAx>
        <c:axId val="2076096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Ángulo de pendiente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6104264"/>
        <c:crosses val="autoZero"/>
        <c:auto val="1"/>
        <c:lblAlgn val="ctr"/>
        <c:lblOffset val="100"/>
        <c:noMultiLvlLbl val="0"/>
      </c:catAx>
      <c:valAx>
        <c:axId val="2076104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(mg/km)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6096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FC y CO2 por influencia carga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'Caso influencia carga'!$BU$7</c:f>
              <c:strCache>
                <c:ptCount val="1"/>
                <c:pt idx="0">
                  <c:v>FC - 2000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'Caso influencia carga'!$BV$7:$BX$7</c:f>
              <c:numCache>
                <c:formatCode>0.00</c:formatCode>
                <c:ptCount val="3"/>
                <c:pt idx="0">
                  <c:v>51.1748502994012</c:v>
                </c:pt>
                <c:pt idx="1">
                  <c:v>47.1119760479042</c:v>
                </c:pt>
                <c:pt idx="2">
                  <c:v>43.32754491017964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'Caso influencia carga'!$BU$8</c:f>
              <c:strCache>
                <c:ptCount val="1"/>
                <c:pt idx="0">
                  <c:v>FC - 2007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'Caso influencia carga'!$BV$8:$BX$8</c:f>
              <c:numCache>
                <c:formatCode>0.00</c:formatCode>
                <c:ptCount val="3"/>
                <c:pt idx="0">
                  <c:v>49.25668662674651</c:v>
                </c:pt>
                <c:pt idx="1">
                  <c:v>45.11417165668663</c:v>
                </c:pt>
                <c:pt idx="2">
                  <c:v>41.18403193612774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'Caso influencia carga'!$BU$9</c:f>
              <c:strCache>
                <c:ptCount val="1"/>
                <c:pt idx="0">
                  <c:v>FC - 2015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'Caso influencia carga'!$BV$9:$BX$9</c:f>
              <c:numCache>
                <c:formatCode>0.00</c:formatCode>
                <c:ptCount val="3"/>
                <c:pt idx="0">
                  <c:v>46.63672654690618</c:v>
                </c:pt>
                <c:pt idx="1">
                  <c:v>42.39920159680639</c:v>
                </c:pt>
                <c:pt idx="2">
                  <c:v>38.25788423153693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949512"/>
        <c:axId val="2075957368"/>
      </c:lineChart>
      <c:lineChart>
        <c:grouping val="standard"/>
        <c:varyColors val="0"/>
        <c:ser>
          <c:idx val="3"/>
          <c:order val="3"/>
          <c:tx>
            <c:v>CO2 - 2000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('Caso influencia carga'!$BK$22,'Caso influencia carga'!$BN$22,'Caso influencia carga'!$BQ$22)</c:f>
              <c:numCache>
                <c:formatCode>0.000</c:formatCode>
                <c:ptCount val="3"/>
                <c:pt idx="0">
                  <c:v>1.3485</c:v>
                </c:pt>
                <c:pt idx="1">
                  <c:v>1.242</c:v>
                </c:pt>
                <c:pt idx="2">
                  <c:v>1.1425</c:v>
                </c:pt>
              </c:numCache>
            </c:numRef>
          </c:val>
          <c:smooth val="0"/>
        </c:ser>
        <c:ser>
          <c:idx val="4"/>
          <c:order val="4"/>
          <c:tx>
            <c:v>CO2 - 2007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('Caso influencia carga'!$BL$22,'Caso influencia carga'!$BO$22,'Caso influencia carga'!$BR$22)</c:f>
              <c:numCache>
                <c:formatCode>0.000</c:formatCode>
                <c:ptCount val="3"/>
                <c:pt idx="0">
                  <c:v>1.297944176666667</c:v>
                </c:pt>
                <c:pt idx="1">
                  <c:v>1.189</c:v>
                </c:pt>
                <c:pt idx="2">
                  <c:v>1.085666666666667</c:v>
                </c:pt>
              </c:numCache>
            </c:numRef>
          </c:val>
          <c:smooth val="0"/>
        </c:ser>
        <c:ser>
          <c:idx val="5"/>
          <c:order val="5"/>
          <c:tx>
            <c:v>CO2 - 2015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('Caso influencia carga'!$BM$22,'Caso influencia carga'!$BP$22,'Caso influencia carga'!$BS$22)</c:f>
              <c:numCache>
                <c:formatCode>0.000</c:formatCode>
                <c:ptCount val="3"/>
                <c:pt idx="0">
                  <c:v>1.228631386666666</c:v>
                </c:pt>
                <c:pt idx="1">
                  <c:v>1.117</c:v>
                </c:pt>
                <c:pt idx="2">
                  <c:v>1.008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931512"/>
        <c:axId val="2075943672"/>
      </c:lineChart>
      <c:catAx>
        <c:axId val="2075949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Grado de carga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5957368"/>
        <c:crosses val="autoZero"/>
        <c:auto val="1"/>
        <c:lblAlgn val="ctr"/>
        <c:lblOffset val="100"/>
        <c:noMultiLvlLbl val="0"/>
      </c:catAx>
      <c:valAx>
        <c:axId val="2075957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Consumo promedio de combustible (l/100km)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5949512"/>
        <c:crosses val="autoZero"/>
        <c:crossBetween val="between"/>
      </c:valAx>
      <c:valAx>
        <c:axId val="2075943672"/>
        <c:scaling>
          <c:orientation val="minMax"/>
          <c:max val="4.0"/>
          <c:min val="0.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Emisión de CO2 por vehículo</a:t>
                </a:r>
                <a:r>
                  <a:rPr lang="es-ES" baseline="0"/>
                  <a:t> (kg/km)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5931512"/>
        <c:crosses val="max"/>
        <c:crossBetween val="between"/>
      </c:valAx>
      <c:catAx>
        <c:axId val="2075931512"/>
        <c:scaling>
          <c:orientation val="minMax"/>
        </c:scaling>
        <c:delete val="1"/>
        <c:axPos val="b"/>
        <c:majorTickMark val="out"/>
        <c:minorTickMark val="none"/>
        <c:tickLblPos val="nextTo"/>
        <c:crossAx val="20759436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SO2 por influencia carga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6"/>
          <c:order val="0"/>
          <c:tx>
            <c:v>SO2 - 2000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('Caso influencia carga'!$BK$23,'Caso influencia carga'!$BN$23,'Caso influencia carga'!$BQ$23)</c:f>
              <c:numCache>
                <c:formatCode>0.000</c:formatCode>
                <c:ptCount val="3"/>
                <c:pt idx="0">
                  <c:v>0.38</c:v>
                </c:pt>
                <c:pt idx="1">
                  <c:v>0.355</c:v>
                </c:pt>
                <c:pt idx="2">
                  <c:v>0.325</c:v>
                </c:pt>
              </c:numCache>
            </c:numRef>
          </c:val>
          <c:smooth val="0"/>
        </c:ser>
        <c:ser>
          <c:idx val="7"/>
          <c:order val="1"/>
          <c:tx>
            <c:v>SO2 - 2007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('Caso influencia carga'!$BL$23,'Caso influencia carga'!$BO$23,'Caso influencia carga'!$BR$23)</c:f>
              <c:numCache>
                <c:formatCode>0.000</c:formatCode>
                <c:ptCount val="3"/>
                <c:pt idx="0">
                  <c:v>0.366666666666667</c:v>
                </c:pt>
                <c:pt idx="1">
                  <c:v>0.34</c:v>
                </c:pt>
                <c:pt idx="2">
                  <c:v>0.31</c:v>
                </c:pt>
              </c:numCache>
            </c:numRef>
          </c:val>
          <c:smooth val="0"/>
        </c:ser>
        <c:ser>
          <c:idx val="8"/>
          <c:order val="2"/>
          <c:tx>
            <c:v>SO2 - 2015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('Caso influencia carga'!$BM$23,'Caso influencia carga'!$BP$23,'Caso influencia carga'!$BS$23)</c:f>
              <c:numCache>
                <c:formatCode>0.000</c:formatCode>
                <c:ptCount val="3"/>
                <c:pt idx="0">
                  <c:v>0.36</c:v>
                </c:pt>
                <c:pt idx="1">
                  <c:v>0.326666666666667</c:v>
                </c:pt>
                <c:pt idx="2">
                  <c:v>0.293333333333333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808936"/>
        <c:axId val="2079551992"/>
      </c:lineChart>
      <c:catAx>
        <c:axId val="2078808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Grado de carga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9551992"/>
        <c:crosses val="autoZero"/>
        <c:auto val="1"/>
        <c:lblAlgn val="ctr"/>
        <c:lblOffset val="100"/>
        <c:noMultiLvlLbl val="0"/>
      </c:catAx>
      <c:valAx>
        <c:axId val="2079551992"/>
        <c:scaling>
          <c:orientation val="minMax"/>
          <c:min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</a:t>
                </a:r>
                <a:r>
                  <a:rPr lang="es-ES"/>
                  <a:t>(g/km)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8808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Comportamiento de la emisión de NMVOC</a:t>
            </a:r>
            <a:r>
              <a:rPr lang="es-ES" b="1" baseline="0"/>
              <a:t> según COPERT 4 - autobuses</a:t>
            </a:r>
            <a:endParaRPr lang="es-ES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'Caso modelo inicial'!$P$9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inicial'!$Q$25:$S$25</c:f>
              <c:numCache>
                <c:formatCode>General</c:formatCode>
                <c:ptCount val="3"/>
                <c:pt idx="0">
                  <c:v>2.2</c:v>
                </c:pt>
                <c:pt idx="1">
                  <c:v>2.29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inicial'!$P$10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inicial'!$Q$26:$S$26</c:f>
              <c:numCache>
                <c:formatCode>General</c:formatCode>
                <c:ptCount val="3"/>
                <c:pt idx="0">
                  <c:v>0.78</c:v>
                </c:pt>
                <c:pt idx="1">
                  <c:v>0.82</c:v>
                </c:pt>
                <c:pt idx="2">
                  <c:v>0.94</c:v>
                </c:pt>
              </c:numCache>
            </c:numRef>
          </c:val>
        </c:ser>
        <c:ser>
          <c:idx val="2"/>
          <c:order val="2"/>
          <c:tx>
            <c:strRef>
              <c:f>'Caso modelo inicial'!$P$11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inicial'!$Q$27:$S$27</c:f>
              <c:numCache>
                <c:formatCode>General</c:formatCode>
                <c:ptCount val="3"/>
                <c:pt idx="0">
                  <c:v>0.0</c:v>
                </c:pt>
                <c:pt idx="1">
                  <c:v>0.55</c:v>
                </c:pt>
                <c:pt idx="2">
                  <c:v>0.64</c:v>
                </c:pt>
              </c:numCache>
            </c:numRef>
          </c:val>
        </c:ser>
        <c:ser>
          <c:idx val="3"/>
          <c:order val="3"/>
          <c:tx>
            <c:strRef>
              <c:f>'Caso modelo inicial'!$P$12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inicial'!$Q$28:$S$28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0.57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73390664"/>
        <c:axId val="2073397320"/>
      </c:barChart>
      <c:catAx>
        <c:axId val="2073390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Año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3397320"/>
        <c:crosses val="autoZero"/>
        <c:auto val="1"/>
        <c:lblAlgn val="ctr"/>
        <c:lblOffset val="100"/>
        <c:noMultiLvlLbl val="0"/>
      </c:catAx>
      <c:valAx>
        <c:axId val="2073397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Emisión de NMVOC por vehículo (g/km)</a:t>
                </a:r>
              </a:p>
            </c:rich>
          </c:tx>
          <c:layout>
            <c:manualLayout>
              <c:xMode val="edge"/>
              <c:yMode val="edge"/>
              <c:x val="0.0333333333333333"/>
              <c:y val="0.1119444444444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3390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CO, VOC, NMVOC y CH4 por influencia de la carga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 - 2000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('Caso influencia carga'!$BK$7,'Caso influencia carga'!$BN$7,'Caso influencia carga'!$BQ$7)</c:f>
              <c:numCache>
                <c:formatCode>0.000</c:formatCode>
                <c:ptCount val="3"/>
                <c:pt idx="0">
                  <c:v>5.27</c:v>
                </c:pt>
                <c:pt idx="1">
                  <c:v>4.725</c:v>
                </c:pt>
                <c:pt idx="2">
                  <c:v>4.415</c:v>
                </c:pt>
              </c:numCache>
            </c:numRef>
          </c:val>
          <c:smooth val="0"/>
        </c:ser>
        <c:ser>
          <c:idx val="1"/>
          <c:order val="1"/>
          <c:tx>
            <c:v>CO - 2007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('Caso influencia carga'!$BL$7,'Caso influencia carga'!$BO$7,'Caso influencia carga'!$BR$7)</c:f>
              <c:numCache>
                <c:formatCode>0.000</c:formatCode>
                <c:ptCount val="3"/>
                <c:pt idx="0">
                  <c:v>4.686666666666666</c:v>
                </c:pt>
                <c:pt idx="1">
                  <c:v>4.146666666666666</c:v>
                </c:pt>
                <c:pt idx="2">
                  <c:v>3.786666666666667</c:v>
                </c:pt>
              </c:numCache>
            </c:numRef>
          </c:val>
          <c:smooth val="0"/>
        </c:ser>
        <c:ser>
          <c:idx val="2"/>
          <c:order val="2"/>
          <c:tx>
            <c:v>CO - 2015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('Caso influencia carga'!$BM$7,'Caso influencia carga'!$BP$7,'Caso influencia carga'!$BS$7)</c:f>
              <c:numCache>
                <c:formatCode>0.000</c:formatCode>
                <c:ptCount val="3"/>
                <c:pt idx="0">
                  <c:v>3.89</c:v>
                </c:pt>
                <c:pt idx="1">
                  <c:v>3.356666666666667</c:v>
                </c:pt>
                <c:pt idx="2">
                  <c:v>2.95</c:v>
                </c:pt>
              </c:numCache>
            </c:numRef>
          </c:val>
          <c:smooth val="0"/>
        </c:ser>
        <c:ser>
          <c:idx val="3"/>
          <c:order val="3"/>
          <c:tx>
            <c:v>VOC - 2000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('Caso influencia carga'!$BK$8,'Caso influencia carga'!$BN$8,'Caso influencia carga'!$BQ$8)</c:f>
              <c:numCache>
                <c:formatCode>0.000</c:formatCode>
                <c:ptCount val="3"/>
                <c:pt idx="0">
                  <c:v>1.665</c:v>
                </c:pt>
                <c:pt idx="1">
                  <c:v>1.72</c:v>
                </c:pt>
                <c:pt idx="2">
                  <c:v>1.785</c:v>
                </c:pt>
              </c:numCache>
            </c:numRef>
          </c:val>
          <c:smooth val="0"/>
        </c:ser>
        <c:ser>
          <c:idx val="4"/>
          <c:order val="4"/>
          <c:tx>
            <c:v>VOC - 2007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('Caso influencia carga'!$BL$8,'Caso influencia carga'!$BO$8,'Caso influencia carga'!$BR$8)</c:f>
              <c:numCache>
                <c:formatCode>0.000</c:formatCode>
                <c:ptCount val="3"/>
                <c:pt idx="0">
                  <c:v>1.376666666666667</c:v>
                </c:pt>
                <c:pt idx="1">
                  <c:v>1.42</c:v>
                </c:pt>
                <c:pt idx="2">
                  <c:v>1.473333333333333</c:v>
                </c:pt>
              </c:numCache>
            </c:numRef>
          </c:val>
          <c:smooth val="0"/>
        </c:ser>
        <c:ser>
          <c:idx val="5"/>
          <c:order val="5"/>
          <c:tx>
            <c:v>VOC - 2015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('Caso influencia carga'!$BM$8,'Caso influencia carga'!$BP$8,'Caso influencia carga'!$BS$8)</c:f>
              <c:numCache>
                <c:formatCode>0.000</c:formatCode>
                <c:ptCount val="3"/>
                <c:pt idx="0">
                  <c:v>0.846666666666667</c:v>
                </c:pt>
                <c:pt idx="1">
                  <c:v>0.873333333333333</c:v>
                </c:pt>
                <c:pt idx="2">
                  <c:v>0.9</c:v>
                </c:pt>
              </c:numCache>
            </c:numRef>
          </c:val>
          <c:smooth val="0"/>
        </c:ser>
        <c:ser>
          <c:idx val="6"/>
          <c:order val="6"/>
          <c:tx>
            <c:v>NMVOC - 2000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carga'!$BK$9,'Caso influencia carga'!$BN$9,'Caso influencia carga'!$BQ$9)</c:f>
              <c:numCache>
                <c:formatCode>0.000</c:formatCode>
                <c:ptCount val="3"/>
                <c:pt idx="0">
                  <c:v>1.49</c:v>
                </c:pt>
                <c:pt idx="1">
                  <c:v>1.545</c:v>
                </c:pt>
                <c:pt idx="2">
                  <c:v>1.605</c:v>
                </c:pt>
              </c:numCache>
            </c:numRef>
          </c:val>
          <c:smooth val="0"/>
        </c:ser>
        <c:ser>
          <c:idx val="7"/>
          <c:order val="7"/>
          <c:tx>
            <c:v>NMVOC - 2007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carga'!$BL$9,'Caso influencia carga'!$BO$9,'Caso influencia carga'!$BR$9)</c:f>
              <c:numCache>
                <c:formatCode>0.000</c:formatCode>
                <c:ptCount val="3"/>
                <c:pt idx="0">
                  <c:v>1.22</c:v>
                </c:pt>
                <c:pt idx="1">
                  <c:v>1.266666666666667</c:v>
                </c:pt>
                <c:pt idx="2">
                  <c:v>1.316666666666667</c:v>
                </c:pt>
              </c:numCache>
            </c:numRef>
          </c:val>
          <c:smooth val="0"/>
        </c:ser>
        <c:ser>
          <c:idx val="8"/>
          <c:order val="8"/>
          <c:tx>
            <c:v>NMVOC - 2015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carga'!$BM$9,'Caso influencia carga'!$BP$9,'Caso influencia carga'!$BS$9)</c:f>
              <c:numCache>
                <c:formatCode>0.000</c:formatCode>
                <c:ptCount val="3"/>
                <c:pt idx="0">
                  <c:v>0.716666666666667</c:v>
                </c:pt>
                <c:pt idx="1">
                  <c:v>0.746666666666667</c:v>
                </c:pt>
                <c:pt idx="2">
                  <c:v>0.766666666666667</c:v>
                </c:pt>
              </c:numCache>
            </c:numRef>
          </c:val>
          <c:smooth val="0"/>
        </c:ser>
        <c:ser>
          <c:idx val="9"/>
          <c:order val="9"/>
          <c:tx>
            <c:v>CH4 - 2000</c:v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carga'!$BK$10,'Caso influencia carga'!$BN$10,'Caso influencia carga'!$BQ$10)</c:f>
              <c:numCache>
                <c:formatCode>0.000</c:formatCode>
                <c:ptCount val="3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</c:numCache>
            </c:numRef>
          </c:val>
          <c:smooth val="0"/>
        </c:ser>
        <c:ser>
          <c:idx val="10"/>
          <c:order val="10"/>
          <c:tx>
            <c:v>CH4 - 2007</c:v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carga'!$BL$10,'Caso influencia carga'!$BO$10,'Caso influencia carga'!$BR$10)</c:f>
              <c:numCache>
                <c:formatCode>0.000</c:formatCode>
                <c:ptCount val="3"/>
                <c:pt idx="0">
                  <c:v>0.156666666666667</c:v>
                </c:pt>
                <c:pt idx="1">
                  <c:v>0.156666666666667</c:v>
                </c:pt>
                <c:pt idx="2">
                  <c:v>0.156666666666667</c:v>
                </c:pt>
              </c:numCache>
            </c:numRef>
          </c:val>
          <c:smooth val="0"/>
        </c:ser>
        <c:ser>
          <c:idx val="11"/>
          <c:order val="11"/>
          <c:tx>
            <c:v>CH4 - 2015</c:v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carga'!$BM$10,'Caso influencia carga'!$BP$10,'Caso influencia carga'!$BS$10)</c:f>
              <c:numCache>
                <c:formatCode>0.000</c:formatCode>
                <c:ptCount val="3"/>
                <c:pt idx="0">
                  <c:v>0.13</c:v>
                </c:pt>
                <c:pt idx="1">
                  <c:v>0.13</c:v>
                </c:pt>
                <c:pt idx="2">
                  <c:v>0.13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490136"/>
        <c:axId val="2078499768"/>
      </c:lineChart>
      <c:catAx>
        <c:axId val="2078490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Grado</a:t>
                </a:r>
                <a:r>
                  <a:rPr lang="es-ES" baseline="0"/>
                  <a:t> de carga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8499768"/>
        <c:crosses val="autoZero"/>
        <c:auto val="1"/>
        <c:lblAlgn val="ctr"/>
        <c:lblOffset val="100"/>
        <c:noMultiLvlLbl val="0"/>
      </c:catAx>
      <c:valAx>
        <c:axId val="2078499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8490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NOX, NO, NO2 Y N2O por influencia de la carga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NOX - 2000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('Caso influencia carga'!$BK$11,'Caso influencia carga'!$BN$11,'Caso influencia carga'!$BQ$11)</c:f>
              <c:numCache>
                <c:formatCode>0.000</c:formatCode>
                <c:ptCount val="3"/>
                <c:pt idx="0">
                  <c:v>16.26</c:v>
                </c:pt>
                <c:pt idx="1">
                  <c:v>14.86</c:v>
                </c:pt>
                <c:pt idx="2">
                  <c:v>13.455</c:v>
                </c:pt>
              </c:numCache>
            </c:numRef>
          </c:val>
          <c:smooth val="0"/>
        </c:ser>
        <c:ser>
          <c:idx val="1"/>
          <c:order val="1"/>
          <c:tx>
            <c:v>NOX - 2007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('Caso influencia carga'!$BL$11,'Caso influencia carga'!$BO$11,'Caso influencia carga'!$BR$11)</c:f>
              <c:numCache>
                <c:formatCode>0.000</c:formatCode>
                <c:ptCount val="3"/>
                <c:pt idx="0">
                  <c:v>15.22</c:v>
                </c:pt>
                <c:pt idx="1">
                  <c:v>13.97333333333333</c:v>
                </c:pt>
                <c:pt idx="2">
                  <c:v>12.67666666666667</c:v>
                </c:pt>
              </c:numCache>
            </c:numRef>
          </c:val>
          <c:smooth val="0"/>
        </c:ser>
        <c:ser>
          <c:idx val="2"/>
          <c:order val="2"/>
          <c:tx>
            <c:v>NOX - 2015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('Caso influencia carga'!$BM$11,'Caso influencia carga'!$BP$11,'Caso influencia carga'!$BS$11)</c:f>
              <c:numCache>
                <c:formatCode>0.000</c:formatCode>
                <c:ptCount val="3"/>
                <c:pt idx="0">
                  <c:v>12.38666666666666</c:v>
                </c:pt>
                <c:pt idx="1">
                  <c:v>11.41333333333333</c:v>
                </c:pt>
                <c:pt idx="2">
                  <c:v>10.41</c:v>
                </c:pt>
              </c:numCache>
            </c:numRef>
          </c:val>
          <c:smooth val="0"/>
        </c:ser>
        <c:ser>
          <c:idx val="3"/>
          <c:order val="3"/>
          <c:tx>
            <c:v>NO - 2000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('Caso influencia carga'!$BK$12,'Caso influencia carga'!$BN$12,'Caso influencia carga'!$BQ$12)</c:f>
              <c:numCache>
                <c:formatCode>0.000</c:formatCode>
                <c:ptCount val="3"/>
                <c:pt idx="0">
                  <c:v>14.475</c:v>
                </c:pt>
                <c:pt idx="1">
                  <c:v>13.225</c:v>
                </c:pt>
                <c:pt idx="2">
                  <c:v>11.975</c:v>
                </c:pt>
              </c:numCache>
            </c:numRef>
          </c:val>
          <c:smooth val="0"/>
        </c:ser>
        <c:ser>
          <c:idx val="4"/>
          <c:order val="4"/>
          <c:tx>
            <c:v>NO - 2007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('Caso influencia carga'!$BL$12,'Caso influencia carga'!$BO$12,'Caso influencia carga'!$BR$12)</c:f>
              <c:numCache>
                <c:formatCode>0.000</c:formatCode>
                <c:ptCount val="3"/>
                <c:pt idx="0">
                  <c:v>13.54666666666667</c:v>
                </c:pt>
                <c:pt idx="1">
                  <c:v>12.43666666666667</c:v>
                </c:pt>
                <c:pt idx="2">
                  <c:v>11.28333333333333</c:v>
                </c:pt>
              </c:numCache>
            </c:numRef>
          </c:val>
          <c:smooth val="0"/>
        </c:ser>
        <c:ser>
          <c:idx val="5"/>
          <c:order val="5"/>
          <c:tx>
            <c:v>NO - 2015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('Caso influencia carga'!$BM$12,'Caso influencia carga'!$BP$12,'Caso influencia carga'!$BS$12)</c:f>
              <c:numCache>
                <c:formatCode>0.000</c:formatCode>
                <c:ptCount val="3"/>
                <c:pt idx="0">
                  <c:v>10.90333333333333</c:v>
                </c:pt>
                <c:pt idx="1">
                  <c:v>10.04333333333333</c:v>
                </c:pt>
                <c:pt idx="2">
                  <c:v>9.163333333333332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688472"/>
        <c:axId val="2078695016"/>
      </c:lineChart>
      <c:lineChart>
        <c:grouping val="standard"/>
        <c:varyColors val="0"/>
        <c:ser>
          <c:idx val="6"/>
          <c:order val="6"/>
          <c:tx>
            <c:v>NO2 - 2000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('Caso influencia carga'!$BK$13,'Caso influencia carga'!$BN$13,'Caso influencia carga'!$BQ$13)</c:f>
              <c:numCache>
                <c:formatCode>0.000</c:formatCode>
                <c:ptCount val="3"/>
                <c:pt idx="0">
                  <c:v>1.79</c:v>
                </c:pt>
                <c:pt idx="1">
                  <c:v>1.635</c:v>
                </c:pt>
                <c:pt idx="2">
                  <c:v>1.48</c:v>
                </c:pt>
              </c:numCache>
            </c:numRef>
          </c:val>
          <c:smooth val="0"/>
        </c:ser>
        <c:ser>
          <c:idx val="7"/>
          <c:order val="7"/>
          <c:tx>
            <c:v>NO2 - 2007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('Caso influencia carga'!$BL$13,'Caso influencia carga'!$BO$13,'Caso influencia carga'!$BR$13)</c:f>
              <c:numCache>
                <c:formatCode>0.000</c:formatCode>
                <c:ptCount val="3"/>
                <c:pt idx="0">
                  <c:v>1.673333333333333</c:v>
                </c:pt>
                <c:pt idx="1">
                  <c:v>1.536666666666667</c:v>
                </c:pt>
                <c:pt idx="2">
                  <c:v>1.393333333333333</c:v>
                </c:pt>
              </c:numCache>
            </c:numRef>
          </c:val>
          <c:smooth val="0"/>
        </c:ser>
        <c:ser>
          <c:idx val="8"/>
          <c:order val="8"/>
          <c:tx>
            <c:v>NO2 - 2015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('Caso influencia carga'!$BM$13,'Caso influencia carga'!$BP$13,'Caso influencia carga'!$BS$13)</c:f>
              <c:numCache>
                <c:formatCode>0.000</c:formatCode>
                <c:ptCount val="3"/>
                <c:pt idx="0">
                  <c:v>1.483333333333333</c:v>
                </c:pt>
                <c:pt idx="1">
                  <c:v>1.366666666666666</c:v>
                </c:pt>
                <c:pt idx="2">
                  <c:v>1.246666666666667</c:v>
                </c:pt>
              </c:numCache>
            </c:numRef>
          </c:val>
          <c:smooth val="0"/>
        </c:ser>
        <c:ser>
          <c:idx val="9"/>
          <c:order val="9"/>
          <c:tx>
            <c:v>N2O - 2000</c:v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('Caso influencia carga'!$BK$14,'Caso influencia carga'!$BN$14,'Caso influencia carga'!$BQ$14)</c:f>
              <c:numCache>
                <c:formatCode>0.000</c:formatCode>
                <c:ptCount val="3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</c:numCache>
            </c:numRef>
          </c:val>
          <c:smooth val="0"/>
        </c:ser>
        <c:ser>
          <c:idx val="10"/>
          <c:order val="10"/>
          <c:tx>
            <c:v>N2O - 2007</c:v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('Caso influencia carga'!$BL$14,'Caso influencia carga'!$BO$14,'Caso influencia carga'!$BR$14)</c:f>
              <c:numCache>
                <c:formatCode>0.000</c:formatCode>
                <c:ptCount val="3"/>
                <c:pt idx="0">
                  <c:v>0.0166666666666667</c:v>
                </c:pt>
                <c:pt idx="1">
                  <c:v>0.0166666666666667</c:v>
                </c:pt>
                <c:pt idx="2">
                  <c:v>0.0166666666666667</c:v>
                </c:pt>
              </c:numCache>
            </c:numRef>
          </c:val>
          <c:smooth val="0"/>
        </c:ser>
        <c:ser>
          <c:idx val="11"/>
          <c:order val="11"/>
          <c:tx>
            <c:v>N2O - 2015</c:v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('Caso influencia carga'!$BM$14,'Caso influencia carga'!$BP$14,'Caso influencia carga'!$BS$14)</c:f>
              <c:numCache>
                <c:formatCode>0.000</c:formatCode>
                <c:ptCount val="3"/>
                <c:pt idx="0">
                  <c:v>0.01</c:v>
                </c:pt>
                <c:pt idx="1">
                  <c:v>0.01</c:v>
                </c:pt>
                <c:pt idx="2">
                  <c:v>0.00666666666666667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08360"/>
        <c:axId val="2078701976"/>
      </c:lineChart>
      <c:catAx>
        <c:axId val="2078688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Grado de carga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8695016"/>
        <c:crosses val="autoZero"/>
        <c:auto val="1"/>
        <c:lblAlgn val="ctr"/>
        <c:lblOffset val="100"/>
        <c:noMultiLvlLbl val="0"/>
      </c:catAx>
      <c:valAx>
        <c:axId val="2078695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NOX, NO (g/km)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8688472"/>
        <c:crosses val="autoZero"/>
        <c:crossBetween val="between"/>
      </c:valAx>
      <c:valAx>
        <c:axId val="2078701976"/>
        <c:scaling>
          <c:orientation val="minMax"/>
          <c:max val="10.0"/>
          <c:min val="0.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NO2 y N2O (g/km)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8708360"/>
        <c:crosses val="max"/>
        <c:crossBetween val="between"/>
      </c:valAx>
      <c:catAx>
        <c:axId val="2078708360"/>
        <c:scaling>
          <c:orientation val="minMax"/>
        </c:scaling>
        <c:delete val="1"/>
        <c:axPos val="b"/>
        <c:majorTickMark val="out"/>
        <c:minorTickMark val="none"/>
        <c:tickLblPos val="nextTo"/>
        <c:crossAx val="20787019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PM2.5, PM10 y PM (escape) por influencia de la carga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PM2.5 - 2000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('Caso influencia carga'!$BK$16,'Caso influencia carga'!$BN$16,'Caso influencia carga'!$BQ$16)</c:f>
              <c:numCache>
                <c:formatCode>0.000</c:formatCode>
                <c:ptCount val="3"/>
                <c:pt idx="0">
                  <c:v>0.805</c:v>
                </c:pt>
                <c:pt idx="1">
                  <c:v>0.74</c:v>
                </c:pt>
                <c:pt idx="2">
                  <c:v>0.69</c:v>
                </c:pt>
              </c:numCache>
            </c:numRef>
          </c:val>
          <c:smooth val="0"/>
        </c:ser>
        <c:ser>
          <c:idx val="1"/>
          <c:order val="1"/>
          <c:tx>
            <c:v>PM2.5 - 2007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('Caso influencia carga'!$BL$16,'Caso influencia carga'!$BO$16,'Caso influencia carga'!$BR$16)</c:f>
              <c:numCache>
                <c:formatCode>0.000</c:formatCode>
                <c:ptCount val="3"/>
                <c:pt idx="0">
                  <c:v>0.63</c:v>
                </c:pt>
                <c:pt idx="1">
                  <c:v>0.57</c:v>
                </c:pt>
                <c:pt idx="2">
                  <c:v>0.526666666666667</c:v>
                </c:pt>
              </c:numCache>
            </c:numRef>
          </c:val>
          <c:smooth val="0"/>
        </c:ser>
        <c:ser>
          <c:idx val="2"/>
          <c:order val="2"/>
          <c:tx>
            <c:v>PM2.5 - 2015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('Caso influencia carga'!$BM$16,'Caso influencia carga'!$BP$16,'Caso influencia carga'!$BS$16)</c:f>
              <c:numCache>
                <c:formatCode>0.000</c:formatCode>
                <c:ptCount val="3"/>
                <c:pt idx="0">
                  <c:v>0.386666666666667</c:v>
                </c:pt>
                <c:pt idx="1">
                  <c:v>0.343333333333333</c:v>
                </c:pt>
                <c:pt idx="2">
                  <c:v>0.31</c:v>
                </c:pt>
              </c:numCache>
            </c:numRef>
          </c:val>
          <c:smooth val="0"/>
        </c:ser>
        <c:ser>
          <c:idx val="3"/>
          <c:order val="3"/>
          <c:tx>
            <c:v>PM10 - 2000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('Caso influencia carga'!$BK$17,'Caso influencia carga'!$BN$17,'Caso influencia carga'!$BQ$17)</c:f>
              <c:numCache>
                <c:formatCode>0.000</c:formatCode>
                <c:ptCount val="3"/>
                <c:pt idx="0">
                  <c:v>0.85</c:v>
                </c:pt>
                <c:pt idx="1">
                  <c:v>0.775</c:v>
                </c:pt>
                <c:pt idx="2">
                  <c:v>0.72</c:v>
                </c:pt>
              </c:numCache>
            </c:numRef>
          </c:val>
          <c:smooth val="0"/>
        </c:ser>
        <c:ser>
          <c:idx val="4"/>
          <c:order val="4"/>
          <c:tx>
            <c:v>PM10 - 2007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('Caso influencia carga'!$BL$17,'Caso influencia carga'!$BO$17,'Caso influencia carga'!$BR$17)</c:f>
              <c:numCache>
                <c:formatCode>0.000</c:formatCode>
                <c:ptCount val="3"/>
                <c:pt idx="0">
                  <c:v>0.68</c:v>
                </c:pt>
                <c:pt idx="1">
                  <c:v>0.61</c:v>
                </c:pt>
                <c:pt idx="2">
                  <c:v>0.55</c:v>
                </c:pt>
              </c:numCache>
            </c:numRef>
          </c:val>
          <c:smooth val="0"/>
        </c:ser>
        <c:ser>
          <c:idx val="5"/>
          <c:order val="5"/>
          <c:tx>
            <c:v>PM10 - 2015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('Caso influencia carga'!$BM$17,'Caso influencia carga'!$BP$17,'Caso influencia carga'!$BS$17)</c:f>
              <c:numCache>
                <c:formatCode>0.000</c:formatCode>
                <c:ptCount val="3"/>
                <c:pt idx="0">
                  <c:v>0.436666666666667</c:v>
                </c:pt>
                <c:pt idx="1">
                  <c:v>0.376666666666667</c:v>
                </c:pt>
                <c:pt idx="2">
                  <c:v>0.336666666666667</c:v>
                </c:pt>
              </c:numCache>
            </c:numRef>
          </c:val>
          <c:smooth val="0"/>
        </c:ser>
        <c:ser>
          <c:idx val="6"/>
          <c:order val="6"/>
          <c:tx>
            <c:v>PM ESCAPE - 2000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carga'!$BK$18,'Caso influencia carga'!$BN$18,'Caso influencia carga'!$BQ$18)</c:f>
              <c:numCache>
                <c:formatCode>0.000</c:formatCode>
                <c:ptCount val="3"/>
                <c:pt idx="0">
                  <c:v>0.76</c:v>
                </c:pt>
                <c:pt idx="1">
                  <c:v>0.705</c:v>
                </c:pt>
                <c:pt idx="2">
                  <c:v>0.66</c:v>
                </c:pt>
              </c:numCache>
            </c:numRef>
          </c:val>
          <c:smooth val="0"/>
        </c:ser>
        <c:ser>
          <c:idx val="7"/>
          <c:order val="7"/>
          <c:tx>
            <c:v>PM ESCAPE - 2007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carga'!$BL$18,'Caso influencia carga'!$BO$18,'Caso influencia carga'!$BR$18)</c:f>
              <c:numCache>
                <c:formatCode>0.000</c:formatCode>
                <c:ptCount val="3"/>
                <c:pt idx="0">
                  <c:v>0.586666666666667</c:v>
                </c:pt>
                <c:pt idx="1">
                  <c:v>0.54</c:v>
                </c:pt>
                <c:pt idx="2">
                  <c:v>0.5</c:v>
                </c:pt>
              </c:numCache>
            </c:numRef>
          </c:val>
          <c:smooth val="0"/>
        </c:ser>
        <c:ser>
          <c:idx val="8"/>
          <c:order val="8"/>
          <c:tx>
            <c:v>PM ESCAPE - 2015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carga'!$BM$18,'Caso influencia carga'!$BP$18,'Caso influencia carga'!$BS$18)</c:f>
              <c:numCache>
                <c:formatCode>0.000</c:formatCode>
                <c:ptCount val="3"/>
                <c:pt idx="0">
                  <c:v>0.34</c:v>
                </c:pt>
                <c:pt idx="1">
                  <c:v>0.306666666666667</c:v>
                </c:pt>
                <c:pt idx="2">
                  <c:v>0.286666666666667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7728280"/>
        <c:axId val="2097717320"/>
      </c:lineChart>
      <c:catAx>
        <c:axId val="20977282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Grado de carga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7717320"/>
        <c:crosses val="autoZero"/>
        <c:auto val="1"/>
        <c:lblAlgn val="ctr"/>
        <c:lblOffset val="100"/>
        <c:noMultiLvlLbl val="0"/>
      </c:catAx>
      <c:valAx>
        <c:axId val="2097717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7728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EC y OM por influencia de la carga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EC - 2000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('Caso influencia carga'!$BK$19,'Caso influencia carga'!$BN$19,'Caso influencia carga'!$BQ$19)</c:f>
              <c:numCache>
                <c:formatCode>0.000</c:formatCode>
                <c:ptCount val="3"/>
                <c:pt idx="0">
                  <c:v>0.42</c:v>
                </c:pt>
                <c:pt idx="1">
                  <c:v>0.385</c:v>
                </c:pt>
                <c:pt idx="2">
                  <c:v>0.37</c:v>
                </c:pt>
              </c:numCache>
            </c:numRef>
          </c:val>
          <c:smooth val="0"/>
        </c:ser>
        <c:ser>
          <c:idx val="1"/>
          <c:order val="1"/>
          <c:tx>
            <c:v>EC - 2007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('Caso influencia carga'!$BL$19,'Caso influencia carga'!$BO$19,'Caso influencia carga'!$BR$19)</c:f>
              <c:numCache>
                <c:formatCode>0.000</c:formatCode>
                <c:ptCount val="3"/>
                <c:pt idx="0">
                  <c:v>0.333333333333333</c:v>
                </c:pt>
                <c:pt idx="1">
                  <c:v>0.303333333333333</c:v>
                </c:pt>
                <c:pt idx="2">
                  <c:v>0.283333333333333</c:v>
                </c:pt>
              </c:numCache>
            </c:numRef>
          </c:val>
          <c:smooth val="0"/>
        </c:ser>
        <c:ser>
          <c:idx val="2"/>
          <c:order val="2"/>
          <c:tx>
            <c:v>EC - 2015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('Caso influencia carga'!$BM$19,'Caso influencia carga'!$BP$19,'Caso influencia carga'!$BS$19)</c:f>
              <c:numCache>
                <c:formatCode>0.000</c:formatCode>
                <c:ptCount val="3"/>
                <c:pt idx="0">
                  <c:v>0.226666666666667</c:v>
                </c:pt>
                <c:pt idx="1">
                  <c:v>0.203333333333333</c:v>
                </c:pt>
                <c:pt idx="2">
                  <c:v>0.19</c:v>
                </c:pt>
              </c:numCache>
            </c:numRef>
          </c:val>
          <c:smooth val="0"/>
        </c:ser>
        <c:ser>
          <c:idx val="3"/>
          <c:order val="3"/>
          <c:tx>
            <c:v>OM - 2000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('Caso influencia carga'!$BK$20,'Caso influencia carga'!$BN$20,'Caso influencia carga'!$BQ$20)</c:f>
              <c:numCache>
                <c:formatCode>0.000</c:formatCode>
                <c:ptCount val="3"/>
                <c:pt idx="0">
                  <c:v>0.27</c:v>
                </c:pt>
                <c:pt idx="1">
                  <c:v>0.25</c:v>
                </c:pt>
                <c:pt idx="2">
                  <c:v>0.235</c:v>
                </c:pt>
              </c:numCache>
            </c:numRef>
          </c:val>
          <c:smooth val="0"/>
        </c:ser>
        <c:ser>
          <c:idx val="4"/>
          <c:order val="4"/>
          <c:tx>
            <c:v>OM - 2007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('Caso influencia carga'!$BL$20,'Caso influencia carga'!$BO$20,'Caso influencia carga'!$BR$20)</c:f>
              <c:numCache>
                <c:formatCode>0.000</c:formatCode>
                <c:ptCount val="3"/>
                <c:pt idx="0">
                  <c:v>0.2</c:v>
                </c:pt>
                <c:pt idx="1">
                  <c:v>0.183333333333333</c:v>
                </c:pt>
                <c:pt idx="2">
                  <c:v>0.173333333333333</c:v>
                </c:pt>
              </c:numCache>
            </c:numRef>
          </c:val>
          <c:smooth val="0"/>
        </c:ser>
        <c:ser>
          <c:idx val="5"/>
          <c:order val="5"/>
          <c:tx>
            <c:v>OM - 2015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('Caso influencia carga'!$BM$20,'Caso influencia carga'!$BP$20,'Caso influencia carga'!$BS$20)</c:f>
              <c:numCache>
                <c:formatCode>0.000</c:formatCode>
                <c:ptCount val="3"/>
                <c:pt idx="0">
                  <c:v>0.0866666666666667</c:v>
                </c:pt>
                <c:pt idx="1">
                  <c:v>0.0766666666666667</c:v>
                </c:pt>
                <c:pt idx="2">
                  <c:v>0.0733333333333333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7759560"/>
        <c:axId val="2097767720"/>
      </c:lineChart>
      <c:catAx>
        <c:axId val="2097759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Grado de carga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7767720"/>
        <c:crosses val="autoZero"/>
        <c:auto val="1"/>
        <c:lblAlgn val="ctr"/>
        <c:lblOffset val="100"/>
        <c:noMultiLvlLbl val="0"/>
      </c:catAx>
      <c:valAx>
        <c:axId val="2097767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7759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Pb, Cu, Ni, Zn por influencia de la carga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Pb - 2000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('Caso influencia carga'!$BK$25,'Caso influencia carga'!$BN$25,'Caso influencia carga'!$BQ$25)</c:f>
              <c:numCache>
                <c:formatCode>0.00</c:formatCode>
                <c:ptCount val="3"/>
                <c:pt idx="0">
                  <c:v>0.19</c:v>
                </c:pt>
                <c:pt idx="1">
                  <c:v>0.15</c:v>
                </c:pt>
                <c:pt idx="2">
                  <c:v>0.115</c:v>
                </c:pt>
              </c:numCache>
            </c:numRef>
          </c:val>
          <c:smooth val="0"/>
        </c:ser>
        <c:ser>
          <c:idx val="1"/>
          <c:order val="1"/>
          <c:tx>
            <c:v>Pb - 2007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('Caso influencia carga'!$BL$25,'Caso influencia carga'!$BO$25,'Caso influencia carga'!$BR$25)</c:f>
              <c:numCache>
                <c:formatCode>0.00</c:formatCode>
                <c:ptCount val="3"/>
                <c:pt idx="0">
                  <c:v>0.19</c:v>
                </c:pt>
                <c:pt idx="1">
                  <c:v>0.15</c:v>
                </c:pt>
                <c:pt idx="2">
                  <c:v>0.113333333333333</c:v>
                </c:pt>
              </c:numCache>
            </c:numRef>
          </c:val>
          <c:smooth val="0"/>
        </c:ser>
        <c:ser>
          <c:idx val="2"/>
          <c:order val="2"/>
          <c:tx>
            <c:v>Pb - 2015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'Caso influencia carga'!$BV$6:$BX$6</c:f>
              <c:strCache>
                <c:ptCount val="3"/>
                <c:pt idx="0">
                  <c:v>100% carga</c:v>
                </c:pt>
                <c:pt idx="1">
                  <c:v>50% carga</c:v>
                </c:pt>
                <c:pt idx="2">
                  <c:v>0% carga</c:v>
                </c:pt>
              </c:strCache>
            </c:strRef>
          </c:cat>
          <c:val>
            <c:numRef>
              <c:f>('Caso influencia carga'!$BM$25,'Caso influencia carga'!$BP$25,'Caso influencia carga'!$BS$25)</c:f>
              <c:numCache>
                <c:formatCode>0.00</c:formatCode>
                <c:ptCount val="3"/>
                <c:pt idx="0">
                  <c:v>0.19</c:v>
                </c:pt>
                <c:pt idx="1">
                  <c:v>0.15</c:v>
                </c:pt>
                <c:pt idx="2">
                  <c:v>0.11</c:v>
                </c:pt>
              </c:numCache>
            </c:numRef>
          </c:val>
          <c:smooth val="0"/>
        </c:ser>
        <c:ser>
          <c:idx val="3"/>
          <c:order val="3"/>
          <c:tx>
            <c:v>Cu - 2000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('Caso influencia carga'!$BK$27,'Caso influencia carga'!$BN$27,'Caso influencia carga'!$BQ$27)</c:f>
              <c:numCache>
                <c:formatCode>0.00</c:formatCode>
                <c:ptCount val="3"/>
                <c:pt idx="0">
                  <c:v>1.41</c:v>
                </c:pt>
                <c:pt idx="1">
                  <c:v>1.1</c:v>
                </c:pt>
                <c:pt idx="2">
                  <c:v>0.79</c:v>
                </c:pt>
              </c:numCache>
            </c:numRef>
          </c:val>
          <c:smooth val="0"/>
        </c:ser>
        <c:ser>
          <c:idx val="4"/>
          <c:order val="4"/>
          <c:tx>
            <c:v>Cu - 2007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('Caso influencia carga'!$BL$27,'Caso influencia carga'!$BO$27,'Caso influencia carga'!$BR$27)</c:f>
              <c:numCache>
                <c:formatCode>0.00</c:formatCode>
                <c:ptCount val="3"/>
                <c:pt idx="0">
                  <c:v>1.41</c:v>
                </c:pt>
                <c:pt idx="1">
                  <c:v>1.1</c:v>
                </c:pt>
                <c:pt idx="2">
                  <c:v>0.79</c:v>
                </c:pt>
              </c:numCache>
            </c:numRef>
          </c:val>
          <c:smooth val="0"/>
        </c:ser>
        <c:ser>
          <c:idx val="5"/>
          <c:order val="5"/>
          <c:tx>
            <c:v>Cu - 2015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('Caso influencia carga'!$BM$27,'Caso influencia carga'!$BP$27,'Caso influencia carga'!$BS$27)</c:f>
              <c:numCache>
                <c:formatCode>0.00</c:formatCode>
                <c:ptCount val="3"/>
                <c:pt idx="0">
                  <c:v>1.41</c:v>
                </c:pt>
                <c:pt idx="1">
                  <c:v>1.1</c:v>
                </c:pt>
                <c:pt idx="2">
                  <c:v>0.79</c:v>
                </c:pt>
              </c:numCache>
            </c:numRef>
          </c:val>
          <c:smooth val="0"/>
        </c:ser>
        <c:ser>
          <c:idx val="6"/>
          <c:order val="6"/>
          <c:tx>
            <c:v>Ni - 2000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carga'!$BK$28,'Caso influencia carga'!$BN$28,'Caso influencia carga'!$BQ$28)</c:f>
              <c:numCache>
                <c:formatCode>General</c:formatCode>
                <c:ptCount val="3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</c:numCache>
            </c:numRef>
          </c:val>
          <c:smooth val="0"/>
        </c:ser>
        <c:ser>
          <c:idx val="7"/>
          <c:order val="7"/>
          <c:tx>
            <c:v>Ni - 2007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carga'!$BL$28,'Caso influencia carga'!$BO$28,'Caso influencia carga'!$BR$28)</c:f>
              <c:numCache>
                <c:formatCode>General</c:formatCode>
                <c:ptCount val="3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</c:numCache>
            </c:numRef>
          </c:val>
          <c:smooth val="0"/>
        </c:ser>
        <c:ser>
          <c:idx val="8"/>
          <c:order val="8"/>
          <c:tx>
            <c:v>Ni - 2015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carga'!$BM$28,'Caso influencia carga'!$BP$28,'Caso influencia carga'!$BS$28)</c:f>
              <c:numCache>
                <c:formatCode>General</c:formatCode>
                <c:ptCount val="3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</c:numCache>
            </c:numRef>
          </c:val>
          <c:smooth val="0"/>
        </c:ser>
        <c:ser>
          <c:idx val="9"/>
          <c:order val="9"/>
          <c:tx>
            <c:v>Zn - 2000</c:v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carga'!$BK$30,'Caso influencia carga'!$BN$30,'Caso influencia carga'!$BQ$30)</c:f>
              <c:numCache>
                <c:formatCode>0.00</c:formatCode>
                <c:ptCount val="3"/>
                <c:pt idx="0">
                  <c:v>1.11</c:v>
                </c:pt>
                <c:pt idx="1">
                  <c:v>0.97</c:v>
                </c:pt>
                <c:pt idx="2">
                  <c:v>0.825</c:v>
                </c:pt>
              </c:numCache>
            </c:numRef>
          </c:val>
          <c:smooth val="0"/>
        </c:ser>
        <c:ser>
          <c:idx val="10"/>
          <c:order val="10"/>
          <c:tx>
            <c:v>Zn - 2007</c:v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carga'!$BL$30,'Caso influencia carga'!$BO$30,'Caso influencia carga'!$BR$30)</c:f>
              <c:numCache>
                <c:formatCode>0.00</c:formatCode>
                <c:ptCount val="3"/>
                <c:pt idx="0">
                  <c:v>1.083333333333333</c:v>
                </c:pt>
                <c:pt idx="1">
                  <c:v>0.94</c:v>
                </c:pt>
                <c:pt idx="2">
                  <c:v>0.793333333333333</c:v>
                </c:pt>
              </c:numCache>
            </c:numRef>
          </c:val>
          <c:smooth val="0"/>
        </c:ser>
        <c:ser>
          <c:idx val="11"/>
          <c:order val="11"/>
          <c:tx>
            <c:v>Zn - 2015</c:v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carga'!$BM$30,'Caso influencia carga'!$BP$30,'Caso influencia carga'!$BS$30)</c:f>
              <c:numCache>
                <c:formatCode>0.00</c:formatCode>
                <c:ptCount val="3"/>
                <c:pt idx="0">
                  <c:v>1.043333333333333</c:v>
                </c:pt>
                <c:pt idx="1">
                  <c:v>0.9</c:v>
                </c:pt>
                <c:pt idx="2">
                  <c:v>0.753333333333333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7878072"/>
        <c:axId val="2097886328"/>
      </c:lineChart>
      <c:catAx>
        <c:axId val="20978780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Grado de carga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7886328"/>
        <c:crosses val="autoZero"/>
        <c:auto val="1"/>
        <c:lblAlgn val="ctr"/>
        <c:lblOffset val="100"/>
        <c:noMultiLvlLbl val="0"/>
      </c:catAx>
      <c:valAx>
        <c:axId val="2097886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(mg/km)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7878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FC y CO2 por influencia de la velocidad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'Caso influencia velocidad'!$BU$7</c:f>
              <c:strCache>
                <c:ptCount val="1"/>
                <c:pt idx="0">
                  <c:v>FC - 2000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'Caso influencia velocidad'!$BV$7:$BX$7</c:f>
              <c:numCache>
                <c:formatCode>0.00</c:formatCode>
                <c:ptCount val="3"/>
                <c:pt idx="0">
                  <c:v>51.1748502994012</c:v>
                </c:pt>
                <c:pt idx="1">
                  <c:v>45.41976047904191</c:v>
                </c:pt>
                <c:pt idx="2">
                  <c:v>38.23473053892215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'Caso influencia velocidad'!$BU$8</c:f>
              <c:strCache>
                <c:ptCount val="1"/>
                <c:pt idx="0">
                  <c:v>FC - 2007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'Caso influencia velocidad'!$BV$8:$BX$8</c:f>
              <c:numCache>
                <c:formatCode>0.00</c:formatCode>
                <c:ptCount val="3"/>
                <c:pt idx="0">
                  <c:v>49.25668662674651</c:v>
                </c:pt>
                <c:pt idx="1">
                  <c:v>43.86986027944112</c:v>
                </c:pt>
                <c:pt idx="2">
                  <c:v>37.1189620758483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'Caso influencia velocidad'!$BU$9</c:f>
              <c:strCache>
                <c:ptCount val="1"/>
                <c:pt idx="0">
                  <c:v>FC - 2015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'Caso influencia velocidad'!$BV$9:$BX$9</c:f>
              <c:numCache>
                <c:formatCode>0.00</c:formatCode>
                <c:ptCount val="3"/>
                <c:pt idx="0">
                  <c:v>46.63672654690618</c:v>
                </c:pt>
                <c:pt idx="1">
                  <c:v>41.75049900199601</c:v>
                </c:pt>
                <c:pt idx="2">
                  <c:v>35.59001996007984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786136"/>
        <c:axId val="2075777576"/>
      </c:lineChart>
      <c:lineChart>
        <c:grouping val="standard"/>
        <c:varyColors val="0"/>
        <c:ser>
          <c:idx val="3"/>
          <c:order val="3"/>
          <c:tx>
            <c:v>CO2 - 2000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('Caso influencia velocidad'!$BK$22,'Caso influencia velocidad'!$BN$22,'Caso influencia velocidad'!$BQ$22)</c:f>
              <c:numCache>
                <c:formatCode>0.000</c:formatCode>
                <c:ptCount val="3"/>
                <c:pt idx="0">
                  <c:v>1.3485</c:v>
                </c:pt>
                <c:pt idx="1">
                  <c:v>1.1975</c:v>
                </c:pt>
                <c:pt idx="2">
                  <c:v>1.0085</c:v>
                </c:pt>
              </c:numCache>
            </c:numRef>
          </c:val>
          <c:smooth val="0"/>
        </c:ser>
        <c:ser>
          <c:idx val="4"/>
          <c:order val="4"/>
          <c:tx>
            <c:v>CO2 - 2007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('Caso influencia velocidad'!$BL$22,'Caso influencia velocidad'!$BO$22,'Caso influencia velocidad'!$BR$22)</c:f>
              <c:numCache>
                <c:formatCode>0.000</c:formatCode>
                <c:ptCount val="3"/>
                <c:pt idx="0">
                  <c:v>1.297944176666667</c:v>
                </c:pt>
                <c:pt idx="1">
                  <c:v>1.156333333333333</c:v>
                </c:pt>
                <c:pt idx="2">
                  <c:v>0.978666666666667</c:v>
                </c:pt>
              </c:numCache>
            </c:numRef>
          </c:val>
          <c:smooth val="0"/>
        </c:ser>
        <c:ser>
          <c:idx val="5"/>
          <c:order val="5"/>
          <c:tx>
            <c:v>CO2 - 2015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('Caso influencia velocidad'!$BM$22,'Caso influencia velocidad'!$BP$22,'Caso influencia velocidad'!$BS$22)</c:f>
              <c:numCache>
                <c:formatCode>0.000</c:formatCode>
                <c:ptCount val="3"/>
                <c:pt idx="0">
                  <c:v>1.228631386666666</c:v>
                </c:pt>
                <c:pt idx="1">
                  <c:v>1.1</c:v>
                </c:pt>
                <c:pt idx="2">
                  <c:v>0.938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758040"/>
        <c:axId val="2075765192"/>
      </c:lineChart>
      <c:catAx>
        <c:axId val="20757861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Velocidad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5777576"/>
        <c:crosses val="autoZero"/>
        <c:auto val="1"/>
        <c:lblAlgn val="ctr"/>
        <c:lblOffset val="100"/>
        <c:noMultiLvlLbl val="0"/>
      </c:catAx>
      <c:valAx>
        <c:axId val="2075777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Consumo promedio de combustible (l/100km)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5786136"/>
        <c:crosses val="autoZero"/>
        <c:crossBetween val="between"/>
      </c:valAx>
      <c:valAx>
        <c:axId val="2075765192"/>
        <c:scaling>
          <c:orientation val="minMax"/>
          <c:max val="4.0"/>
          <c:min val="0.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Emisión de CO2 por vehículo</a:t>
                </a:r>
                <a:r>
                  <a:rPr lang="es-ES" baseline="0"/>
                  <a:t> (kg/km)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5758040"/>
        <c:crosses val="max"/>
        <c:crossBetween val="between"/>
      </c:valAx>
      <c:catAx>
        <c:axId val="2075758040"/>
        <c:scaling>
          <c:orientation val="minMax"/>
        </c:scaling>
        <c:delete val="1"/>
        <c:axPos val="b"/>
        <c:majorTickMark val="out"/>
        <c:minorTickMark val="none"/>
        <c:tickLblPos val="nextTo"/>
        <c:crossAx val="20757651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SO2 por influencia velocidad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6"/>
          <c:order val="0"/>
          <c:tx>
            <c:v>SO2 - 2000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('Caso influencia velocidad'!$BK$23,'Caso influencia velocidad'!$BN$23,'Caso influencia velocidad'!$BQ$23)</c:f>
              <c:numCache>
                <c:formatCode>0.000</c:formatCode>
                <c:ptCount val="3"/>
                <c:pt idx="0">
                  <c:v>0.38</c:v>
                </c:pt>
                <c:pt idx="1">
                  <c:v>0.345</c:v>
                </c:pt>
                <c:pt idx="2">
                  <c:v>0.29</c:v>
                </c:pt>
              </c:numCache>
            </c:numRef>
          </c:val>
          <c:smooth val="0"/>
        </c:ser>
        <c:ser>
          <c:idx val="7"/>
          <c:order val="1"/>
          <c:tx>
            <c:v>SO2 - 2007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('Caso influencia velocidad'!$BL$23,'Caso influencia velocidad'!$BO$23,'Caso influencia velocidad'!$BR$23)</c:f>
              <c:numCache>
                <c:formatCode>0.000</c:formatCode>
                <c:ptCount val="3"/>
                <c:pt idx="0">
                  <c:v>0.366666666666667</c:v>
                </c:pt>
                <c:pt idx="1">
                  <c:v>0.333333333333333</c:v>
                </c:pt>
                <c:pt idx="2">
                  <c:v>0.28</c:v>
                </c:pt>
              </c:numCache>
            </c:numRef>
          </c:val>
          <c:smooth val="0"/>
        </c:ser>
        <c:ser>
          <c:idx val="8"/>
          <c:order val="2"/>
          <c:tx>
            <c:v>SO2 - 2015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('Caso influencia velocidad'!$BM$23,'Caso influencia velocidad'!$BP$23,'Caso influencia velocidad'!$BS$23)</c:f>
              <c:numCache>
                <c:formatCode>0.000</c:formatCode>
                <c:ptCount val="3"/>
                <c:pt idx="0">
                  <c:v>0.36</c:v>
                </c:pt>
                <c:pt idx="1">
                  <c:v>0.32</c:v>
                </c:pt>
                <c:pt idx="2">
                  <c:v>0.276666666666667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692808"/>
        <c:axId val="2075680488"/>
      </c:lineChart>
      <c:catAx>
        <c:axId val="2075692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Velocidad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5680488"/>
        <c:crosses val="autoZero"/>
        <c:auto val="1"/>
        <c:lblAlgn val="ctr"/>
        <c:lblOffset val="100"/>
        <c:noMultiLvlLbl val="0"/>
      </c:catAx>
      <c:valAx>
        <c:axId val="2075680488"/>
        <c:scaling>
          <c:orientation val="minMax"/>
          <c:min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</a:t>
                </a:r>
                <a:r>
                  <a:rPr lang="es-ES" baseline="0"/>
                  <a:t> (g/km)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5692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CO, VOC, NMVOC y CH4 por influencia de la velocidad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 - 2000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('Caso influencia velocidad'!$BK$7,'Caso influencia velocidad'!$BN$7,'Caso influencia velocidad'!$BQ$7)</c:f>
              <c:numCache>
                <c:formatCode>0.000</c:formatCode>
                <c:ptCount val="3"/>
                <c:pt idx="0">
                  <c:v>5.27</c:v>
                </c:pt>
                <c:pt idx="1">
                  <c:v>4.46</c:v>
                </c:pt>
                <c:pt idx="2">
                  <c:v>3.48</c:v>
                </c:pt>
              </c:numCache>
            </c:numRef>
          </c:val>
          <c:smooth val="0"/>
        </c:ser>
        <c:ser>
          <c:idx val="1"/>
          <c:order val="1"/>
          <c:tx>
            <c:v>CO - 2007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('Caso influencia velocidad'!$BL$7,'Caso influencia velocidad'!$BO$7,'Caso influencia velocidad'!$BR$7)</c:f>
              <c:numCache>
                <c:formatCode>0.000</c:formatCode>
                <c:ptCount val="3"/>
                <c:pt idx="0">
                  <c:v>4.686666666666666</c:v>
                </c:pt>
                <c:pt idx="1">
                  <c:v>3.933333333333334</c:v>
                </c:pt>
                <c:pt idx="2">
                  <c:v>3.006666666666666</c:v>
                </c:pt>
              </c:numCache>
            </c:numRef>
          </c:val>
          <c:smooth val="0"/>
        </c:ser>
        <c:ser>
          <c:idx val="2"/>
          <c:order val="2"/>
          <c:tx>
            <c:v>CO - 2015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('Caso influencia velocidad'!$BM$7,'Caso influencia velocidad'!$BP$7,'Caso influencia velocidad'!$BS$7)</c:f>
              <c:numCache>
                <c:formatCode>0.000</c:formatCode>
                <c:ptCount val="3"/>
                <c:pt idx="0">
                  <c:v>3.89</c:v>
                </c:pt>
                <c:pt idx="1">
                  <c:v>3.216666666666667</c:v>
                </c:pt>
                <c:pt idx="2">
                  <c:v>2.346666666666666</c:v>
                </c:pt>
              </c:numCache>
            </c:numRef>
          </c:val>
          <c:smooth val="0"/>
        </c:ser>
        <c:ser>
          <c:idx val="3"/>
          <c:order val="3"/>
          <c:tx>
            <c:v>VOC - 2000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('Caso influencia velocidad'!$BK$8,'Caso influencia velocidad'!$BN$8,'Caso influencia velocidad'!$BQ$8)</c:f>
              <c:numCache>
                <c:formatCode>0.000</c:formatCode>
                <c:ptCount val="3"/>
                <c:pt idx="0">
                  <c:v>1.665</c:v>
                </c:pt>
                <c:pt idx="1">
                  <c:v>1.345</c:v>
                </c:pt>
                <c:pt idx="2">
                  <c:v>0.97</c:v>
                </c:pt>
              </c:numCache>
            </c:numRef>
          </c:val>
          <c:smooth val="0"/>
        </c:ser>
        <c:ser>
          <c:idx val="4"/>
          <c:order val="4"/>
          <c:tx>
            <c:v>VOC - 2007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('Caso influencia velocidad'!$BL$8,'Caso influencia velocidad'!$BO$8,'Caso influencia velocidad'!$BR$8)</c:f>
              <c:numCache>
                <c:formatCode>0.000</c:formatCode>
                <c:ptCount val="3"/>
                <c:pt idx="0">
                  <c:v>1.376666666666667</c:v>
                </c:pt>
                <c:pt idx="1">
                  <c:v>1.113333333333333</c:v>
                </c:pt>
                <c:pt idx="2">
                  <c:v>0.81</c:v>
                </c:pt>
              </c:numCache>
            </c:numRef>
          </c:val>
          <c:smooth val="0"/>
        </c:ser>
        <c:ser>
          <c:idx val="5"/>
          <c:order val="5"/>
          <c:tx>
            <c:v>VOC - 2015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('Caso influencia velocidad'!$BM$8,'Caso influencia velocidad'!$BP$8,'Caso influencia velocidad'!$BS$8)</c:f>
              <c:numCache>
                <c:formatCode>0.000</c:formatCode>
                <c:ptCount val="3"/>
                <c:pt idx="0">
                  <c:v>0.846666666666667</c:v>
                </c:pt>
                <c:pt idx="1">
                  <c:v>0.703333333333333</c:v>
                </c:pt>
                <c:pt idx="2">
                  <c:v>0.53</c:v>
                </c:pt>
              </c:numCache>
            </c:numRef>
          </c:val>
          <c:smooth val="0"/>
        </c:ser>
        <c:ser>
          <c:idx val="6"/>
          <c:order val="6"/>
          <c:tx>
            <c:v>NMVOC - 2000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velocidad'!$BK$9,'Caso influencia velocidad'!$BN$9,'Caso influencia velocidad'!$BQ$9)</c:f>
              <c:numCache>
                <c:formatCode>0.000</c:formatCode>
                <c:ptCount val="3"/>
                <c:pt idx="0">
                  <c:v>1.49</c:v>
                </c:pt>
                <c:pt idx="1">
                  <c:v>1.17</c:v>
                </c:pt>
                <c:pt idx="2">
                  <c:v>0.795</c:v>
                </c:pt>
              </c:numCache>
            </c:numRef>
          </c:val>
          <c:smooth val="0"/>
        </c:ser>
        <c:ser>
          <c:idx val="7"/>
          <c:order val="7"/>
          <c:tx>
            <c:v>NMVOC - 2007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velocidad'!$BL$9,'Caso influencia velocidad'!$BO$9,'Caso influencia velocidad'!$BR$9)</c:f>
              <c:numCache>
                <c:formatCode>0.000</c:formatCode>
                <c:ptCount val="3"/>
                <c:pt idx="0">
                  <c:v>1.22</c:v>
                </c:pt>
                <c:pt idx="1">
                  <c:v>0.96</c:v>
                </c:pt>
                <c:pt idx="2">
                  <c:v>0.66</c:v>
                </c:pt>
              </c:numCache>
            </c:numRef>
          </c:val>
          <c:smooth val="0"/>
        </c:ser>
        <c:ser>
          <c:idx val="8"/>
          <c:order val="8"/>
          <c:tx>
            <c:v>NMVOC - 2015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velocidad'!$BM$9,'Caso influencia velocidad'!$BP$9,'Caso influencia velocidad'!$BS$9)</c:f>
              <c:numCache>
                <c:formatCode>0.000</c:formatCode>
                <c:ptCount val="3"/>
                <c:pt idx="0">
                  <c:v>0.716666666666667</c:v>
                </c:pt>
                <c:pt idx="1">
                  <c:v>0.57</c:v>
                </c:pt>
                <c:pt idx="2">
                  <c:v>0.4</c:v>
                </c:pt>
              </c:numCache>
            </c:numRef>
          </c:val>
          <c:smooth val="0"/>
        </c:ser>
        <c:ser>
          <c:idx val="9"/>
          <c:order val="9"/>
          <c:tx>
            <c:v>CH4 - 2000</c:v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velocidad'!$BK$10,'Caso influencia velocidad'!$BN$10,'Caso influencia velocidad'!$BQ$10)</c:f>
              <c:numCache>
                <c:formatCode>0.000</c:formatCode>
                <c:ptCount val="3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</c:numCache>
            </c:numRef>
          </c:val>
          <c:smooth val="0"/>
        </c:ser>
        <c:ser>
          <c:idx val="10"/>
          <c:order val="10"/>
          <c:tx>
            <c:v>CH4 - 2007</c:v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velocidad'!$BL$10,'Caso influencia velocidad'!$BO$10,'Caso influencia velocidad'!$BR$10)</c:f>
              <c:numCache>
                <c:formatCode>0.000</c:formatCode>
                <c:ptCount val="3"/>
                <c:pt idx="0">
                  <c:v>0.156666666666667</c:v>
                </c:pt>
                <c:pt idx="1">
                  <c:v>0.156666666666667</c:v>
                </c:pt>
                <c:pt idx="2">
                  <c:v>0.156666666666667</c:v>
                </c:pt>
              </c:numCache>
            </c:numRef>
          </c:val>
          <c:smooth val="0"/>
        </c:ser>
        <c:ser>
          <c:idx val="11"/>
          <c:order val="11"/>
          <c:tx>
            <c:v>CH4 - 2015</c:v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velocidad'!$BM$10,'Caso influencia velocidad'!$BP$10,'Caso influencia velocidad'!$BS$10)</c:f>
              <c:numCache>
                <c:formatCode>0.000</c:formatCode>
                <c:ptCount val="3"/>
                <c:pt idx="0">
                  <c:v>0.13</c:v>
                </c:pt>
                <c:pt idx="1">
                  <c:v>0.13</c:v>
                </c:pt>
                <c:pt idx="2">
                  <c:v>0.13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539016"/>
        <c:axId val="2075547128"/>
      </c:lineChart>
      <c:catAx>
        <c:axId val="20755390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Velocidad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5547128"/>
        <c:crosses val="autoZero"/>
        <c:auto val="1"/>
        <c:lblAlgn val="ctr"/>
        <c:lblOffset val="100"/>
        <c:noMultiLvlLbl val="0"/>
      </c:catAx>
      <c:valAx>
        <c:axId val="2075547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5539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NOX, NO, NO2 Y N2O por influencia de la velocidad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NOX - 2000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('Caso influencia velocidad'!$BK$11,'Caso influencia velocidad'!$BN$11,'Caso influencia velocidad'!$BQ$11)</c:f>
              <c:numCache>
                <c:formatCode>0.000</c:formatCode>
                <c:ptCount val="3"/>
                <c:pt idx="0">
                  <c:v>16.26</c:v>
                </c:pt>
                <c:pt idx="1">
                  <c:v>14.63</c:v>
                </c:pt>
                <c:pt idx="2">
                  <c:v>12.54</c:v>
                </c:pt>
              </c:numCache>
            </c:numRef>
          </c:val>
          <c:smooth val="0"/>
        </c:ser>
        <c:ser>
          <c:idx val="1"/>
          <c:order val="1"/>
          <c:tx>
            <c:v>NOX - 2007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('Caso influencia velocidad'!$BL$11,'Caso influencia velocidad'!$BO$11,'Caso influencia velocidad'!$BR$11)</c:f>
              <c:numCache>
                <c:formatCode>0.000</c:formatCode>
                <c:ptCount val="3"/>
                <c:pt idx="0">
                  <c:v>15.22</c:v>
                </c:pt>
                <c:pt idx="1">
                  <c:v>13.64666666666667</c:v>
                </c:pt>
                <c:pt idx="2">
                  <c:v>11.64333333333333</c:v>
                </c:pt>
              </c:numCache>
            </c:numRef>
          </c:val>
          <c:smooth val="0"/>
        </c:ser>
        <c:ser>
          <c:idx val="2"/>
          <c:order val="2"/>
          <c:tx>
            <c:v>NOX - 2015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('Caso influencia velocidad'!$BM$11,'Caso influencia velocidad'!$BP$11,'Caso influencia velocidad'!$BS$11)</c:f>
              <c:numCache>
                <c:formatCode>0.000</c:formatCode>
                <c:ptCount val="3"/>
                <c:pt idx="0">
                  <c:v>12.38666666666666</c:v>
                </c:pt>
                <c:pt idx="1">
                  <c:v>10.9</c:v>
                </c:pt>
                <c:pt idx="2">
                  <c:v>9.073333333333332</c:v>
                </c:pt>
              </c:numCache>
            </c:numRef>
          </c:val>
          <c:smooth val="0"/>
        </c:ser>
        <c:ser>
          <c:idx val="3"/>
          <c:order val="3"/>
          <c:tx>
            <c:v>NO - 2000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('Caso influencia velocidad'!$BK$12,'Caso influencia velocidad'!$BN$12,'Caso influencia velocidad'!$BQ$12)</c:f>
              <c:numCache>
                <c:formatCode>0.000</c:formatCode>
                <c:ptCount val="3"/>
                <c:pt idx="0">
                  <c:v>14.475</c:v>
                </c:pt>
                <c:pt idx="1">
                  <c:v>13.025</c:v>
                </c:pt>
                <c:pt idx="2">
                  <c:v>11.16</c:v>
                </c:pt>
              </c:numCache>
            </c:numRef>
          </c:val>
          <c:smooth val="0"/>
        </c:ser>
        <c:ser>
          <c:idx val="4"/>
          <c:order val="4"/>
          <c:tx>
            <c:v>NO - 2007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('Caso influencia velocidad'!$BL$12,'Caso influencia velocidad'!$BO$12,'Caso influencia velocidad'!$BR$12)</c:f>
              <c:numCache>
                <c:formatCode>0.000</c:formatCode>
                <c:ptCount val="3"/>
                <c:pt idx="0">
                  <c:v>13.54666666666667</c:v>
                </c:pt>
                <c:pt idx="1">
                  <c:v>12.14333333333333</c:v>
                </c:pt>
                <c:pt idx="2">
                  <c:v>10.36333333333333</c:v>
                </c:pt>
              </c:numCache>
            </c:numRef>
          </c:val>
          <c:smooth val="0"/>
        </c:ser>
        <c:ser>
          <c:idx val="5"/>
          <c:order val="5"/>
          <c:tx>
            <c:v>NO - 2015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('Caso influencia velocidad'!$BM$12,'Caso influencia velocidad'!$BP$12,'Caso influencia velocidad'!$BS$12)</c:f>
              <c:numCache>
                <c:formatCode>0.000</c:formatCode>
                <c:ptCount val="3"/>
                <c:pt idx="0">
                  <c:v>10.90333333333333</c:v>
                </c:pt>
                <c:pt idx="1">
                  <c:v>9.6</c:v>
                </c:pt>
                <c:pt idx="2">
                  <c:v>7.993333333333333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148104"/>
        <c:axId val="2075154616"/>
      </c:lineChart>
      <c:lineChart>
        <c:grouping val="standard"/>
        <c:varyColors val="0"/>
        <c:ser>
          <c:idx val="6"/>
          <c:order val="6"/>
          <c:tx>
            <c:v>NO2 - 2000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('Caso influencia velocidad'!$BK$13,'Caso influencia velocidad'!$BN$13,'Caso influencia velocidad'!$BQ$13)</c:f>
              <c:numCache>
                <c:formatCode>0.000</c:formatCode>
                <c:ptCount val="3"/>
                <c:pt idx="0">
                  <c:v>1.79</c:v>
                </c:pt>
                <c:pt idx="1">
                  <c:v>1.61</c:v>
                </c:pt>
                <c:pt idx="2">
                  <c:v>1.38</c:v>
                </c:pt>
              </c:numCache>
            </c:numRef>
          </c:val>
          <c:smooth val="0"/>
        </c:ser>
        <c:ser>
          <c:idx val="7"/>
          <c:order val="7"/>
          <c:tx>
            <c:v>NO2 - 2007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('Caso influencia velocidad'!$BL$13,'Caso influencia velocidad'!$BO$13,'Caso influencia velocidad'!$BR$13)</c:f>
              <c:numCache>
                <c:formatCode>0.000</c:formatCode>
                <c:ptCount val="3"/>
                <c:pt idx="0">
                  <c:v>1.673333333333333</c:v>
                </c:pt>
                <c:pt idx="1">
                  <c:v>1.5</c:v>
                </c:pt>
                <c:pt idx="2">
                  <c:v>1.28</c:v>
                </c:pt>
              </c:numCache>
            </c:numRef>
          </c:val>
          <c:smooth val="0"/>
        </c:ser>
        <c:ser>
          <c:idx val="8"/>
          <c:order val="8"/>
          <c:tx>
            <c:v>NO2 - 2015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('Caso influencia velocidad'!$BM$13,'Caso influencia velocidad'!$BP$13,'Caso influencia velocidad'!$BS$13)</c:f>
              <c:numCache>
                <c:formatCode>0.000</c:formatCode>
                <c:ptCount val="3"/>
                <c:pt idx="0">
                  <c:v>1.483333333333333</c:v>
                </c:pt>
                <c:pt idx="1">
                  <c:v>1.3</c:v>
                </c:pt>
                <c:pt idx="2">
                  <c:v>1.08</c:v>
                </c:pt>
              </c:numCache>
            </c:numRef>
          </c:val>
          <c:smooth val="0"/>
        </c:ser>
        <c:ser>
          <c:idx val="9"/>
          <c:order val="9"/>
          <c:tx>
            <c:v>N2O - 2000</c:v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('Caso influencia velocidad'!$BK$14,'Caso influencia velocidad'!$BN$14,'Caso influencia velocidad'!$BQ$14)</c:f>
              <c:numCache>
                <c:formatCode>0.000</c:formatCode>
                <c:ptCount val="3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</c:numCache>
            </c:numRef>
          </c:val>
          <c:smooth val="0"/>
        </c:ser>
        <c:ser>
          <c:idx val="10"/>
          <c:order val="10"/>
          <c:tx>
            <c:v>N2O - 2007</c:v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('Caso influencia velocidad'!$BL$14,'Caso influencia velocidad'!$BO$14,'Caso influencia velocidad'!$BR$14)</c:f>
              <c:numCache>
                <c:formatCode>0.000</c:formatCode>
                <c:ptCount val="3"/>
                <c:pt idx="0">
                  <c:v>0.0166666666666667</c:v>
                </c:pt>
                <c:pt idx="1">
                  <c:v>0.0166666666666667</c:v>
                </c:pt>
                <c:pt idx="2">
                  <c:v>0.0166666666666667</c:v>
                </c:pt>
              </c:numCache>
            </c:numRef>
          </c:val>
          <c:smooth val="0"/>
        </c:ser>
        <c:ser>
          <c:idx val="11"/>
          <c:order val="11"/>
          <c:tx>
            <c:v>N2O - 2015</c:v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('Caso influencia velocidad'!$BM$14,'Caso influencia velocidad'!$BP$14,'Caso influencia velocidad'!$BS$14)</c:f>
              <c:numCache>
                <c:formatCode>0.000</c:formatCode>
                <c:ptCount val="3"/>
                <c:pt idx="0">
                  <c:v>0.01</c:v>
                </c:pt>
                <c:pt idx="1">
                  <c:v>0.01</c:v>
                </c:pt>
                <c:pt idx="2">
                  <c:v>0.00666666666666667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138824"/>
        <c:axId val="2075132456"/>
      </c:lineChart>
      <c:catAx>
        <c:axId val="2075148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Velocidad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5154616"/>
        <c:crosses val="autoZero"/>
        <c:auto val="1"/>
        <c:lblAlgn val="ctr"/>
        <c:lblOffset val="100"/>
        <c:noMultiLvlLbl val="0"/>
      </c:catAx>
      <c:valAx>
        <c:axId val="2075154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NOX, NO (g/km)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5148104"/>
        <c:crosses val="autoZero"/>
        <c:crossBetween val="between"/>
      </c:valAx>
      <c:valAx>
        <c:axId val="2075132456"/>
        <c:scaling>
          <c:orientation val="minMax"/>
          <c:max val="10.0"/>
          <c:min val="0.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NO2 y N2O (g/km)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5138824"/>
        <c:crosses val="max"/>
        <c:crossBetween val="between"/>
      </c:valAx>
      <c:catAx>
        <c:axId val="2075138824"/>
        <c:scaling>
          <c:orientation val="minMax"/>
        </c:scaling>
        <c:delete val="1"/>
        <c:axPos val="b"/>
        <c:majorTickMark val="out"/>
        <c:minorTickMark val="none"/>
        <c:tickLblPos val="nextTo"/>
        <c:crossAx val="20751324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PM2.5, PM10 y PM (escape) por influencia de la velocidad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PM2.5 - 2000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('Caso influencia velocidad'!$BK$16,'Caso influencia velocidad'!$BN$16,'Caso influencia velocidad'!$BQ$16)</c:f>
              <c:numCache>
                <c:formatCode>0.000</c:formatCode>
                <c:ptCount val="3"/>
                <c:pt idx="0">
                  <c:v>0.805</c:v>
                </c:pt>
                <c:pt idx="1">
                  <c:v>0.685</c:v>
                </c:pt>
                <c:pt idx="2">
                  <c:v>0.54</c:v>
                </c:pt>
              </c:numCache>
            </c:numRef>
          </c:val>
          <c:smooth val="0"/>
        </c:ser>
        <c:ser>
          <c:idx val="1"/>
          <c:order val="1"/>
          <c:tx>
            <c:v>PM2.5 - 2007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('Caso influencia velocidad'!$BL$16,'Caso influencia velocidad'!$BO$16,'Caso influencia velocidad'!$BR$16)</c:f>
              <c:numCache>
                <c:formatCode>0.000</c:formatCode>
                <c:ptCount val="3"/>
                <c:pt idx="0">
                  <c:v>0.63</c:v>
                </c:pt>
                <c:pt idx="1">
                  <c:v>0.54</c:v>
                </c:pt>
                <c:pt idx="2">
                  <c:v>0.433333333333333</c:v>
                </c:pt>
              </c:numCache>
            </c:numRef>
          </c:val>
          <c:smooth val="0"/>
        </c:ser>
        <c:ser>
          <c:idx val="2"/>
          <c:order val="2"/>
          <c:tx>
            <c:v>PM2.5 - 2015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('Caso influencia velocidad'!$BM$16,'Caso influencia velocidad'!$BP$16,'Caso influencia velocidad'!$BS$16)</c:f>
              <c:numCache>
                <c:formatCode>0.000</c:formatCode>
                <c:ptCount val="3"/>
                <c:pt idx="0">
                  <c:v>0.386666666666667</c:v>
                </c:pt>
                <c:pt idx="1">
                  <c:v>0.336666666666667</c:v>
                </c:pt>
                <c:pt idx="2">
                  <c:v>0.276666666666667</c:v>
                </c:pt>
              </c:numCache>
            </c:numRef>
          </c:val>
          <c:smooth val="0"/>
        </c:ser>
        <c:ser>
          <c:idx val="3"/>
          <c:order val="3"/>
          <c:tx>
            <c:v>PM10 - 2000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('Caso influencia velocidad'!$BK$17,'Caso influencia velocidad'!$BN$17,'Caso influencia velocidad'!$BQ$17)</c:f>
              <c:numCache>
                <c:formatCode>0.000</c:formatCode>
                <c:ptCount val="3"/>
                <c:pt idx="0">
                  <c:v>0.85</c:v>
                </c:pt>
                <c:pt idx="1">
                  <c:v>0.73</c:v>
                </c:pt>
                <c:pt idx="2">
                  <c:v>0.585</c:v>
                </c:pt>
              </c:numCache>
            </c:numRef>
          </c:val>
          <c:smooth val="0"/>
        </c:ser>
        <c:ser>
          <c:idx val="4"/>
          <c:order val="4"/>
          <c:tx>
            <c:v>PM10 - 2007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('Caso influencia velocidad'!$BL$17,'Caso influencia velocidad'!$BO$17,'Caso influencia velocidad'!$BR$17)</c:f>
              <c:numCache>
                <c:formatCode>0.000</c:formatCode>
                <c:ptCount val="3"/>
                <c:pt idx="0">
                  <c:v>0.68</c:v>
                </c:pt>
                <c:pt idx="1">
                  <c:v>0.59</c:v>
                </c:pt>
                <c:pt idx="2">
                  <c:v>0.483333333333333</c:v>
                </c:pt>
              </c:numCache>
            </c:numRef>
          </c:val>
          <c:smooth val="0"/>
        </c:ser>
        <c:ser>
          <c:idx val="5"/>
          <c:order val="5"/>
          <c:tx>
            <c:v>PM10 - 2015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('Caso influencia velocidad'!$BM$17,'Caso influencia velocidad'!$BP$17,'Caso influencia velocidad'!$BS$17)</c:f>
              <c:numCache>
                <c:formatCode>0.000</c:formatCode>
                <c:ptCount val="3"/>
                <c:pt idx="0">
                  <c:v>0.436666666666667</c:v>
                </c:pt>
                <c:pt idx="1">
                  <c:v>0.386666666666667</c:v>
                </c:pt>
                <c:pt idx="2">
                  <c:v>0.323333333333333</c:v>
                </c:pt>
              </c:numCache>
            </c:numRef>
          </c:val>
          <c:smooth val="0"/>
        </c:ser>
        <c:ser>
          <c:idx val="6"/>
          <c:order val="6"/>
          <c:tx>
            <c:v>PM ESCAPE - 2000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velocidad'!$BK$18,'Caso influencia velocidad'!$BN$18,'Caso influencia velocidad'!$BQ$18)</c:f>
              <c:numCache>
                <c:formatCode>0.000</c:formatCode>
                <c:ptCount val="3"/>
                <c:pt idx="0">
                  <c:v>0.76</c:v>
                </c:pt>
                <c:pt idx="1">
                  <c:v>0.64</c:v>
                </c:pt>
                <c:pt idx="2">
                  <c:v>0.495</c:v>
                </c:pt>
              </c:numCache>
            </c:numRef>
          </c:val>
          <c:smooth val="0"/>
        </c:ser>
        <c:ser>
          <c:idx val="7"/>
          <c:order val="7"/>
          <c:tx>
            <c:v>PM ESCAPE - 2007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velocidad'!$BL$18,'Caso influencia velocidad'!$BO$18,'Caso influencia velocidad'!$BR$18)</c:f>
              <c:numCache>
                <c:formatCode>0.000</c:formatCode>
                <c:ptCount val="3"/>
                <c:pt idx="0">
                  <c:v>0.586666666666667</c:v>
                </c:pt>
                <c:pt idx="1">
                  <c:v>0.5</c:v>
                </c:pt>
                <c:pt idx="2">
                  <c:v>0.386666666666667</c:v>
                </c:pt>
              </c:numCache>
            </c:numRef>
          </c:val>
          <c:smooth val="0"/>
        </c:ser>
        <c:ser>
          <c:idx val="8"/>
          <c:order val="8"/>
          <c:tx>
            <c:v>PM ESCAPE - 2015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velocidad'!$BM$18,'Caso influencia velocidad'!$BP$18,'Caso influencia velocidad'!$BS$18)</c:f>
              <c:numCache>
                <c:formatCode>0.000</c:formatCode>
                <c:ptCount val="3"/>
                <c:pt idx="0">
                  <c:v>0.34</c:v>
                </c:pt>
                <c:pt idx="1">
                  <c:v>0.296666666666667</c:v>
                </c:pt>
                <c:pt idx="2">
                  <c:v>0.23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070904"/>
        <c:axId val="2075076952"/>
      </c:lineChart>
      <c:catAx>
        <c:axId val="20750709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Velocidad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5076952"/>
        <c:crosses val="autoZero"/>
        <c:auto val="1"/>
        <c:lblAlgn val="ctr"/>
        <c:lblOffset val="100"/>
        <c:noMultiLvlLbl val="0"/>
      </c:catAx>
      <c:valAx>
        <c:axId val="2075076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5070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Comportamiento de la emisión de CH4</a:t>
            </a:r>
            <a:r>
              <a:rPr lang="es-ES" b="1" baseline="0"/>
              <a:t> según COPERT 4 - autobuses</a:t>
            </a:r>
            <a:endParaRPr lang="es-ES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'Caso modelo inicial'!$P$9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inicial'!$Q$33:$S$33</c:f>
              <c:numCache>
                <c:formatCode>General</c:formatCode>
                <c:ptCount val="3"/>
                <c:pt idx="0">
                  <c:v>0.18</c:v>
                </c:pt>
                <c:pt idx="1">
                  <c:v>0.18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inicial'!$P$10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inicial'!$Q$34:$S$34</c:f>
              <c:numCache>
                <c:formatCode>General</c:formatCode>
                <c:ptCount val="3"/>
                <c:pt idx="0">
                  <c:v>0.18</c:v>
                </c:pt>
                <c:pt idx="1">
                  <c:v>0.18</c:v>
                </c:pt>
                <c:pt idx="2">
                  <c:v>0.18</c:v>
                </c:pt>
              </c:numCache>
            </c:numRef>
          </c:val>
        </c:ser>
        <c:ser>
          <c:idx val="2"/>
          <c:order val="2"/>
          <c:tx>
            <c:strRef>
              <c:f>'Caso modelo inicial'!$P$11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inicial'!$Q$35:$S$35</c:f>
              <c:numCache>
                <c:formatCode>General</c:formatCode>
                <c:ptCount val="3"/>
                <c:pt idx="0">
                  <c:v>0.0</c:v>
                </c:pt>
                <c:pt idx="1">
                  <c:v>0.11</c:v>
                </c:pt>
                <c:pt idx="2">
                  <c:v>0.11</c:v>
                </c:pt>
              </c:numCache>
            </c:numRef>
          </c:val>
        </c:ser>
        <c:ser>
          <c:idx val="3"/>
          <c:order val="3"/>
          <c:tx>
            <c:strRef>
              <c:f>'Caso modelo inicial'!$P$12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inicial'!$Q$36:$S$36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79261976"/>
        <c:axId val="2079140904"/>
      </c:barChart>
      <c:catAx>
        <c:axId val="2079261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Año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9140904"/>
        <c:crosses val="autoZero"/>
        <c:auto val="1"/>
        <c:lblAlgn val="ctr"/>
        <c:lblOffset val="100"/>
        <c:noMultiLvlLbl val="0"/>
      </c:catAx>
      <c:valAx>
        <c:axId val="2079140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Emisión de CH4 por vehículo (g/km)</a:t>
                </a:r>
              </a:p>
            </c:rich>
          </c:tx>
          <c:layout>
            <c:manualLayout>
              <c:xMode val="edge"/>
              <c:yMode val="edge"/>
              <c:x val="0.0333333333333333"/>
              <c:y val="0.1119444444444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9261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EC y OM por influencia de la velocidad-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EC - 2000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('Caso influencia velocidad'!$BK$19,'Caso influencia velocidad'!$BN$19,'Caso influencia velocidad'!$BQ$19)</c:f>
              <c:numCache>
                <c:formatCode>0.000</c:formatCode>
                <c:ptCount val="3"/>
                <c:pt idx="0">
                  <c:v>0.42</c:v>
                </c:pt>
                <c:pt idx="1">
                  <c:v>0.35</c:v>
                </c:pt>
                <c:pt idx="2">
                  <c:v>0.275</c:v>
                </c:pt>
              </c:numCache>
            </c:numRef>
          </c:val>
          <c:smooth val="0"/>
        </c:ser>
        <c:ser>
          <c:idx val="1"/>
          <c:order val="1"/>
          <c:tx>
            <c:v>EC - 2007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('Caso influencia velocidad'!$BL$19,'Caso influencia velocidad'!$BO$19,'Caso influencia velocidad'!$BR$19)</c:f>
              <c:numCache>
                <c:formatCode>0.000</c:formatCode>
                <c:ptCount val="3"/>
                <c:pt idx="0">
                  <c:v>0.333333333333333</c:v>
                </c:pt>
                <c:pt idx="1">
                  <c:v>0.283333333333333</c:v>
                </c:pt>
                <c:pt idx="2">
                  <c:v>0.22</c:v>
                </c:pt>
              </c:numCache>
            </c:numRef>
          </c:val>
          <c:smooth val="0"/>
        </c:ser>
        <c:ser>
          <c:idx val="2"/>
          <c:order val="2"/>
          <c:tx>
            <c:v>EC - 2015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('Caso influencia velocidad'!$BM$19,'Caso influencia velocidad'!$BP$19,'Caso influencia velocidad'!$BS$19)</c:f>
              <c:numCache>
                <c:formatCode>0.000</c:formatCode>
                <c:ptCount val="3"/>
                <c:pt idx="0">
                  <c:v>0.226666666666667</c:v>
                </c:pt>
                <c:pt idx="1">
                  <c:v>0.196666666666667</c:v>
                </c:pt>
                <c:pt idx="2">
                  <c:v>0.15</c:v>
                </c:pt>
              </c:numCache>
            </c:numRef>
          </c:val>
          <c:smooth val="0"/>
        </c:ser>
        <c:ser>
          <c:idx val="3"/>
          <c:order val="3"/>
          <c:tx>
            <c:v>OM - 2000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('Caso influencia velocidad'!$BK$20,'Caso influencia velocidad'!$BN$20,'Caso influencia velocidad'!$BQ$20)</c:f>
              <c:numCache>
                <c:formatCode>0.000</c:formatCode>
                <c:ptCount val="3"/>
                <c:pt idx="0">
                  <c:v>0.27</c:v>
                </c:pt>
                <c:pt idx="1">
                  <c:v>0.225</c:v>
                </c:pt>
                <c:pt idx="2">
                  <c:v>0.175</c:v>
                </c:pt>
              </c:numCache>
            </c:numRef>
          </c:val>
          <c:smooth val="0"/>
        </c:ser>
        <c:ser>
          <c:idx val="4"/>
          <c:order val="4"/>
          <c:tx>
            <c:v>OM - 2007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('Caso influencia velocidad'!$BL$20,'Caso influencia velocidad'!$BO$20,'Caso influencia velocidad'!$BR$20)</c:f>
              <c:numCache>
                <c:formatCode>0.000</c:formatCode>
                <c:ptCount val="3"/>
                <c:pt idx="0">
                  <c:v>0.2</c:v>
                </c:pt>
                <c:pt idx="1">
                  <c:v>0.17</c:v>
                </c:pt>
                <c:pt idx="2">
                  <c:v>0.13</c:v>
                </c:pt>
              </c:numCache>
            </c:numRef>
          </c:val>
          <c:smooth val="0"/>
        </c:ser>
        <c:ser>
          <c:idx val="5"/>
          <c:order val="5"/>
          <c:tx>
            <c:v>OM - 2015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('Caso influencia velocidad'!$BM$20,'Caso influencia velocidad'!$BP$20,'Caso influencia velocidad'!$BS$20)</c:f>
              <c:numCache>
                <c:formatCode>0.000</c:formatCode>
                <c:ptCount val="3"/>
                <c:pt idx="0">
                  <c:v>0.0866666666666667</c:v>
                </c:pt>
                <c:pt idx="1">
                  <c:v>0.0733333333333333</c:v>
                </c:pt>
                <c:pt idx="2">
                  <c:v>0.0566666666666667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020920"/>
        <c:axId val="2074933848"/>
      </c:lineChart>
      <c:catAx>
        <c:axId val="2075020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Velocidad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4933848"/>
        <c:crosses val="autoZero"/>
        <c:auto val="1"/>
        <c:lblAlgn val="ctr"/>
        <c:lblOffset val="100"/>
        <c:noMultiLvlLbl val="0"/>
      </c:catAx>
      <c:valAx>
        <c:axId val="2074933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5020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Comportamiento</a:t>
            </a:r>
            <a:r>
              <a:rPr lang="es-ES" baseline="0"/>
              <a:t> de Pb, Cu, Ni, Zn por influencia de la velocidad - COPERT 4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Pb - 2000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('Caso influencia velocidad'!$BK$25,'Caso influencia velocidad'!$BN$25,'Caso influencia velocidad'!$BQ$25)</c:f>
              <c:numCache>
                <c:formatCode>0.00</c:formatCode>
                <c:ptCount val="3"/>
                <c:pt idx="0">
                  <c:v>0.19</c:v>
                </c:pt>
                <c:pt idx="1">
                  <c:v>0.19</c:v>
                </c:pt>
                <c:pt idx="2">
                  <c:v>0.185</c:v>
                </c:pt>
              </c:numCache>
            </c:numRef>
          </c:val>
          <c:smooth val="0"/>
        </c:ser>
        <c:ser>
          <c:idx val="1"/>
          <c:order val="1"/>
          <c:tx>
            <c:v>Pb - 2007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('Caso influencia velocidad'!$BL$25,'Caso influencia velocidad'!$BO$25,'Caso influencia velocidad'!$BR$25)</c:f>
              <c:numCache>
                <c:formatCode>0.00</c:formatCode>
                <c:ptCount val="3"/>
                <c:pt idx="0">
                  <c:v>0.19</c:v>
                </c:pt>
                <c:pt idx="1">
                  <c:v>0.19</c:v>
                </c:pt>
                <c:pt idx="2">
                  <c:v>0.183333333333333</c:v>
                </c:pt>
              </c:numCache>
            </c:numRef>
          </c:val>
          <c:smooth val="0"/>
        </c:ser>
        <c:ser>
          <c:idx val="2"/>
          <c:order val="2"/>
          <c:tx>
            <c:v>Pb - 2015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'Caso influencia velocidad'!$BV$6:$BX$6</c:f>
              <c:strCache>
                <c:ptCount val="3"/>
                <c:pt idx="0">
                  <c:v>20 km/h</c:v>
                </c:pt>
                <c:pt idx="1">
                  <c:v>25 km/h</c:v>
                </c:pt>
                <c:pt idx="2">
                  <c:v>35 km/h</c:v>
                </c:pt>
              </c:strCache>
            </c:strRef>
          </c:cat>
          <c:val>
            <c:numRef>
              <c:f>('Caso influencia velocidad'!$BM$25,'Caso influencia velocidad'!$BP$25,'Caso influencia velocidad'!$BS$25)</c:f>
              <c:numCache>
                <c:formatCode>0.00</c:formatCode>
                <c:ptCount val="3"/>
                <c:pt idx="0">
                  <c:v>0.19</c:v>
                </c:pt>
                <c:pt idx="1">
                  <c:v>0.19</c:v>
                </c:pt>
                <c:pt idx="2">
                  <c:v>0.18</c:v>
                </c:pt>
              </c:numCache>
            </c:numRef>
          </c:val>
          <c:smooth val="0"/>
        </c:ser>
        <c:ser>
          <c:idx val="3"/>
          <c:order val="3"/>
          <c:tx>
            <c:v>Cu - 2000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('Caso influencia velocidad'!$BK$27,'Caso influencia velocidad'!$BN$27,'Caso influencia velocidad'!$BQ$27)</c:f>
              <c:numCache>
                <c:formatCode>0.00</c:formatCode>
                <c:ptCount val="3"/>
                <c:pt idx="0">
                  <c:v>1.41</c:v>
                </c:pt>
                <c:pt idx="1">
                  <c:v>1.41</c:v>
                </c:pt>
                <c:pt idx="2">
                  <c:v>1.41</c:v>
                </c:pt>
              </c:numCache>
            </c:numRef>
          </c:val>
          <c:smooth val="0"/>
        </c:ser>
        <c:ser>
          <c:idx val="4"/>
          <c:order val="4"/>
          <c:tx>
            <c:v>Cu - 2007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val>
            <c:numRef>
              <c:f>('Caso influencia velocidad'!$BL$27,'Caso influencia velocidad'!$BO$27,'Caso influencia velocidad'!$BR$27)</c:f>
              <c:numCache>
                <c:formatCode>0.00</c:formatCode>
                <c:ptCount val="3"/>
                <c:pt idx="0">
                  <c:v>1.41</c:v>
                </c:pt>
                <c:pt idx="1">
                  <c:v>1.41</c:v>
                </c:pt>
                <c:pt idx="2">
                  <c:v>1.41</c:v>
                </c:pt>
              </c:numCache>
            </c:numRef>
          </c:val>
          <c:smooth val="0"/>
        </c:ser>
        <c:ser>
          <c:idx val="5"/>
          <c:order val="5"/>
          <c:tx>
            <c:v>Cu - 2015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val>
            <c:numRef>
              <c:f>('Caso influencia velocidad'!$BM$27,'Caso influencia velocidad'!$BP$27,'Caso influencia velocidad'!$BS$27)</c:f>
              <c:numCache>
                <c:formatCode>0.00</c:formatCode>
                <c:ptCount val="3"/>
                <c:pt idx="0">
                  <c:v>1.41</c:v>
                </c:pt>
                <c:pt idx="1">
                  <c:v>1.41</c:v>
                </c:pt>
                <c:pt idx="2">
                  <c:v>1.41</c:v>
                </c:pt>
              </c:numCache>
            </c:numRef>
          </c:val>
          <c:smooth val="0"/>
        </c:ser>
        <c:ser>
          <c:idx val="6"/>
          <c:order val="6"/>
          <c:tx>
            <c:v>Ni - 2000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velocidad'!$BK$28,'Caso influencia velocidad'!$BN$28,'Caso influencia velocidad'!$BQ$28)</c:f>
              <c:numCache>
                <c:formatCode>General</c:formatCode>
                <c:ptCount val="3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</c:numCache>
            </c:numRef>
          </c:val>
          <c:smooth val="0"/>
        </c:ser>
        <c:ser>
          <c:idx val="7"/>
          <c:order val="7"/>
          <c:tx>
            <c:v>Ni - 2007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velocidad'!$BL$28,'Caso influencia velocidad'!$BO$28,'Caso influencia velocidad'!$BR$28)</c:f>
              <c:numCache>
                <c:formatCode>General</c:formatCode>
                <c:ptCount val="3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</c:numCache>
            </c:numRef>
          </c:val>
          <c:smooth val="0"/>
        </c:ser>
        <c:ser>
          <c:idx val="8"/>
          <c:order val="8"/>
          <c:tx>
            <c:v>Ni - 2015</c:v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velocidad'!$BM$28,'Caso influencia velocidad'!$BP$28,'Caso influencia velocidad'!$BS$28)</c:f>
              <c:numCache>
                <c:formatCode>General</c:formatCode>
                <c:ptCount val="3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</c:numCache>
            </c:numRef>
          </c:val>
          <c:smooth val="0"/>
        </c:ser>
        <c:ser>
          <c:idx val="9"/>
          <c:order val="9"/>
          <c:tx>
            <c:v>Zn - 2000</c:v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velocidad'!$BK$30,'Caso influencia velocidad'!$BN$30,'Caso influencia velocidad'!$BQ$30)</c:f>
              <c:numCache>
                <c:formatCode>0.00</c:formatCode>
                <c:ptCount val="3"/>
                <c:pt idx="0">
                  <c:v>1.11</c:v>
                </c:pt>
                <c:pt idx="1">
                  <c:v>1.025</c:v>
                </c:pt>
                <c:pt idx="2">
                  <c:v>0.925</c:v>
                </c:pt>
              </c:numCache>
            </c:numRef>
          </c:val>
          <c:smooth val="0"/>
        </c:ser>
        <c:ser>
          <c:idx val="10"/>
          <c:order val="10"/>
          <c:tx>
            <c:v>Zn - 2007</c:v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velocidad'!$BL$30,'Caso influencia velocidad'!$BO$30,'Caso influencia velocidad'!$BR$30)</c:f>
              <c:numCache>
                <c:formatCode>0.00</c:formatCode>
                <c:ptCount val="3"/>
                <c:pt idx="0">
                  <c:v>1.083333333333333</c:v>
                </c:pt>
                <c:pt idx="1">
                  <c:v>1.003333333333333</c:v>
                </c:pt>
                <c:pt idx="2">
                  <c:v>0.906666666666667</c:v>
                </c:pt>
              </c:numCache>
            </c:numRef>
          </c:val>
          <c:smooth val="0"/>
        </c:ser>
        <c:ser>
          <c:idx val="11"/>
          <c:order val="11"/>
          <c:tx>
            <c:v>Zn - 2015</c:v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val>
            <c:numRef>
              <c:f>('Caso influencia velocidad'!$BM$30,'Caso influencia velocidad'!$BP$30,'Caso influencia velocidad'!$BS$30)</c:f>
              <c:numCache>
                <c:formatCode>0.00</c:formatCode>
                <c:ptCount val="3"/>
                <c:pt idx="0">
                  <c:v>1.043333333333333</c:v>
                </c:pt>
                <c:pt idx="1">
                  <c:v>0.973333333333333</c:v>
                </c:pt>
                <c:pt idx="2">
                  <c:v>0.883333333333333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4853128"/>
        <c:axId val="2074847992"/>
      </c:lineChart>
      <c:catAx>
        <c:axId val="2074853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Velocidad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4847992"/>
        <c:crosses val="autoZero"/>
        <c:auto val="1"/>
        <c:lblAlgn val="ctr"/>
        <c:lblOffset val="100"/>
        <c:noMultiLvlLbl val="0"/>
      </c:catAx>
      <c:valAx>
        <c:axId val="2074847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(mg/km)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4853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Comportamiento de la emisión de NOX</a:t>
            </a:r>
            <a:r>
              <a:rPr lang="es-ES" b="1" baseline="0"/>
              <a:t> según COPERT 4 - autobuses</a:t>
            </a:r>
            <a:endParaRPr lang="es-ES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'Caso modelo inicial'!$P$9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inicial'!$Q$41:$S$41</c:f>
              <c:numCache>
                <c:formatCode>General</c:formatCode>
                <c:ptCount val="3"/>
                <c:pt idx="0">
                  <c:v>20.05</c:v>
                </c:pt>
                <c:pt idx="1">
                  <c:v>19.94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inicial'!$P$10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inicial'!$Q$42:$S$42</c:f>
              <c:numCache>
                <c:formatCode>General</c:formatCode>
                <c:ptCount val="3"/>
                <c:pt idx="0">
                  <c:v>12.47</c:v>
                </c:pt>
                <c:pt idx="1">
                  <c:v>12.4</c:v>
                </c:pt>
                <c:pt idx="2">
                  <c:v>12.17</c:v>
                </c:pt>
              </c:numCache>
            </c:numRef>
          </c:val>
        </c:ser>
        <c:ser>
          <c:idx val="2"/>
          <c:order val="2"/>
          <c:tx>
            <c:strRef>
              <c:f>'Caso modelo inicial'!$P$11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inicial'!$Q$43:$S$43</c:f>
              <c:numCache>
                <c:formatCode>General</c:formatCode>
                <c:ptCount val="3"/>
                <c:pt idx="0">
                  <c:v>0.0</c:v>
                </c:pt>
                <c:pt idx="1">
                  <c:v>13.32</c:v>
                </c:pt>
                <c:pt idx="2">
                  <c:v>13.08</c:v>
                </c:pt>
              </c:numCache>
            </c:numRef>
          </c:val>
        </c:ser>
        <c:ser>
          <c:idx val="3"/>
          <c:order val="3"/>
          <c:tx>
            <c:strRef>
              <c:f>'Caso modelo inicial'!$P$12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inicial'!$Q$44:$S$44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11.91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73465960"/>
        <c:axId val="2073472472"/>
      </c:barChart>
      <c:catAx>
        <c:axId val="2073465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Año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3472472"/>
        <c:crosses val="autoZero"/>
        <c:auto val="1"/>
        <c:lblAlgn val="ctr"/>
        <c:lblOffset val="100"/>
        <c:noMultiLvlLbl val="0"/>
      </c:catAx>
      <c:valAx>
        <c:axId val="2073472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Emisión de NOX por vehículo (g/km)</a:t>
                </a:r>
              </a:p>
            </c:rich>
          </c:tx>
          <c:layout>
            <c:manualLayout>
              <c:xMode val="edge"/>
              <c:yMode val="edge"/>
              <c:x val="0.0333333333333333"/>
              <c:y val="0.1119444444444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3465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Comportamiento de la emisión de NO</a:t>
            </a:r>
            <a:r>
              <a:rPr lang="es-ES" b="1" baseline="0"/>
              <a:t> según COPERT 4 - autobuses</a:t>
            </a:r>
            <a:endParaRPr lang="es-ES" b="1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'Caso modelo inicial'!$P$9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inicial'!$Q$49:$S$49</c:f>
              <c:numCache>
                <c:formatCode>General</c:formatCode>
                <c:ptCount val="3"/>
                <c:pt idx="0">
                  <c:v>17.85</c:v>
                </c:pt>
                <c:pt idx="1">
                  <c:v>17.75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inicial'!$P$10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inicial'!$Q$50:$S$50</c:f>
              <c:numCache>
                <c:formatCode>General</c:formatCode>
                <c:ptCount val="3"/>
                <c:pt idx="0">
                  <c:v>11.1</c:v>
                </c:pt>
                <c:pt idx="1">
                  <c:v>11.03</c:v>
                </c:pt>
                <c:pt idx="2">
                  <c:v>10.83</c:v>
                </c:pt>
              </c:numCache>
            </c:numRef>
          </c:val>
        </c:ser>
        <c:ser>
          <c:idx val="2"/>
          <c:order val="2"/>
          <c:tx>
            <c:strRef>
              <c:f>'Caso modelo inicial'!$P$11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inicial'!$Q$51:$S$51</c:f>
              <c:numCache>
                <c:formatCode>General</c:formatCode>
                <c:ptCount val="3"/>
                <c:pt idx="0">
                  <c:v>0.0</c:v>
                </c:pt>
                <c:pt idx="1">
                  <c:v>11.86</c:v>
                </c:pt>
                <c:pt idx="2">
                  <c:v>11.64</c:v>
                </c:pt>
              </c:numCache>
            </c:numRef>
          </c:val>
        </c:ser>
        <c:ser>
          <c:idx val="3"/>
          <c:order val="3"/>
          <c:tx>
            <c:strRef>
              <c:f>'Caso modelo inicial'!$P$12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inicial'!$Q$52:$S$52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10.24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73213912"/>
        <c:axId val="2073299528"/>
      </c:barChart>
      <c:catAx>
        <c:axId val="2073213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Año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3299528"/>
        <c:crosses val="autoZero"/>
        <c:auto val="1"/>
        <c:lblAlgn val="ctr"/>
        <c:lblOffset val="100"/>
        <c:noMultiLvlLbl val="0"/>
      </c:catAx>
      <c:valAx>
        <c:axId val="2073299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Emisión de NO por vehículo (g/km)</a:t>
                </a:r>
              </a:p>
            </c:rich>
          </c:tx>
          <c:layout>
            <c:manualLayout>
              <c:xMode val="edge"/>
              <c:yMode val="edge"/>
              <c:x val="0.0333333333333333"/>
              <c:y val="0.1119444444444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3213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Comportamiento de la emisión de NO2</a:t>
            </a:r>
            <a:r>
              <a:rPr lang="es-ES" b="1" baseline="0"/>
              <a:t> según COPERT 4 - autobuses</a:t>
            </a:r>
            <a:endParaRPr lang="es-E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'Caso modelo inicial'!$P$9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inicial'!$Q$57:$S$57</c:f>
              <c:numCache>
                <c:formatCode>General</c:formatCode>
                <c:ptCount val="3"/>
                <c:pt idx="0">
                  <c:v>2.21</c:v>
                </c:pt>
                <c:pt idx="1">
                  <c:v>2.19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inicial'!$P$10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inicial'!$Q$58:$S$58</c:f>
              <c:numCache>
                <c:formatCode>General</c:formatCode>
                <c:ptCount val="3"/>
                <c:pt idx="0">
                  <c:v>1.37</c:v>
                </c:pt>
                <c:pt idx="1">
                  <c:v>1.36</c:v>
                </c:pt>
                <c:pt idx="2">
                  <c:v>1.34</c:v>
                </c:pt>
              </c:numCache>
            </c:numRef>
          </c:val>
        </c:ser>
        <c:ser>
          <c:idx val="2"/>
          <c:order val="2"/>
          <c:tx>
            <c:strRef>
              <c:f>'Caso modelo inicial'!$P$11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inicial'!$Q$59:$S$59</c:f>
              <c:numCache>
                <c:formatCode>General</c:formatCode>
                <c:ptCount val="3"/>
                <c:pt idx="0">
                  <c:v>0.0</c:v>
                </c:pt>
                <c:pt idx="1">
                  <c:v>1.47</c:v>
                </c:pt>
                <c:pt idx="2">
                  <c:v>1.44</c:v>
                </c:pt>
              </c:numCache>
            </c:numRef>
          </c:val>
        </c:ser>
        <c:ser>
          <c:idx val="3"/>
          <c:order val="3"/>
          <c:tx>
            <c:strRef>
              <c:f>'Caso modelo inicial'!$P$12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inicial'!$Q$60:$S$60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1.67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69919576"/>
        <c:axId val="2069926088"/>
      </c:barChart>
      <c:catAx>
        <c:axId val="2069919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69926088"/>
        <c:crosses val="autoZero"/>
        <c:auto val="1"/>
        <c:lblAlgn val="ctr"/>
        <c:lblOffset val="100"/>
        <c:noMultiLvlLbl val="0"/>
      </c:catAx>
      <c:valAx>
        <c:axId val="2069926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Emisión de NO2 por vehículo (g/km)</a:t>
                </a:r>
              </a:p>
            </c:rich>
          </c:tx>
          <c:layout>
            <c:manualLayout>
              <c:xMode val="edge"/>
              <c:yMode val="edge"/>
              <c:x val="0.0333333333333333"/>
              <c:y val="0.1119444444444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69919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Comportamiento de la emisión de N2O</a:t>
            </a:r>
            <a:r>
              <a:rPr lang="es-ES" b="1" baseline="0"/>
              <a:t> según COPERT 4 - autobuses</a:t>
            </a:r>
            <a:endParaRPr lang="es-E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'Caso modelo inicial'!$P$9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inicial'!$Q$65:$S$65</c:f>
              <c:numCache>
                <c:formatCode>General</c:formatCode>
                <c:ptCount val="3"/>
                <c:pt idx="0">
                  <c:v>0.03</c:v>
                </c:pt>
                <c:pt idx="1">
                  <c:v>0.03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inicial'!$P$10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inicial'!$Q$66:$S$66</c:f>
              <c:numCache>
                <c:formatCode>General</c:formatCode>
                <c:ptCount val="3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</c:numCache>
            </c:numRef>
          </c:val>
        </c:ser>
        <c:ser>
          <c:idx val="2"/>
          <c:order val="2"/>
          <c:tx>
            <c:strRef>
              <c:f>'Caso modelo inicial'!$P$11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inicial'!$Q$67:$S$67</c:f>
              <c:numCache>
                <c:formatCode>General</c:formatCode>
                <c:ptCount val="3"/>
                <c:pt idx="0">
                  <c:v>0.0</c:v>
                </c:pt>
                <c:pt idx="1">
                  <c:v>0.01</c:v>
                </c:pt>
                <c:pt idx="2">
                  <c:v>0.01</c:v>
                </c:pt>
              </c:numCache>
            </c:numRef>
          </c:val>
        </c:ser>
        <c:ser>
          <c:idx val="3"/>
          <c:order val="3"/>
          <c:tx>
            <c:strRef>
              <c:f>'Caso modelo inicial'!$P$12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inicial'!$Q$68:$S$68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0.01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98972808"/>
        <c:axId val="2081005944"/>
      </c:barChart>
      <c:catAx>
        <c:axId val="20989728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1005944"/>
        <c:crosses val="autoZero"/>
        <c:auto val="1"/>
        <c:lblAlgn val="ctr"/>
        <c:lblOffset val="100"/>
        <c:noMultiLvlLbl val="0"/>
      </c:catAx>
      <c:valAx>
        <c:axId val="2081005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Emisión de N2O por vehículo (g/km)</a:t>
                </a:r>
              </a:p>
            </c:rich>
          </c:tx>
          <c:layout>
            <c:manualLayout>
              <c:xMode val="edge"/>
              <c:yMode val="edge"/>
              <c:x val="0.0333333333333333"/>
              <c:y val="0.1119444444444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8972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b="1"/>
              <a:t>Comportamiento de la emisión de</a:t>
            </a:r>
            <a:r>
              <a:rPr lang="es-ES" b="1" baseline="0"/>
              <a:t> PM2.5 según COPERT 4 - autobuses</a:t>
            </a:r>
            <a:endParaRPr lang="es-ES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'Caso modelo inicial'!$P$9</c:f>
              <c:strCache>
                <c:ptCount val="1"/>
                <c:pt idx="0">
                  <c:v>Convencional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inicial'!$V$17:$X$17</c:f>
              <c:numCache>
                <c:formatCode>General</c:formatCode>
                <c:ptCount val="3"/>
                <c:pt idx="0">
                  <c:v>1.04</c:v>
                </c:pt>
                <c:pt idx="1">
                  <c:v>1.02</c:v>
                </c:pt>
                <c:pt idx="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'Caso modelo inicial'!$P$10</c:f>
              <c:strCache>
                <c:ptCount val="1"/>
                <c:pt idx="0">
                  <c:v>Euro 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inicial'!$V$18:$X$18</c:f>
              <c:numCache>
                <c:formatCode>General</c:formatCode>
                <c:ptCount val="3"/>
                <c:pt idx="0">
                  <c:v>0.57</c:v>
                </c:pt>
                <c:pt idx="1">
                  <c:v>0.57</c:v>
                </c:pt>
                <c:pt idx="2">
                  <c:v>0.57</c:v>
                </c:pt>
              </c:numCache>
            </c:numRef>
          </c:val>
        </c:ser>
        <c:ser>
          <c:idx val="2"/>
          <c:order val="2"/>
          <c:tx>
            <c:strRef>
              <c:f>'Caso modelo inicial'!$P$11</c:f>
              <c:strCache>
                <c:ptCount val="1"/>
                <c:pt idx="0">
                  <c:v>Euro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inicial'!$V$19:$X$19</c:f>
              <c:numCache>
                <c:formatCode>General</c:formatCode>
                <c:ptCount val="3"/>
                <c:pt idx="0">
                  <c:v>0.0</c:v>
                </c:pt>
                <c:pt idx="1">
                  <c:v>0.3</c:v>
                </c:pt>
                <c:pt idx="2">
                  <c:v>0.3</c:v>
                </c:pt>
              </c:numCache>
            </c:numRef>
          </c:val>
        </c:ser>
        <c:ser>
          <c:idx val="3"/>
          <c:order val="3"/>
          <c:tx>
            <c:strRef>
              <c:f>'Caso modelo inicial'!$P$12</c:f>
              <c:strCache>
                <c:ptCount val="1"/>
                <c:pt idx="0">
                  <c:v>Euro III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'Caso modelo inicial'!$Q$8:$S$8</c:f>
              <c:numCache>
                <c:formatCode>General</c:formatCode>
                <c:ptCount val="3"/>
                <c:pt idx="0">
                  <c:v>2000.0</c:v>
                </c:pt>
                <c:pt idx="1">
                  <c:v>2007.0</c:v>
                </c:pt>
                <c:pt idx="2">
                  <c:v>2015.0</c:v>
                </c:pt>
              </c:numCache>
            </c:numRef>
          </c:cat>
          <c:val>
            <c:numRef>
              <c:f>'Caso modelo inicial'!$V$20:$X$20</c:f>
              <c:numCache>
                <c:formatCode>General</c:formatCode>
                <c:ptCount val="3"/>
                <c:pt idx="0">
                  <c:v>0.0</c:v>
                </c:pt>
                <c:pt idx="1">
                  <c:v>0.0</c:v>
                </c:pt>
                <c:pt idx="2">
                  <c:v>0.29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98970040"/>
        <c:axId val="2098594312"/>
      </c:barChart>
      <c:catAx>
        <c:axId val="20989700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Año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8594312"/>
        <c:crosses val="autoZero"/>
        <c:auto val="1"/>
        <c:lblAlgn val="ctr"/>
        <c:lblOffset val="100"/>
        <c:noMultiLvlLbl val="0"/>
      </c:catAx>
      <c:valAx>
        <c:axId val="2098594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="1"/>
                  <a:t>Emisión de PM2.5 por vehículo (g/km)</a:t>
                </a:r>
              </a:p>
            </c:rich>
          </c:tx>
          <c:layout>
            <c:manualLayout>
              <c:xMode val="edge"/>
              <c:yMode val="edge"/>
              <c:x val="0.0333333333333333"/>
              <c:y val="0.111944444444444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98970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chart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chart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chart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chart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chart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chart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chart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chart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chart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chart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27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28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29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30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31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32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33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34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35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36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37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38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39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40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41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10687" cy="608409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310687" cy="608409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10687" cy="608409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310687" cy="608409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310687" cy="608409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310687" cy="608409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310687" cy="608409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310687" cy="608409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310687" cy="608409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9310687" cy="608409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3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4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5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6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7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8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9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0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1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10687" cy="608409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310687" cy="608409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10687" cy="6084094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78"/>
  <sheetViews>
    <sheetView tabSelected="1" workbookViewId="0">
      <selection activeCell="V57" sqref="V57"/>
    </sheetView>
  </sheetViews>
  <sheetFormatPr baseColWidth="10" defaultRowHeight="14" x14ac:dyDescent="0"/>
  <cols>
    <col min="2" max="2" width="29.6640625" bestFit="1" customWidth="1"/>
    <col min="5" max="5" width="13" bestFit="1" customWidth="1"/>
    <col min="6" max="8" width="5" bestFit="1" customWidth="1"/>
    <col min="13" max="13" width="23.6640625" bestFit="1" customWidth="1"/>
    <col min="17" max="17" width="11.83203125" bestFit="1" customWidth="1"/>
    <col min="29" max="29" width="12" bestFit="1" customWidth="1"/>
  </cols>
  <sheetData>
    <row r="2" spans="2:29">
      <c r="E2" s="51" t="s">
        <v>25</v>
      </c>
      <c r="F2" s="51"/>
      <c r="G2" s="51"/>
      <c r="H2" s="51"/>
    </row>
    <row r="3" spans="2:29">
      <c r="B3" s="47" t="s">
        <v>11</v>
      </c>
      <c r="C3" s="47"/>
      <c r="E3" s="47" t="s">
        <v>7</v>
      </c>
      <c r="F3" s="47"/>
      <c r="G3" s="47"/>
      <c r="H3" s="47"/>
      <c r="J3" s="47" t="s">
        <v>50</v>
      </c>
      <c r="K3" s="47"/>
      <c r="L3" s="47"/>
      <c r="M3" s="47"/>
      <c r="Q3" s="47" t="s">
        <v>102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2:29">
      <c r="B4" s="2" t="s">
        <v>10</v>
      </c>
      <c r="C4" s="1">
        <v>0.5</v>
      </c>
      <c r="E4" s="2"/>
      <c r="F4" s="2">
        <v>2000</v>
      </c>
      <c r="G4" s="2">
        <v>2007</v>
      </c>
      <c r="H4" s="2">
        <v>2015</v>
      </c>
      <c r="J4" s="2"/>
      <c r="K4" s="2">
        <v>2000</v>
      </c>
      <c r="L4" s="2">
        <v>2007</v>
      </c>
      <c r="M4" s="2">
        <v>2015</v>
      </c>
    </row>
    <row r="5" spans="2:29">
      <c r="B5" s="2" t="s">
        <v>12</v>
      </c>
      <c r="C5" s="1">
        <f>C4*2</f>
        <v>1</v>
      </c>
      <c r="E5" s="2" t="s">
        <v>6</v>
      </c>
      <c r="F5" s="1">
        <v>0</v>
      </c>
      <c r="G5" s="1">
        <v>0</v>
      </c>
      <c r="H5" s="1">
        <v>0</v>
      </c>
      <c r="J5" s="2" t="s">
        <v>6</v>
      </c>
      <c r="K5" s="1">
        <f>F5+F12+F19</f>
        <v>115</v>
      </c>
      <c r="L5" s="1">
        <f t="shared" ref="L5:M5" si="0">G5+G12+G19</f>
        <v>125</v>
      </c>
      <c r="M5" s="1">
        <f t="shared" si="0"/>
        <v>0</v>
      </c>
      <c r="P5" s="47" t="s">
        <v>78</v>
      </c>
      <c r="Q5" s="47"/>
      <c r="R5" s="47"/>
      <c r="S5" s="47"/>
      <c r="T5" s="47"/>
      <c r="U5" s="47"/>
      <c r="V5" s="47"/>
      <c r="W5" s="47"/>
      <c r="X5" s="47"/>
      <c r="Z5" s="47" t="s">
        <v>23</v>
      </c>
      <c r="AA5" s="47"/>
      <c r="AB5" s="47"/>
      <c r="AC5" s="47"/>
    </row>
    <row r="6" spans="2:29">
      <c r="B6" s="2" t="s">
        <v>14</v>
      </c>
      <c r="C6" s="1">
        <v>2.5000000000000001E-2</v>
      </c>
      <c r="E6" s="2" t="s">
        <v>3</v>
      </c>
      <c r="F6" s="1">
        <v>35</v>
      </c>
      <c r="G6" s="1">
        <v>35</v>
      </c>
      <c r="H6" s="1">
        <v>0</v>
      </c>
      <c r="J6" s="2" t="s">
        <v>3</v>
      </c>
      <c r="K6" s="1">
        <f t="shared" ref="K6:K8" si="1">F6+F13+F20</f>
        <v>82</v>
      </c>
      <c r="L6" s="1">
        <f t="shared" ref="L6:L8" si="2">G6+G13+G20</f>
        <v>65</v>
      </c>
      <c r="M6" s="1">
        <f t="shared" ref="M6:M8" si="3">H6+H13+H20</f>
        <v>31</v>
      </c>
    </row>
    <row r="7" spans="2:29">
      <c r="B7" s="2" t="s">
        <v>15</v>
      </c>
      <c r="C7" s="1">
        <f>C6*2</f>
        <v>0.05</v>
      </c>
      <c r="E7" s="2" t="s">
        <v>4</v>
      </c>
      <c r="F7" s="1">
        <v>0</v>
      </c>
      <c r="G7" s="1">
        <v>12</v>
      </c>
      <c r="H7" s="1">
        <v>16</v>
      </c>
      <c r="J7" s="2" t="s">
        <v>4</v>
      </c>
      <c r="K7" s="1">
        <f t="shared" si="1"/>
        <v>0</v>
      </c>
      <c r="L7" s="1">
        <f t="shared" si="2"/>
        <v>49</v>
      </c>
      <c r="M7" s="1">
        <f t="shared" si="3"/>
        <v>136</v>
      </c>
      <c r="P7" s="47" t="s">
        <v>103</v>
      </c>
      <c r="Q7" s="47"/>
      <c r="R7" s="47"/>
      <c r="S7" s="47"/>
      <c r="U7" s="47" t="s">
        <v>119</v>
      </c>
      <c r="V7" s="47"/>
      <c r="W7" s="47"/>
      <c r="X7" s="47"/>
      <c r="Z7" s="47" t="s">
        <v>120</v>
      </c>
      <c r="AA7" s="47"/>
      <c r="AB7" s="47"/>
      <c r="AC7" s="47"/>
    </row>
    <row r="8" spans="2:29">
      <c r="B8" s="2" t="s">
        <v>13</v>
      </c>
      <c r="C8" s="6"/>
      <c r="E8" s="2" t="s">
        <v>5</v>
      </c>
      <c r="F8" s="1">
        <v>0</v>
      </c>
      <c r="G8" s="1">
        <v>0</v>
      </c>
      <c r="H8" s="1">
        <v>35</v>
      </c>
      <c r="J8" s="2" t="s">
        <v>5</v>
      </c>
      <c r="K8" s="1">
        <f t="shared" si="1"/>
        <v>0</v>
      </c>
      <c r="L8" s="1">
        <f t="shared" si="2"/>
        <v>0</v>
      </c>
      <c r="M8" s="1">
        <f t="shared" si="3"/>
        <v>97</v>
      </c>
      <c r="P8" s="2"/>
      <c r="Q8" s="2">
        <v>2000</v>
      </c>
      <c r="R8" s="2">
        <v>2007</v>
      </c>
      <c r="S8" s="2">
        <v>2015</v>
      </c>
      <c r="U8" s="2"/>
      <c r="V8" s="2">
        <v>2000</v>
      </c>
      <c r="W8" s="2">
        <v>2007</v>
      </c>
      <c r="X8" s="2">
        <v>2015</v>
      </c>
      <c r="Z8" s="2"/>
      <c r="AA8" s="2">
        <v>2000</v>
      </c>
      <c r="AB8" s="2">
        <v>2007</v>
      </c>
      <c r="AC8" s="2">
        <v>2015</v>
      </c>
    </row>
    <row r="9" spans="2:29">
      <c r="B9" s="2" t="s">
        <v>1</v>
      </c>
      <c r="C9" s="6"/>
      <c r="J9" s="3" t="s">
        <v>24</v>
      </c>
      <c r="K9" s="3">
        <f>K5+K6+K7+K8</f>
        <v>197</v>
      </c>
      <c r="L9" s="3">
        <f>L5+L6+L7+L8</f>
        <v>239</v>
      </c>
      <c r="M9" s="3">
        <f>M5+M6+M7+M8</f>
        <v>264</v>
      </c>
      <c r="P9" s="2" t="s">
        <v>6</v>
      </c>
      <c r="Q9" s="1">
        <v>7.11</v>
      </c>
      <c r="R9" s="1">
        <v>7.27</v>
      </c>
      <c r="S9" s="1" t="s">
        <v>49</v>
      </c>
      <c r="U9" s="2" t="s">
        <v>6</v>
      </c>
      <c r="V9" s="1">
        <v>0</v>
      </c>
      <c r="W9" s="1">
        <v>0</v>
      </c>
      <c r="X9" s="1" t="s">
        <v>49</v>
      </c>
      <c r="Z9" s="2" t="s">
        <v>6</v>
      </c>
      <c r="AA9" s="1">
        <v>0.19</v>
      </c>
      <c r="AB9" s="1">
        <v>0.19</v>
      </c>
      <c r="AC9" s="1" t="s">
        <v>49</v>
      </c>
    </row>
    <row r="10" spans="2:29">
      <c r="B10" s="2" t="s">
        <v>2</v>
      </c>
      <c r="C10" s="6"/>
      <c r="E10" s="47" t="s">
        <v>8</v>
      </c>
      <c r="F10" s="47"/>
      <c r="G10" s="47"/>
      <c r="H10" s="47"/>
      <c r="P10" s="2" t="s">
        <v>3</v>
      </c>
      <c r="Q10" s="1">
        <v>3.43</v>
      </c>
      <c r="R10" s="1">
        <v>3.51</v>
      </c>
      <c r="S10" s="1">
        <v>4</v>
      </c>
      <c r="U10" s="2" t="s">
        <v>3</v>
      </c>
      <c r="V10" s="1">
        <v>0</v>
      </c>
      <c r="W10" s="1">
        <v>0</v>
      </c>
      <c r="X10" s="1">
        <v>0</v>
      </c>
      <c r="Z10" s="2" t="s">
        <v>3</v>
      </c>
      <c r="AA10" s="1">
        <v>0.19</v>
      </c>
      <c r="AB10" s="1">
        <v>0.19</v>
      </c>
      <c r="AC10" s="1">
        <v>0.19</v>
      </c>
    </row>
    <row r="11" spans="2:29">
      <c r="B11" s="2" t="s">
        <v>0</v>
      </c>
      <c r="C11" s="6">
        <v>1000</v>
      </c>
      <c r="E11" s="2"/>
      <c r="F11" s="2">
        <v>2000</v>
      </c>
      <c r="G11" s="2">
        <v>2007</v>
      </c>
      <c r="H11" s="2">
        <v>2015</v>
      </c>
      <c r="J11" s="47" t="s">
        <v>51</v>
      </c>
      <c r="K11" s="47"/>
      <c r="L11" s="47"/>
      <c r="M11" s="47"/>
      <c r="P11" s="2" t="s">
        <v>4</v>
      </c>
      <c r="Q11" s="1" t="s">
        <v>49</v>
      </c>
      <c r="R11" s="1">
        <v>3.28</v>
      </c>
      <c r="S11" s="1">
        <v>3.73</v>
      </c>
      <c r="U11" s="2" t="s">
        <v>4</v>
      </c>
      <c r="V11" s="1" t="s">
        <v>49</v>
      </c>
      <c r="W11" s="1">
        <v>0</v>
      </c>
      <c r="X11" s="1">
        <v>0</v>
      </c>
      <c r="Z11" s="2" t="s">
        <v>4</v>
      </c>
      <c r="AA11" s="1" t="s">
        <v>49</v>
      </c>
      <c r="AB11" s="1">
        <v>0.19</v>
      </c>
      <c r="AC11" s="1">
        <v>0.19</v>
      </c>
    </row>
    <row r="12" spans="2:29">
      <c r="E12" s="2" t="s">
        <v>6</v>
      </c>
      <c r="F12" s="1">
        <v>74</v>
      </c>
      <c r="G12" s="1">
        <v>84</v>
      </c>
      <c r="H12" s="1">
        <v>0</v>
      </c>
      <c r="J12" s="47" t="s">
        <v>19</v>
      </c>
      <c r="K12" s="47"/>
      <c r="L12" s="47"/>
      <c r="M12" s="47"/>
      <c r="P12" s="2" t="s">
        <v>5</v>
      </c>
      <c r="Q12" s="1" t="s">
        <v>49</v>
      </c>
      <c r="R12" s="1" t="s">
        <v>49</v>
      </c>
      <c r="S12" s="1">
        <v>3.94</v>
      </c>
      <c r="U12" s="2" t="s">
        <v>5</v>
      </c>
      <c r="V12" s="1" t="s">
        <v>49</v>
      </c>
      <c r="W12" s="1" t="s">
        <v>49</v>
      </c>
      <c r="X12" s="1">
        <v>0</v>
      </c>
      <c r="Z12" s="2" t="s">
        <v>5</v>
      </c>
      <c r="AA12" s="1" t="s">
        <v>49</v>
      </c>
      <c r="AB12" s="1" t="s">
        <v>49</v>
      </c>
      <c r="AC12" s="1">
        <v>0.19</v>
      </c>
    </row>
    <row r="13" spans="2:29">
      <c r="E13" s="2" t="s">
        <v>3</v>
      </c>
      <c r="F13" s="1">
        <v>38</v>
      </c>
      <c r="G13" s="1">
        <v>21</v>
      </c>
      <c r="H13" s="1">
        <v>0</v>
      </c>
      <c r="J13" s="2"/>
      <c r="K13" s="2" t="s">
        <v>16</v>
      </c>
      <c r="L13" s="2" t="s">
        <v>17</v>
      </c>
      <c r="M13" s="2" t="s">
        <v>18</v>
      </c>
      <c r="P13" s="3" t="s">
        <v>137</v>
      </c>
      <c r="Q13" s="6">
        <f>AVERAGE(Q9:Q12)</f>
        <v>5.2700000000000005</v>
      </c>
      <c r="R13" s="6">
        <f t="shared" ref="R13:S13" si="4">AVERAGE(R9:R12)</f>
        <v>4.6866666666666665</v>
      </c>
      <c r="S13" s="6">
        <f t="shared" si="4"/>
        <v>3.89</v>
      </c>
      <c r="U13" s="3" t="s">
        <v>137</v>
      </c>
      <c r="V13" s="6">
        <f>AVERAGE(V9:V12)</f>
        <v>0</v>
      </c>
      <c r="W13" s="6">
        <f t="shared" ref="W13" si="5">AVERAGE(W9:W12)</f>
        <v>0</v>
      </c>
      <c r="X13" s="6">
        <f t="shared" ref="X13" si="6">AVERAGE(X9:X12)</f>
        <v>0</v>
      </c>
      <c r="Z13" s="3" t="s">
        <v>137</v>
      </c>
      <c r="AA13" s="6">
        <f>AVERAGE(AA9:AA12)</f>
        <v>0.19</v>
      </c>
      <c r="AB13" s="6">
        <f t="shared" ref="AB13" si="7">AVERAGE(AB9:AB12)</f>
        <v>0.19000000000000003</v>
      </c>
      <c r="AC13" s="6">
        <f t="shared" ref="AC13" si="8">AVERAGE(AC9:AC12)</f>
        <v>0.19000000000000003</v>
      </c>
    </row>
    <row r="14" spans="2:29">
      <c r="E14" s="2" t="s">
        <v>4</v>
      </c>
      <c r="F14" s="1">
        <v>0</v>
      </c>
      <c r="G14" s="1">
        <v>29</v>
      </c>
      <c r="H14" s="1">
        <v>97</v>
      </c>
      <c r="J14" s="2" t="s">
        <v>6</v>
      </c>
      <c r="K14" s="1">
        <v>1000</v>
      </c>
      <c r="L14" s="7">
        <f>C11</f>
        <v>1000</v>
      </c>
      <c r="M14" s="7">
        <f>L14*10</f>
        <v>10000</v>
      </c>
    </row>
    <row r="15" spans="2:29">
      <c r="E15" s="2" t="s">
        <v>5</v>
      </c>
      <c r="F15" s="1">
        <v>0</v>
      </c>
      <c r="G15" s="1">
        <v>0</v>
      </c>
      <c r="H15" s="1">
        <v>51</v>
      </c>
      <c r="J15" s="2" t="s">
        <v>3</v>
      </c>
      <c r="K15" s="1">
        <v>1000</v>
      </c>
      <c r="L15" s="7">
        <f>C11</f>
        <v>1000</v>
      </c>
      <c r="M15" s="7">
        <f>L15*1</f>
        <v>1000</v>
      </c>
      <c r="P15" s="47" t="s">
        <v>104</v>
      </c>
      <c r="Q15" s="47"/>
      <c r="R15" s="47"/>
      <c r="S15" s="47"/>
      <c r="U15" s="47" t="s">
        <v>118</v>
      </c>
      <c r="V15" s="47"/>
      <c r="W15" s="47"/>
      <c r="X15" s="47"/>
      <c r="Z15" s="47" t="s">
        <v>121</v>
      </c>
      <c r="AA15" s="47"/>
      <c r="AB15" s="47"/>
      <c r="AC15" s="47"/>
    </row>
    <row r="16" spans="2:29">
      <c r="H16" s="5"/>
      <c r="J16" s="4"/>
      <c r="K16" s="4"/>
      <c r="L16" s="4"/>
      <c r="M16" s="4"/>
      <c r="P16" s="2"/>
      <c r="Q16" s="2">
        <v>2000</v>
      </c>
      <c r="R16" s="2">
        <v>2007</v>
      </c>
      <c r="S16" s="2">
        <v>2015</v>
      </c>
      <c r="U16" s="2"/>
      <c r="V16" s="2">
        <v>2000</v>
      </c>
      <c r="W16" s="2">
        <v>2007</v>
      </c>
      <c r="X16" s="2">
        <v>2015</v>
      </c>
      <c r="Z16" s="2"/>
      <c r="AA16" s="2">
        <v>2000</v>
      </c>
      <c r="AB16" s="2">
        <v>2007</v>
      </c>
      <c r="AC16" s="2">
        <v>2015</v>
      </c>
    </row>
    <row r="17" spans="5:29">
      <c r="E17" s="47" t="s">
        <v>9</v>
      </c>
      <c r="F17" s="47"/>
      <c r="G17" s="47"/>
      <c r="H17" s="47"/>
      <c r="J17" s="48" t="s">
        <v>20</v>
      </c>
      <c r="K17" s="49"/>
      <c r="L17" s="49"/>
      <c r="M17" s="50"/>
      <c r="P17" s="2" t="s">
        <v>6</v>
      </c>
      <c r="Q17" s="1">
        <v>2.38</v>
      </c>
      <c r="R17" s="1">
        <v>2.4700000000000002</v>
      </c>
      <c r="S17" s="1" t="s">
        <v>49</v>
      </c>
      <c r="U17" s="2" t="s">
        <v>6</v>
      </c>
      <c r="V17" s="1">
        <v>1.04</v>
      </c>
      <c r="W17" s="1">
        <v>1.02</v>
      </c>
      <c r="X17" s="1" t="s">
        <v>49</v>
      </c>
      <c r="Z17" s="2" t="s">
        <v>6</v>
      </c>
      <c r="AA17" s="1">
        <v>0</v>
      </c>
      <c r="AB17" s="1">
        <v>0</v>
      </c>
      <c r="AC17" s="1" t="s">
        <v>49</v>
      </c>
    </row>
    <row r="18" spans="5:29">
      <c r="E18" s="2"/>
      <c r="F18" s="2">
        <v>2000</v>
      </c>
      <c r="G18" s="2">
        <v>2007</v>
      </c>
      <c r="H18" s="2">
        <v>2015</v>
      </c>
      <c r="J18" s="2"/>
      <c r="K18" s="2" t="s">
        <v>16</v>
      </c>
      <c r="L18" s="2" t="s">
        <v>17</v>
      </c>
      <c r="M18" s="2" t="s">
        <v>18</v>
      </c>
      <c r="P18" s="2" t="s">
        <v>3</v>
      </c>
      <c r="Q18" s="1">
        <v>0.95</v>
      </c>
      <c r="R18" s="1">
        <v>0.99</v>
      </c>
      <c r="S18" s="1">
        <v>1.1200000000000001</v>
      </c>
      <c r="U18" s="2" t="s">
        <v>3</v>
      </c>
      <c r="V18" s="1">
        <v>0.56999999999999995</v>
      </c>
      <c r="W18" s="1">
        <v>0.56999999999999995</v>
      </c>
      <c r="X18" s="1">
        <v>0.56999999999999995</v>
      </c>
      <c r="Z18" s="2" t="s">
        <v>3</v>
      </c>
      <c r="AA18" s="1">
        <v>0</v>
      </c>
      <c r="AB18" s="1">
        <v>0</v>
      </c>
      <c r="AC18" s="1">
        <v>0</v>
      </c>
    </row>
    <row r="19" spans="5:29">
      <c r="E19" s="2" t="s">
        <v>6</v>
      </c>
      <c r="F19" s="1">
        <v>41</v>
      </c>
      <c r="G19" s="1">
        <v>41</v>
      </c>
      <c r="H19" s="1">
        <v>0</v>
      </c>
      <c r="J19" s="2" t="s">
        <v>6</v>
      </c>
      <c r="K19" s="1">
        <v>1000</v>
      </c>
      <c r="L19" s="7">
        <f>C11</f>
        <v>1000</v>
      </c>
      <c r="M19" s="7">
        <f>L19*17</f>
        <v>17000</v>
      </c>
      <c r="P19" s="2" t="s">
        <v>4</v>
      </c>
      <c r="Q19" s="1" t="s">
        <v>49</v>
      </c>
      <c r="R19" s="1">
        <v>0.67</v>
      </c>
      <c r="S19" s="1">
        <v>0.75</v>
      </c>
      <c r="U19" s="2" t="s">
        <v>4</v>
      </c>
      <c r="V19" s="1" t="s">
        <v>49</v>
      </c>
      <c r="W19" s="1">
        <v>0.3</v>
      </c>
      <c r="X19" s="1">
        <v>0.3</v>
      </c>
      <c r="Z19" s="2" t="s">
        <v>4</v>
      </c>
      <c r="AA19" s="1" t="s">
        <v>49</v>
      </c>
      <c r="AB19" s="1">
        <v>0</v>
      </c>
      <c r="AC19" s="1">
        <v>0</v>
      </c>
    </row>
    <row r="20" spans="5:29">
      <c r="E20" s="2" t="s">
        <v>3</v>
      </c>
      <c r="F20" s="1">
        <v>9</v>
      </c>
      <c r="G20" s="1">
        <v>9</v>
      </c>
      <c r="H20" s="1">
        <v>31</v>
      </c>
      <c r="J20" s="2" t="s">
        <v>3</v>
      </c>
      <c r="K20" s="1">
        <v>1000</v>
      </c>
      <c r="L20" s="7">
        <f>C11</f>
        <v>1000</v>
      </c>
      <c r="M20" s="7">
        <f>L20*7</f>
        <v>7000</v>
      </c>
      <c r="P20" s="2" t="s">
        <v>5</v>
      </c>
      <c r="Q20" s="1" t="s">
        <v>49</v>
      </c>
      <c r="R20" s="1" t="s">
        <v>49</v>
      </c>
      <c r="S20" s="1">
        <v>0.67</v>
      </c>
      <c r="U20" s="2" t="s">
        <v>5</v>
      </c>
      <c r="V20" s="1" t="s">
        <v>49</v>
      </c>
      <c r="W20" s="1" t="s">
        <v>49</v>
      </c>
      <c r="X20" s="1">
        <v>0.28999999999999998</v>
      </c>
      <c r="Z20" s="2" t="s">
        <v>5</v>
      </c>
      <c r="AA20" s="1" t="s">
        <v>49</v>
      </c>
      <c r="AB20" s="1" t="s">
        <v>49</v>
      </c>
      <c r="AC20" s="1">
        <v>0</v>
      </c>
    </row>
    <row r="21" spans="5:29">
      <c r="E21" s="2" t="s">
        <v>4</v>
      </c>
      <c r="F21" s="1">
        <v>0</v>
      </c>
      <c r="G21" s="1">
        <v>8</v>
      </c>
      <c r="H21" s="1">
        <v>23</v>
      </c>
      <c r="J21" s="2" t="s">
        <v>4</v>
      </c>
      <c r="K21" s="1">
        <v>1000</v>
      </c>
      <c r="L21" s="7">
        <f>C11</f>
        <v>1000</v>
      </c>
      <c r="M21" s="7">
        <f>L21*1</f>
        <v>1000</v>
      </c>
      <c r="P21" s="3" t="s">
        <v>137</v>
      </c>
      <c r="Q21" s="6">
        <f>AVERAGE(Q17:Q20)</f>
        <v>1.665</v>
      </c>
      <c r="R21" s="6">
        <f t="shared" ref="R21" si="9">AVERAGE(R17:R20)</f>
        <v>1.3766666666666667</v>
      </c>
      <c r="S21" s="6">
        <f t="shared" ref="S21" si="10">AVERAGE(S17:S20)</f>
        <v>0.84666666666666668</v>
      </c>
      <c r="U21" s="3" t="s">
        <v>137</v>
      </c>
      <c r="V21" s="6">
        <f>AVERAGE(V17:V20)</f>
        <v>0.80499999999999994</v>
      </c>
      <c r="W21" s="6">
        <f t="shared" ref="W21" si="11">AVERAGE(W17:W20)</f>
        <v>0.63</v>
      </c>
      <c r="X21" s="6">
        <f t="shared" ref="X21" si="12">AVERAGE(X17:X20)</f>
        <v>0.38666666666666666</v>
      </c>
      <c r="Z21" s="3" t="s">
        <v>137</v>
      </c>
      <c r="AA21" s="6">
        <f>AVERAGE(AA17:AA20)</f>
        <v>0</v>
      </c>
      <c r="AB21" s="6">
        <f t="shared" ref="AB21" si="13">AVERAGE(AB17:AB20)</f>
        <v>0</v>
      </c>
      <c r="AC21" s="6">
        <f t="shared" ref="AC21" si="14">AVERAGE(AC17:AC20)</f>
        <v>0</v>
      </c>
    </row>
    <row r="22" spans="5:29">
      <c r="E22" s="2" t="s">
        <v>5</v>
      </c>
      <c r="F22" s="1">
        <v>0</v>
      </c>
      <c r="G22" s="1">
        <v>0</v>
      </c>
      <c r="H22" s="1">
        <v>11</v>
      </c>
    </row>
    <row r="23" spans="5:29">
      <c r="J23" s="48" t="s">
        <v>21</v>
      </c>
      <c r="K23" s="49"/>
      <c r="L23" s="49"/>
      <c r="M23" s="50"/>
      <c r="P23" s="47" t="s">
        <v>105</v>
      </c>
      <c r="Q23" s="47"/>
      <c r="R23" s="47"/>
      <c r="S23" s="47"/>
      <c r="U23" s="47" t="s">
        <v>117</v>
      </c>
      <c r="V23" s="47"/>
      <c r="W23" s="47"/>
      <c r="X23" s="47"/>
      <c r="Z23" s="47" t="s">
        <v>122</v>
      </c>
      <c r="AA23" s="47"/>
      <c r="AB23" s="47"/>
      <c r="AC23" s="47"/>
    </row>
    <row r="24" spans="5:29">
      <c r="J24" s="2"/>
      <c r="K24" s="2" t="s">
        <v>16</v>
      </c>
      <c r="L24" s="2" t="s">
        <v>17</v>
      </c>
      <c r="M24" s="2" t="s">
        <v>18</v>
      </c>
      <c r="P24" s="2"/>
      <c r="Q24" s="2">
        <v>2000</v>
      </c>
      <c r="R24" s="2">
        <v>2007</v>
      </c>
      <c r="S24" s="2">
        <v>2015</v>
      </c>
      <c r="U24" s="2"/>
      <c r="V24" s="2">
        <v>2000</v>
      </c>
      <c r="W24" s="2">
        <v>2007</v>
      </c>
      <c r="X24" s="2">
        <v>2015</v>
      </c>
      <c r="Z24" s="2"/>
      <c r="AA24" s="2">
        <v>2000</v>
      </c>
      <c r="AB24" s="2">
        <v>2007</v>
      </c>
      <c r="AC24" s="2">
        <v>2015</v>
      </c>
    </row>
    <row r="25" spans="5:29">
      <c r="J25" s="2" t="s">
        <v>3</v>
      </c>
      <c r="K25" s="1">
        <v>1000</v>
      </c>
      <c r="L25" s="7">
        <f>C11</f>
        <v>1000</v>
      </c>
      <c r="M25" s="7">
        <f>L25*15</f>
        <v>15000</v>
      </c>
      <c r="P25" s="2" t="s">
        <v>6</v>
      </c>
      <c r="Q25" s="1">
        <v>2.2000000000000002</v>
      </c>
      <c r="R25" s="1">
        <v>2.29</v>
      </c>
      <c r="S25" s="1" t="s">
        <v>49</v>
      </c>
      <c r="U25" s="2" t="s">
        <v>6</v>
      </c>
      <c r="V25" s="1">
        <v>1.08</v>
      </c>
      <c r="W25" s="1">
        <v>1.07</v>
      </c>
      <c r="X25" s="1" t="s">
        <v>49</v>
      </c>
      <c r="Z25" s="2" t="s">
        <v>6</v>
      </c>
      <c r="AA25" s="1">
        <v>1.41</v>
      </c>
      <c r="AB25" s="1">
        <v>1.41</v>
      </c>
      <c r="AC25" s="1" t="s">
        <v>49</v>
      </c>
    </row>
    <row r="26" spans="5:29">
      <c r="J26" s="2" t="s">
        <v>4</v>
      </c>
      <c r="K26" s="1">
        <v>1000</v>
      </c>
      <c r="L26" s="7">
        <f>C11</f>
        <v>1000</v>
      </c>
      <c r="M26" s="7">
        <f>L26*8</f>
        <v>8000</v>
      </c>
      <c r="P26" s="2" t="s">
        <v>3</v>
      </c>
      <c r="Q26" s="1">
        <v>0.78</v>
      </c>
      <c r="R26" s="1">
        <v>0.82</v>
      </c>
      <c r="S26" s="1">
        <v>0.94</v>
      </c>
      <c r="U26" s="2" t="s">
        <v>3</v>
      </c>
      <c r="V26" s="1">
        <v>0.62</v>
      </c>
      <c r="W26" s="1">
        <v>0.62</v>
      </c>
      <c r="X26" s="1">
        <v>0.62</v>
      </c>
      <c r="Z26" s="2" t="s">
        <v>3</v>
      </c>
      <c r="AA26" s="1">
        <v>1.41</v>
      </c>
      <c r="AB26" s="1">
        <v>1.41</v>
      </c>
      <c r="AC26" s="1">
        <v>1.41</v>
      </c>
    </row>
    <row r="27" spans="5:29">
      <c r="J27" s="2" t="s">
        <v>5</v>
      </c>
      <c r="K27" s="1">
        <v>1000</v>
      </c>
      <c r="L27" s="7">
        <f>C11</f>
        <v>1000</v>
      </c>
      <c r="M27" s="7">
        <f>L27*5</f>
        <v>5000</v>
      </c>
      <c r="P27" s="2" t="s">
        <v>4</v>
      </c>
      <c r="Q27" s="1" t="s">
        <v>49</v>
      </c>
      <c r="R27" s="1">
        <v>0.55000000000000004</v>
      </c>
      <c r="S27" s="1">
        <v>0.64</v>
      </c>
      <c r="U27" s="2" t="s">
        <v>4</v>
      </c>
      <c r="V27" s="1" t="s">
        <v>49</v>
      </c>
      <c r="W27" s="1">
        <v>0.35</v>
      </c>
      <c r="X27" s="1">
        <v>0.35</v>
      </c>
      <c r="Z27" s="2" t="s">
        <v>4</v>
      </c>
      <c r="AA27" s="1" t="s">
        <v>49</v>
      </c>
      <c r="AB27" s="1">
        <v>1.41</v>
      </c>
      <c r="AC27" s="1">
        <v>1.41</v>
      </c>
    </row>
    <row r="28" spans="5:29">
      <c r="P28" s="2" t="s">
        <v>5</v>
      </c>
      <c r="Q28" s="1" t="s">
        <v>49</v>
      </c>
      <c r="R28" s="1" t="s">
        <v>49</v>
      </c>
      <c r="S28" s="1">
        <v>0.56999999999999995</v>
      </c>
      <c r="U28" s="2" t="s">
        <v>5</v>
      </c>
      <c r="V28" s="1" t="s">
        <v>49</v>
      </c>
      <c r="W28" s="1" t="s">
        <v>49</v>
      </c>
      <c r="X28" s="1">
        <v>0.34</v>
      </c>
      <c r="Z28" s="2" t="s">
        <v>5</v>
      </c>
      <c r="AA28" s="1" t="s">
        <v>49</v>
      </c>
      <c r="AB28" s="1" t="s">
        <v>49</v>
      </c>
      <c r="AC28" s="1">
        <v>1.41</v>
      </c>
    </row>
    <row r="29" spans="5:29">
      <c r="P29" s="3" t="s">
        <v>137</v>
      </c>
      <c r="Q29" s="6">
        <f>AVERAGE(Q25:Q28)</f>
        <v>1.4900000000000002</v>
      </c>
      <c r="R29" s="6">
        <f t="shared" ref="R29" si="15">AVERAGE(R25:R28)</f>
        <v>1.22</v>
      </c>
      <c r="S29" s="6">
        <f t="shared" ref="S29" si="16">AVERAGE(S25:S28)</f>
        <v>0.71666666666666667</v>
      </c>
      <c r="U29" s="3" t="s">
        <v>137</v>
      </c>
      <c r="V29" s="6">
        <f>AVERAGE(V25:V28)</f>
        <v>0.85000000000000009</v>
      </c>
      <c r="W29" s="6">
        <f t="shared" ref="W29" si="17">AVERAGE(W25:W28)</f>
        <v>0.68</v>
      </c>
      <c r="X29" s="6">
        <f t="shared" ref="X29" si="18">AVERAGE(X25:X28)</f>
        <v>0.4366666666666667</v>
      </c>
      <c r="Z29" s="3" t="s">
        <v>137</v>
      </c>
      <c r="AA29" s="6">
        <f>AVERAGE(AA25:AA28)</f>
        <v>1.41</v>
      </c>
      <c r="AB29" s="6">
        <f t="shared" ref="AB29" si="19">AVERAGE(AB25:AB28)</f>
        <v>1.41</v>
      </c>
      <c r="AC29" s="6">
        <f t="shared" ref="AC29" si="20">AVERAGE(AC25:AC28)</f>
        <v>1.41</v>
      </c>
    </row>
    <row r="31" spans="5:29">
      <c r="P31" s="47" t="s">
        <v>106</v>
      </c>
      <c r="Q31" s="47"/>
      <c r="R31" s="47"/>
      <c r="S31" s="47"/>
      <c r="U31" s="47" t="s">
        <v>116</v>
      </c>
      <c r="V31" s="47"/>
      <c r="W31" s="47"/>
      <c r="X31" s="47"/>
      <c r="Z31" s="47" t="s">
        <v>123</v>
      </c>
      <c r="AA31" s="47"/>
      <c r="AB31" s="47"/>
      <c r="AC31" s="47"/>
    </row>
    <row r="32" spans="5:29">
      <c r="P32" s="2"/>
      <c r="Q32" s="2">
        <v>2000</v>
      </c>
      <c r="R32" s="2">
        <v>2007</v>
      </c>
      <c r="S32" s="2">
        <v>2015</v>
      </c>
      <c r="U32" s="2"/>
      <c r="V32" s="2">
        <v>2000</v>
      </c>
      <c r="W32" s="2">
        <v>2007</v>
      </c>
      <c r="X32" s="2">
        <v>2015</v>
      </c>
      <c r="Z32" s="2"/>
      <c r="AA32" s="2">
        <v>2000</v>
      </c>
      <c r="AB32" s="2">
        <v>2007</v>
      </c>
      <c r="AC32" s="2">
        <v>2015</v>
      </c>
    </row>
    <row r="33" spans="16:29">
      <c r="P33" s="2" t="s">
        <v>6</v>
      </c>
      <c r="Q33" s="1">
        <v>0.18</v>
      </c>
      <c r="R33" s="1">
        <v>0.18</v>
      </c>
      <c r="S33" s="1" t="s">
        <v>49</v>
      </c>
      <c r="U33" s="2" t="s">
        <v>6</v>
      </c>
      <c r="V33" s="1">
        <v>0.99</v>
      </c>
      <c r="W33" s="1">
        <v>0.98</v>
      </c>
      <c r="X33" s="1" t="s">
        <v>49</v>
      </c>
      <c r="Z33" s="2" t="s">
        <v>6</v>
      </c>
      <c r="AA33" s="1">
        <v>0.01</v>
      </c>
      <c r="AB33" s="1">
        <v>0.01</v>
      </c>
      <c r="AC33" s="1" t="s">
        <v>49</v>
      </c>
    </row>
    <row r="34" spans="16:29">
      <c r="P34" s="2" t="s">
        <v>3</v>
      </c>
      <c r="Q34" s="1">
        <v>0.18</v>
      </c>
      <c r="R34" s="1">
        <v>0.18</v>
      </c>
      <c r="S34" s="1">
        <v>0.18</v>
      </c>
      <c r="U34" s="2" t="s">
        <v>3</v>
      </c>
      <c r="V34" s="1">
        <v>0.53</v>
      </c>
      <c r="W34" s="1">
        <v>0.52</v>
      </c>
      <c r="X34" s="1">
        <v>0.52</v>
      </c>
      <c r="Z34" s="2" t="s">
        <v>3</v>
      </c>
      <c r="AA34" s="1">
        <v>0.01</v>
      </c>
      <c r="AB34" s="1">
        <v>0.01</v>
      </c>
      <c r="AC34" s="1">
        <v>0.01</v>
      </c>
    </row>
    <row r="35" spans="16:29">
      <c r="P35" s="2" t="s">
        <v>4</v>
      </c>
      <c r="Q35" s="1" t="s">
        <v>49</v>
      </c>
      <c r="R35" s="1">
        <v>0.11</v>
      </c>
      <c r="S35" s="1">
        <v>0.11</v>
      </c>
      <c r="U35" s="2" t="s">
        <v>4</v>
      </c>
      <c r="V35" s="1" t="s">
        <v>49</v>
      </c>
      <c r="W35" s="1">
        <v>0.26</v>
      </c>
      <c r="X35" s="1">
        <v>0.26</v>
      </c>
      <c r="Z35" s="2" t="s">
        <v>4</v>
      </c>
      <c r="AA35" s="1" t="s">
        <v>49</v>
      </c>
      <c r="AB35" s="1">
        <v>0.01</v>
      </c>
      <c r="AC35" s="1">
        <v>0.01</v>
      </c>
    </row>
    <row r="36" spans="16:29">
      <c r="P36" s="2" t="s">
        <v>5</v>
      </c>
      <c r="Q36" s="1" t="s">
        <v>49</v>
      </c>
      <c r="R36" s="1" t="s">
        <v>49</v>
      </c>
      <c r="S36" s="1">
        <v>0.1</v>
      </c>
      <c r="U36" s="2" t="s">
        <v>5</v>
      </c>
      <c r="V36" s="1" t="s">
        <v>49</v>
      </c>
      <c r="W36" s="1" t="s">
        <v>49</v>
      </c>
      <c r="X36" s="1">
        <v>0.24</v>
      </c>
      <c r="Z36" s="2" t="s">
        <v>5</v>
      </c>
      <c r="AA36" s="1" t="s">
        <v>49</v>
      </c>
      <c r="AB36" s="1" t="s">
        <v>49</v>
      </c>
      <c r="AC36" s="1">
        <v>0.01</v>
      </c>
    </row>
    <row r="37" spans="16:29">
      <c r="P37" s="3" t="s">
        <v>137</v>
      </c>
      <c r="Q37" s="6">
        <f>AVERAGE(Q33:Q36)</f>
        <v>0.18</v>
      </c>
      <c r="R37" s="6">
        <f t="shared" ref="R37" si="21">AVERAGE(R33:R36)</f>
        <v>0.15666666666666665</v>
      </c>
      <c r="S37" s="6">
        <f t="shared" ref="S37" si="22">AVERAGE(S33:S36)</f>
        <v>0.13</v>
      </c>
      <c r="U37" s="3" t="s">
        <v>137</v>
      </c>
      <c r="V37" s="6">
        <f>AVERAGE(V33:V36)</f>
        <v>0.76</v>
      </c>
      <c r="W37" s="6">
        <f t="shared" ref="W37" si="23">AVERAGE(W33:W36)</f>
        <v>0.58666666666666667</v>
      </c>
      <c r="X37" s="6">
        <f t="shared" ref="X37" si="24">AVERAGE(X33:X36)</f>
        <v>0.34</v>
      </c>
      <c r="Z37" s="3" t="s">
        <v>137</v>
      </c>
      <c r="AA37" s="6">
        <f>AVERAGE(AA33:AA36)</f>
        <v>0.01</v>
      </c>
      <c r="AB37" s="6">
        <f t="shared" ref="AB37" si="25">AVERAGE(AB33:AB36)</f>
        <v>0.01</v>
      </c>
      <c r="AC37" s="6">
        <f t="shared" ref="AC37" si="26">AVERAGE(AC33:AC36)</f>
        <v>0.01</v>
      </c>
    </row>
    <row r="39" spans="16:29">
      <c r="P39" s="47" t="s">
        <v>107</v>
      </c>
      <c r="Q39" s="47"/>
      <c r="R39" s="47"/>
      <c r="S39" s="47"/>
      <c r="U39" s="47" t="s">
        <v>115</v>
      </c>
      <c r="V39" s="47"/>
      <c r="W39" s="47"/>
      <c r="X39" s="47"/>
      <c r="Z39" s="47" t="s">
        <v>124</v>
      </c>
      <c r="AA39" s="47"/>
      <c r="AB39" s="47"/>
      <c r="AC39" s="47"/>
    </row>
    <row r="40" spans="16:29">
      <c r="P40" s="2"/>
      <c r="Q40" s="2">
        <v>2000</v>
      </c>
      <c r="R40" s="2">
        <v>2007</v>
      </c>
      <c r="S40" s="2">
        <v>2015</v>
      </c>
      <c r="U40" s="2"/>
      <c r="V40" s="2">
        <v>2000</v>
      </c>
      <c r="W40" s="2">
        <v>2007</v>
      </c>
      <c r="X40" s="2">
        <v>2015</v>
      </c>
      <c r="Z40" s="2"/>
      <c r="AA40" s="2">
        <v>2000</v>
      </c>
      <c r="AB40" s="2">
        <v>2007</v>
      </c>
      <c r="AC40" s="2">
        <v>2015</v>
      </c>
    </row>
    <row r="41" spans="16:29">
      <c r="P41" s="2" t="s">
        <v>6</v>
      </c>
      <c r="Q41" s="1">
        <v>20.05</v>
      </c>
      <c r="R41" s="1">
        <v>19.940000000000001</v>
      </c>
      <c r="S41" s="1" t="s">
        <v>49</v>
      </c>
      <c r="U41" s="2" t="s">
        <v>6</v>
      </c>
      <c r="V41" s="1">
        <v>0.5</v>
      </c>
      <c r="W41" s="1">
        <v>0.49</v>
      </c>
      <c r="X41" s="1" t="s">
        <v>49</v>
      </c>
      <c r="Z41" s="2" t="s">
        <v>6</v>
      </c>
      <c r="AA41" s="1">
        <v>0</v>
      </c>
      <c r="AB41" s="1">
        <v>0</v>
      </c>
      <c r="AC41" s="1" t="s">
        <v>49</v>
      </c>
    </row>
    <row r="42" spans="16:29">
      <c r="P42" s="2" t="s">
        <v>3</v>
      </c>
      <c r="Q42" s="1">
        <v>12.47</v>
      </c>
      <c r="R42" s="1">
        <v>12.4</v>
      </c>
      <c r="S42" s="1">
        <v>12.17</v>
      </c>
      <c r="U42" s="2" t="s">
        <v>3</v>
      </c>
      <c r="V42" s="1">
        <v>0.34</v>
      </c>
      <c r="W42" s="1">
        <v>0.34</v>
      </c>
      <c r="X42" s="1">
        <v>0.34</v>
      </c>
      <c r="Z42" s="2" t="s">
        <v>3</v>
      </c>
      <c r="AA42" s="1">
        <v>0</v>
      </c>
      <c r="AB42" s="1">
        <v>0</v>
      </c>
      <c r="AC42" s="1">
        <v>0</v>
      </c>
    </row>
    <row r="43" spans="16:29">
      <c r="P43" s="2" t="s">
        <v>4</v>
      </c>
      <c r="Q43" s="1" t="s">
        <v>49</v>
      </c>
      <c r="R43" s="1">
        <v>13.32</v>
      </c>
      <c r="S43" s="1">
        <v>13.08</v>
      </c>
      <c r="U43" s="2" t="s">
        <v>4</v>
      </c>
      <c r="V43" s="1" t="s">
        <v>49</v>
      </c>
      <c r="W43" s="1">
        <v>0.17</v>
      </c>
      <c r="X43" s="1">
        <v>0.17</v>
      </c>
      <c r="Z43" s="2" t="s">
        <v>4</v>
      </c>
      <c r="AA43" s="1" t="s">
        <v>49</v>
      </c>
      <c r="AB43" s="1">
        <v>0</v>
      </c>
      <c r="AC43" s="1">
        <v>0</v>
      </c>
    </row>
    <row r="44" spans="16:29">
      <c r="P44" s="2" t="s">
        <v>5</v>
      </c>
      <c r="Q44" s="1" t="s">
        <v>49</v>
      </c>
      <c r="R44" s="1" t="s">
        <v>49</v>
      </c>
      <c r="S44" s="1">
        <v>11.91</v>
      </c>
      <c r="U44" s="2" t="s">
        <v>5</v>
      </c>
      <c r="V44" s="1" t="s">
        <v>49</v>
      </c>
      <c r="W44" s="1" t="s">
        <v>49</v>
      </c>
      <c r="X44" s="1">
        <v>0.17</v>
      </c>
      <c r="Z44" s="2" t="s">
        <v>5</v>
      </c>
      <c r="AA44" s="1" t="s">
        <v>49</v>
      </c>
      <c r="AB44" s="1" t="s">
        <v>49</v>
      </c>
      <c r="AC44" s="1">
        <v>0</v>
      </c>
    </row>
    <row r="45" spans="16:29">
      <c r="P45" s="3" t="s">
        <v>137</v>
      </c>
      <c r="Q45" s="6">
        <f>AVERAGE(Q41:Q44)</f>
        <v>16.260000000000002</v>
      </c>
      <c r="R45" s="6">
        <f t="shared" ref="R45" si="27">AVERAGE(R41:R44)</f>
        <v>15.22</v>
      </c>
      <c r="S45" s="6">
        <f t="shared" ref="S45" si="28">AVERAGE(S41:S44)</f>
        <v>12.386666666666665</v>
      </c>
      <c r="U45" s="3" t="s">
        <v>137</v>
      </c>
      <c r="V45" s="6">
        <f>AVERAGE(V41:V44)</f>
        <v>0.42000000000000004</v>
      </c>
      <c r="W45" s="6">
        <f t="shared" ref="W45" si="29">AVERAGE(W41:W44)</f>
        <v>0.33333333333333331</v>
      </c>
      <c r="X45" s="6">
        <f t="shared" ref="X45" si="30">AVERAGE(X41:X44)</f>
        <v>0.22666666666666668</v>
      </c>
      <c r="Z45" s="3" t="s">
        <v>137</v>
      </c>
      <c r="AA45" s="6">
        <f>AVERAGE(AA41:AA44)</f>
        <v>0</v>
      </c>
      <c r="AB45" s="6">
        <f t="shared" ref="AB45" si="31">AVERAGE(AB41:AB44)</f>
        <v>0</v>
      </c>
      <c r="AC45" s="6">
        <f t="shared" ref="AC45" si="32">AVERAGE(AC41:AC44)</f>
        <v>0</v>
      </c>
    </row>
    <row r="47" spans="16:29">
      <c r="P47" s="47" t="s">
        <v>108</v>
      </c>
      <c r="Q47" s="47"/>
      <c r="R47" s="47"/>
      <c r="S47" s="47"/>
      <c r="U47" s="47" t="s">
        <v>114</v>
      </c>
      <c r="V47" s="47"/>
      <c r="W47" s="47"/>
      <c r="X47" s="47"/>
      <c r="Z47" s="47" t="s">
        <v>125</v>
      </c>
      <c r="AA47" s="47"/>
      <c r="AB47" s="47"/>
      <c r="AC47" s="47"/>
    </row>
    <row r="48" spans="16:29">
      <c r="P48" s="2"/>
      <c r="Q48" s="2">
        <v>2000</v>
      </c>
      <c r="R48" s="2">
        <v>2007</v>
      </c>
      <c r="S48" s="2">
        <v>2015</v>
      </c>
      <c r="U48" s="2"/>
      <c r="V48" s="2">
        <v>2000</v>
      </c>
      <c r="W48" s="2">
        <v>2007</v>
      </c>
      <c r="X48" s="2">
        <v>2015</v>
      </c>
      <c r="Z48" s="2"/>
      <c r="AA48" s="2">
        <v>2000</v>
      </c>
      <c r="AB48" s="2">
        <v>2007</v>
      </c>
      <c r="AC48" s="2">
        <v>2015</v>
      </c>
    </row>
    <row r="49" spans="16:29">
      <c r="P49" s="2" t="s">
        <v>6</v>
      </c>
      <c r="Q49" s="1">
        <v>17.850000000000001</v>
      </c>
      <c r="R49" s="1">
        <v>17.75</v>
      </c>
      <c r="S49" s="1" t="s">
        <v>49</v>
      </c>
      <c r="U49" s="2" t="s">
        <v>6</v>
      </c>
      <c r="V49" s="1">
        <v>0.4</v>
      </c>
      <c r="W49" s="1">
        <v>0.39</v>
      </c>
      <c r="X49" s="1" t="s">
        <v>49</v>
      </c>
      <c r="Z49" s="2" t="s">
        <v>6</v>
      </c>
      <c r="AA49" s="1">
        <v>1.17</v>
      </c>
      <c r="AB49" s="1">
        <v>1.17</v>
      </c>
      <c r="AC49" s="1" t="s">
        <v>49</v>
      </c>
    </row>
    <row r="50" spans="16:29">
      <c r="P50" s="2" t="s">
        <v>3</v>
      </c>
      <c r="Q50" s="1">
        <v>11.1</v>
      </c>
      <c r="R50" s="1">
        <v>11.03</v>
      </c>
      <c r="S50" s="1">
        <v>10.83</v>
      </c>
      <c r="U50" s="2" t="s">
        <v>3</v>
      </c>
      <c r="V50" s="1">
        <v>0.14000000000000001</v>
      </c>
      <c r="W50" s="1">
        <v>0.14000000000000001</v>
      </c>
      <c r="X50" s="1">
        <v>0.14000000000000001</v>
      </c>
      <c r="Z50" s="2" t="s">
        <v>3</v>
      </c>
      <c r="AA50" s="1">
        <v>1.05</v>
      </c>
      <c r="AB50" s="1">
        <v>1.05</v>
      </c>
      <c r="AC50" s="1">
        <v>1.05</v>
      </c>
    </row>
    <row r="51" spans="16:29">
      <c r="P51" s="2" t="s">
        <v>4</v>
      </c>
      <c r="Q51" s="1" t="s">
        <v>49</v>
      </c>
      <c r="R51" s="1">
        <v>11.86</v>
      </c>
      <c r="S51" s="1">
        <v>11.64</v>
      </c>
      <c r="U51" s="2" t="s">
        <v>4</v>
      </c>
      <c r="V51" s="1" t="s">
        <v>49</v>
      </c>
      <c r="W51" s="1">
        <v>7.0000000000000007E-2</v>
      </c>
      <c r="X51" s="1">
        <v>7.0000000000000007E-2</v>
      </c>
      <c r="Z51" s="2" t="s">
        <v>4</v>
      </c>
      <c r="AA51" s="1" t="s">
        <v>49</v>
      </c>
      <c r="AB51" s="1">
        <v>1.03</v>
      </c>
      <c r="AC51" s="1">
        <v>1.03</v>
      </c>
    </row>
    <row r="52" spans="16:29">
      <c r="P52" s="2" t="s">
        <v>5</v>
      </c>
      <c r="Q52" s="1" t="s">
        <v>49</v>
      </c>
      <c r="R52" s="1" t="s">
        <v>49</v>
      </c>
      <c r="S52" s="1">
        <v>10.24</v>
      </c>
      <c r="U52" s="2" t="s">
        <v>5</v>
      </c>
      <c r="V52" s="1" t="s">
        <v>49</v>
      </c>
      <c r="W52" s="1" t="s">
        <v>49</v>
      </c>
      <c r="X52" s="1">
        <v>0.05</v>
      </c>
      <c r="Z52" s="2" t="s">
        <v>5</v>
      </c>
      <c r="AA52" s="1" t="s">
        <v>49</v>
      </c>
      <c r="AB52" s="1" t="s">
        <v>49</v>
      </c>
      <c r="AC52" s="1">
        <v>1.05</v>
      </c>
    </row>
    <row r="53" spans="16:29">
      <c r="P53" s="3" t="s">
        <v>137</v>
      </c>
      <c r="Q53" s="6">
        <f>AVERAGE(Q49:Q52)</f>
        <v>14.475000000000001</v>
      </c>
      <c r="R53" s="6">
        <f t="shared" ref="R53" si="33">AVERAGE(R49:R52)</f>
        <v>13.546666666666667</v>
      </c>
      <c r="S53" s="6">
        <f t="shared" ref="S53" si="34">AVERAGE(S49:S52)</f>
        <v>10.903333333333334</v>
      </c>
      <c r="U53" s="3" t="s">
        <v>137</v>
      </c>
      <c r="V53" s="6">
        <f>AVERAGE(V49:V52)</f>
        <v>0.27</v>
      </c>
      <c r="W53" s="6">
        <f t="shared" ref="W53" si="35">AVERAGE(W49:W52)</f>
        <v>0.20000000000000004</v>
      </c>
      <c r="X53" s="6">
        <f t="shared" ref="X53" si="36">AVERAGE(X49:X52)</f>
        <v>8.666666666666667E-2</v>
      </c>
      <c r="Z53" s="3" t="s">
        <v>137</v>
      </c>
      <c r="AA53" s="6">
        <f>AVERAGE(AA49:AA52)</f>
        <v>1.1099999999999999</v>
      </c>
      <c r="AB53" s="6">
        <f t="shared" ref="AB53" si="37">AVERAGE(AB49:AB52)</f>
        <v>1.0833333333333333</v>
      </c>
      <c r="AC53" s="6">
        <f t="shared" ref="AC53" si="38">AVERAGE(AC49:AC52)</f>
        <v>1.0433333333333332</v>
      </c>
    </row>
    <row r="55" spans="16:29">
      <c r="P55" s="47" t="s">
        <v>109</v>
      </c>
      <c r="Q55" s="47"/>
      <c r="R55" s="47"/>
      <c r="S55" s="47"/>
      <c r="U55" s="47" t="s">
        <v>113</v>
      </c>
      <c r="V55" s="47"/>
      <c r="W55" s="47"/>
      <c r="X55" s="47"/>
    </row>
    <row r="56" spans="16:29">
      <c r="P56" s="2"/>
      <c r="Q56" s="2">
        <v>2000</v>
      </c>
      <c r="R56" s="2">
        <v>2007</v>
      </c>
      <c r="S56" s="2">
        <v>2015</v>
      </c>
      <c r="U56" s="2"/>
      <c r="V56" s="2">
        <v>2000</v>
      </c>
      <c r="W56" s="2">
        <v>2007</v>
      </c>
      <c r="X56" s="2">
        <v>2015</v>
      </c>
      <c r="Z56" s="52" t="s">
        <v>61</v>
      </c>
      <c r="AA56" s="52"/>
      <c r="AB56" s="52"/>
      <c r="AC56" s="52"/>
    </row>
    <row r="57" spans="16:29">
      <c r="P57" s="2" t="s">
        <v>6</v>
      </c>
      <c r="Q57" s="1">
        <v>2.21</v>
      </c>
      <c r="R57" s="1">
        <v>2.19</v>
      </c>
      <c r="S57" s="1" t="s">
        <v>49</v>
      </c>
      <c r="U57" s="2" t="s">
        <v>6</v>
      </c>
      <c r="V57" s="24">
        <f>(460.77/835)*100</f>
        <v>55.182035928143712</v>
      </c>
      <c r="W57" s="24">
        <f>(460.77/835)*100</f>
        <v>55.182035928143712</v>
      </c>
      <c r="X57" s="24" t="s">
        <v>49</v>
      </c>
      <c r="Z57" s="2" t="s">
        <v>6</v>
      </c>
      <c r="AA57" s="24">
        <f>V65*1000/(V57*8.35)</f>
        <v>3.1555873863315753</v>
      </c>
      <c r="AB57" s="24">
        <f t="shared" ref="AB57:AC60" si="39">W65*1000/(W57*8.35)</f>
        <v>3.1555873863315753</v>
      </c>
      <c r="AC57" s="24"/>
    </row>
    <row r="58" spans="16:29">
      <c r="P58" s="2" t="s">
        <v>3</v>
      </c>
      <c r="Q58" s="1">
        <v>1.37</v>
      </c>
      <c r="R58" s="1">
        <v>1.36</v>
      </c>
      <c r="S58" s="1">
        <v>1.34</v>
      </c>
      <c r="U58" s="2" t="s">
        <v>3</v>
      </c>
      <c r="V58" s="24">
        <f>(393.85/835)*100</f>
        <v>47.167664670658688</v>
      </c>
      <c r="W58" s="24">
        <f>(393.85/835)*100</f>
        <v>47.167664670658688</v>
      </c>
      <c r="X58" s="24">
        <f>(393.85/835)*100</f>
        <v>47.167664670658688</v>
      </c>
      <c r="Z58" s="2" t="s">
        <v>3</v>
      </c>
      <c r="AA58" s="24">
        <f t="shared" ref="AA58" si="40">V66*1000/(V58*8.35)</f>
        <v>3.1560238669544241</v>
      </c>
      <c r="AB58" s="24">
        <f t="shared" si="39"/>
        <v>3.1565484067538403</v>
      </c>
      <c r="AC58" s="24">
        <f t="shared" si="39"/>
        <v>3.1565484067538403</v>
      </c>
    </row>
    <row r="59" spans="16:29">
      <c r="P59" s="2" t="s">
        <v>4</v>
      </c>
      <c r="Q59" s="1" t="s">
        <v>49</v>
      </c>
      <c r="R59" s="1">
        <v>1.47</v>
      </c>
      <c r="S59" s="1">
        <v>1.44</v>
      </c>
      <c r="U59" s="2" t="s">
        <v>4</v>
      </c>
      <c r="V59" s="25" t="s">
        <v>49</v>
      </c>
      <c r="W59" s="24">
        <f>(379.26/835)*100</f>
        <v>45.420359281437122</v>
      </c>
      <c r="X59" s="24">
        <f>(379.26/835)*100</f>
        <v>45.420359281437122</v>
      </c>
      <c r="Z59" s="2" t="s">
        <v>4</v>
      </c>
      <c r="AA59" s="24"/>
      <c r="AB59" s="24">
        <f t="shared" si="39"/>
        <v>3.1551598903127145</v>
      </c>
      <c r="AC59" s="24">
        <f t="shared" si="39"/>
        <v>3.1551598903127145</v>
      </c>
    </row>
    <row r="60" spans="16:29">
      <c r="P60" s="2" t="s">
        <v>5</v>
      </c>
      <c r="Q60" s="1" t="s">
        <v>49</v>
      </c>
      <c r="R60" s="1" t="s">
        <v>49</v>
      </c>
      <c r="S60" s="1">
        <v>1.67</v>
      </c>
      <c r="U60" s="2" t="s">
        <v>5</v>
      </c>
      <c r="V60" s="24" t="s">
        <v>49</v>
      </c>
      <c r="W60" s="24" t="s">
        <v>49</v>
      </c>
      <c r="X60" s="24">
        <f>(395.14/835)*100</f>
        <v>47.32215568862275</v>
      </c>
      <c r="Z60" s="2" t="s">
        <v>5</v>
      </c>
      <c r="AA60" s="24"/>
      <c r="AB60" s="24"/>
      <c r="AC60" s="24">
        <f t="shared" si="39"/>
        <v>3.1534687199473601</v>
      </c>
    </row>
    <row r="61" spans="16:29">
      <c r="P61" s="3" t="s">
        <v>137</v>
      </c>
      <c r="Q61" s="6">
        <f>AVERAGE(Q57:Q60)</f>
        <v>1.79</v>
      </c>
      <c r="R61" s="6">
        <f t="shared" ref="R61" si="41">AVERAGE(R57:R60)</f>
        <v>1.6733333333333331</v>
      </c>
      <c r="S61" s="6">
        <f t="shared" ref="S61" si="42">AVERAGE(S57:S60)</f>
        <v>1.4833333333333334</v>
      </c>
      <c r="U61" s="3" t="s">
        <v>137</v>
      </c>
      <c r="V61" s="24">
        <f>AVERAGE(V57:V60)</f>
        <v>51.1748502994012</v>
      </c>
      <c r="W61" s="24">
        <f t="shared" ref="W61" si="43">AVERAGE(W57:W60)</f>
        <v>49.256686626746507</v>
      </c>
      <c r="X61" s="24">
        <f t="shared" ref="X61" si="44">AVERAGE(X57:X60)</f>
        <v>46.636726546906182</v>
      </c>
      <c r="Z61" s="26"/>
    </row>
    <row r="63" spans="16:29">
      <c r="P63" s="47" t="s">
        <v>110</v>
      </c>
      <c r="Q63" s="47"/>
      <c r="R63" s="47"/>
      <c r="S63" s="47"/>
      <c r="U63" s="47" t="s">
        <v>112</v>
      </c>
      <c r="V63" s="47"/>
      <c r="W63" s="47"/>
      <c r="X63" s="47"/>
      <c r="Z63" s="53" t="s">
        <v>77</v>
      </c>
      <c r="AA63" s="53"/>
      <c r="AB63" s="53"/>
      <c r="AC63" s="53"/>
    </row>
    <row r="64" spans="16:29">
      <c r="P64" s="2"/>
      <c r="Q64" s="2">
        <v>2000</v>
      </c>
      <c r="R64" s="2">
        <v>2007</v>
      </c>
      <c r="S64" s="2">
        <v>2015</v>
      </c>
      <c r="U64" s="2"/>
      <c r="V64" s="2">
        <v>2000</v>
      </c>
      <c r="W64" s="2">
        <v>2007</v>
      </c>
      <c r="X64" s="2">
        <v>2015</v>
      </c>
      <c r="Z64" s="2" t="s">
        <v>6</v>
      </c>
      <c r="AA64" s="6">
        <f>(V65/V57)*100</f>
        <v>2.6349154675868656</v>
      </c>
      <c r="AB64" s="6">
        <f t="shared" ref="AB64" si="45">(W65/W57)*100</f>
        <v>2.6349154675868656</v>
      </c>
      <c r="AC64" s="6"/>
    </row>
    <row r="65" spans="16:29">
      <c r="P65" s="2" t="s">
        <v>6</v>
      </c>
      <c r="Q65" s="1">
        <v>0.03</v>
      </c>
      <c r="R65" s="1">
        <v>0.03</v>
      </c>
      <c r="S65" s="1" t="s">
        <v>49</v>
      </c>
      <c r="U65" s="2" t="s">
        <v>6</v>
      </c>
      <c r="V65" s="24">
        <v>1.454</v>
      </c>
      <c r="W65" s="24">
        <v>1.454</v>
      </c>
      <c r="X65" s="1" t="s">
        <v>49</v>
      </c>
      <c r="Z65" s="2" t="s">
        <v>3</v>
      </c>
      <c r="AA65" s="6">
        <f t="shared" ref="AA65" si="46">(V66/V58)*100</f>
        <v>2.635279928906944</v>
      </c>
      <c r="AB65" s="6">
        <f t="shared" ref="AB65:AB66" si="47">(W66/W58)*100</f>
        <v>2.6357179196394567</v>
      </c>
      <c r="AC65" s="6">
        <f t="shared" ref="AC65:AC67" si="48">(X66/X58)*100</f>
        <v>2.6357179196394567</v>
      </c>
    </row>
    <row r="66" spans="16:29">
      <c r="P66" s="2" t="s">
        <v>3</v>
      </c>
      <c r="Q66" s="1">
        <v>0.01</v>
      </c>
      <c r="R66" s="1">
        <v>0.01</v>
      </c>
      <c r="S66" s="1">
        <v>0.01</v>
      </c>
      <c r="U66" s="2" t="s">
        <v>3</v>
      </c>
      <c r="V66" s="24">
        <v>1.2430000000000001</v>
      </c>
      <c r="W66" s="24">
        <f>1243206.59/1000000</f>
        <v>1.24320659</v>
      </c>
      <c r="X66" s="24">
        <f>1243206.59/1000000</f>
        <v>1.24320659</v>
      </c>
      <c r="Z66" s="2" t="s">
        <v>4</v>
      </c>
      <c r="AA66" s="6"/>
      <c r="AB66" s="6">
        <f t="shared" si="47"/>
        <v>2.6345585084111165</v>
      </c>
      <c r="AC66" s="6">
        <f t="shared" si="48"/>
        <v>2.6345585084111165</v>
      </c>
    </row>
    <row r="67" spans="16:29">
      <c r="P67" s="2" t="s">
        <v>4</v>
      </c>
      <c r="Q67" s="1" t="s">
        <v>49</v>
      </c>
      <c r="R67" s="1">
        <v>0.01</v>
      </c>
      <c r="S67" s="1">
        <v>0.01</v>
      </c>
      <c r="U67" s="2" t="s">
        <v>4</v>
      </c>
      <c r="V67" s="1" t="s">
        <v>49</v>
      </c>
      <c r="W67" s="24">
        <f>1196625.94/1000000</f>
        <v>1.1966259399999999</v>
      </c>
      <c r="X67" s="24">
        <f>1196625.94/1000000</f>
        <v>1.1966259399999999</v>
      </c>
      <c r="Z67" s="2" t="s">
        <v>5</v>
      </c>
      <c r="AA67" s="1"/>
      <c r="AB67" s="1"/>
      <c r="AC67" s="6">
        <f t="shared" si="48"/>
        <v>2.6331463811560458</v>
      </c>
    </row>
    <row r="68" spans="16:29">
      <c r="P68" s="2" t="s">
        <v>5</v>
      </c>
      <c r="Q68" s="1" t="s">
        <v>49</v>
      </c>
      <c r="R68" s="1" t="s">
        <v>49</v>
      </c>
      <c r="S68" s="1">
        <v>0.01</v>
      </c>
      <c r="U68" s="2" t="s">
        <v>5</v>
      </c>
      <c r="V68" s="1" t="s">
        <v>49</v>
      </c>
      <c r="W68" s="1" t="s">
        <v>49</v>
      </c>
      <c r="X68" s="24">
        <f>1246061.63/1000000</f>
        <v>1.2460616299999998</v>
      </c>
    </row>
    <row r="69" spans="16:29">
      <c r="P69" s="3" t="s">
        <v>137</v>
      </c>
      <c r="Q69" s="6">
        <f>AVERAGE(Q65:Q68)</f>
        <v>0.02</v>
      </c>
      <c r="R69" s="6">
        <f t="shared" ref="R69" si="49">AVERAGE(R65:R68)</f>
        <v>1.6666666666666666E-2</v>
      </c>
      <c r="S69" s="6">
        <f t="shared" ref="S69" si="50">AVERAGE(S65:S68)</f>
        <v>0.01</v>
      </c>
      <c r="U69" s="3" t="s">
        <v>137</v>
      </c>
      <c r="V69" s="24">
        <f>AVERAGE(V65:V68)</f>
        <v>1.3485</v>
      </c>
      <c r="W69" s="24">
        <f t="shared" ref="W69" si="51">AVERAGE(W65:W68)</f>
        <v>1.2979441766666666</v>
      </c>
      <c r="X69" s="24">
        <f t="shared" ref="X69" si="52">AVERAGE(X65:X68)</f>
        <v>1.2286313866666665</v>
      </c>
    </row>
    <row r="72" spans="16:29">
      <c r="S72" s="47" t="s">
        <v>111</v>
      </c>
      <c r="T72" s="47"/>
      <c r="U72" s="47"/>
      <c r="V72" s="47"/>
    </row>
    <row r="73" spans="16:29">
      <c r="S73" s="2"/>
      <c r="T73" s="2">
        <v>2000</v>
      </c>
      <c r="U73" s="2">
        <v>2007</v>
      </c>
      <c r="V73" s="2">
        <v>2015</v>
      </c>
    </row>
    <row r="74" spans="16:29">
      <c r="S74" s="2" t="s">
        <v>6</v>
      </c>
      <c r="T74" s="1">
        <v>0.41</v>
      </c>
      <c r="U74" s="1">
        <v>0.41</v>
      </c>
      <c r="V74" s="1" t="s">
        <v>49</v>
      </c>
    </row>
    <row r="75" spans="16:29">
      <c r="S75" s="2" t="s">
        <v>3</v>
      </c>
      <c r="T75" s="1">
        <v>0.35</v>
      </c>
      <c r="U75" s="1">
        <v>0.35</v>
      </c>
      <c r="V75" s="1">
        <v>0.36</v>
      </c>
    </row>
    <row r="76" spans="16:29">
      <c r="S76" s="2" t="s">
        <v>4</v>
      </c>
      <c r="T76" s="1" t="s">
        <v>49</v>
      </c>
      <c r="U76" s="1">
        <v>0.34</v>
      </c>
      <c r="V76" s="1">
        <v>0.35</v>
      </c>
    </row>
    <row r="77" spans="16:29">
      <c r="S77" s="2" t="s">
        <v>5</v>
      </c>
      <c r="T77" s="1" t="s">
        <v>49</v>
      </c>
      <c r="U77" s="1" t="s">
        <v>49</v>
      </c>
      <c r="V77" s="1">
        <v>0.37</v>
      </c>
    </row>
    <row r="78" spans="16:29">
      <c r="S78" s="3" t="s">
        <v>137</v>
      </c>
      <c r="T78" s="6">
        <f>AVERAGE(T74:T77)</f>
        <v>0.38</v>
      </c>
      <c r="U78" s="6">
        <f t="shared" ref="U78" si="53">AVERAGE(U74:U77)</f>
        <v>0.3666666666666667</v>
      </c>
      <c r="V78" s="6">
        <f t="shared" ref="V78" si="54">AVERAGE(V74:V77)</f>
        <v>0.36000000000000004</v>
      </c>
    </row>
  </sheetData>
  <mergeCells count="38">
    <mergeCell ref="P39:S39"/>
    <mergeCell ref="S72:V72"/>
    <mergeCell ref="P47:S47"/>
    <mergeCell ref="U47:X47"/>
    <mergeCell ref="Z47:AC47"/>
    <mergeCell ref="P55:S55"/>
    <mergeCell ref="U55:X55"/>
    <mergeCell ref="P63:S63"/>
    <mergeCell ref="U63:X63"/>
    <mergeCell ref="Z56:AC56"/>
    <mergeCell ref="Z63:AC63"/>
    <mergeCell ref="P23:S23"/>
    <mergeCell ref="U23:X23"/>
    <mergeCell ref="Z23:AC23"/>
    <mergeCell ref="P31:S31"/>
    <mergeCell ref="U31:X31"/>
    <mergeCell ref="Z31:AC31"/>
    <mergeCell ref="E2:H2"/>
    <mergeCell ref="J3:M3"/>
    <mergeCell ref="J11:M11"/>
    <mergeCell ref="J12:M12"/>
    <mergeCell ref="J17:M17"/>
    <mergeCell ref="B3:C3"/>
    <mergeCell ref="E3:H3"/>
    <mergeCell ref="U39:X39"/>
    <mergeCell ref="Z39:AC39"/>
    <mergeCell ref="Z7:AC7"/>
    <mergeCell ref="E10:H10"/>
    <mergeCell ref="E17:H17"/>
    <mergeCell ref="J23:M23"/>
    <mergeCell ref="Q3:AB3"/>
    <mergeCell ref="P5:X5"/>
    <mergeCell ref="Z5:AC5"/>
    <mergeCell ref="P7:S7"/>
    <mergeCell ref="U7:X7"/>
    <mergeCell ref="P15:S15"/>
    <mergeCell ref="U15:X15"/>
    <mergeCell ref="Z15:AC1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W78"/>
  <sheetViews>
    <sheetView topLeftCell="EM16" workbookViewId="0">
      <selection activeCell="EP39" sqref="EP39"/>
    </sheetView>
  </sheetViews>
  <sheetFormatPr baseColWidth="10" defaultRowHeight="14" x14ac:dyDescent="0"/>
  <cols>
    <col min="2" max="2" width="29.6640625" bestFit="1" customWidth="1"/>
    <col min="5" max="5" width="13" bestFit="1" customWidth="1"/>
    <col min="6" max="8" width="5" bestFit="1" customWidth="1"/>
    <col min="13" max="13" width="23.6640625" bestFit="1" customWidth="1"/>
    <col min="29" max="29" width="12" bestFit="1" customWidth="1"/>
    <col min="44" max="44" width="12" bestFit="1" customWidth="1"/>
    <col min="123" max="123" width="16.1640625" customWidth="1"/>
    <col min="124" max="124" width="17" customWidth="1"/>
    <col min="125" max="125" width="18.5" customWidth="1"/>
    <col min="126" max="126" width="16.6640625" customWidth="1"/>
    <col min="127" max="127" width="20.1640625" customWidth="1"/>
    <col min="128" max="128" width="20.33203125" customWidth="1"/>
    <col min="129" max="129" width="17.5" customWidth="1"/>
    <col min="130" max="130" width="19.1640625" customWidth="1"/>
    <col min="131" max="131" width="15.5" customWidth="1"/>
    <col min="132" max="133" width="18.5" customWidth="1"/>
    <col min="134" max="134" width="18.6640625" customWidth="1"/>
    <col min="135" max="135" width="18.5" customWidth="1"/>
    <col min="136" max="136" width="20.1640625" customWidth="1"/>
    <col min="137" max="137" width="21.1640625" customWidth="1"/>
    <col min="138" max="138" width="19.1640625" customWidth="1"/>
    <col min="139" max="139" width="17.83203125" customWidth="1"/>
    <col min="140" max="140" width="23.5" customWidth="1"/>
    <col min="141" max="141" width="19.5" customWidth="1"/>
    <col min="142" max="142" width="20.83203125" customWidth="1"/>
    <col min="143" max="143" width="21.33203125" customWidth="1"/>
    <col min="144" max="144" width="20" customWidth="1"/>
    <col min="145" max="145" width="8.6640625" bestFit="1" customWidth="1"/>
    <col min="146" max="151" width="5.5" bestFit="1" customWidth="1"/>
    <col min="152" max="152" width="6.5" bestFit="1" customWidth="1"/>
    <col min="153" max="153" width="20.5" customWidth="1"/>
  </cols>
  <sheetData>
    <row r="2" spans="2:153" ht="15" thickBot="1">
      <c r="E2" s="51" t="s">
        <v>25</v>
      </c>
      <c r="F2" s="51"/>
      <c r="G2" s="51"/>
      <c r="H2" s="51"/>
    </row>
    <row r="3" spans="2:153">
      <c r="B3" s="47" t="s">
        <v>11</v>
      </c>
      <c r="C3" s="47"/>
      <c r="E3" s="47" t="s">
        <v>7</v>
      </c>
      <c r="F3" s="47"/>
      <c r="G3" s="47"/>
      <c r="H3" s="47"/>
      <c r="J3" s="47" t="s">
        <v>50</v>
      </c>
      <c r="K3" s="47"/>
      <c r="L3" s="47"/>
      <c r="M3" s="47"/>
      <c r="Q3" s="47" t="s">
        <v>58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F3" s="47" t="s">
        <v>79</v>
      </c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U3" s="47" t="s">
        <v>80</v>
      </c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J3" s="47" t="s">
        <v>82</v>
      </c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Y3" s="47" t="s">
        <v>83</v>
      </c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N3" s="47" t="s">
        <v>84</v>
      </c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DC3" s="47" t="s">
        <v>85</v>
      </c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R3" s="14"/>
      <c r="DS3" s="54" t="s">
        <v>126</v>
      </c>
      <c r="DT3" s="55"/>
      <c r="DU3" s="55"/>
      <c r="DV3" s="55"/>
      <c r="DW3" s="55"/>
      <c r="DX3" s="55"/>
      <c r="DY3" s="55"/>
      <c r="DZ3" s="55"/>
      <c r="EA3" s="55"/>
      <c r="EB3" s="55"/>
      <c r="EC3" s="55"/>
      <c r="ED3" s="55"/>
      <c r="EE3" s="55"/>
      <c r="EF3" s="55"/>
      <c r="EG3" s="55"/>
      <c r="EH3" s="55"/>
      <c r="EI3" s="55"/>
      <c r="EJ3" s="55"/>
      <c r="EK3" s="55"/>
      <c r="EL3" s="55"/>
      <c r="EM3" s="56"/>
      <c r="EN3" s="29"/>
      <c r="EO3" s="29"/>
      <c r="EP3" s="29"/>
      <c r="EQ3" s="29"/>
      <c r="ER3" s="29"/>
      <c r="ES3" s="29"/>
      <c r="ET3" s="29"/>
      <c r="EU3" s="29"/>
      <c r="EV3" s="29"/>
      <c r="EW3" s="29"/>
    </row>
    <row r="4" spans="2:153" ht="15" thickBot="1">
      <c r="B4" s="2" t="s">
        <v>10</v>
      </c>
      <c r="C4" s="1">
        <v>0.5</v>
      </c>
      <c r="E4" s="2"/>
      <c r="F4" s="2">
        <v>2000</v>
      </c>
      <c r="G4" s="2">
        <v>2007</v>
      </c>
      <c r="H4" s="2">
        <v>2015</v>
      </c>
      <c r="J4" s="2"/>
      <c r="K4" s="2">
        <v>2000</v>
      </c>
      <c r="L4" s="2">
        <v>2007</v>
      </c>
      <c r="M4" s="2">
        <v>2015</v>
      </c>
      <c r="DR4" s="15"/>
      <c r="DS4" s="57"/>
      <c r="DT4" s="58"/>
      <c r="DU4" s="58"/>
      <c r="DV4" s="58"/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9"/>
      <c r="EN4" s="30"/>
      <c r="EO4" s="30"/>
      <c r="EP4" s="30"/>
      <c r="EQ4" s="30"/>
      <c r="ER4" s="30"/>
      <c r="ES4" s="30"/>
      <c r="ET4" s="30"/>
      <c r="EU4" s="30"/>
      <c r="EV4" s="30"/>
      <c r="EW4" s="30"/>
    </row>
    <row r="5" spans="2:153">
      <c r="B5" s="2" t="s">
        <v>12</v>
      </c>
      <c r="C5" s="1">
        <f>C4*2</f>
        <v>1</v>
      </c>
      <c r="E5" s="2" t="s">
        <v>6</v>
      </c>
      <c r="F5" s="1">
        <v>0</v>
      </c>
      <c r="G5" s="1">
        <v>0</v>
      </c>
      <c r="H5" s="1">
        <v>0</v>
      </c>
      <c r="J5" s="2" t="s">
        <v>6</v>
      </c>
      <c r="K5" s="1">
        <f>F5+F12+F19</f>
        <v>115</v>
      </c>
      <c r="L5" s="1">
        <f t="shared" ref="L5:M8" si="0">G5+G12+G19</f>
        <v>125</v>
      </c>
      <c r="M5" s="1">
        <f t="shared" si="0"/>
        <v>0</v>
      </c>
      <c r="P5" s="47" t="s">
        <v>78</v>
      </c>
      <c r="Q5" s="47"/>
      <c r="R5" s="47"/>
      <c r="S5" s="47"/>
      <c r="T5" s="47"/>
      <c r="U5" s="47"/>
      <c r="V5" s="47"/>
      <c r="W5" s="47"/>
      <c r="X5" s="47"/>
      <c r="Z5" s="47" t="s">
        <v>23</v>
      </c>
      <c r="AA5" s="47"/>
      <c r="AB5" s="47"/>
      <c r="AC5" s="47"/>
      <c r="AE5" s="47" t="s">
        <v>78</v>
      </c>
      <c r="AF5" s="47"/>
      <c r="AG5" s="47"/>
      <c r="AH5" s="47"/>
      <c r="AI5" s="47"/>
      <c r="AJ5" s="47"/>
      <c r="AK5" s="47"/>
      <c r="AL5" s="47"/>
      <c r="AM5" s="47"/>
      <c r="AO5" s="47" t="s">
        <v>23</v>
      </c>
      <c r="AP5" s="47"/>
      <c r="AQ5" s="47"/>
      <c r="AR5" s="47"/>
      <c r="AT5" s="47" t="s">
        <v>81</v>
      </c>
      <c r="AU5" s="47"/>
      <c r="AV5" s="47"/>
      <c r="AW5" s="47"/>
      <c r="AX5" s="47"/>
      <c r="AY5" s="47"/>
      <c r="AZ5" s="47"/>
      <c r="BA5" s="47"/>
      <c r="BB5" s="47"/>
      <c r="BD5" s="47" t="s">
        <v>23</v>
      </c>
      <c r="BE5" s="47"/>
      <c r="BF5" s="47"/>
      <c r="BG5" s="47"/>
      <c r="BI5" s="47" t="s">
        <v>22</v>
      </c>
      <c r="BJ5" s="47"/>
      <c r="BK5" s="47"/>
      <c r="BL5" s="47"/>
      <c r="BM5" s="47"/>
      <c r="BN5" s="47"/>
      <c r="BO5" s="47"/>
      <c r="BP5" s="47"/>
      <c r="BQ5" s="47"/>
      <c r="BS5" s="47" t="s">
        <v>23</v>
      </c>
      <c r="BT5" s="47"/>
      <c r="BU5" s="47"/>
      <c r="BV5" s="47"/>
      <c r="BX5" s="47" t="s">
        <v>81</v>
      </c>
      <c r="BY5" s="47"/>
      <c r="BZ5" s="47"/>
      <c r="CA5" s="47"/>
      <c r="CB5" s="47"/>
      <c r="CC5" s="47"/>
      <c r="CD5" s="47"/>
      <c r="CE5" s="47"/>
      <c r="CF5" s="47"/>
      <c r="CH5" s="47" t="s">
        <v>23</v>
      </c>
      <c r="CI5" s="47"/>
      <c r="CJ5" s="47"/>
      <c r="CK5" s="47"/>
      <c r="CM5" s="47" t="s">
        <v>78</v>
      </c>
      <c r="CN5" s="47"/>
      <c r="CO5" s="47"/>
      <c r="CP5" s="47"/>
      <c r="CQ5" s="47"/>
      <c r="CR5" s="47"/>
      <c r="CS5" s="47"/>
      <c r="CT5" s="47"/>
      <c r="CU5" s="47"/>
      <c r="CW5" s="47" t="s">
        <v>23</v>
      </c>
      <c r="CX5" s="47"/>
      <c r="CY5" s="47"/>
      <c r="CZ5" s="47"/>
      <c r="DB5" s="47" t="s">
        <v>78</v>
      </c>
      <c r="DC5" s="47"/>
      <c r="DD5" s="47"/>
      <c r="DE5" s="47"/>
      <c r="DF5" s="47"/>
      <c r="DG5" s="47"/>
      <c r="DH5" s="47"/>
      <c r="DI5" s="47"/>
      <c r="DJ5" s="47"/>
      <c r="DL5" s="47" t="s">
        <v>23</v>
      </c>
      <c r="DM5" s="47"/>
      <c r="DN5" s="47"/>
      <c r="DO5" s="47"/>
      <c r="DR5" s="15"/>
      <c r="DS5" s="60" t="s">
        <v>92</v>
      </c>
      <c r="DT5" s="61"/>
      <c r="DU5" s="62"/>
      <c r="DV5" s="60" t="s">
        <v>91</v>
      </c>
      <c r="DW5" s="61"/>
      <c r="DX5" s="62"/>
      <c r="DY5" s="60" t="s">
        <v>90</v>
      </c>
      <c r="DZ5" s="61"/>
      <c r="EA5" s="62"/>
      <c r="EB5" s="60" t="s">
        <v>86</v>
      </c>
      <c r="EC5" s="61"/>
      <c r="ED5" s="62"/>
      <c r="EE5" s="60" t="s">
        <v>87</v>
      </c>
      <c r="EF5" s="61"/>
      <c r="EG5" s="62"/>
      <c r="EH5" s="60" t="s">
        <v>88</v>
      </c>
      <c r="EI5" s="61"/>
      <c r="EJ5" s="62"/>
      <c r="EK5" s="60" t="s">
        <v>89</v>
      </c>
      <c r="EL5" s="61"/>
      <c r="EM5" s="62"/>
    </row>
    <row r="6" spans="2:153" ht="15" thickBot="1">
      <c r="B6" s="2" t="s">
        <v>14</v>
      </c>
      <c r="C6" s="1">
        <v>2.5000000000000001E-2</v>
      </c>
      <c r="E6" s="2" t="s">
        <v>3</v>
      </c>
      <c r="F6" s="1">
        <v>35</v>
      </c>
      <c r="G6" s="1">
        <v>35</v>
      </c>
      <c r="H6" s="1">
        <v>0</v>
      </c>
      <c r="J6" s="2" t="s">
        <v>3</v>
      </c>
      <c r="K6" s="1">
        <f t="shared" ref="K6:K8" si="1">F6+F13+F20</f>
        <v>82</v>
      </c>
      <c r="L6" s="1">
        <f t="shared" si="0"/>
        <v>65</v>
      </c>
      <c r="M6" s="1">
        <f t="shared" si="0"/>
        <v>31</v>
      </c>
      <c r="DR6" s="18"/>
      <c r="DS6" s="12">
        <v>2000</v>
      </c>
      <c r="DT6" s="8">
        <v>2007</v>
      </c>
      <c r="DU6" s="13">
        <v>2015</v>
      </c>
      <c r="DV6" s="12">
        <v>2000</v>
      </c>
      <c r="DW6" s="8">
        <v>2007</v>
      </c>
      <c r="DX6" s="13">
        <v>2015</v>
      </c>
      <c r="DY6" s="12">
        <v>2000</v>
      </c>
      <c r="DZ6" s="8">
        <v>2007</v>
      </c>
      <c r="EA6" s="13">
        <v>2015</v>
      </c>
      <c r="EB6" s="12">
        <v>2000</v>
      </c>
      <c r="EC6" s="8">
        <v>2007</v>
      </c>
      <c r="ED6" s="13">
        <v>2015</v>
      </c>
      <c r="EE6" s="12">
        <v>2000</v>
      </c>
      <c r="EF6" s="8">
        <v>2007</v>
      </c>
      <c r="EG6" s="13">
        <v>2015</v>
      </c>
      <c r="EH6" s="12">
        <v>2000</v>
      </c>
      <c r="EI6" s="8">
        <v>2007</v>
      </c>
      <c r="EJ6" s="13">
        <v>2015</v>
      </c>
      <c r="EK6" s="12">
        <v>2000</v>
      </c>
      <c r="EL6" s="8">
        <v>2007</v>
      </c>
      <c r="EM6" s="13">
        <v>2015</v>
      </c>
      <c r="EO6" s="32"/>
      <c r="EP6" s="32" t="s">
        <v>130</v>
      </c>
      <c r="EQ6" s="32" t="s">
        <v>131</v>
      </c>
      <c r="ER6" s="32" t="s">
        <v>132</v>
      </c>
      <c r="ES6" s="32" t="s">
        <v>133</v>
      </c>
      <c r="ET6" s="32" t="s">
        <v>134</v>
      </c>
      <c r="EU6" s="32" t="s">
        <v>135</v>
      </c>
      <c r="EV6" s="32" t="s">
        <v>136</v>
      </c>
    </row>
    <row r="7" spans="2:153">
      <c r="B7" s="2" t="s">
        <v>15</v>
      </c>
      <c r="C7" s="1">
        <f>C6*2</f>
        <v>0.05</v>
      </c>
      <c r="E7" s="2" t="s">
        <v>4</v>
      </c>
      <c r="F7" s="1">
        <v>0</v>
      </c>
      <c r="G7" s="1">
        <v>12</v>
      </c>
      <c r="H7" s="1">
        <v>16</v>
      </c>
      <c r="J7" s="2" t="s">
        <v>4</v>
      </c>
      <c r="K7" s="1">
        <f t="shared" si="1"/>
        <v>0</v>
      </c>
      <c r="L7" s="1">
        <f t="shared" si="0"/>
        <v>49</v>
      </c>
      <c r="M7" s="1">
        <f t="shared" si="0"/>
        <v>136</v>
      </c>
      <c r="P7" s="47" t="s">
        <v>62</v>
      </c>
      <c r="Q7" s="47"/>
      <c r="R7" s="47"/>
      <c r="S7" s="47"/>
      <c r="U7" s="47" t="s">
        <v>76</v>
      </c>
      <c r="V7" s="47"/>
      <c r="W7" s="47"/>
      <c r="X7" s="47"/>
      <c r="Z7" s="47" t="s">
        <v>52</v>
      </c>
      <c r="AA7" s="47"/>
      <c r="AB7" s="47"/>
      <c r="AC7" s="47"/>
      <c r="AE7" s="47" t="s">
        <v>62</v>
      </c>
      <c r="AF7" s="47"/>
      <c r="AG7" s="47"/>
      <c r="AH7" s="47"/>
      <c r="AJ7" s="47" t="s">
        <v>76</v>
      </c>
      <c r="AK7" s="47"/>
      <c r="AL7" s="47"/>
      <c r="AM7" s="47"/>
      <c r="AO7" s="47" t="s">
        <v>52</v>
      </c>
      <c r="AP7" s="47"/>
      <c r="AQ7" s="47"/>
      <c r="AR7" s="47"/>
      <c r="AT7" s="47" t="s">
        <v>62</v>
      </c>
      <c r="AU7" s="47"/>
      <c r="AV7" s="47"/>
      <c r="AW7" s="47"/>
      <c r="AY7" s="47" t="s">
        <v>76</v>
      </c>
      <c r="AZ7" s="47"/>
      <c r="BA7" s="47"/>
      <c r="BB7" s="47"/>
      <c r="BD7" s="47" t="s">
        <v>52</v>
      </c>
      <c r="BE7" s="47"/>
      <c r="BF7" s="47"/>
      <c r="BG7" s="47"/>
      <c r="BI7" s="47" t="s">
        <v>62</v>
      </c>
      <c r="BJ7" s="47"/>
      <c r="BK7" s="47"/>
      <c r="BL7" s="47"/>
      <c r="BN7" s="47" t="s">
        <v>76</v>
      </c>
      <c r="BO7" s="47"/>
      <c r="BP7" s="47"/>
      <c r="BQ7" s="47"/>
      <c r="BS7" s="47" t="s">
        <v>52</v>
      </c>
      <c r="BT7" s="47"/>
      <c r="BU7" s="47"/>
      <c r="BV7" s="47"/>
      <c r="BX7" s="47" t="s">
        <v>62</v>
      </c>
      <c r="BY7" s="47"/>
      <c r="BZ7" s="47"/>
      <c r="CA7" s="47"/>
      <c r="CC7" s="47" t="s">
        <v>76</v>
      </c>
      <c r="CD7" s="47"/>
      <c r="CE7" s="47"/>
      <c r="CF7" s="47"/>
      <c r="CH7" s="47" t="s">
        <v>52</v>
      </c>
      <c r="CI7" s="47"/>
      <c r="CJ7" s="47"/>
      <c r="CK7" s="47"/>
      <c r="CM7" s="47" t="s">
        <v>62</v>
      </c>
      <c r="CN7" s="47"/>
      <c r="CO7" s="47"/>
      <c r="CP7" s="47"/>
      <c r="CR7" s="47" t="s">
        <v>76</v>
      </c>
      <c r="CS7" s="47"/>
      <c r="CT7" s="47"/>
      <c r="CU7" s="47"/>
      <c r="CW7" s="47" t="s">
        <v>52</v>
      </c>
      <c r="CX7" s="47"/>
      <c r="CY7" s="47"/>
      <c r="CZ7" s="47"/>
      <c r="DB7" s="47" t="s">
        <v>62</v>
      </c>
      <c r="DC7" s="47"/>
      <c r="DD7" s="47"/>
      <c r="DE7" s="47"/>
      <c r="DG7" s="47" t="s">
        <v>76</v>
      </c>
      <c r="DH7" s="47"/>
      <c r="DI7" s="47"/>
      <c r="DJ7" s="47"/>
      <c r="DL7" s="47" t="s">
        <v>52</v>
      </c>
      <c r="DM7" s="47"/>
      <c r="DN7" s="47"/>
      <c r="DO7" s="47"/>
      <c r="DR7" s="19" t="s">
        <v>26</v>
      </c>
      <c r="DS7" s="39">
        <f>DC13</f>
        <v>2.5750000000000002</v>
      </c>
      <c r="DT7" s="40">
        <f>DD13</f>
        <v>2.2133333333333334</v>
      </c>
      <c r="DU7" s="41">
        <f>DE13</f>
        <v>1.8066666666666666</v>
      </c>
      <c r="DV7" s="39">
        <f>CN13</f>
        <v>3.2249999999999996</v>
      </c>
      <c r="DW7" s="40">
        <f>CO13</f>
        <v>2.7966666666666669</v>
      </c>
      <c r="DX7" s="41">
        <f>CP13</f>
        <v>2.3066666666666666</v>
      </c>
      <c r="DY7" s="39">
        <f>BY13</f>
        <v>4.0299999999999994</v>
      </c>
      <c r="DZ7" s="40">
        <f>BZ13</f>
        <v>3.5466666666666669</v>
      </c>
      <c r="EA7" s="41">
        <f>CA13</f>
        <v>2.9866666666666668</v>
      </c>
      <c r="EB7" s="39">
        <f>Q13</f>
        <v>5.2700000000000005</v>
      </c>
      <c r="EC7" s="40">
        <f t="shared" ref="EC7:ED7" si="2">R13</f>
        <v>4.6866666666666665</v>
      </c>
      <c r="ED7" s="41">
        <f t="shared" si="2"/>
        <v>3.89</v>
      </c>
      <c r="EE7" s="39">
        <f>AF13</f>
        <v>6.4150000000000009</v>
      </c>
      <c r="EF7" s="40">
        <f t="shared" ref="EF7:EG7" si="3">AG13</f>
        <v>5.7833333333333341</v>
      </c>
      <c r="EG7" s="41">
        <f t="shared" si="3"/>
        <v>4.7699999999999996</v>
      </c>
      <c r="EH7" s="39">
        <f>AU13</f>
        <v>8.82</v>
      </c>
      <c r="EI7" s="40">
        <f t="shared" ref="EI7:EJ7" si="4">AV13</f>
        <v>7.9133333333333331</v>
      </c>
      <c r="EJ7" s="41">
        <f t="shared" si="4"/>
        <v>6.38</v>
      </c>
      <c r="EK7" s="39">
        <f>BJ13</f>
        <v>14.515000000000001</v>
      </c>
      <c r="EL7" s="40">
        <f t="shared" ref="EL7:EM7" si="5">BK13</f>
        <v>13.280000000000001</v>
      </c>
      <c r="EM7" s="41">
        <f t="shared" si="5"/>
        <v>11.006666666666666</v>
      </c>
      <c r="EO7" s="32" t="s">
        <v>127</v>
      </c>
      <c r="EP7" s="31">
        <f>DS21</f>
        <v>18.077844311377245</v>
      </c>
      <c r="EQ7" s="31">
        <f>DV21</f>
        <v>24.438323353293413</v>
      </c>
      <c r="ER7" s="31">
        <f>DY21</f>
        <v>35.453293413173654</v>
      </c>
      <c r="ES7" s="31">
        <f>EB21</f>
        <v>51.1748502994012</v>
      </c>
      <c r="ET7" s="31">
        <f>EE21</f>
        <v>69.577245508982031</v>
      </c>
      <c r="EU7" s="31">
        <f>EH21</f>
        <v>91.12934131736526</v>
      </c>
      <c r="EV7" s="31">
        <f>EK21</f>
        <v>113.88802395209581</v>
      </c>
    </row>
    <row r="8" spans="2:153">
      <c r="B8" s="2" t="s">
        <v>13</v>
      </c>
      <c r="C8" s="6"/>
      <c r="E8" s="2" t="s">
        <v>5</v>
      </c>
      <c r="F8" s="1">
        <v>0</v>
      </c>
      <c r="G8" s="1">
        <v>0</v>
      </c>
      <c r="H8" s="1">
        <v>35</v>
      </c>
      <c r="J8" s="2" t="s">
        <v>5</v>
      </c>
      <c r="K8" s="1">
        <f t="shared" si="1"/>
        <v>0</v>
      </c>
      <c r="L8" s="1">
        <f t="shared" si="0"/>
        <v>0</v>
      </c>
      <c r="M8" s="1">
        <f t="shared" si="0"/>
        <v>97</v>
      </c>
      <c r="P8" s="2"/>
      <c r="Q8" s="2">
        <v>2000</v>
      </c>
      <c r="R8" s="2">
        <v>2007</v>
      </c>
      <c r="S8" s="2">
        <v>2015</v>
      </c>
      <c r="U8" s="2"/>
      <c r="V8" s="2">
        <v>2000</v>
      </c>
      <c r="W8" s="2">
        <v>2007</v>
      </c>
      <c r="X8" s="2">
        <v>2015</v>
      </c>
      <c r="Z8" s="2"/>
      <c r="AA8" s="2">
        <v>2000</v>
      </c>
      <c r="AB8" s="2">
        <v>2007</v>
      </c>
      <c r="AC8" s="2">
        <v>2015</v>
      </c>
      <c r="AE8" s="2"/>
      <c r="AF8" s="2">
        <v>2000</v>
      </c>
      <c r="AG8" s="2">
        <v>2007</v>
      </c>
      <c r="AH8" s="2">
        <v>2015</v>
      </c>
      <c r="AJ8" s="2"/>
      <c r="AK8" s="2">
        <v>2000</v>
      </c>
      <c r="AL8" s="2">
        <v>2007</v>
      </c>
      <c r="AM8" s="2">
        <v>2015</v>
      </c>
      <c r="AO8" s="2"/>
      <c r="AP8" s="2">
        <v>2000</v>
      </c>
      <c r="AQ8" s="2">
        <v>2007</v>
      </c>
      <c r="AR8" s="2">
        <v>2015</v>
      </c>
      <c r="AT8" s="2"/>
      <c r="AU8" s="2">
        <v>2000</v>
      </c>
      <c r="AV8" s="2">
        <v>2007</v>
      </c>
      <c r="AW8" s="2">
        <v>2015</v>
      </c>
      <c r="AY8" s="2"/>
      <c r="AZ8" s="2">
        <v>2000</v>
      </c>
      <c r="BA8" s="2">
        <v>2007</v>
      </c>
      <c r="BB8" s="2">
        <v>2015</v>
      </c>
      <c r="BD8" s="2"/>
      <c r="BE8" s="2">
        <v>2000</v>
      </c>
      <c r="BF8" s="2">
        <v>2007</v>
      </c>
      <c r="BG8" s="2">
        <v>2015</v>
      </c>
      <c r="BI8" s="2"/>
      <c r="BJ8" s="2">
        <v>2000</v>
      </c>
      <c r="BK8" s="2">
        <v>2007</v>
      </c>
      <c r="BL8" s="2">
        <v>2015</v>
      </c>
      <c r="BN8" s="2"/>
      <c r="BO8" s="2">
        <v>2000</v>
      </c>
      <c r="BP8" s="2">
        <v>2007</v>
      </c>
      <c r="BQ8" s="2">
        <v>2015</v>
      </c>
      <c r="BS8" s="2"/>
      <c r="BT8" s="2">
        <v>2000</v>
      </c>
      <c r="BU8" s="2">
        <v>2007</v>
      </c>
      <c r="BV8" s="2">
        <v>2015</v>
      </c>
      <c r="BX8" s="2"/>
      <c r="BY8" s="2">
        <v>2000</v>
      </c>
      <c r="BZ8" s="2">
        <v>2007</v>
      </c>
      <c r="CA8" s="2">
        <v>2015</v>
      </c>
      <c r="CC8" s="2"/>
      <c r="CD8" s="2">
        <v>2000</v>
      </c>
      <c r="CE8" s="2">
        <v>2007</v>
      </c>
      <c r="CF8" s="2">
        <v>2015</v>
      </c>
      <c r="CH8" s="2"/>
      <c r="CI8" s="2">
        <v>2000</v>
      </c>
      <c r="CJ8" s="2">
        <v>2007</v>
      </c>
      <c r="CK8" s="2">
        <v>2015</v>
      </c>
      <c r="CM8" s="2"/>
      <c r="CN8" s="2">
        <v>2000</v>
      </c>
      <c r="CO8" s="2">
        <v>2007</v>
      </c>
      <c r="CP8" s="2">
        <v>2015</v>
      </c>
      <c r="CR8" s="2"/>
      <c r="CS8" s="2">
        <v>2000</v>
      </c>
      <c r="CT8" s="2">
        <v>2007</v>
      </c>
      <c r="CU8" s="2">
        <v>2015</v>
      </c>
      <c r="CW8" s="2"/>
      <c r="CX8" s="2">
        <v>2000</v>
      </c>
      <c r="CY8" s="2">
        <v>2007</v>
      </c>
      <c r="CZ8" s="2">
        <v>2015</v>
      </c>
      <c r="DB8" s="2"/>
      <c r="DC8" s="2">
        <v>2000</v>
      </c>
      <c r="DD8" s="2">
        <v>2007</v>
      </c>
      <c r="DE8" s="2">
        <v>2015</v>
      </c>
      <c r="DG8" s="2"/>
      <c r="DH8" s="2">
        <v>2000</v>
      </c>
      <c r="DI8" s="2">
        <v>2007</v>
      </c>
      <c r="DJ8" s="2">
        <v>2015</v>
      </c>
      <c r="DL8" s="2"/>
      <c r="DM8" s="2">
        <v>2000</v>
      </c>
      <c r="DN8" s="2">
        <v>2007</v>
      </c>
      <c r="DO8" s="2">
        <v>2015</v>
      </c>
      <c r="DR8" s="16" t="s">
        <v>27</v>
      </c>
      <c r="DS8" s="42">
        <f>DC21</f>
        <v>1.155</v>
      </c>
      <c r="DT8" s="24">
        <f>DD21</f>
        <v>0.95333333333333325</v>
      </c>
      <c r="DU8" s="43">
        <f>DE21</f>
        <v>0.55666666666666664</v>
      </c>
      <c r="DV8" s="42">
        <f>CN21</f>
        <v>1.28</v>
      </c>
      <c r="DW8" s="24">
        <f>CO21</f>
        <v>1.0566666666666666</v>
      </c>
      <c r="DX8" s="43">
        <f>CP21</f>
        <v>0.62333333333333341</v>
      </c>
      <c r="DY8" s="42">
        <f>BY21</f>
        <v>1.46</v>
      </c>
      <c r="DZ8" s="24">
        <f>BZ21</f>
        <v>1.2033333333333334</v>
      </c>
      <c r="EA8" s="43">
        <f>CA21</f>
        <v>0.72666666666666668</v>
      </c>
      <c r="EB8" s="42">
        <f>Q21</f>
        <v>1.665</v>
      </c>
      <c r="EC8" s="24">
        <f t="shared" ref="EC8:ED8" si="6">R21</f>
        <v>1.3766666666666667</v>
      </c>
      <c r="ED8" s="43">
        <f t="shared" si="6"/>
        <v>0.84666666666666668</v>
      </c>
      <c r="EE8" s="42">
        <f>AF21</f>
        <v>1.675</v>
      </c>
      <c r="EF8" s="24">
        <f t="shared" ref="EF8:EG8" si="7">AG21</f>
        <v>1.0666666666666667</v>
      </c>
      <c r="EG8" s="43">
        <f t="shared" si="7"/>
        <v>0.91</v>
      </c>
      <c r="EH8" s="42">
        <f>AU21</f>
        <v>1.655</v>
      </c>
      <c r="EI8" s="24">
        <f t="shared" ref="EI8:EJ8" si="8">AV21</f>
        <v>1.4066666666666665</v>
      </c>
      <c r="EJ8" s="43">
        <f t="shared" si="8"/>
        <v>0.96333333333333337</v>
      </c>
      <c r="EK8" s="42">
        <f>BJ21</f>
        <v>1.625</v>
      </c>
      <c r="EL8" s="24">
        <f t="shared" ref="EL8:EM8" si="9">BK21</f>
        <v>1.3966666666666667</v>
      </c>
      <c r="EM8" s="43">
        <f t="shared" si="9"/>
        <v>1.01</v>
      </c>
      <c r="EO8" s="32" t="s">
        <v>128</v>
      </c>
      <c r="EP8" s="31">
        <f>DT21</f>
        <v>17.097804391217565</v>
      </c>
      <c r="EQ8" s="31">
        <f>DW21</f>
        <v>23.257884231536924</v>
      </c>
      <c r="ER8" s="31">
        <f>DZ21</f>
        <v>33.87105788423154</v>
      </c>
      <c r="ES8" s="31">
        <f>EC21</f>
        <v>49.256686626746507</v>
      </c>
      <c r="ET8" s="31">
        <f>EF21</f>
        <v>67.864670658682641</v>
      </c>
      <c r="EU8" s="31">
        <f>EI21</f>
        <v>89.226746506986032</v>
      </c>
      <c r="EV8" s="31">
        <f>EL21</f>
        <v>112.10778443113772</v>
      </c>
    </row>
    <row r="9" spans="2:153">
      <c r="B9" s="2" t="s">
        <v>1</v>
      </c>
      <c r="C9" s="6"/>
      <c r="J9" s="3" t="s">
        <v>24</v>
      </c>
      <c r="K9" s="3">
        <f>K5+K6+K7+K8</f>
        <v>197</v>
      </c>
      <c r="L9" s="3">
        <f>L5+L6+L7+L8</f>
        <v>239</v>
      </c>
      <c r="M9" s="3">
        <f>M5+M6+M7+M8</f>
        <v>264</v>
      </c>
      <c r="P9" s="2" t="s">
        <v>6</v>
      </c>
      <c r="Q9" s="1">
        <v>7.11</v>
      </c>
      <c r="R9" s="1">
        <v>7.27</v>
      </c>
      <c r="S9" s="1" t="s">
        <v>49</v>
      </c>
      <c r="U9" s="2" t="s">
        <v>6</v>
      </c>
      <c r="V9" s="1">
        <v>0</v>
      </c>
      <c r="W9" s="1">
        <v>0</v>
      </c>
      <c r="X9" s="1" t="s">
        <v>49</v>
      </c>
      <c r="Z9" s="2" t="s">
        <v>6</v>
      </c>
      <c r="AA9" s="1">
        <v>0.19</v>
      </c>
      <c r="AB9" s="1">
        <v>0.19</v>
      </c>
      <c r="AC9" s="1" t="s">
        <v>49</v>
      </c>
      <c r="AE9" s="2" t="s">
        <v>6</v>
      </c>
      <c r="AF9" s="1">
        <v>8.7100000000000009</v>
      </c>
      <c r="AG9" s="1">
        <v>8.91</v>
      </c>
      <c r="AH9" s="1" t="s">
        <v>49</v>
      </c>
      <c r="AJ9" s="2" t="s">
        <v>6</v>
      </c>
      <c r="AK9" s="1">
        <v>0</v>
      </c>
      <c r="AL9" s="1">
        <v>0</v>
      </c>
      <c r="AM9" s="1" t="s">
        <v>49</v>
      </c>
      <c r="AO9" s="2" t="s">
        <v>6</v>
      </c>
      <c r="AP9" s="1">
        <v>0.2</v>
      </c>
      <c r="AQ9" s="1">
        <v>0.2</v>
      </c>
      <c r="AR9" s="1" t="s">
        <v>49</v>
      </c>
      <c r="AT9" s="2" t="s">
        <v>6</v>
      </c>
      <c r="AU9" s="1">
        <v>11.93</v>
      </c>
      <c r="AV9" s="1">
        <v>12.2</v>
      </c>
      <c r="AW9" s="1" t="s">
        <v>49</v>
      </c>
      <c r="AY9" s="2" t="s">
        <v>6</v>
      </c>
      <c r="AZ9" s="1">
        <v>0</v>
      </c>
      <c r="BA9" s="1">
        <v>0</v>
      </c>
      <c r="BB9" s="1" t="s">
        <v>49</v>
      </c>
      <c r="BD9" s="2" t="s">
        <v>6</v>
      </c>
      <c r="BE9" s="1">
        <v>0.21</v>
      </c>
      <c r="BF9" s="1">
        <v>0.21</v>
      </c>
      <c r="BG9" s="1" t="s">
        <v>49</v>
      </c>
      <c r="BI9" s="2" t="s">
        <v>6</v>
      </c>
      <c r="BJ9" s="1">
        <v>19.57</v>
      </c>
      <c r="BK9" s="1">
        <v>20.010000000000002</v>
      </c>
      <c r="BL9" s="1" t="s">
        <v>49</v>
      </c>
      <c r="BN9" s="2" t="s">
        <v>6</v>
      </c>
      <c r="BO9" s="1">
        <v>0</v>
      </c>
      <c r="BP9" s="1">
        <v>0</v>
      </c>
      <c r="BQ9" s="1" t="s">
        <v>49</v>
      </c>
      <c r="BS9" s="2" t="s">
        <v>6</v>
      </c>
      <c r="BT9" s="1">
        <v>0.22</v>
      </c>
      <c r="BU9" s="1">
        <v>0.22</v>
      </c>
      <c r="BV9" s="1" t="s">
        <v>49</v>
      </c>
      <c r="BX9" s="2" t="s">
        <v>6</v>
      </c>
      <c r="BY9" s="1">
        <v>5.52</v>
      </c>
      <c r="BZ9" s="1">
        <v>5.64</v>
      </c>
      <c r="CA9" s="1" t="s">
        <v>49</v>
      </c>
      <c r="CC9" s="2" t="s">
        <v>6</v>
      </c>
      <c r="CD9" s="1">
        <v>0</v>
      </c>
      <c r="CE9" s="1">
        <v>0</v>
      </c>
      <c r="CF9" s="1" t="s">
        <v>49</v>
      </c>
      <c r="CH9" s="2" t="s">
        <v>6</v>
      </c>
      <c r="CI9" s="1">
        <v>0.19</v>
      </c>
      <c r="CJ9" s="1">
        <v>0.19</v>
      </c>
      <c r="CK9" s="1" t="s">
        <v>49</v>
      </c>
      <c r="CM9" s="2" t="s">
        <v>6</v>
      </c>
      <c r="CN9" s="1">
        <v>4.43</v>
      </c>
      <c r="CO9" s="1">
        <v>4.53</v>
      </c>
      <c r="CP9" s="1" t="s">
        <v>49</v>
      </c>
      <c r="CR9" s="2" t="s">
        <v>6</v>
      </c>
      <c r="CS9" s="1">
        <v>0</v>
      </c>
      <c r="CT9" s="1">
        <v>0</v>
      </c>
      <c r="CU9" s="1" t="s">
        <v>49</v>
      </c>
      <c r="CW9" s="2" t="s">
        <v>6</v>
      </c>
      <c r="CX9" s="1">
        <v>0.18</v>
      </c>
      <c r="CY9" s="1">
        <v>0.18</v>
      </c>
      <c r="CZ9" s="1" t="s">
        <v>49</v>
      </c>
      <c r="DB9" s="2" t="s">
        <v>6</v>
      </c>
      <c r="DC9" s="1">
        <v>3.58</v>
      </c>
      <c r="DD9" s="1">
        <v>3.66</v>
      </c>
      <c r="DE9" s="1" t="s">
        <v>49</v>
      </c>
      <c r="DG9" s="2" t="s">
        <v>6</v>
      </c>
      <c r="DH9" s="1">
        <v>0</v>
      </c>
      <c r="DI9" s="1">
        <v>0</v>
      </c>
      <c r="DJ9" s="1" t="s">
        <v>49</v>
      </c>
      <c r="DL9" s="2" t="s">
        <v>6</v>
      </c>
      <c r="DM9" s="1">
        <v>0.18</v>
      </c>
      <c r="DN9" s="1">
        <v>0.18</v>
      </c>
      <c r="DO9" s="1" t="s">
        <v>49</v>
      </c>
      <c r="DR9" s="16" t="s">
        <v>28</v>
      </c>
      <c r="DS9" s="42">
        <f>DC29</f>
        <v>0.98</v>
      </c>
      <c r="DT9" s="24">
        <f>DD29</f>
        <v>0.80000000000000016</v>
      </c>
      <c r="DU9" s="43">
        <f>DE29</f>
        <v>0.43</v>
      </c>
      <c r="DV9" s="42">
        <f>CN29</f>
        <v>1.1099999999999999</v>
      </c>
      <c r="DW9" s="24">
        <f>CO29</f>
        <v>0.9</v>
      </c>
      <c r="DX9" s="43">
        <f>CP29</f>
        <v>0.49333333333333335</v>
      </c>
      <c r="DY9" s="42">
        <f>BY29</f>
        <v>1.28</v>
      </c>
      <c r="DZ9" s="24">
        <f>BZ29</f>
        <v>1.0466666666666666</v>
      </c>
      <c r="EA9" s="43">
        <f>CA29</f>
        <v>0.59333333333333338</v>
      </c>
      <c r="EB9" s="42">
        <f>Q29</f>
        <v>1.4900000000000002</v>
      </c>
      <c r="EC9" s="24">
        <f t="shared" ref="EC9:ED9" si="10">R29</f>
        <v>1.22</v>
      </c>
      <c r="ED9" s="43">
        <f t="shared" si="10"/>
        <v>0.71666666666666667</v>
      </c>
      <c r="EE9" s="42">
        <f>AF29</f>
        <v>1.5</v>
      </c>
      <c r="EF9" s="24">
        <f t="shared" ref="EF9:EG9" si="11">AG29</f>
        <v>1.2466666666666666</v>
      </c>
      <c r="EG9" s="43">
        <f t="shared" si="11"/>
        <v>0.77666666666666673</v>
      </c>
      <c r="EH9" s="42">
        <f>AU29</f>
        <v>1.4850000000000001</v>
      </c>
      <c r="EI9" s="24">
        <f t="shared" ref="EI9:EJ9" si="12">AV29</f>
        <v>1.25</v>
      </c>
      <c r="EJ9" s="43">
        <f t="shared" si="12"/>
        <v>0.83666666666666678</v>
      </c>
      <c r="EK9" s="42">
        <f>BJ29</f>
        <v>1.4449999999999998</v>
      </c>
      <c r="EL9" s="24">
        <f t="shared" ref="EL9:EM9" si="13">BK29</f>
        <v>1.24</v>
      </c>
      <c r="EM9" s="43">
        <f t="shared" si="13"/>
        <v>0.88</v>
      </c>
      <c r="EO9" s="32" t="s">
        <v>129</v>
      </c>
      <c r="EP9" s="31">
        <f>DU21</f>
        <v>16.160878243512972</v>
      </c>
      <c r="EQ9" s="31">
        <f>DX21</f>
        <v>21.969660678642715</v>
      </c>
      <c r="ER9" s="31">
        <f>EA21</f>
        <v>31.960878243512969</v>
      </c>
      <c r="ES9" s="31">
        <f>ED21</f>
        <v>46.636726546906182</v>
      </c>
      <c r="ET9" s="31">
        <f>EG21</f>
        <v>65.514171656686642</v>
      </c>
      <c r="EU9" s="31">
        <f>EJ21</f>
        <v>86.623153692614778</v>
      </c>
      <c r="EV9" s="31">
        <f>EM21</f>
        <v>109.26786427145709</v>
      </c>
    </row>
    <row r="10" spans="2:153">
      <c r="B10" s="2" t="s">
        <v>2</v>
      </c>
      <c r="C10" s="6"/>
      <c r="E10" s="47" t="s">
        <v>8</v>
      </c>
      <c r="F10" s="47"/>
      <c r="G10" s="47"/>
      <c r="H10" s="47"/>
      <c r="P10" s="2" t="s">
        <v>3</v>
      </c>
      <c r="Q10" s="1">
        <v>3.43</v>
      </c>
      <c r="R10" s="1">
        <v>3.51</v>
      </c>
      <c r="S10" s="1">
        <v>4</v>
      </c>
      <c r="U10" s="2" t="s">
        <v>3</v>
      </c>
      <c r="V10" s="1">
        <v>0</v>
      </c>
      <c r="W10" s="1">
        <v>0</v>
      </c>
      <c r="X10" s="1">
        <v>0</v>
      </c>
      <c r="Z10" s="2" t="s">
        <v>3</v>
      </c>
      <c r="AA10" s="1">
        <v>0.19</v>
      </c>
      <c r="AB10" s="1">
        <v>0.19</v>
      </c>
      <c r="AC10" s="1">
        <v>0.19</v>
      </c>
      <c r="AE10" s="2" t="s">
        <v>3</v>
      </c>
      <c r="AF10" s="1">
        <v>4.12</v>
      </c>
      <c r="AG10" s="1">
        <v>4.21</v>
      </c>
      <c r="AH10" s="1">
        <v>4.79</v>
      </c>
      <c r="AJ10" s="2" t="s">
        <v>3</v>
      </c>
      <c r="AK10" s="1">
        <v>0</v>
      </c>
      <c r="AL10" s="1">
        <v>0</v>
      </c>
      <c r="AM10" s="1">
        <v>0</v>
      </c>
      <c r="AO10" s="2" t="s">
        <v>3</v>
      </c>
      <c r="AP10" s="1">
        <v>0.2</v>
      </c>
      <c r="AQ10" s="1">
        <v>0.2</v>
      </c>
      <c r="AR10" s="1">
        <v>0.2</v>
      </c>
      <c r="AT10" s="2" t="s">
        <v>3</v>
      </c>
      <c r="AU10" s="1">
        <v>5.71</v>
      </c>
      <c r="AV10" s="1">
        <v>5.84</v>
      </c>
      <c r="AW10" s="1">
        <v>6.65</v>
      </c>
      <c r="AY10" s="2" t="s">
        <v>3</v>
      </c>
      <c r="AZ10" s="1">
        <v>0</v>
      </c>
      <c r="BA10" s="1">
        <v>0</v>
      </c>
      <c r="BB10" s="1">
        <v>0</v>
      </c>
      <c r="BD10" s="2" t="s">
        <v>3</v>
      </c>
      <c r="BE10" s="1">
        <v>0.21</v>
      </c>
      <c r="BF10" s="1">
        <v>0.21</v>
      </c>
      <c r="BG10" s="1">
        <v>0.21</v>
      </c>
      <c r="BI10" s="2" t="s">
        <v>3</v>
      </c>
      <c r="BJ10" s="1">
        <v>9.4600000000000009</v>
      </c>
      <c r="BK10" s="1">
        <v>9.68</v>
      </c>
      <c r="BL10" s="1">
        <v>11.02</v>
      </c>
      <c r="BN10" s="2" t="s">
        <v>3</v>
      </c>
      <c r="BO10" s="1">
        <v>0</v>
      </c>
      <c r="BP10" s="1">
        <v>0</v>
      </c>
      <c r="BQ10" s="1">
        <v>0</v>
      </c>
      <c r="BS10" s="2" t="s">
        <v>3</v>
      </c>
      <c r="BT10" s="1">
        <v>0.22</v>
      </c>
      <c r="BU10" s="1">
        <v>0.22</v>
      </c>
      <c r="BV10" s="1">
        <v>0.22</v>
      </c>
      <c r="BX10" s="2" t="s">
        <v>3</v>
      </c>
      <c r="BY10" s="1">
        <v>2.54</v>
      </c>
      <c r="BZ10" s="1">
        <v>2.6</v>
      </c>
      <c r="CA10" s="1">
        <v>2.96</v>
      </c>
      <c r="CC10" s="2" t="s">
        <v>3</v>
      </c>
      <c r="CD10" s="1">
        <v>0</v>
      </c>
      <c r="CE10" s="1">
        <v>0</v>
      </c>
      <c r="CF10" s="1">
        <v>0</v>
      </c>
      <c r="CH10" s="2" t="s">
        <v>3</v>
      </c>
      <c r="CI10" s="1">
        <v>0.18</v>
      </c>
      <c r="CJ10" s="1">
        <v>0.18</v>
      </c>
      <c r="CK10" s="1">
        <v>0.18</v>
      </c>
      <c r="CM10" s="2" t="s">
        <v>3</v>
      </c>
      <c r="CN10" s="1">
        <v>2.02</v>
      </c>
      <c r="CO10" s="1">
        <v>2.06</v>
      </c>
      <c r="CP10" s="1">
        <v>2.35</v>
      </c>
      <c r="CR10" s="2" t="s">
        <v>3</v>
      </c>
      <c r="CS10" s="1">
        <v>0</v>
      </c>
      <c r="CT10" s="1">
        <v>0</v>
      </c>
      <c r="CU10" s="1">
        <v>0</v>
      </c>
      <c r="CW10" s="2" t="s">
        <v>3</v>
      </c>
      <c r="CX10" s="1">
        <v>0.18</v>
      </c>
      <c r="CY10" s="1">
        <v>0.18</v>
      </c>
      <c r="CZ10" s="1">
        <v>0.18</v>
      </c>
      <c r="DB10" s="2" t="s">
        <v>3</v>
      </c>
      <c r="DC10" s="1">
        <v>1.57</v>
      </c>
      <c r="DD10" s="1">
        <v>1.61</v>
      </c>
      <c r="DE10" s="1">
        <v>1.83</v>
      </c>
      <c r="DG10" s="2" t="s">
        <v>3</v>
      </c>
      <c r="DH10" s="1">
        <v>0</v>
      </c>
      <c r="DI10" s="1">
        <v>0</v>
      </c>
      <c r="DJ10" s="1">
        <v>0</v>
      </c>
      <c r="DL10" s="2" t="s">
        <v>3</v>
      </c>
      <c r="DM10" s="1">
        <v>0.18</v>
      </c>
      <c r="DN10" s="1">
        <v>0.18</v>
      </c>
      <c r="DO10" s="1">
        <v>0.18</v>
      </c>
      <c r="DR10" s="16" t="s">
        <v>29</v>
      </c>
      <c r="DS10" s="42">
        <f>DC37</f>
        <v>0.18</v>
      </c>
      <c r="DT10" s="24">
        <f>DD37</f>
        <v>0.15666666666666665</v>
      </c>
      <c r="DU10" s="43">
        <f>DE37</f>
        <v>0.13</v>
      </c>
      <c r="DV10" s="42">
        <f>CN37</f>
        <v>0.18</v>
      </c>
      <c r="DW10" s="24">
        <f>CO37</f>
        <v>0.15666666666666665</v>
      </c>
      <c r="DX10" s="43">
        <f>CP37</f>
        <v>0.13</v>
      </c>
      <c r="DY10" s="42">
        <f>BY37</f>
        <v>0.18</v>
      </c>
      <c r="DZ10" s="24">
        <f>BZ37</f>
        <v>0.15666666666666665</v>
      </c>
      <c r="EA10" s="43">
        <f>CA37</f>
        <v>0.13</v>
      </c>
      <c r="EB10" s="42">
        <f>Q37</f>
        <v>0.18</v>
      </c>
      <c r="EC10" s="24">
        <f t="shared" ref="EC10:ED10" si="14">R37</f>
        <v>0.15666666666666665</v>
      </c>
      <c r="ED10" s="43">
        <f t="shared" si="14"/>
        <v>0.13</v>
      </c>
      <c r="EE10" s="42">
        <f>AF37</f>
        <v>0.18</v>
      </c>
      <c r="EF10" s="24">
        <f t="shared" ref="EF10:EG10" si="15">AG37</f>
        <v>0.15666666666666665</v>
      </c>
      <c r="EG10" s="43">
        <f t="shared" si="15"/>
        <v>0.13</v>
      </c>
      <c r="EH10" s="42">
        <f>AU37</f>
        <v>0.18</v>
      </c>
      <c r="EI10" s="24">
        <f t="shared" ref="EI10:EJ10" si="16">AV37</f>
        <v>0.15666666666666665</v>
      </c>
      <c r="EJ10" s="43">
        <f t="shared" si="16"/>
        <v>0.13</v>
      </c>
      <c r="EK10" s="42">
        <f>BJ37</f>
        <v>0.18</v>
      </c>
      <c r="EL10" s="24">
        <f t="shared" ref="EL10:EM10" si="17">BK37</f>
        <v>0.15666666666666665</v>
      </c>
      <c r="EM10" s="43">
        <f t="shared" si="17"/>
        <v>0.13</v>
      </c>
    </row>
    <row r="11" spans="2:153">
      <c r="B11" s="2" t="s">
        <v>0</v>
      </c>
      <c r="C11" s="6">
        <v>1000</v>
      </c>
      <c r="E11" s="2"/>
      <c r="F11" s="2">
        <v>2000</v>
      </c>
      <c r="G11" s="2">
        <v>2007</v>
      </c>
      <c r="H11" s="2">
        <v>2015</v>
      </c>
      <c r="J11" s="47" t="s">
        <v>51</v>
      </c>
      <c r="K11" s="47"/>
      <c r="L11" s="47"/>
      <c r="M11" s="47"/>
      <c r="P11" s="2" t="s">
        <v>4</v>
      </c>
      <c r="Q11" s="1" t="s">
        <v>49</v>
      </c>
      <c r="R11" s="1">
        <v>3.28</v>
      </c>
      <c r="S11" s="1">
        <v>3.73</v>
      </c>
      <c r="U11" s="2" t="s">
        <v>4</v>
      </c>
      <c r="V11" s="1" t="s">
        <v>49</v>
      </c>
      <c r="W11" s="1">
        <v>0</v>
      </c>
      <c r="X11" s="1">
        <v>0</v>
      </c>
      <c r="Z11" s="2" t="s">
        <v>4</v>
      </c>
      <c r="AA11" s="1" t="s">
        <v>49</v>
      </c>
      <c r="AB11" s="1">
        <v>0.19</v>
      </c>
      <c r="AC11" s="1">
        <v>0.19</v>
      </c>
      <c r="AE11" s="2" t="s">
        <v>4</v>
      </c>
      <c r="AF11" s="1" t="s">
        <v>49</v>
      </c>
      <c r="AG11" s="1">
        <v>4.2300000000000004</v>
      </c>
      <c r="AH11" s="1">
        <v>4.82</v>
      </c>
      <c r="AJ11" s="2" t="s">
        <v>4</v>
      </c>
      <c r="AK11" s="1" t="s">
        <v>49</v>
      </c>
      <c r="AL11" s="1">
        <v>0</v>
      </c>
      <c r="AM11" s="1">
        <v>0</v>
      </c>
      <c r="AO11" s="2" t="s">
        <v>4</v>
      </c>
      <c r="AP11" s="1" t="s">
        <v>49</v>
      </c>
      <c r="AQ11" s="1">
        <v>0.2</v>
      </c>
      <c r="AR11" s="1">
        <v>0.2</v>
      </c>
      <c r="AT11" s="2" t="s">
        <v>4</v>
      </c>
      <c r="AU11" s="1" t="s">
        <v>49</v>
      </c>
      <c r="AV11" s="1">
        <v>5.7</v>
      </c>
      <c r="AW11" s="1">
        <v>6.5</v>
      </c>
      <c r="AY11" s="2" t="s">
        <v>4</v>
      </c>
      <c r="AZ11" s="1" t="s">
        <v>49</v>
      </c>
      <c r="BA11" s="1">
        <v>0</v>
      </c>
      <c r="BB11" s="1">
        <v>0</v>
      </c>
      <c r="BD11" s="2" t="s">
        <v>4</v>
      </c>
      <c r="BE11" s="1" t="s">
        <v>49</v>
      </c>
      <c r="BF11" s="1">
        <v>0.21</v>
      </c>
      <c r="BG11" s="1">
        <v>0.21</v>
      </c>
      <c r="BI11" s="2" t="s">
        <v>4</v>
      </c>
      <c r="BJ11" s="1" t="s">
        <v>49</v>
      </c>
      <c r="BK11" s="1">
        <v>10.15</v>
      </c>
      <c r="BL11" s="1">
        <v>11.56</v>
      </c>
      <c r="BN11" s="2" t="s">
        <v>4</v>
      </c>
      <c r="BO11" s="1" t="s">
        <v>49</v>
      </c>
      <c r="BP11" s="1">
        <v>0</v>
      </c>
      <c r="BQ11" s="1">
        <v>0</v>
      </c>
      <c r="BS11" s="2" t="s">
        <v>4</v>
      </c>
      <c r="BT11" s="1" t="s">
        <v>49</v>
      </c>
      <c r="BU11" s="1">
        <v>0.22</v>
      </c>
      <c r="BV11" s="1">
        <v>0.22</v>
      </c>
      <c r="BX11" s="2" t="s">
        <v>4</v>
      </c>
      <c r="BY11" s="1" t="s">
        <v>49</v>
      </c>
      <c r="BZ11" s="1">
        <v>2.4</v>
      </c>
      <c r="CA11" s="1">
        <v>2.74</v>
      </c>
      <c r="CC11" s="2" t="s">
        <v>4</v>
      </c>
      <c r="CD11" s="1" t="s">
        <v>49</v>
      </c>
      <c r="CE11" s="1">
        <v>0</v>
      </c>
      <c r="CF11" s="1">
        <v>0</v>
      </c>
      <c r="CH11" s="2" t="s">
        <v>4</v>
      </c>
      <c r="CI11" s="1" t="s">
        <v>49</v>
      </c>
      <c r="CJ11" s="1">
        <v>0.18</v>
      </c>
      <c r="CK11" s="1">
        <v>0.18</v>
      </c>
      <c r="CM11" s="2" t="s">
        <v>4</v>
      </c>
      <c r="CN11" s="1" t="s">
        <v>49</v>
      </c>
      <c r="CO11" s="1">
        <v>1.8</v>
      </c>
      <c r="CP11" s="1">
        <v>2.0499999999999998</v>
      </c>
      <c r="CR11" s="2" t="s">
        <v>4</v>
      </c>
      <c r="CS11" s="1" t="s">
        <v>49</v>
      </c>
      <c r="CT11" s="1">
        <v>0</v>
      </c>
      <c r="CU11" s="1">
        <v>0</v>
      </c>
      <c r="CW11" s="2" t="s">
        <v>4</v>
      </c>
      <c r="CX11" s="1" t="s">
        <v>49</v>
      </c>
      <c r="CY11" s="1">
        <v>0.18</v>
      </c>
      <c r="CZ11" s="1">
        <v>0.18</v>
      </c>
      <c r="DB11" s="2" t="s">
        <v>4</v>
      </c>
      <c r="DC11" s="1" t="s">
        <v>49</v>
      </c>
      <c r="DD11" s="1">
        <v>1.37</v>
      </c>
      <c r="DE11" s="1">
        <v>1.56</v>
      </c>
      <c r="DG11" s="2" t="s">
        <v>4</v>
      </c>
      <c r="DH11" s="1" t="s">
        <v>49</v>
      </c>
      <c r="DI11" s="1">
        <v>0</v>
      </c>
      <c r="DJ11" s="1">
        <v>0</v>
      </c>
      <c r="DL11" s="2" t="s">
        <v>4</v>
      </c>
      <c r="DM11" s="1" t="s">
        <v>49</v>
      </c>
      <c r="DN11" s="1">
        <v>0.18</v>
      </c>
      <c r="DO11" s="1">
        <v>0.18</v>
      </c>
      <c r="DR11" s="16" t="s">
        <v>30</v>
      </c>
      <c r="DS11" s="42">
        <f>DC45</f>
        <v>5.1449999999999996</v>
      </c>
      <c r="DT11" s="24">
        <f>DD45</f>
        <v>4.9433333333333334</v>
      </c>
      <c r="DU11" s="43">
        <f>DE45</f>
        <v>4.4066666666666663</v>
      </c>
      <c r="DV11" s="42">
        <f>CN45</f>
        <v>7.16</v>
      </c>
      <c r="DW11" s="24">
        <f>CO45</f>
        <v>6.8166666666666664</v>
      </c>
      <c r="DX11" s="43">
        <f>CP45</f>
        <v>5.8833333333333337</v>
      </c>
      <c r="DY11" s="42">
        <f>BY45</f>
        <v>10.754999999999999</v>
      </c>
      <c r="DZ11" s="24">
        <f>BZ45</f>
        <v>10.18</v>
      </c>
      <c r="EA11" s="43">
        <f>CA45</f>
        <v>8.5133333333333336</v>
      </c>
      <c r="EB11" s="42">
        <f>Q45</f>
        <v>16.260000000000002</v>
      </c>
      <c r="EC11" s="24">
        <f t="shared" ref="EC11:ED11" si="18">R45</f>
        <v>15.22</v>
      </c>
      <c r="ED11" s="43">
        <f t="shared" si="18"/>
        <v>12.386666666666665</v>
      </c>
      <c r="EE11" s="42">
        <f>AF45</f>
        <v>23.355</v>
      </c>
      <c r="EF11" s="24">
        <f t="shared" ref="EF11:EG11" si="19">AG45</f>
        <v>21.703333333333333</v>
      </c>
      <c r="EG11" s="43">
        <f t="shared" si="19"/>
        <v>17.256666666666664</v>
      </c>
      <c r="EH11" s="42">
        <f>AU45</f>
        <v>30.76</v>
      </c>
      <c r="EI11" s="24">
        <f t="shared" ref="EI11:EJ11" si="20">AV45</f>
        <v>28.453333333333333</v>
      </c>
      <c r="EJ11" s="43">
        <f t="shared" si="20"/>
        <v>22.536666666666665</v>
      </c>
      <c r="EK11" s="42">
        <f>BJ45</f>
        <v>38.07</v>
      </c>
      <c r="EL11" s="24">
        <f t="shared" ref="EL11:EM11" si="21">BK45</f>
        <v>35.036666666666669</v>
      </c>
      <c r="EM11" s="43">
        <f t="shared" si="21"/>
        <v>27.563333333333333</v>
      </c>
    </row>
    <row r="12" spans="2:153">
      <c r="E12" s="2" t="s">
        <v>6</v>
      </c>
      <c r="F12" s="1">
        <v>74</v>
      </c>
      <c r="G12" s="1">
        <v>84</v>
      </c>
      <c r="H12" s="1">
        <v>0</v>
      </c>
      <c r="J12" s="47" t="s">
        <v>19</v>
      </c>
      <c r="K12" s="47"/>
      <c r="L12" s="47"/>
      <c r="M12" s="47"/>
      <c r="P12" s="2" t="s">
        <v>5</v>
      </c>
      <c r="Q12" s="1" t="s">
        <v>49</v>
      </c>
      <c r="R12" s="1" t="s">
        <v>49</v>
      </c>
      <c r="S12" s="1">
        <v>3.94</v>
      </c>
      <c r="U12" s="2" t="s">
        <v>5</v>
      </c>
      <c r="V12" s="1" t="s">
        <v>49</v>
      </c>
      <c r="W12" s="1" t="s">
        <v>49</v>
      </c>
      <c r="X12" s="1">
        <v>0</v>
      </c>
      <c r="Z12" s="2" t="s">
        <v>5</v>
      </c>
      <c r="AA12" s="1" t="s">
        <v>49</v>
      </c>
      <c r="AB12" s="1" t="s">
        <v>49</v>
      </c>
      <c r="AC12" s="1">
        <v>0.19</v>
      </c>
      <c r="AE12" s="2" t="s">
        <v>5</v>
      </c>
      <c r="AF12" s="1" t="s">
        <v>49</v>
      </c>
      <c r="AG12" s="1" t="s">
        <v>49</v>
      </c>
      <c r="AH12" s="1">
        <v>4.7</v>
      </c>
      <c r="AJ12" s="2" t="s">
        <v>5</v>
      </c>
      <c r="AK12" s="1" t="s">
        <v>49</v>
      </c>
      <c r="AL12" s="1" t="s">
        <v>49</v>
      </c>
      <c r="AM12" s="1">
        <v>0</v>
      </c>
      <c r="AO12" s="2" t="s">
        <v>5</v>
      </c>
      <c r="AP12" s="1" t="s">
        <v>49</v>
      </c>
      <c r="AQ12" s="1" t="s">
        <v>49</v>
      </c>
      <c r="AR12" s="1">
        <v>0.2</v>
      </c>
      <c r="AT12" s="2" t="s">
        <v>5</v>
      </c>
      <c r="AU12" s="1" t="s">
        <v>49</v>
      </c>
      <c r="AV12" s="1" t="s">
        <v>49</v>
      </c>
      <c r="AW12" s="1">
        <v>5.99</v>
      </c>
      <c r="AY12" s="2" t="s">
        <v>5</v>
      </c>
      <c r="AZ12" s="1" t="s">
        <v>49</v>
      </c>
      <c r="BA12" s="1" t="s">
        <v>49</v>
      </c>
      <c r="BB12" s="1">
        <v>0</v>
      </c>
      <c r="BD12" s="2" t="s">
        <v>5</v>
      </c>
      <c r="BE12" s="1" t="s">
        <v>49</v>
      </c>
      <c r="BF12" s="1" t="s">
        <v>49</v>
      </c>
      <c r="BG12" s="1">
        <v>0.21</v>
      </c>
      <c r="BI12" s="2" t="s">
        <v>5</v>
      </c>
      <c r="BJ12" s="1" t="s">
        <v>49</v>
      </c>
      <c r="BK12" s="1" t="s">
        <v>49</v>
      </c>
      <c r="BL12" s="1">
        <v>10.44</v>
      </c>
      <c r="BN12" s="2" t="s">
        <v>5</v>
      </c>
      <c r="BO12" s="1" t="s">
        <v>49</v>
      </c>
      <c r="BP12" s="1" t="s">
        <v>49</v>
      </c>
      <c r="BQ12" s="1">
        <v>0</v>
      </c>
      <c r="BS12" s="2" t="s">
        <v>5</v>
      </c>
      <c r="BT12" s="1" t="s">
        <v>49</v>
      </c>
      <c r="BU12" s="1" t="s">
        <v>49</v>
      </c>
      <c r="BV12" s="1">
        <v>0.22</v>
      </c>
      <c r="BX12" s="2" t="s">
        <v>5</v>
      </c>
      <c r="BY12" s="1" t="s">
        <v>49</v>
      </c>
      <c r="BZ12" s="1" t="s">
        <v>49</v>
      </c>
      <c r="CA12" s="1">
        <v>3.26</v>
      </c>
      <c r="CC12" s="2" t="s">
        <v>5</v>
      </c>
      <c r="CD12" s="1" t="s">
        <v>49</v>
      </c>
      <c r="CE12" s="1" t="s">
        <v>49</v>
      </c>
      <c r="CF12" s="1">
        <v>0</v>
      </c>
      <c r="CH12" s="2" t="s">
        <v>5</v>
      </c>
      <c r="CI12" s="1" t="s">
        <v>49</v>
      </c>
      <c r="CJ12" s="1" t="s">
        <v>49</v>
      </c>
      <c r="CK12" s="1">
        <v>0.18</v>
      </c>
      <c r="CM12" s="2" t="s">
        <v>5</v>
      </c>
      <c r="CN12" s="1" t="s">
        <v>49</v>
      </c>
      <c r="CO12" s="1" t="s">
        <v>49</v>
      </c>
      <c r="CP12" s="1">
        <v>2.52</v>
      </c>
      <c r="CR12" s="2" t="s">
        <v>5</v>
      </c>
      <c r="CS12" s="1" t="s">
        <v>49</v>
      </c>
      <c r="CT12" s="1" t="s">
        <v>49</v>
      </c>
      <c r="CU12" s="1">
        <v>0</v>
      </c>
      <c r="CW12" s="2" t="s">
        <v>5</v>
      </c>
      <c r="CX12" s="1" t="s">
        <v>49</v>
      </c>
      <c r="CY12" s="1" t="s">
        <v>49</v>
      </c>
      <c r="CZ12" s="1">
        <v>0.18</v>
      </c>
      <c r="DB12" s="2" t="s">
        <v>5</v>
      </c>
      <c r="DC12" s="1" t="s">
        <v>49</v>
      </c>
      <c r="DD12" s="1" t="s">
        <v>49</v>
      </c>
      <c r="DE12" s="1">
        <v>2.0299999999999998</v>
      </c>
      <c r="DG12" s="2" t="s">
        <v>5</v>
      </c>
      <c r="DH12" s="1" t="s">
        <v>49</v>
      </c>
      <c r="DI12" s="1" t="s">
        <v>49</v>
      </c>
      <c r="DJ12" s="1">
        <v>0</v>
      </c>
      <c r="DL12" s="2" t="s">
        <v>5</v>
      </c>
      <c r="DM12" s="1" t="s">
        <v>49</v>
      </c>
      <c r="DN12" s="1" t="s">
        <v>49</v>
      </c>
      <c r="DO12" s="1">
        <v>0.18</v>
      </c>
      <c r="DR12" s="16" t="s">
        <v>31</v>
      </c>
      <c r="DS12" s="42">
        <f>DC53</f>
        <v>4.5750000000000002</v>
      </c>
      <c r="DT12" s="24">
        <f>DD53</f>
        <v>4.3999999999999995</v>
      </c>
      <c r="DU12" s="43">
        <f>DE53</f>
        <v>3.8733333333333331</v>
      </c>
      <c r="DV12" s="42">
        <f>CN53</f>
        <v>6.37</v>
      </c>
      <c r="DW12" s="24">
        <f>CO53</f>
        <v>6.0666666666666664</v>
      </c>
      <c r="DX12" s="43">
        <f>CP53</f>
        <v>5.1766666666666667</v>
      </c>
      <c r="DY12" s="42">
        <f>BY53</f>
        <v>9.57</v>
      </c>
      <c r="DZ12" s="24">
        <f>BZ53</f>
        <v>9.06</v>
      </c>
      <c r="EA12" s="43">
        <f>CA53</f>
        <v>7.4933333333333323</v>
      </c>
      <c r="EB12" s="42">
        <f>Q53</f>
        <v>14.475000000000001</v>
      </c>
      <c r="EC12" s="24">
        <f t="shared" ref="EC12:ED12" si="22">R53</f>
        <v>13.546666666666667</v>
      </c>
      <c r="ED12" s="43">
        <f t="shared" si="22"/>
        <v>10.903333333333334</v>
      </c>
      <c r="EE12" s="42">
        <f>AF53</f>
        <v>20.785</v>
      </c>
      <c r="EF12" s="24">
        <f t="shared" ref="EF12:EG12" si="23">AG53</f>
        <v>19.316666666666666</v>
      </c>
      <c r="EG12" s="43">
        <f t="shared" si="23"/>
        <v>15.200000000000001</v>
      </c>
      <c r="EH12" s="42">
        <f>AU53</f>
        <v>27.380000000000003</v>
      </c>
      <c r="EI12" s="24">
        <f t="shared" ref="EI12:EJ12" si="24">AV53</f>
        <v>25.326666666666668</v>
      </c>
      <c r="EJ12" s="43">
        <f t="shared" si="24"/>
        <v>19.846666666666668</v>
      </c>
      <c r="EK12" s="42">
        <f>BJ53</f>
        <v>33.884999999999998</v>
      </c>
      <c r="EL12" s="24">
        <f t="shared" ref="EL12:EM12" si="25">BK53</f>
        <v>31.186666666666667</v>
      </c>
      <c r="EM12" s="43">
        <f t="shared" si="25"/>
        <v>24.276666666666667</v>
      </c>
    </row>
    <row r="13" spans="2:153">
      <c r="E13" s="2" t="s">
        <v>3</v>
      </c>
      <c r="F13" s="1">
        <v>38</v>
      </c>
      <c r="G13" s="1">
        <v>21</v>
      </c>
      <c r="H13" s="1">
        <v>0</v>
      </c>
      <c r="J13" s="2"/>
      <c r="K13" s="2" t="s">
        <v>16</v>
      </c>
      <c r="L13" s="2" t="s">
        <v>17</v>
      </c>
      <c r="M13" s="2" t="s">
        <v>18</v>
      </c>
      <c r="P13" s="3" t="s">
        <v>137</v>
      </c>
      <c r="Q13" s="6">
        <f>AVERAGE(Q9:Q12)</f>
        <v>5.2700000000000005</v>
      </c>
      <c r="R13" s="6">
        <f>AVERAGE(R9:R12)</f>
        <v>4.6866666666666665</v>
      </c>
      <c r="S13" s="6">
        <f>AVERAGE(S9:S12)</f>
        <v>3.89</v>
      </c>
      <c r="U13" s="3" t="s">
        <v>137</v>
      </c>
      <c r="V13" s="6">
        <f>AVERAGE(V9:V12)</f>
        <v>0</v>
      </c>
      <c r="W13" s="6">
        <f>AVERAGE(W9:W12)</f>
        <v>0</v>
      </c>
      <c r="X13" s="6">
        <f>AVERAGE(X9:X12)</f>
        <v>0</v>
      </c>
      <c r="Z13" s="3" t="s">
        <v>137</v>
      </c>
      <c r="AA13" s="6">
        <f>AVERAGE(AA9:AA12)</f>
        <v>0.19</v>
      </c>
      <c r="AB13" s="6">
        <f>AVERAGE(AB9:AB12)</f>
        <v>0.19000000000000003</v>
      </c>
      <c r="AC13" s="6">
        <f>AVERAGE(AC9:AC12)</f>
        <v>0.19000000000000003</v>
      </c>
      <c r="AE13" s="3" t="s">
        <v>137</v>
      </c>
      <c r="AF13" s="6">
        <f>AVERAGE(AF9:AF12)</f>
        <v>6.4150000000000009</v>
      </c>
      <c r="AG13" s="6">
        <f>AVERAGE(AG9:AG12)</f>
        <v>5.7833333333333341</v>
      </c>
      <c r="AH13" s="6">
        <f>AVERAGE(AH9:AH12)</f>
        <v>4.7699999999999996</v>
      </c>
      <c r="AJ13" s="3" t="s">
        <v>137</v>
      </c>
      <c r="AK13" s="6">
        <f>AVERAGE(AK9:AK12)</f>
        <v>0</v>
      </c>
      <c r="AL13" s="6">
        <f>AVERAGE(AL9:AL12)</f>
        <v>0</v>
      </c>
      <c r="AM13" s="6">
        <f>AVERAGE(AM9:AM12)</f>
        <v>0</v>
      </c>
      <c r="AO13" s="3" t="s">
        <v>137</v>
      </c>
      <c r="AP13" s="6">
        <f>AVERAGE(AP9:AP12)</f>
        <v>0.2</v>
      </c>
      <c r="AQ13" s="6">
        <f>AVERAGE(AQ9:AQ12)</f>
        <v>0.20000000000000004</v>
      </c>
      <c r="AR13" s="6">
        <f>AVERAGE(AR9:AR12)</f>
        <v>0.20000000000000004</v>
      </c>
      <c r="AT13" s="3" t="s">
        <v>137</v>
      </c>
      <c r="AU13" s="6">
        <f>AVERAGE(AU9:AU12)</f>
        <v>8.82</v>
      </c>
      <c r="AV13" s="6">
        <f>AVERAGE(AV9:AV12)</f>
        <v>7.9133333333333331</v>
      </c>
      <c r="AW13" s="6">
        <f>AVERAGE(AW9:AW12)</f>
        <v>6.38</v>
      </c>
      <c r="AY13" s="3" t="s">
        <v>137</v>
      </c>
      <c r="AZ13" s="6">
        <f>AVERAGE(AZ9:AZ12)</f>
        <v>0</v>
      </c>
      <c r="BA13" s="6">
        <f>AVERAGE(BA9:BA12)</f>
        <v>0</v>
      </c>
      <c r="BB13" s="6">
        <f>AVERAGE(BB9:BB12)</f>
        <v>0</v>
      </c>
      <c r="BD13" s="3" t="s">
        <v>137</v>
      </c>
      <c r="BE13" s="6">
        <f>AVERAGE(BE9:BE12)</f>
        <v>0.21</v>
      </c>
      <c r="BF13" s="6">
        <f>AVERAGE(BF9:BF12)</f>
        <v>0.21</v>
      </c>
      <c r="BG13" s="6">
        <f>AVERAGE(BG9:BG12)</f>
        <v>0.21</v>
      </c>
      <c r="BI13" s="3" t="s">
        <v>137</v>
      </c>
      <c r="BJ13" s="6">
        <f>AVERAGE(BJ9:BJ12)</f>
        <v>14.515000000000001</v>
      </c>
      <c r="BK13" s="6">
        <f>AVERAGE(BK9:BK12)</f>
        <v>13.280000000000001</v>
      </c>
      <c r="BL13" s="6">
        <f>AVERAGE(BL9:BL12)</f>
        <v>11.006666666666666</v>
      </c>
      <c r="BN13" s="3" t="s">
        <v>137</v>
      </c>
      <c r="BO13" s="6">
        <f>AVERAGE(BO9:BO12)</f>
        <v>0</v>
      </c>
      <c r="BP13" s="6">
        <f>AVERAGE(BP9:BP12)</f>
        <v>0</v>
      </c>
      <c r="BQ13" s="6">
        <f>AVERAGE(BQ9:BQ12)</f>
        <v>0</v>
      </c>
      <c r="BS13" s="3" t="s">
        <v>137</v>
      </c>
      <c r="BT13" s="6">
        <f>AVERAGE(BT9:BT12)</f>
        <v>0.22</v>
      </c>
      <c r="BU13" s="6">
        <f>AVERAGE(BU9:BU12)</f>
        <v>0.22</v>
      </c>
      <c r="BV13" s="6">
        <f>AVERAGE(BV9:BV12)</f>
        <v>0.22</v>
      </c>
      <c r="BX13" s="3" t="s">
        <v>137</v>
      </c>
      <c r="BY13" s="6">
        <f>AVERAGE(BY9:BY12)</f>
        <v>4.0299999999999994</v>
      </c>
      <c r="BZ13" s="6">
        <f>AVERAGE(BZ9:BZ12)</f>
        <v>3.5466666666666669</v>
      </c>
      <c r="CA13" s="6">
        <f>AVERAGE(CA9:CA12)</f>
        <v>2.9866666666666668</v>
      </c>
      <c r="CC13" s="3" t="s">
        <v>137</v>
      </c>
      <c r="CD13" s="6">
        <f>AVERAGE(CD9:CD12)</f>
        <v>0</v>
      </c>
      <c r="CE13" s="6">
        <f>AVERAGE(CE9:CE12)</f>
        <v>0</v>
      </c>
      <c r="CF13" s="6">
        <f>AVERAGE(CF9:CF12)</f>
        <v>0</v>
      </c>
      <c r="CH13" s="3" t="s">
        <v>137</v>
      </c>
      <c r="CI13" s="6">
        <f>AVERAGE(CI9:CI12)</f>
        <v>0.185</v>
      </c>
      <c r="CJ13" s="6">
        <f>AVERAGE(CJ9:CJ12)</f>
        <v>0.18333333333333335</v>
      </c>
      <c r="CK13" s="6">
        <f>AVERAGE(CK9:CK12)</f>
        <v>0.18000000000000002</v>
      </c>
      <c r="CM13" s="3" t="s">
        <v>137</v>
      </c>
      <c r="CN13" s="6">
        <f>AVERAGE(CN9:CN12)</f>
        <v>3.2249999999999996</v>
      </c>
      <c r="CO13" s="6">
        <f>AVERAGE(CO9:CO12)</f>
        <v>2.7966666666666669</v>
      </c>
      <c r="CP13" s="6">
        <f>AVERAGE(CP9:CP12)</f>
        <v>2.3066666666666666</v>
      </c>
      <c r="CR13" s="3" t="s">
        <v>137</v>
      </c>
      <c r="CS13" s="6">
        <f>AVERAGE(CS9:CS12)</f>
        <v>0</v>
      </c>
      <c r="CT13" s="6">
        <f>AVERAGE(CT9:CT12)</f>
        <v>0</v>
      </c>
      <c r="CU13" s="6">
        <f>AVERAGE(CU9:CU12)</f>
        <v>0</v>
      </c>
      <c r="CW13" s="3" t="s">
        <v>137</v>
      </c>
      <c r="CX13" s="6">
        <f>AVERAGE(CX9:CX12)</f>
        <v>0.18</v>
      </c>
      <c r="CY13" s="6">
        <f>AVERAGE(CY9:CY12)</f>
        <v>0.18000000000000002</v>
      </c>
      <c r="CZ13" s="6">
        <f>AVERAGE(CZ9:CZ12)</f>
        <v>0.18000000000000002</v>
      </c>
      <c r="DB13" s="3" t="s">
        <v>137</v>
      </c>
      <c r="DC13" s="6">
        <f>AVERAGE(DC9:DC12)</f>
        <v>2.5750000000000002</v>
      </c>
      <c r="DD13" s="6">
        <f>AVERAGE(DD9:DD12)</f>
        <v>2.2133333333333334</v>
      </c>
      <c r="DE13" s="6">
        <f>AVERAGE(DE9:DE12)</f>
        <v>1.8066666666666666</v>
      </c>
      <c r="DG13" s="3" t="s">
        <v>137</v>
      </c>
      <c r="DH13" s="6">
        <f>AVERAGE(DH9:DH12)</f>
        <v>0</v>
      </c>
      <c r="DI13" s="6">
        <f>AVERAGE(DI9:DI12)</f>
        <v>0</v>
      </c>
      <c r="DJ13" s="6">
        <f>AVERAGE(DJ9:DJ12)</f>
        <v>0</v>
      </c>
      <c r="DL13" s="3" t="s">
        <v>137</v>
      </c>
      <c r="DM13" s="6">
        <f>AVERAGE(DM9:DM12)</f>
        <v>0.18</v>
      </c>
      <c r="DN13" s="6">
        <f>AVERAGE(DN9:DN12)</f>
        <v>0.18000000000000002</v>
      </c>
      <c r="DO13" s="6">
        <f>AVERAGE(DO9:DO12)</f>
        <v>0.18000000000000002</v>
      </c>
      <c r="DR13" s="16" t="s">
        <v>32</v>
      </c>
      <c r="DS13" s="42">
        <f>DC61</f>
        <v>0.56500000000000006</v>
      </c>
      <c r="DT13" s="24">
        <f>DD61</f>
        <v>0.54666666666666675</v>
      </c>
      <c r="DU13" s="43">
        <f>DE61</f>
        <v>0.53333333333333333</v>
      </c>
      <c r="DV13" s="42">
        <f>CN61</f>
        <v>0.78499999999999992</v>
      </c>
      <c r="DW13" s="24">
        <f>CO61</f>
        <v>0.75</v>
      </c>
      <c r="DX13" s="43">
        <f>CP61</f>
        <v>0.70666666666666667</v>
      </c>
      <c r="DY13" s="42">
        <f>BY61</f>
        <v>1.18</v>
      </c>
      <c r="DZ13" s="24">
        <f>BZ61</f>
        <v>1.1200000000000001</v>
      </c>
      <c r="EA13" s="43">
        <f>CA61</f>
        <v>1.02</v>
      </c>
      <c r="EB13" s="42">
        <f>Q61</f>
        <v>1.79</v>
      </c>
      <c r="EC13" s="24">
        <f t="shared" ref="EC13:ED13" si="26">R61</f>
        <v>1.6733333333333331</v>
      </c>
      <c r="ED13" s="43">
        <f t="shared" si="26"/>
        <v>1.4833333333333334</v>
      </c>
      <c r="EE13" s="42">
        <f>AF61</f>
        <v>2.5700000000000003</v>
      </c>
      <c r="EF13" s="24">
        <f t="shared" ref="EF13:EG13" si="27">AG61</f>
        <v>2.3866666666666667</v>
      </c>
      <c r="EG13" s="43">
        <f t="shared" si="27"/>
        <v>2.06</v>
      </c>
      <c r="EH13" s="42">
        <f>AU61</f>
        <v>3.3850000000000002</v>
      </c>
      <c r="EI13" s="24">
        <f t="shared" ref="EI13:EJ13" si="28">AV61</f>
        <v>3.1300000000000003</v>
      </c>
      <c r="EJ13" s="43">
        <f t="shared" si="28"/>
        <v>2.6833333333333336</v>
      </c>
      <c r="EK13" s="42">
        <f>BJ61</f>
        <v>4.1900000000000004</v>
      </c>
      <c r="EL13" s="24">
        <f t="shared" ref="EL13:EM13" si="29">BK61</f>
        <v>3.8566666666666669</v>
      </c>
      <c r="EM13" s="43">
        <f t="shared" si="29"/>
        <v>3.2833333333333332</v>
      </c>
    </row>
    <row r="14" spans="2:153">
      <c r="E14" s="2" t="s">
        <v>4</v>
      </c>
      <c r="F14" s="1">
        <v>0</v>
      </c>
      <c r="G14" s="1">
        <v>29</v>
      </c>
      <c r="H14" s="1">
        <v>97</v>
      </c>
      <c r="J14" s="2" t="s">
        <v>6</v>
      </c>
      <c r="K14" s="1">
        <v>1000</v>
      </c>
      <c r="L14" s="7">
        <f>C11</f>
        <v>1000</v>
      </c>
      <c r="M14" s="7">
        <f>L14*10</f>
        <v>10000</v>
      </c>
      <c r="DR14" s="16" t="s">
        <v>48</v>
      </c>
      <c r="DS14" s="42">
        <f>DC69</f>
        <v>0.02</v>
      </c>
      <c r="DT14" s="24">
        <f>DD69</f>
        <v>1.6666666666666666E-2</v>
      </c>
      <c r="DU14" s="43">
        <f>DE69</f>
        <v>0.01</v>
      </c>
      <c r="DV14" s="42">
        <f>CN69</f>
        <v>0.02</v>
      </c>
      <c r="DW14" s="24">
        <f>CO69</f>
        <v>1.6666666666666666E-2</v>
      </c>
      <c r="DX14" s="43">
        <f>CP69</f>
        <v>0.01</v>
      </c>
      <c r="DY14" s="42">
        <f>BY69</f>
        <v>0.02</v>
      </c>
      <c r="DZ14" s="24">
        <f>BZ69</f>
        <v>1.6666666666666666E-2</v>
      </c>
      <c r="EA14" s="43">
        <f>CA69</f>
        <v>0.01</v>
      </c>
      <c r="EB14" s="42">
        <f>Q69</f>
        <v>0.02</v>
      </c>
      <c r="EC14" s="24">
        <f t="shared" ref="EC14:ED14" si="30">R69</f>
        <v>1.6666666666666666E-2</v>
      </c>
      <c r="ED14" s="43">
        <f t="shared" si="30"/>
        <v>0.01</v>
      </c>
      <c r="EE14" s="42">
        <f>AF69</f>
        <v>0.02</v>
      </c>
      <c r="EF14" s="24">
        <f t="shared" ref="EF14:EG14" si="31">AG69</f>
        <v>1.6666666666666666E-2</v>
      </c>
      <c r="EG14" s="43">
        <f t="shared" si="31"/>
        <v>0.01</v>
      </c>
      <c r="EH14" s="42">
        <f>AU69</f>
        <v>0.02</v>
      </c>
      <c r="EI14" s="24">
        <f t="shared" ref="EI14:EJ14" si="32">AV69</f>
        <v>1.6666666666666666E-2</v>
      </c>
      <c r="EJ14" s="43">
        <f t="shared" si="32"/>
        <v>6.6666666666666671E-3</v>
      </c>
      <c r="EK14" s="42">
        <f>BJ69</f>
        <v>0.02</v>
      </c>
      <c r="EL14" s="24">
        <f t="shared" ref="EL14:EM14" si="33">BK69</f>
        <v>1.6666666666666666E-2</v>
      </c>
      <c r="EM14" s="43">
        <f t="shared" si="33"/>
        <v>0.01</v>
      </c>
    </row>
    <row r="15" spans="2:153">
      <c r="E15" s="2" t="s">
        <v>5</v>
      </c>
      <c r="F15" s="1">
        <v>0</v>
      </c>
      <c r="G15" s="1">
        <v>0</v>
      </c>
      <c r="H15" s="1">
        <v>51</v>
      </c>
      <c r="J15" s="2" t="s">
        <v>3</v>
      </c>
      <c r="K15" s="1">
        <v>1000</v>
      </c>
      <c r="L15" s="7">
        <f>C11</f>
        <v>1000</v>
      </c>
      <c r="M15" s="7">
        <f>L15*1</f>
        <v>1000</v>
      </c>
      <c r="P15" s="47" t="s">
        <v>63</v>
      </c>
      <c r="Q15" s="47"/>
      <c r="R15" s="47"/>
      <c r="S15" s="47"/>
      <c r="U15" s="47" t="s">
        <v>75</v>
      </c>
      <c r="V15" s="47"/>
      <c r="W15" s="47"/>
      <c r="X15" s="47"/>
      <c r="Z15" s="47" t="s">
        <v>53</v>
      </c>
      <c r="AA15" s="47"/>
      <c r="AB15" s="47"/>
      <c r="AC15" s="47"/>
      <c r="AE15" s="47" t="s">
        <v>63</v>
      </c>
      <c r="AF15" s="47"/>
      <c r="AG15" s="47"/>
      <c r="AH15" s="47"/>
      <c r="AJ15" s="47" t="s">
        <v>75</v>
      </c>
      <c r="AK15" s="47"/>
      <c r="AL15" s="47"/>
      <c r="AM15" s="47"/>
      <c r="AO15" s="47" t="s">
        <v>53</v>
      </c>
      <c r="AP15" s="47"/>
      <c r="AQ15" s="47"/>
      <c r="AR15" s="47"/>
      <c r="AT15" s="47" t="s">
        <v>63</v>
      </c>
      <c r="AU15" s="47"/>
      <c r="AV15" s="47"/>
      <c r="AW15" s="47"/>
      <c r="AY15" s="47" t="s">
        <v>75</v>
      </c>
      <c r="AZ15" s="47"/>
      <c r="BA15" s="47"/>
      <c r="BB15" s="47"/>
      <c r="BD15" s="47" t="s">
        <v>53</v>
      </c>
      <c r="BE15" s="47"/>
      <c r="BF15" s="47"/>
      <c r="BG15" s="47"/>
      <c r="BI15" s="47" t="s">
        <v>63</v>
      </c>
      <c r="BJ15" s="47"/>
      <c r="BK15" s="47"/>
      <c r="BL15" s="47"/>
      <c r="BN15" s="47" t="s">
        <v>75</v>
      </c>
      <c r="BO15" s="47"/>
      <c r="BP15" s="47"/>
      <c r="BQ15" s="47"/>
      <c r="BS15" s="47" t="s">
        <v>53</v>
      </c>
      <c r="BT15" s="47"/>
      <c r="BU15" s="47"/>
      <c r="BV15" s="47"/>
      <c r="BX15" s="47" t="s">
        <v>63</v>
      </c>
      <c r="BY15" s="47"/>
      <c r="BZ15" s="47"/>
      <c r="CA15" s="47"/>
      <c r="CC15" s="47" t="s">
        <v>75</v>
      </c>
      <c r="CD15" s="47"/>
      <c r="CE15" s="47"/>
      <c r="CF15" s="47"/>
      <c r="CH15" s="47" t="s">
        <v>53</v>
      </c>
      <c r="CI15" s="47"/>
      <c r="CJ15" s="47"/>
      <c r="CK15" s="47"/>
      <c r="CM15" s="47" t="s">
        <v>63</v>
      </c>
      <c r="CN15" s="47"/>
      <c r="CO15" s="47"/>
      <c r="CP15" s="47"/>
      <c r="CR15" s="47" t="s">
        <v>75</v>
      </c>
      <c r="CS15" s="47"/>
      <c r="CT15" s="47"/>
      <c r="CU15" s="47"/>
      <c r="CW15" s="47" t="s">
        <v>53</v>
      </c>
      <c r="CX15" s="47"/>
      <c r="CY15" s="47"/>
      <c r="CZ15" s="47"/>
      <c r="DB15" s="47" t="s">
        <v>63</v>
      </c>
      <c r="DC15" s="47"/>
      <c r="DD15" s="47"/>
      <c r="DE15" s="47"/>
      <c r="DG15" s="47" t="s">
        <v>75</v>
      </c>
      <c r="DH15" s="47"/>
      <c r="DI15" s="47"/>
      <c r="DJ15" s="47"/>
      <c r="DL15" s="47" t="s">
        <v>53</v>
      </c>
      <c r="DM15" s="47"/>
      <c r="DN15" s="47"/>
      <c r="DO15" s="47"/>
      <c r="DR15" s="16" t="s">
        <v>33</v>
      </c>
      <c r="DS15" s="42">
        <f>DH13</f>
        <v>0</v>
      </c>
      <c r="DT15" s="24">
        <f>DI13</f>
        <v>0</v>
      </c>
      <c r="DU15" s="43">
        <f>DJ13</f>
        <v>0</v>
      </c>
      <c r="DV15" s="42">
        <f>CS13</f>
        <v>0</v>
      </c>
      <c r="DW15" s="24">
        <f>CT13</f>
        <v>0</v>
      </c>
      <c r="DX15" s="43">
        <f>CU13</f>
        <v>0</v>
      </c>
      <c r="DY15" s="42">
        <f>CD13</f>
        <v>0</v>
      </c>
      <c r="DZ15" s="24">
        <f>CE13</f>
        <v>0</v>
      </c>
      <c r="EA15" s="43">
        <f>CF13</f>
        <v>0</v>
      </c>
      <c r="EB15" s="42">
        <f>V13</f>
        <v>0</v>
      </c>
      <c r="EC15" s="24">
        <f t="shared" ref="EC15:ED15" si="34">W13</f>
        <v>0</v>
      </c>
      <c r="ED15" s="43">
        <f t="shared" si="34"/>
        <v>0</v>
      </c>
      <c r="EE15" s="42">
        <f>AK13</f>
        <v>0</v>
      </c>
      <c r="EF15" s="24">
        <f t="shared" ref="EF15:EG15" si="35">AL13</f>
        <v>0</v>
      </c>
      <c r="EG15" s="43">
        <f t="shared" si="35"/>
        <v>0</v>
      </c>
      <c r="EH15" s="42">
        <f>AZ13</f>
        <v>0</v>
      </c>
      <c r="EI15" s="24">
        <f t="shared" ref="EI15:EJ15" si="36">BA13</f>
        <v>0</v>
      </c>
      <c r="EJ15" s="43">
        <f t="shared" si="36"/>
        <v>0</v>
      </c>
      <c r="EK15" s="42">
        <f>BO13</f>
        <v>0</v>
      </c>
      <c r="EL15" s="24">
        <f t="shared" ref="EL15:EM15" si="37">BP13</f>
        <v>0</v>
      </c>
      <c r="EM15" s="43">
        <f t="shared" si="37"/>
        <v>0</v>
      </c>
    </row>
    <row r="16" spans="2:153">
      <c r="H16" s="5"/>
      <c r="J16" s="4"/>
      <c r="K16" s="4"/>
      <c r="L16" s="4"/>
      <c r="M16" s="4"/>
      <c r="P16" s="2"/>
      <c r="Q16" s="2">
        <v>2000</v>
      </c>
      <c r="R16" s="2">
        <v>2007</v>
      </c>
      <c r="S16" s="2">
        <v>2015</v>
      </c>
      <c r="U16" s="2"/>
      <c r="V16" s="2">
        <v>2000</v>
      </c>
      <c r="W16" s="2">
        <v>2007</v>
      </c>
      <c r="X16" s="2">
        <v>2015</v>
      </c>
      <c r="Z16" s="2"/>
      <c r="AA16" s="2">
        <v>2000</v>
      </c>
      <c r="AB16" s="2">
        <v>2007</v>
      </c>
      <c r="AC16" s="2">
        <v>2015</v>
      </c>
      <c r="AE16" s="2"/>
      <c r="AF16" s="2">
        <v>2000</v>
      </c>
      <c r="AG16" s="2">
        <v>2007</v>
      </c>
      <c r="AH16" s="2">
        <v>2015</v>
      </c>
      <c r="AJ16" s="2"/>
      <c r="AK16" s="2">
        <v>2000</v>
      </c>
      <c r="AL16" s="2">
        <v>2007</v>
      </c>
      <c r="AM16" s="2">
        <v>2015</v>
      </c>
      <c r="AO16" s="2"/>
      <c r="AP16" s="2">
        <v>2000</v>
      </c>
      <c r="AQ16" s="2">
        <v>2007</v>
      </c>
      <c r="AR16" s="2">
        <v>2015</v>
      </c>
      <c r="AT16" s="2"/>
      <c r="AU16" s="2">
        <v>2000</v>
      </c>
      <c r="AV16" s="2">
        <v>2007</v>
      </c>
      <c r="AW16" s="2">
        <v>2015</v>
      </c>
      <c r="AY16" s="2"/>
      <c r="AZ16" s="2">
        <v>2000</v>
      </c>
      <c r="BA16" s="2">
        <v>2007</v>
      </c>
      <c r="BB16" s="2">
        <v>2015</v>
      </c>
      <c r="BD16" s="2"/>
      <c r="BE16" s="2">
        <v>2000</v>
      </c>
      <c r="BF16" s="2">
        <v>2007</v>
      </c>
      <c r="BG16" s="2">
        <v>2015</v>
      </c>
      <c r="BI16" s="2"/>
      <c r="BJ16" s="2">
        <v>2000</v>
      </c>
      <c r="BK16" s="2">
        <v>2007</v>
      </c>
      <c r="BL16" s="2">
        <v>2015</v>
      </c>
      <c r="BN16" s="2"/>
      <c r="BO16" s="2">
        <v>2000</v>
      </c>
      <c r="BP16" s="2">
        <v>2007</v>
      </c>
      <c r="BQ16" s="2">
        <v>2015</v>
      </c>
      <c r="BS16" s="2"/>
      <c r="BT16" s="2">
        <v>2000</v>
      </c>
      <c r="BU16" s="2">
        <v>2007</v>
      </c>
      <c r="BV16" s="2">
        <v>2015</v>
      </c>
      <c r="BX16" s="2"/>
      <c r="BY16" s="2">
        <v>2000</v>
      </c>
      <c r="BZ16" s="2">
        <v>2007</v>
      </c>
      <c r="CA16" s="2">
        <v>2015</v>
      </c>
      <c r="CC16" s="2"/>
      <c r="CD16" s="2">
        <v>2000</v>
      </c>
      <c r="CE16" s="2">
        <v>2007</v>
      </c>
      <c r="CF16" s="2">
        <v>2015</v>
      </c>
      <c r="CH16" s="2"/>
      <c r="CI16" s="2">
        <v>2000</v>
      </c>
      <c r="CJ16" s="2">
        <v>2007</v>
      </c>
      <c r="CK16" s="2">
        <v>2015</v>
      </c>
      <c r="CM16" s="2"/>
      <c r="CN16" s="2">
        <v>2000</v>
      </c>
      <c r="CO16" s="2">
        <v>2007</v>
      </c>
      <c r="CP16" s="2">
        <v>2015</v>
      </c>
      <c r="CR16" s="2"/>
      <c r="CS16" s="2">
        <v>2000</v>
      </c>
      <c r="CT16" s="2">
        <v>2007</v>
      </c>
      <c r="CU16" s="2">
        <v>2015</v>
      </c>
      <c r="CW16" s="2"/>
      <c r="CX16" s="2">
        <v>2000</v>
      </c>
      <c r="CY16" s="2">
        <v>2007</v>
      </c>
      <c r="CZ16" s="2">
        <v>2015</v>
      </c>
      <c r="DB16" s="2"/>
      <c r="DC16" s="2">
        <v>2000</v>
      </c>
      <c r="DD16" s="2">
        <v>2007</v>
      </c>
      <c r="DE16" s="2">
        <v>2015</v>
      </c>
      <c r="DG16" s="2"/>
      <c r="DH16" s="2">
        <v>2000</v>
      </c>
      <c r="DI16" s="2">
        <v>2007</v>
      </c>
      <c r="DJ16" s="2">
        <v>2015</v>
      </c>
      <c r="DL16" s="2"/>
      <c r="DM16" s="2">
        <v>2000</v>
      </c>
      <c r="DN16" s="2">
        <v>2007</v>
      </c>
      <c r="DO16" s="2">
        <v>2015</v>
      </c>
      <c r="DR16" s="16" t="s">
        <v>34</v>
      </c>
      <c r="DS16" s="42">
        <f>DH21</f>
        <v>0.49</v>
      </c>
      <c r="DT16" s="24">
        <f>DI21</f>
        <v>0.37666666666666665</v>
      </c>
      <c r="DU16" s="43">
        <f>DJ21</f>
        <v>0.25333333333333335</v>
      </c>
      <c r="DV16" s="42">
        <f>CS21</f>
        <v>0.55999999999999994</v>
      </c>
      <c r="DW16" s="24">
        <f>CT21</f>
        <v>0.43666666666666659</v>
      </c>
      <c r="DX16" s="43">
        <f>CU21</f>
        <v>0.28999999999999998</v>
      </c>
      <c r="DY16" s="42">
        <f>CD21</f>
        <v>0.65500000000000003</v>
      </c>
      <c r="DZ16" s="24">
        <f>CE21</f>
        <v>0.51333333333333331</v>
      </c>
      <c r="EA16" s="43">
        <f>CF21</f>
        <v>0.33</v>
      </c>
      <c r="EB16" s="42">
        <f>V21</f>
        <v>0.80499999999999994</v>
      </c>
      <c r="EC16" s="24">
        <f t="shared" ref="EC16:ED16" si="38">W21</f>
        <v>0.63</v>
      </c>
      <c r="ED16" s="43">
        <f t="shared" si="38"/>
        <v>0.38666666666666666</v>
      </c>
      <c r="EE16" s="42">
        <f>AK21</f>
        <v>0.94500000000000006</v>
      </c>
      <c r="EF16" s="24">
        <f t="shared" ref="EF16:EG16" si="39">AL21</f>
        <v>0.7599999999999999</v>
      </c>
      <c r="EG16" s="43">
        <f t="shared" si="39"/>
        <v>0.45333333333333337</v>
      </c>
      <c r="EH16" s="42">
        <f>AZ21</f>
        <v>1.22</v>
      </c>
      <c r="EI16" s="24">
        <f t="shared" ref="EI16:EJ16" si="40">BA21</f>
        <v>0.96333333333333337</v>
      </c>
      <c r="EJ16" s="43">
        <f t="shared" si="40"/>
        <v>0.54333333333333333</v>
      </c>
      <c r="EK16" s="42">
        <f>BO21</f>
        <v>1.74</v>
      </c>
      <c r="EL16" s="24">
        <f t="shared" ref="EL16:EM16" si="41">BP21</f>
        <v>1.36</v>
      </c>
      <c r="EM16" s="43">
        <f t="shared" si="41"/>
        <v>0.71666666666666667</v>
      </c>
    </row>
    <row r="17" spans="5:143">
      <c r="E17" s="47" t="s">
        <v>9</v>
      </c>
      <c r="F17" s="47"/>
      <c r="G17" s="47"/>
      <c r="H17" s="47"/>
      <c r="J17" s="48" t="s">
        <v>20</v>
      </c>
      <c r="K17" s="49"/>
      <c r="L17" s="49"/>
      <c r="M17" s="50"/>
      <c r="P17" s="2" t="s">
        <v>6</v>
      </c>
      <c r="Q17" s="1">
        <v>2.38</v>
      </c>
      <c r="R17" s="1">
        <v>2.4700000000000002</v>
      </c>
      <c r="S17" s="1" t="s">
        <v>49</v>
      </c>
      <c r="U17" s="2" t="s">
        <v>6</v>
      </c>
      <c r="V17" s="1">
        <v>1.04</v>
      </c>
      <c r="W17" s="1">
        <v>1.02</v>
      </c>
      <c r="X17" s="1" t="s">
        <v>49</v>
      </c>
      <c r="Z17" s="2" t="s">
        <v>6</v>
      </c>
      <c r="AA17" s="1">
        <v>0</v>
      </c>
      <c r="AB17" s="1">
        <v>0</v>
      </c>
      <c r="AC17" s="1" t="s">
        <v>49</v>
      </c>
      <c r="AE17" s="2" t="s">
        <v>6</v>
      </c>
      <c r="AF17" s="1">
        <v>2.33</v>
      </c>
      <c r="AG17" s="1">
        <v>1.42</v>
      </c>
      <c r="AH17" s="1" t="s">
        <v>49</v>
      </c>
      <c r="AJ17" s="2" t="s">
        <v>6</v>
      </c>
      <c r="AK17" s="1">
        <v>1.25</v>
      </c>
      <c r="AL17" s="1">
        <v>1.24</v>
      </c>
      <c r="AM17" s="1" t="s">
        <v>49</v>
      </c>
      <c r="AO17" s="2" t="s">
        <v>6</v>
      </c>
      <c r="AP17" s="1">
        <v>0.01</v>
      </c>
      <c r="AQ17" s="1">
        <v>0.01</v>
      </c>
      <c r="AR17" s="1" t="s">
        <v>49</v>
      </c>
      <c r="AT17" s="2" t="s">
        <v>6</v>
      </c>
      <c r="AU17" s="1">
        <v>2.23</v>
      </c>
      <c r="AV17" s="1">
        <v>2.3199999999999998</v>
      </c>
      <c r="AW17" s="1" t="s">
        <v>49</v>
      </c>
      <c r="AY17" s="2" t="s">
        <v>6</v>
      </c>
      <c r="AZ17" s="1">
        <v>1.64</v>
      </c>
      <c r="BA17" s="1">
        <v>1.62</v>
      </c>
      <c r="BB17" s="1" t="s">
        <v>49</v>
      </c>
      <c r="BD17" s="2" t="s">
        <v>6</v>
      </c>
      <c r="BE17" s="1">
        <v>0.01</v>
      </c>
      <c r="BF17" s="1">
        <v>0.01</v>
      </c>
      <c r="BG17" s="1" t="s">
        <v>49</v>
      </c>
      <c r="BI17" s="2" t="s">
        <v>6</v>
      </c>
      <c r="BJ17" s="1">
        <v>2.12</v>
      </c>
      <c r="BK17" s="1">
        <v>2.2000000000000002</v>
      </c>
      <c r="BL17" s="1" t="s">
        <v>49</v>
      </c>
      <c r="BN17" s="2" t="s">
        <v>6</v>
      </c>
      <c r="BO17" s="1">
        <v>2.42</v>
      </c>
      <c r="BP17" s="1">
        <v>2.39</v>
      </c>
      <c r="BQ17" s="1" t="s">
        <v>49</v>
      </c>
      <c r="BS17" s="2" t="s">
        <v>6</v>
      </c>
      <c r="BT17" s="1">
        <v>0.01</v>
      </c>
      <c r="BU17" s="1">
        <v>0.01</v>
      </c>
      <c r="BV17" s="1" t="s">
        <v>49</v>
      </c>
      <c r="BX17" s="2" t="s">
        <v>6</v>
      </c>
      <c r="BY17" s="1">
        <v>2.12</v>
      </c>
      <c r="BZ17" s="1">
        <v>2.2000000000000002</v>
      </c>
      <c r="CA17" s="1" t="s">
        <v>49</v>
      </c>
      <c r="CC17" s="2" t="s">
        <v>6</v>
      </c>
      <c r="CD17" s="1">
        <v>0.83</v>
      </c>
      <c r="CE17" s="1">
        <v>0.82</v>
      </c>
      <c r="CF17" s="1" t="s">
        <v>49</v>
      </c>
      <c r="CH17" s="2" t="s">
        <v>6</v>
      </c>
      <c r="CI17" s="1">
        <v>0</v>
      </c>
      <c r="CJ17" s="1">
        <v>0</v>
      </c>
      <c r="CK17" s="1" t="s">
        <v>49</v>
      </c>
      <c r="CM17" s="2" t="s">
        <v>6</v>
      </c>
      <c r="CN17" s="1">
        <v>1.88</v>
      </c>
      <c r="CO17" s="1">
        <v>1.95</v>
      </c>
      <c r="CP17" s="1" t="s">
        <v>49</v>
      </c>
      <c r="CR17" s="2" t="s">
        <v>6</v>
      </c>
      <c r="CS17" s="1">
        <v>0.7</v>
      </c>
      <c r="CT17" s="1">
        <v>0.69</v>
      </c>
      <c r="CU17" s="1" t="s">
        <v>49</v>
      </c>
      <c r="CW17" s="2" t="s">
        <v>6</v>
      </c>
      <c r="CX17" s="1">
        <v>0</v>
      </c>
      <c r="CY17" s="1">
        <v>0</v>
      </c>
      <c r="CZ17" s="1" t="s">
        <v>49</v>
      </c>
      <c r="DB17" s="2" t="s">
        <v>6</v>
      </c>
      <c r="DC17" s="1">
        <v>1.71</v>
      </c>
      <c r="DD17" s="1">
        <v>1.78</v>
      </c>
      <c r="DE17" s="1" t="s">
        <v>49</v>
      </c>
      <c r="DG17" s="2" t="s">
        <v>6</v>
      </c>
      <c r="DH17" s="1">
        <v>0.6</v>
      </c>
      <c r="DI17" s="1">
        <v>0.59</v>
      </c>
      <c r="DJ17" s="1" t="s">
        <v>49</v>
      </c>
      <c r="DL17" s="2" t="s">
        <v>6</v>
      </c>
      <c r="DM17" s="1">
        <v>0</v>
      </c>
      <c r="DN17" s="1">
        <v>0</v>
      </c>
      <c r="DO17" s="1" t="s">
        <v>49</v>
      </c>
      <c r="DR17" s="16" t="s">
        <v>35</v>
      </c>
      <c r="DS17" s="42">
        <f>DH29</f>
        <v>0.54</v>
      </c>
      <c r="DT17" s="24">
        <f>DI29</f>
        <v>0.42666666666666669</v>
      </c>
      <c r="DU17" s="43">
        <f>DJ29</f>
        <v>0.30333333333333334</v>
      </c>
      <c r="DV17" s="42">
        <f>CS29</f>
        <v>0.61</v>
      </c>
      <c r="DW17" s="24">
        <f>CT29</f>
        <v>0.48666666666666664</v>
      </c>
      <c r="DX17" s="43">
        <f>CU29</f>
        <v>0.33666666666666667</v>
      </c>
      <c r="DY17" s="42">
        <f>CD29</f>
        <v>0.70500000000000007</v>
      </c>
      <c r="DZ17" s="24">
        <f>CE29</f>
        <v>0.56333333333333335</v>
      </c>
      <c r="EA17" s="43">
        <f>CF29</f>
        <v>0.38000000000000006</v>
      </c>
      <c r="EB17" s="42">
        <f>V29</f>
        <v>0.85000000000000009</v>
      </c>
      <c r="EC17" s="24">
        <f t="shared" ref="EC17:ED17" si="42">W29</f>
        <v>0.68</v>
      </c>
      <c r="ED17" s="43">
        <f t="shared" si="42"/>
        <v>0.4366666666666667</v>
      </c>
      <c r="EE17" s="42">
        <f>AK29</f>
        <v>0.995</v>
      </c>
      <c r="EF17" s="24">
        <f t="shared" ref="EF17:EG17" si="43">AL29</f>
        <v>0.80666666666666664</v>
      </c>
      <c r="EG17" s="43">
        <f t="shared" si="43"/>
        <v>0.5033333333333333</v>
      </c>
      <c r="EH17" s="42">
        <f>AZ29</f>
        <v>1.27</v>
      </c>
      <c r="EI17" s="24">
        <f t="shared" ref="EI17:EJ17" si="44">BA29</f>
        <v>1.0133333333333334</v>
      </c>
      <c r="EJ17" s="43">
        <f t="shared" si="44"/>
        <v>0.59333333333333338</v>
      </c>
      <c r="EK17" s="42">
        <f>BO29</f>
        <v>1.79</v>
      </c>
      <c r="EL17" s="24">
        <f t="shared" ref="EL17:EM17" si="45">BP29</f>
        <v>1.4100000000000001</v>
      </c>
      <c r="EM17" s="43">
        <f t="shared" si="45"/>
        <v>0.76666666666666661</v>
      </c>
    </row>
    <row r="18" spans="5:143">
      <c r="E18" s="2"/>
      <c r="F18" s="2">
        <v>2000</v>
      </c>
      <c r="G18" s="2">
        <v>2007</v>
      </c>
      <c r="H18" s="2">
        <v>2015</v>
      </c>
      <c r="J18" s="2"/>
      <c r="K18" s="2" t="s">
        <v>16</v>
      </c>
      <c r="L18" s="2" t="s">
        <v>17</v>
      </c>
      <c r="M18" s="2" t="s">
        <v>18</v>
      </c>
      <c r="P18" s="2" t="s">
        <v>3</v>
      </c>
      <c r="Q18" s="1">
        <v>0.95</v>
      </c>
      <c r="R18" s="1">
        <v>0.99</v>
      </c>
      <c r="S18" s="1">
        <v>1.1200000000000001</v>
      </c>
      <c r="U18" s="2" t="s">
        <v>3</v>
      </c>
      <c r="V18" s="1">
        <v>0.56999999999999995</v>
      </c>
      <c r="W18" s="1">
        <v>0.56999999999999995</v>
      </c>
      <c r="X18" s="1">
        <v>0.56999999999999995</v>
      </c>
      <c r="Z18" s="2" t="s">
        <v>3</v>
      </c>
      <c r="AA18" s="1">
        <v>0</v>
      </c>
      <c r="AB18" s="1">
        <v>0</v>
      </c>
      <c r="AC18" s="1">
        <v>0</v>
      </c>
      <c r="AE18" s="2" t="s">
        <v>3</v>
      </c>
      <c r="AF18" s="1">
        <v>1.02</v>
      </c>
      <c r="AG18" s="1">
        <v>1.06</v>
      </c>
      <c r="AH18" s="1">
        <v>1.2</v>
      </c>
      <c r="AJ18" s="2" t="s">
        <v>3</v>
      </c>
      <c r="AK18" s="1">
        <v>0.64</v>
      </c>
      <c r="AL18" s="1">
        <v>0.64</v>
      </c>
      <c r="AM18" s="1">
        <v>0.64</v>
      </c>
      <c r="AO18" s="2" t="s">
        <v>3</v>
      </c>
      <c r="AP18" s="1">
        <v>0.01</v>
      </c>
      <c r="AQ18" s="1">
        <v>0.01</v>
      </c>
      <c r="AR18" s="1">
        <v>0.01</v>
      </c>
      <c r="AT18" s="2" t="s">
        <v>3</v>
      </c>
      <c r="AU18" s="1">
        <v>1.08</v>
      </c>
      <c r="AV18" s="1">
        <v>1.1299999999999999</v>
      </c>
      <c r="AW18" s="1">
        <v>1.27</v>
      </c>
      <c r="AY18" s="2" t="s">
        <v>3</v>
      </c>
      <c r="AZ18" s="1">
        <v>0.8</v>
      </c>
      <c r="BA18" s="1">
        <v>0.79</v>
      </c>
      <c r="BB18" s="1">
        <v>0.79</v>
      </c>
      <c r="BD18" s="2" t="s">
        <v>3</v>
      </c>
      <c r="BE18" s="1">
        <v>0.01</v>
      </c>
      <c r="BF18" s="1">
        <v>0.01</v>
      </c>
      <c r="BG18" s="1">
        <v>0.01</v>
      </c>
      <c r="BI18" s="2" t="s">
        <v>3</v>
      </c>
      <c r="BJ18" s="1">
        <v>1.1299999999999999</v>
      </c>
      <c r="BK18" s="1">
        <v>1.17</v>
      </c>
      <c r="BL18" s="1">
        <v>1.32</v>
      </c>
      <c r="BN18" s="2" t="s">
        <v>3</v>
      </c>
      <c r="BO18" s="1">
        <v>1.06</v>
      </c>
      <c r="BP18" s="1">
        <v>1.05</v>
      </c>
      <c r="BQ18" s="1">
        <v>1.05</v>
      </c>
      <c r="BS18" s="2" t="s">
        <v>3</v>
      </c>
      <c r="BT18" s="1">
        <v>0.01</v>
      </c>
      <c r="BU18" s="1">
        <v>0.01</v>
      </c>
      <c r="BV18" s="1">
        <v>0.01</v>
      </c>
      <c r="BX18" s="2" t="s">
        <v>3</v>
      </c>
      <c r="BY18" s="1">
        <v>0.8</v>
      </c>
      <c r="BZ18" s="1">
        <v>0.83</v>
      </c>
      <c r="CA18" s="1">
        <v>0.94</v>
      </c>
      <c r="CC18" s="2" t="s">
        <v>3</v>
      </c>
      <c r="CD18" s="1">
        <v>0.48</v>
      </c>
      <c r="CE18" s="1">
        <v>0.48</v>
      </c>
      <c r="CF18" s="1">
        <v>0.48</v>
      </c>
      <c r="CH18" s="2" t="s">
        <v>3</v>
      </c>
      <c r="CI18" s="1">
        <v>0</v>
      </c>
      <c r="CJ18" s="1">
        <v>0</v>
      </c>
      <c r="CK18" s="1">
        <v>0</v>
      </c>
      <c r="CM18" s="2" t="s">
        <v>3</v>
      </c>
      <c r="CN18" s="1">
        <v>0.68</v>
      </c>
      <c r="CO18" s="1">
        <v>0.71</v>
      </c>
      <c r="CP18" s="1">
        <v>0.8</v>
      </c>
      <c r="CR18" s="2" t="s">
        <v>3</v>
      </c>
      <c r="CS18" s="1">
        <v>0.42</v>
      </c>
      <c r="CT18" s="1">
        <v>0.42</v>
      </c>
      <c r="CU18" s="1">
        <v>0.42</v>
      </c>
      <c r="CW18" s="2" t="s">
        <v>3</v>
      </c>
      <c r="CX18" s="1">
        <v>0</v>
      </c>
      <c r="CY18" s="1">
        <v>0</v>
      </c>
      <c r="CZ18" s="1">
        <v>0</v>
      </c>
      <c r="DB18" s="2" t="s">
        <v>3</v>
      </c>
      <c r="DC18" s="1">
        <v>0.6</v>
      </c>
      <c r="DD18" s="1">
        <v>0.62</v>
      </c>
      <c r="DE18" s="1">
        <v>0.7</v>
      </c>
      <c r="DG18" s="2" t="s">
        <v>3</v>
      </c>
      <c r="DH18" s="1">
        <v>0.38</v>
      </c>
      <c r="DI18" s="1">
        <v>0.37</v>
      </c>
      <c r="DJ18" s="1">
        <v>0.37</v>
      </c>
      <c r="DL18" s="2" t="s">
        <v>3</v>
      </c>
      <c r="DM18" s="1">
        <v>0</v>
      </c>
      <c r="DN18" s="1">
        <v>0</v>
      </c>
      <c r="DO18" s="1">
        <v>0</v>
      </c>
      <c r="DR18" s="16" t="s">
        <v>36</v>
      </c>
      <c r="DS18" s="42">
        <f>DH37</f>
        <v>0.44000000000000006</v>
      </c>
      <c r="DT18" s="24">
        <f>DI37</f>
        <v>0.33666666666666673</v>
      </c>
      <c r="DU18" s="43">
        <f>DJ37</f>
        <v>0.21333333333333335</v>
      </c>
      <c r="DV18" s="42">
        <f>CS37</f>
        <v>0.52</v>
      </c>
      <c r="DW18" s="24">
        <f>CT37</f>
        <v>0.39333333333333331</v>
      </c>
      <c r="DX18" s="43">
        <f>CU37</f>
        <v>0.24333333333333332</v>
      </c>
      <c r="DY18" s="42">
        <f>CD37</f>
        <v>0.61499999999999999</v>
      </c>
      <c r="DZ18" s="24">
        <f>CE37</f>
        <v>0.47</v>
      </c>
      <c r="EA18" s="43">
        <f>CF37</f>
        <v>0.28666666666666668</v>
      </c>
      <c r="EB18" s="42">
        <f>V37</f>
        <v>0.76</v>
      </c>
      <c r="EC18" s="24">
        <f t="shared" ref="EC18:ED18" si="46">W37</f>
        <v>0.58666666666666667</v>
      </c>
      <c r="ED18" s="43">
        <f t="shared" si="46"/>
        <v>0.34</v>
      </c>
      <c r="EE18" s="42">
        <f>AK37</f>
        <v>0.90500000000000003</v>
      </c>
      <c r="EF18" s="24">
        <f t="shared" ref="EF18:EG18" si="47">AL37</f>
        <v>0.71</v>
      </c>
      <c r="EG18" s="43">
        <f t="shared" si="47"/>
        <v>0.40333333333333332</v>
      </c>
      <c r="EH18" s="42">
        <f>AZ37</f>
        <v>1.175</v>
      </c>
      <c r="EI18" s="24">
        <f t="shared" ref="EI18:EJ18" si="48">BA37</f>
        <v>0.92</v>
      </c>
      <c r="EJ18" s="43">
        <f t="shared" si="48"/>
        <v>0.5033333333333333</v>
      </c>
      <c r="EK18" s="42">
        <f>BO37</f>
        <v>1.69</v>
      </c>
      <c r="EL18" s="24">
        <f t="shared" ref="EL18:EM18" si="49">BP37</f>
        <v>1.3133333333333332</v>
      </c>
      <c r="EM18" s="43">
        <f t="shared" si="49"/>
        <v>0.67333333333333334</v>
      </c>
    </row>
    <row r="19" spans="5:143">
      <c r="E19" s="2" t="s">
        <v>6</v>
      </c>
      <c r="F19" s="1">
        <v>41</v>
      </c>
      <c r="G19" s="1">
        <v>41</v>
      </c>
      <c r="H19" s="1">
        <v>0</v>
      </c>
      <c r="J19" s="2" t="s">
        <v>6</v>
      </c>
      <c r="K19" s="1">
        <v>1000</v>
      </c>
      <c r="L19" s="7">
        <f>C11</f>
        <v>1000</v>
      </c>
      <c r="M19" s="7">
        <f>L19*17</f>
        <v>17000</v>
      </c>
      <c r="P19" s="2" t="s">
        <v>4</v>
      </c>
      <c r="Q19" s="1" t="s">
        <v>49</v>
      </c>
      <c r="R19" s="1">
        <v>0.67</v>
      </c>
      <c r="S19" s="1">
        <v>0.75</v>
      </c>
      <c r="U19" s="2" t="s">
        <v>4</v>
      </c>
      <c r="V19" s="1" t="s">
        <v>49</v>
      </c>
      <c r="W19" s="1">
        <v>0.3</v>
      </c>
      <c r="X19" s="1">
        <v>0.3</v>
      </c>
      <c r="Z19" s="2" t="s">
        <v>4</v>
      </c>
      <c r="AA19" s="1" t="s">
        <v>49</v>
      </c>
      <c r="AB19" s="1">
        <v>0</v>
      </c>
      <c r="AC19" s="1">
        <v>0</v>
      </c>
      <c r="AE19" s="2" t="s">
        <v>4</v>
      </c>
      <c r="AF19" s="1" t="s">
        <v>49</v>
      </c>
      <c r="AG19" s="1">
        <v>0.72</v>
      </c>
      <c r="AH19" s="1">
        <v>0.82</v>
      </c>
      <c r="AJ19" s="2" t="s">
        <v>4</v>
      </c>
      <c r="AK19" s="1" t="s">
        <v>49</v>
      </c>
      <c r="AL19" s="1">
        <v>0.4</v>
      </c>
      <c r="AM19" s="1">
        <v>0.4</v>
      </c>
      <c r="AO19" s="2" t="s">
        <v>4</v>
      </c>
      <c r="AP19" s="1" t="s">
        <v>49</v>
      </c>
      <c r="AQ19" s="1">
        <v>0.01</v>
      </c>
      <c r="AR19" s="1">
        <v>0.01</v>
      </c>
      <c r="AT19" s="2" t="s">
        <v>4</v>
      </c>
      <c r="AU19" s="1" t="s">
        <v>49</v>
      </c>
      <c r="AV19" s="1">
        <v>0.77</v>
      </c>
      <c r="AW19" s="1">
        <v>0.87</v>
      </c>
      <c r="AY19" s="2" t="s">
        <v>4</v>
      </c>
      <c r="AZ19" s="1" t="s">
        <v>49</v>
      </c>
      <c r="BA19" s="1">
        <v>0.48</v>
      </c>
      <c r="BB19" s="1">
        <v>0.48</v>
      </c>
      <c r="BD19" s="2" t="s">
        <v>4</v>
      </c>
      <c r="BE19" s="1" t="s">
        <v>49</v>
      </c>
      <c r="BF19" s="1">
        <v>0.01</v>
      </c>
      <c r="BG19" s="1">
        <v>0.01</v>
      </c>
      <c r="BI19" s="2" t="s">
        <v>4</v>
      </c>
      <c r="BJ19" s="1" t="s">
        <v>49</v>
      </c>
      <c r="BK19" s="1">
        <v>0.82</v>
      </c>
      <c r="BL19" s="1">
        <v>0.93</v>
      </c>
      <c r="BN19" s="2" t="s">
        <v>4</v>
      </c>
      <c r="BO19" s="1" t="s">
        <v>49</v>
      </c>
      <c r="BP19" s="1">
        <v>0.64</v>
      </c>
      <c r="BQ19" s="1">
        <v>0.64</v>
      </c>
      <c r="BS19" s="2" t="s">
        <v>4</v>
      </c>
      <c r="BT19" s="1" t="s">
        <v>49</v>
      </c>
      <c r="BU19" s="1">
        <v>0.01</v>
      </c>
      <c r="BV19" s="1">
        <v>0.01</v>
      </c>
      <c r="BX19" s="2" t="s">
        <v>4</v>
      </c>
      <c r="BY19" s="1" t="s">
        <v>49</v>
      </c>
      <c r="BZ19" s="1">
        <v>0.57999999999999996</v>
      </c>
      <c r="CA19" s="1">
        <v>0.66</v>
      </c>
      <c r="CC19" s="2" t="s">
        <v>4</v>
      </c>
      <c r="CD19" s="1" t="s">
        <v>49</v>
      </c>
      <c r="CE19" s="1">
        <v>0.24</v>
      </c>
      <c r="CF19" s="1">
        <v>0.24</v>
      </c>
      <c r="CH19" s="2" t="s">
        <v>4</v>
      </c>
      <c r="CI19" s="1" t="s">
        <v>49</v>
      </c>
      <c r="CJ19" s="1">
        <v>0</v>
      </c>
      <c r="CK19" s="1">
        <v>0</v>
      </c>
      <c r="CM19" s="2" t="s">
        <v>4</v>
      </c>
      <c r="CN19" s="1" t="s">
        <v>49</v>
      </c>
      <c r="CO19" s="1">
        <v>0.51</v>
      </c>
      <c r="CP19" s="1">
        <v>0.56999999999999995</v>
      </c>
      <c r="CR19" s="2" t="s">
        <v>4</v>
      </c>
      <c r="CS19" s="1" t="s">
        <v>49</v>
      </c>
      <c r="CT19" s="1">
        <v>0.2</v>
      </c>
      <c r="CU19" s="1">
        <v>0.2</v>
      </c>
      <c r="CW19" s="2" t="s">
        <v>4</v>
      </c>
      <c r="CX19" s="1" t="s">
        <v>49</v>
      </c>
      <c r="CY19" s="1">
        <v>0</v>
      </c>
      <c r="CZ19" s="1">
        <v>0</v>
      </c>
      <c r="DB19" s="2" t="s">
        <v>4</v>
      </c>
      <c r="DC19" s="1" t="s">
        <v>49</v>
      </c>
      <c r="DD19" s="1">
        <v>0.46</v>
      </c>
      <c r="DE19" s="1">
        <v>0.52</v>
      </c>
      <c r="DG19" s="2" t="s">
        <v>4</v>
      </c>
      <c r="DH19" s="1" t="s">
        <v>49</v>
      </c>
      <c r="DI19" s="1">
        <v>0.17</v>
      </c>
      <c r="DJ19" s="1">
        <v>0.17</v>
      </c>
      <c r="DL19" s="2" t="s">
        <v>4</v>
      </c>
      <c r="DM19" s="1" t="s">
        <v>49</v>
      </c>
      <c r="DN19" s="1">
        <v>0</v>
      </c>
      <c r="DO19" s="1">
        <v>0</v>
      </c>
      <c r="DR19" s="16" t="s">
        <v>37</v>
      </c>
      <c r="DS19" s="42">
        <f>DH45</f>
        <v>0.25</v>
      </c>
      <c r="DT19" s="24">
        <f>DI45</f>
        <v>0.18666666666666665</v>
      </c>
      <c r="DU19" s="43">
        <f>DJ45</f>
        <v>0.13999999999999999</v>
      </c>
      <c r="DV19" s="42">
        <f>CS45</f>
        <v>0.29000000000000004</v>
      </c>
      <c r="DW19" s="24">
        <f>CT45</f>
        <v>0.22</v>
      </c>
      <c r="DX19" s="43">
        <f>CU45</f>
        <v>0.16</v>
      </c>
      <c r="DY19" s="42">
        <f>CD45</f>
        <v>0.33999999999999997</v>
      </c>
      <c r="DZ19" s="24">
        <f>CE45</f>
        <v>0.26666666666666666</v>
      </c>
      <c r="EA19" s="43">
        <f>CF45</f>
        <v>0.19000000000000003</v>
      </c>
      <c r="EB19" s="42">
        <f>V45</f>
        <v>0.42000000000000004</v>
      </c>
      <c r="EC19" s="24">
        <f t="shared" ref="EC19:ED19" si="50">W45</f>
        <v>0.33333333333333331</v>
      </c>
      <c r="ED19" s="43">
        <f t="shared" si="50"/>
        <v>0.22666666666666668</v>
      </c>
      <c r="EE19" s="42">
        <f>AK45</f>
        <v>0.495</v>
      </c>
      <c r="EF19" s="24">
        <f t="shared" ref="EF19:EG19" si="51">AL45</f>
        <v>0.40666666666666668</v>
      </c>
      <c r="EG19" s="43">
        <f t="shared" si="51"/>
        <v>0.27</v>
      </c>
      <c r="EH19" s="42">
        <f>AZ45</f>
        <v>0.64500000000000002</v>
      </c>
      <c r="EI19" s="24">
        <f t="shared" ref="EI19:EJ19" si="52">BA45</f>
        <v>0.52333333333333332</v>
      </c>
      <c r="EJ19" s="43">
        <f t="shared" si="52"/>
        <v>0.33333333333333331</v>
      </c>
      <c r="EK19" s="42">
        <f>BO45</f>
        <v>0.92500000000000004</v>
      </c>
      <c r="EL19" s="24">
        <f t="shared" ref="EL19:EM19" si="53">BP45</f>
        <v>0.73666666666666669</v>
      </c>
      <c r="EM19" s="43">
        <f t="shared" si="53"/>
        <v>0.44333333333333336</v>
      </c>
    </row>
    <row r="20" spans="5:143">
      <c r="E20" s="2" t="s">
        <v>3</v>
      </c>
      <c r="F20" s="1">
        <v>9</v>
      </c>
      <c r="G20" s="1">
        <v>9</v>
      </c>
      <c r="H20" s="1">
        <v>31</v>
      </c>
      <c r="J20" s="2" t="s">
        <v>3</v>
      </c>
      <c r="K20" s="1">
        <v>1000</v>
      </c>
      <c r="L20" s="7">
        <f>C11</f>
        <v>1000</v>
      </c>
      <c r="M20" s="7">
        <f>L20*7</f>
        <v>7000</v>
      </c>
      <c r="P20" s="2" t="s">
        <v>5</v>
      </c>
      <c r="Q20" s="1" t="s">
        <v>49</v>
      </c>
      <c r="R20" s="1" t="s">
        <v>49</v>
      </c>
      <c r="S20" s="1">
        <v>0.67</v>
      </c>
      <c r="U20" s="2" t="s">
        <v>5</v>
      </c>
      <c r="V20" s="1" t="s">
        <v>49</v>
      </c>
      <c r="W20" s="1" t="s">
        <v>49</v>
      </c>
      <c r="X20" s="1">
        <v>0.28999999999999998</v>
      </c>
      <c r="Z20" s="2" t="s">
        <v>5</v>
      </c>
      <c r="AA20" s="1" t="s">
        <v>49</v>
      </c>
      <c r="AB20" s="1" t="s">
        <v>49</v>
      </c>
      <c r="AC20" s="1">
        <v>0</v>
      </c>
      <c r="AE20" s="2" t="s">
        <v>5</v>
      </c>
      <c r="AF20" s="1" t="s">
        <v>49</v>
      </c>
      <c r="AG20" s="1" t="s">
        <v>49</v>
      </c>
      <c r="AH20" s="1">
        <v>0.71</v>
      </c>
      <c r="AJ20" s="2" t="s">
        <v>5</v>
      </c>
      <c r="AK20" s="1" t="s">
        <v>49</v>
      </c>
      <c r="AL20" s="1" t="s">
        <v>49</v>
      </c>
      <c r="AM20" s="1">
        <v>0.32</v>
      </c>
      <c r="AO20" s="2" t="s">
        <v>5</v>
      </c>
      <c r="AP20" s="1" t="s">
        <v>49</v>
      </c>
      <c r="AQ20" s="1" t="s">
        <v>49</v>
      </c>
      <c r="AR20" s="1">
        <v>0.01</v>
      </c>
      <c r="AT20" s="2" t="s">
        <v>5</v>
      </c>
      <c r="AU20" s="1" t="s">
        <v>49</v>
      </c>
      <c r="AV20" s="1" t="s">
        <v>49</v>
      </c>
      <c r="AW20" s="1">
        <v>0.75</v>
      </c>
      <c r="AY20" s="2" t="s">
        <v>5</v>
      </c>
      <c r="AZ20" s="1" t="s">
        <v>49</v>
      </c>
      <c r="BA20" s="1" t="s">
        <v>49</v>
      </c>
      <c r="BB20" s="1">
        <v>0.36</v>
      </c>
      <c r="BD20" s="2" t="s">
        <v>5</v>
      </c>
      <c r="BE20" s="1" t="s">
        <v>49</v>
      </c>
      <c r="BF20" s="1" t="s">
        <v>49</v>
      </c>
      <c r="BG20" s="1">
        <v>0.01</v>
      </c>
      <c r="BI20" s="2" t="s">
        <v>5</v>
      </c>
      <c r="BJ20" s="1" t="s">
        <v>49</v>
      </c>
      <c r="BK20" s="1" t="s">
        <v>49</v>
      </c>
      <c r="BL20" s="1">
        <v>0.78</v>
      </c>
      <c r="BN20" s="2" t="s">
        <v>5</v>
      </c>
      <c r="BO20" s="1" t="s">
        <v>49</v>
      </c>
      <c r="BP20" s="1" t="s">
        <v>49</v>
      </c>
      <c r="BQ20" s="1">
        <v>0.46</v>
      </c>
      <c r="BS20" s="2" t="s">
        <v>5</v>
      </c>
      <c r="BT20" s="1" t="s">
        <v>49</v>
      </c>
      <c r="BU20" s="1" t="s">
        <v>49</v>
      </c>
      <c r="BV20" s="1">
        <v>0.01</v>
      </c>
      <c r="BX20" s="2" t="s">
        <v>5</v>
      </c>
      <c r="BY20" s="1" t="s">
        <v>49</v>
      </c>
      <c r="BZ20" s="1" t="s">
        <v>49</v>
      </c>
      <c r="CA20" s="1">
        <v>0.57999999999999996</v>
      </c>
      <c r="CC20" s="2" t="s">
        <v>5</v>
      </c>
      <c r="CD20" s="1" t="s">
        <v>49</v>
      </c>
      <c r="CE20" s="1" t="s">
        <v>49</v>
      </c>
      <c r="CF20" s="1">
        <v>0.27</v>
      </c>
      <c r="CH20" s="2" t="s">
        <v>5</v>
      </c>
      <c r="CI20" s="1" t="s">
        <v>49</v>
      </c>
      <c r="CJ20" s="1" t="s">
        <v>49</v>
      </c>
      <c r="CK20" s="1">
        <v>0</v>
      </c>
      <c r="CM20" s="2" t="s">
        <v>5</v>
      </c>
      <c r="CN20" s="1" t="s">
        <v>49</v>
      </c>
      <c r="CO20" s="1" t="s">
        <v>49</v>
      </c>
      <c r="CP20" s="1">
        <v>0.5</v>
      </c>
      <c r="CR20" s="2" t="s">
        <v>5</v>
      </c>
      <c r="CS20" s="1" t="s">
        <v>49</v>
      </c>
      <c r="CT20" s="1" t="s">
        <v>49</v>
      </c>
      <c r="CU20" s="1">
        <v>0.25</v>
      </c>
      <c r="CW20" s="2" t="s">
        <v>5</v>
      </c>
      <c r="CX20" s="1" t="s">
        <v>49</v>
      </c>
      <c r="CY20" s="1" t="s">
        <v>49</v>
      </c>
      <c r="CZ20" s="1">
        <v>0</v>
      </c>
      <c r="DB20" s="2" t="s">
        <v>5</v>
      </c>
      <c r="DC20" s="1" t="s">
        <v>49</v>
      </c>
      <c r="DD20" s="1" t="s">
        <v>49</v>
      </c>
      <c r="DE20" s="1">
        <v>0.45</v>
      </c>
      <c r="DG20" s="2" t="s">
        <v>5</v>
      </c>
      <c r="DH20" s="1" t="s">
        <v>49</v>
      </c>
      <c r="DI20" s="1" t="s">
        <v>49</v>
      </c>
      <c r="DJ20" s="1">
        <v>0.22</v>
      </c>
      <c r="DL20" s="2" t="s">
        <v>5</v>
      </c>
      <c r="DM20" s="1" t="s">
        <v>49</v>
      </c>
      <c r="DN20" s="1" t="s">
        <v>49</v>
      </c>
      <c r="DO20" s="1">
        <v>0</v>
      </c>
      <c r="DR20" s="16" t="s">
        <v>38</v>
      </c>
      <c r="DS20" s="42">
        <f>DH53</f>
        <v>0.155</v>
      </c>
      <c r="DT20" s="24">
        <f>DI53</f>
        <v>0.11333333333333333</v>
      </c>
      <c r="DU20" s="43">
        <f>DJ53</f>
        <v>5.3333333333333337E-2</v>
      </c>
      <c r="DV20" s="42">
        <f>CS53</f>
        <v>0.18</v>
      </c>
      <c r="DW20" s="24">
        <f>CT53</f>
        <v>0.13333333333333333</v>
      </c>
      <c r="DX20" s="43">
        <f>CU53</f>
        <v>6.0000000000000005E-2</v>
      </c>
      <c r="DY20" s="42">
        <f>CD53</f>
        <v>0.21</v>
      </c>
      <c r="DZ20" s="24">
        <f>CE53</f>
        <v>0.15666666666666665</v>
      </c>
      <c r="EA20" s="43">
        <f>CF53</f>
        <v>7.0000000000000007E-2</v>
      </c>
      <c r="EB20" s="42">
        <f>V53</f>
        <v>0.27</v>
      </c>
      <c r="EC20" s="24">
        <f t="shared" ref="EC20:ED20" si="54">W53</f>
        <v>0.20000000000000004</v>
      </c>
      <c r="ED20" s="43">
        <f t="shared" si="54"/>
        <v>8.666666666666667E-2</v>
      </c>
      <c r="EE20" s="42">
        <f>AK53</f>
        <v>0.32</v>
      </c>
      <c r="EF20" s="24">
        <f t="shared" ref="EF20:EG20" si="55">AL53</f>
        <v>0.24</v>
      </c>
      <c r="EG20" s="43">
        <f t="shared" si="55"/>
        <v>9.9999999999999992E-2</v>
      </c>
      <c r="EH20" s="42">
        <f>AZ53</f>
        <v>0.42000000000000004</v>
      </c>
      <c r="EI20" s="24">
        <f t="shared" ref="EI20:EJ20" si="56">BA53</f>
        <v>0.31</v>
      </c>
      <c r="EJ20" s="43">
        <f t="shared" si="56"/>
        <v>0.12333333333333334</v>
      </c>
      <c r="EK20" s="42">
        <f>BO53</f>
        <v>0.60499999999999998</v>
      </c>
      <c r="EL20" s="24">
        <f t="shared" ref="EL20:EM20" si="57">BP53</f>
        <v>0.45333333333333331</v>
      </c>
      <c r="EM20" s="43">
        <f t="shared" si="57"/>
        <v>0.17</v>
      </c>
    </row>
    <row r="21" spans="5:143">
      <c r="E21" s="2" t="s">
        <v>4</v>
      </c>
      <c r="F21" s="1">
        <v>0</v>
      </c>
      <c r="G21" s="1">
        <v>8</v>
      </c>
      <c r="H21" s="1">
        <v>23</v>
      </c>
      <c r="J21" s="2" t="s">
        <v>4</v>
      </c>
      <c r="K21" s="1">
        <v>1000</v>
      </c>
      <c r="L21" s="7">
        <f>C11</f>
        <v>1000</v>
      </c>
      <c r="M21" s="7">
        <f>L21*1</f>
        <v>1000</v>
      </c>
      <c r="P21" s="3" t="s">
        <v>137</v>
      </c>
      <c r="Q21" s="6">
        <f>AVERAGE(Q17:Q20)</f>
        <v>1.665</v>
      </c>
      <c r="R21" s="6">
        <f>AVERAGE(R17:R20)</f>
        <v>1.3766666666666667</v>
      </c>
      <c r="S21" s="6">
        <f>AVERAGE(S17:S20)</f>
        <v>0.84666666666666668</v>
      </c>
      <c r="U21" s="3" t="s">
        <v>137</v>
      </c>
      <c r="V21" s="6">
        <f>AVERAGE(V17:V20)</f>
        <v>0.80499999999999994</v>
      </c>
      <c r="W21" s="6">
        <f>AVERAGE(W17:W20)</f>
        <v>0.63</v>
      </c>
      <c r="X21" s="6">
        <f>AVERAGE(X17:X20)</f>
        <v>0.38666666666666666</v>
      </c>
      <c r="Z21" s="3" t="s">
        <v>137</v>
      </c>
      <c r="AA21" s="6">
        <f>AVERAGE(AA17:AA20)</f>
        <v>0</v>
      </c>
      <c r="AB21" s="6">
        <f>AVERAGE(AB17:AB20)</f>
        <v>0</v>
      </c>
      <c r="AC21" s="6">
        <f>AVERAGE(AC17:AC20)</f>
        <v>0</v>
      </c>
      <c r="AE21" s="3" t="s">
        <v>137</v>
      </c>
      <c r="AF21" s="6">
        <f>AVERAGE(AF17:AF20)</f>
        <v>1.675</v>
      </c>
      <c r="AG21" s="6">
        <f>AVERAGE(AG17:AG20)</f>
        <v>1.0666666666666667</v>
      </c>
      <c r="AH21" s="6">
        <f>AVERAGE(AH17:AH20)</f>
        <v>0.91</v>
      </c>
      <c r="AJ21" s="3" t="s">
        <v>137</v>
      </c>
      <c r="AK21" s="6">
        <f>AVERAGE(AK17:AK20)</f>
        <v>0.94500000000000006</v>
      </c>
      <c r="AL21" s="6">
        <f>AVERAGE(AL17:AL20)</f>
        <v>0.7599999999999999</v>
      </c>
      <c r="AM21" s="6">
        <f>AVERAGE(AM17:AM20)</f>
        <v>0.45333333333333337</v>
      </c>
      <c r="AO21" s="3" t="s">
        <v>137</v>
      </c>
      <c r="AP21" s="6">
        <f>AVERAGE(AP17:AP20)</f>
        <v>0.01</v>
      </c>
      <c r="AQ21" s="6">
        <f>AVERAGE(AQ17:AQ20)</f>
        <v>0.01</v>
      </c>
      <c r="AR21" s="6">
        <f>AVERAGE(AR17:AR20)</f>
        <v>0.01</v>
      </c>
      <c r="AT21" s="3" t="s">
        <v>137</v>
      </c>
      <c r="AU21" s="6">
        <f>AVERAGE(AU17:AU20)</f>
        <v>1.655</v>
      </c>
      <c r="AV21" s="6">
        <f>AVERAGE(AV17:AV20)</f>
        <v>1.4066666666666665</v>
      </c>
      <c r="AW21" s="6">
        <f>AVERAGE(AW17:AW20)</f>
        <v>0.96333333333333337</v>
      </c>
      <c r="AY21" s="3" t="s">
        <v>137</v>
      </c>
      <c r="AZ21" s="6">
        <f>AVERAGE(AZ17:AZ20)</f>
        <v>1.22</v>
      </c>
      <c r="BA21" s="6">
        <f>AVERAGE(BA17:BA20)</f>
        <v>0.96333333333333337</v>
      </c>
      <c r="BB21" s="6">
        <f>AVERAGE(BB17:BB20)</f>
        <v>0.54333333333333333</v>
      </c>
      <c r="BD21" s="3" t="s">
        <v>137</v>
      </c>
      <c r="BE21" s="6">
        <f>AVERAGE(BE17:BE20)</f>
        <v>0.01</v>
      </c>
      <c r="BF21" s="6">
        <f>AVERAGE(BF17:BF20)</f>
        <v>0.01</v>
      </c>
      <c r="BG21" s="6">
        <f>AVERAGE(BG17:BG20)</f>
        <v>0.01</v>
      </c>
      <c r="BI21" s="3" t="s">
        <v>137</v>
      </c>
      <c r="BJ21" s="6">
        <f>AVERAGE(BJ17:BJ20)</f>
        <v>1.625</v>
      </c>
      <c r="BK21" s="6">
        <f>AVERAGE(BK17:BK20)</f>
        <v>1.3966666666666667</v>
      </c>
      <c r="BL21" s="6">
        <f>AVERAGE(BL17:BL20)</f>
        <v>1.01</v>
      </c>
      <c r="BN21" s="3" t="s">
        <v>137</v>
      </c>
      <c r="BO21" s="6">
        <f>AVERAGE(BO17:BO20)</f>
        <v>1.74</v>
      </c>
      <c r="BP21" s="6">
        <f>AVERAGE(BP17:BP20)</f>
        <v>1.36</v>
      </c>
      <c r="BQ21" s="6">
        <f>AVERAGE(BQ17:BQ20)</f>
        <v>0.71666666666666667</v>
      </c>
      <c r="BS21" s="3" t="s">
        <v>137</v>
      </c>
      <c r="BT21" s="6">
        <f>AVERAGE(BT17:BT20)</f>
        <v>0.01</v>
      </c>
      <c r="BU21" s="6">
        <f>AVERAGE(BU17:BU20)</f>
        <v>0.01</v>
      </c>
      <c r="BV21" s="6">
        <f>AVERAGE(BV17:BV20)</f>
        <v>0.01</v>
      </c>
      <c r="BX21" s="3" t="s">
        <v>137</v>
      </c>
      <c r="BY21" s="6">
        <f>AVERAGE(BY17:BY20)</f>
        <v>1.46</v>
      </c>
      <c r="BZ21" s="6">
        <f>AVERAGE(BZ17:BZ20)</f>
        <v>1.2033333333333334</v>
      </c>
      <c r="CA21" s="6">
        <f>AVERAGE(CA17:CA20)</f>
        <v>0.72666666666666668</v>
      </c>
      <c r="CC21" s="3" t="s">
        <v>137</v>
      </c>
      <c r="CD21" s="6">
        <f>AVERAGE(CD17:CD20)</f>
        <v>0.65500000000000003</v>
      </c>
      <c r="CE21" s="6">
        <f>AVERAGE(CE17:CE20)</f>
        <v>0.51333333333333331</v>
      </c>
      <c r="CF21" s="6">
        <f>AVERAGE(CF17:CF20)</f>
        <v>0.33</v>
      </c>
      <c r="CH21" s="3" t="s">
        <v>137</v>
      </c>
      <c r="CI21" s="6">
        <f>AVERAGE(CI17:CI20)</f>
        <v>0</v>
      </c>
      <c r="CJ21" s="6">
        <f>AVERAGE(CJ17:CJ20)</f>
        <v>0</v>
      </c>
      <c r="CK21" s="6">
        <f>AVERAGE(CK17:CK20)</f>
        <v>0</v>
      </c>
      <c r="CM21" s="3" t="s">
        <v>137</v>
      </c>
      <c r="CN21" s="6">
        <f>AVERAGE(CN17:CN20)</f>
        <v>1.28</v>
      </c>
      <c r="CO21" s="6">
        <f>AVERAGE(CO17:CO20)</f>
        <v>1.0566666666666666</v>
      </c>
      <c r="CP21" s="6">
        <f>AVERAGE(CP17:CP20)</f>
        <v>0.62333333333333341</v>
      </c>
      <c r="CR21" s="3" t="s">
        <v>137</v>
      </c>
      <c r="CS21" s="6">
        <f>AVERAGE(CS17:CS20)</f>
        <v>0.55999999999999994</v>
      </c>
      <c r="CT21" s="6">
        <f>AVERAGE(CT17:CT20)</f>
        <v>0.43666666666666659</v>
      </c>
      <c r="CU21" s="6">
        <f>AVERAGE(CU17:CU20)</f>
        <v>0.28999999999999998</v>
      </c>
      <c r="CW21" s="3" t="s">
        <v>137</v>
      </c>
      <c r="CX21" s="6">
        <f>AVERAGE(CX17:CX20)</f>
        <v>0</v>
      </c>
      <c r="CY21" s="6">
        <f>AVERAGE(CY17:CY20)</f>
        <v>0</v>
      </c>
      <c r="CZ21" s="6">
        <f>AVERAGE(CZ17:CZ20)</f>
        <v>0</v>
      </c>
      <c r="DB21" s="3" t="s">
        <v>137</v>
      </c>
      <c r="DC21" s="6">
        <f>AVERAGE(DC17:DC20)</f>
        <v>1.155</v>
      </c>
      <c r="DD21" s="6">
        <f>AVERAGE(DD17:DD20)</f>
        <v>0.95333333333333325</v>
      </c>
      <c r="DE21" s="6">
        <f>AVERAGE(DE17:DE20)</f>
        <v>0.55666666666666664</v>
      </c>
      <c r="DG21" s="3" t="s">
        <v>137</v>
      </c>
      <c r="DH21" s="6">
        <f>AVERAGE(DH17:DH20)</f>
        <v>0.49</v>
      </c>
      <c r="DI21" s="6">
        <f>AVERAGE(DI17:DI20)</f>
        <v>0.37666666666666665</v>
      </c>
      <c r="DJ21" s="6">
        <f>AVERAGE(DJ17:DJ20)</f>
        <v>0.25333333333333335</v>
      </c>
      <c r="DL21" s="3" t="s">
        <v>137</v>
      </c>
      <c r="DM21" s="6">
        <f>AVERAGE(DM17:DM20)</f>
        <v>0</v>
      </c>
      <c r="DN21" s="6">
        <f>AVERAGE(DN17:DN20)</f>
        <v>0</v>
      </c>
      <c r="DO21" s="6">
        <f>AVERAGE(DO17:DO20)</f>
        <v>0</v>
      </c>
      <c r="DR21" s="16" t="s">
        <v>39</v>
      </c>
      <c r="DS21" s="42">
        <f>DH61</f>
        <v>18.077844311377245</v>
      </c>
      <c r="DT21" s="24">
        <f>DI61</f>
        <v>17.097804391217565</v>
      </c>
      <c r="DU21" s="43">
        <f>DJ61</f>
        <v>16.160878243512972</v>
      </c>
      <c r="DV21" s="42">
        <f>CS61</f>
        <v>24.438323353293413</v>
      </c>
      <c r="DW21" s="24">
        <f>CT61</f>
        <v>23.257884231536924</v>
      </c>
      <c r="DX21" s="43">
        <f>CU61</f>
        <v>21.969660678642715</v>
      </c>
      <c r="DY21" s="42">
        <f>CD61</f>
        <v>35.453293413173654</v>
      </c>
      <c r="DZ21" s="24">
        <f>CE61</f>
        <v>33.87105788423154</v>
      </c>
      <c r="EA21" s="43">
        <f>CF61</f>
        <v>31.960878243512969</v>
      </c>
      <c r="EB21" s="42">
        <f>V61</f>
        <v>51.1748502994012</v>
      </c>
      <c r="EC21" s="24">
        <f t="shared" ref="EC21:ED21" si="58">W61</f>
        <v>49.256686626746507</v>
      </c>
      <c r="ED21" s="43">
        <f t="shared" si="58"/>
        <v>46.636726546906182</v>
      </c>
      <c r="EE21" s="42">
        <f>AK61</f>
        <v>69.577245508982031</v>
      </c>
      <c r="EF21" s="24">
        <f t="shared" ref="EF21:EG21" si="59">AL61</f>
        <v>67.864670658682641</v>
      </c>
      <c r="EG21" s="43">
        <f t="shared" si="59"/>
        <v>65.514171656686642</v>
      </c>
      <c r="EH21" s="42">
        <f>AZ61</f>
        <v>91.12934131736526</v>
      </c>
      <c r="EI21" s="24">
        <f t="shared" ref="EI21:EJ21" si="60">BA61</f>
        <v>89.226746506986032</v>
      </c>
      <c r="EJ21" s="43">
        <f t="shared" si="60"/>
        <v>86.623153692614778</v>
      </c>
      <c r="EK21" s="42">
        <f>BO61</f>
        <v>113.88802395209581</v>
      </c>
      <c r="EL21" s="24">
        <f t="shared" ref="EL21:EM21" si="61">BP61</f>
        <v>112.10778443113772</v>
      </c>
      <c r="EM21" s="43">
        <f t="shared" si="61"/>
        <v>109.26786427145709</v>
      </c>
    </row>
    <row r="22" spans="5:143">
      <c r="E22" s="2" t="s">
        <v>5</v>
      </c>
      <c r="F22" s="1">
        <v>0</v>
      </c>
      <c r="G22" s="1">
        <v>0</v>
      </c>
      <c r="H22" s="1">
        <v>11</v>
      </c>
      <c r="DR22" s="16" t="s">
        <v>40</v>
      </c>
      <c r="DS22" s="42">
        <f>DH69</f>
        <v>0.47799999999999998</v>
      </c>
      <c r="DT22" s="24">
        <f>DI69</f>
        <v>0.45199999999999996</v>
      </c>
      <c r="DU22" s="43">
        <f>DJ69</f>
        <v>0.42666666666666669</v>
      </c>
      <c r="DV22" s="42">
        <f>CS69</f>
        <v>0.64549999999999996</v>
      </c>
      <c r="DW22" s="24">
        <f>CT69</f>
        <v>0.61399999999999999</v>
      </c>
      <c r="DX22" s="43">
        <f>CU69</f>
        <v>0.57966666666666666</v>
      </c>
      <c r="DY22" s="42">
        <f>CD69</f>
        <v>0.93499999999999994</v>
      </c>
      <c r="DZ22" s="24">
        <f>CE69</f>
        <v>0.8929999999999999</v>
      </c>
      <c r="EA22" s="43">
        <f>CF69</f>
        <v>0.84233333333333338</v>
      </c>
      <c r="EB22" s="42">
        <f>V69</f>
        <v>1.3485</v>
      </c>
      <c r="EC22" s="24">
        <f t="shared" ref="EC22:ED22" si="62">W69</f>
        <v>1.2979441766666666</v>
      </c>
      <c r="ED22" s="43">
        <f t="shared" si="62"/>
        <v>1.2286313866666665</v>
      </c>
      <c r="EE22" s="42">
        <f>AK69</f>
        <v>1.8334999999999999</v>
      </c>
      <c r="EF22" s="24">
        <f t="shared" ref="EF22:EG22" si="63">AL69</f>
        <v>1.788</v>
      </c>
      <c r="EG22" s="43">
        <f t="shared" si="63"/>
        <v>1.7253333333333334</v>
      </c>
      <c r="EH22" s="42">
        <f>AZ69</f>
        <v>2.4</v>
      </c>
      <c r="EI22" s="24">
        <f t="shared" ref="EI22:EJ22" si="64">BA69</f>
        <v>2.3496666666666663</v>
      </c>
      <c r="EJ22" s="43">
        <f t="shared" si="64"/>
        <v>2.2806666666666668</v>
      </c>
      <c r="EK22" s="42">
        <f>BO69</f>
        <v>2.9990000000000001</v>
      </c>
      <c r="EL22" s="24">
        <f t="shared" ref="EL22:EM22" si="65">BP69</f>
        <v>2.952</v>
      </c>
      <c r="EM22" s="43">
        <f t="shared" si="65"/>
        <v>2.8766666666666669</v>
      </c>
    </row>
    <row r="23" spans="5:143" ht="15" thickBot="1">
      <c r="J23" s="48" t="s">
        <v>21</v>
      </c>
      <c r="K23" s="49"/>
      <c r="L23" s="49"/>
      <c r="M23" s="50"/>
      <c r="P23" s="47" t="s">
        <v>64</v>
      </c>
      <c r="Q23" s="47"/>
      <c r="R23" s="47"/>
      <c r="S23" s="47"/>
      <c r="U23" s="47" t="s">
        <v>74</v>
      </c>
      <c r="V23" s="47"/>
      <c r="W23" s="47"/>
      <c r="X23" s="47"/>
      <c r="Z23" s="47" t="s">
        <v>54</v>
      </c>
      <c r="AA23" s="47"/>
      <c r="AB23" s="47"/>
      <c r="AC23" s="47"/>
      <c r="AE23" s="47" t="s">
        <v>64</v>
      </c>
      <c r="AF23" s="47"/>
      <c r="AG23" s="47"/>
      <c r="AH23" s="47"/>
      <c r="AJ23" s="47" t="s">
        <v>74</v>
      </c>
      <c r="AK23" s="47"/>
      <c r="AL23" s="47"/>
      <c r="AM23" s="47"/>
      <c r="AO23" s="47" t="s">
        <v>54</v>
      </c>
      <c r="AP23" s="47"/>
      <c r="AQ23" s="47"/>
      <c r="AR23" s="47"/>
      <c r="AT23" s="47" t="s">
        <v>64</v>
      </c>
      <c r="AU23" s="47"/>
      <c r="AV23" s="47"/>
      <c r="AW23" s="47"/>
      <c r="AY23" s="47" t="s">
        <v>74</v>
      </c>
      <c r="AZ23" s="47"/>
      <c r="BA23" s="47"/>
      <c r="BB23" s="47"/>
      <c r="BD23" s="47" t="s">
        <v>54</v>
      </c>
      <c r="BE23" s="47"/>
      <c r="BF23" s="47"/>
      <c r="BG23" s="47"/>
      <c r="BI23" s="47" t="s">
        <v>64</v>
      </c>
      <c r="BJ23" s="47"/>
      <c r="BK23" s="47"/>
      <c r="BL23" s="47"/>
      <c r="BN23" s="47" t="s">
        <v>74</v>
      </c>
      <c r="BO23" s="47"/>
      <c r="BP23" s="47"/>
      <c r="BQ23" s="47"/>
      <c r="BS23" s="47" t="s">
        <v>54</v>
      </c>
      <c r="BT23" s="47"/>
      <c r="BU23" s="47"/>
      <c r="BV23" s="47"/>
      <c r="BX23" s="47" t="s">
        <v>64</v>
      </c>
      <c r="BY23" s="47"/>
      <c r="BZ23" s="47"/>
      <c r="CA23" s="47"/>
      <c r="CC23" s="47" t="s">
        <v>74</v>
      </c>
      <c r="CD23" s="47"/>
      <c r="CE23" s="47"/>
      <c r="CF23" s="47"/>
      <c r="CH23" s="47" t="s">
        <v>54</v>
      </c>
      <c r="CI23" s="47"/>
      <c r="CJ23" s="47"/>
      <c r="CK23" s="47"/>
      <c r="CM23" s="47" t="s">
        <v>64</v>
      </c>
      <c r="CN23" s="47"/>
      <c r="CO23" s="47"/>
      <c r="CP23" s="47"/>
      <c r="CR23" s="47" t="s">
        <v>74</v>
      </c>
      <c r="CS23" s="47"/>
      <c r="CT23" s="47"/>
      <c r="CU23" s="47"/>
      <c r="CW23" s="47" t="s">
        <v>54</v>
      </c>
      <c r="CX23" s="47"/>
      <c r="CY23" s="47"/>
      <c r="CZ23" s="47"/>
      <c r="DB23" s="47" t="s">
        <v>64</v>
      </c>
      <c r="DC23" s="47"/>
      <c r="DD23" s="47"/>
      <c r="DE23" s="47"/>
      <c r="DG23" s="47" t="s">
        <v>74</v>
      </c>
      <c r="DH23" s="47"/>
      <c r="DI23" s="47"/>
      <c r="DJ23" s="47"/>
      <c r="DL23" s="47" t="s">
        <v>54</v>
      </c>
      <c r="DM23" s="47"/>
      <c r="DN23" s="47"/>
      <c r="DO23" s="47"/>
      <c r="DR23" s="17" t="s">
        <v>41</v>
      </c>
      <c r="DS23" s="44">
        <f>DF78</f>
        <v>0.13500000000000001</v>
      </c>
      <c r="DT23" s="45">
        <f>DG78</f>
        <v>0.12666666666666668</v>
      </c>
      <c r="DU23" s="46">
        <f>DH78</f>
        <v>0.12333333333333334</v>
      </c>
      <c r="DV23" s="44">
        <f>CQ78</f>
        <v>0.185</v>
      </c>
      <c r="DW23" s="45">
        <f>CR78</f>
        <v>0.17666666666666667</v>
      </c>
      <c r="DX23" s="46">
        <f>CS78</f>
        <v>0.17</v>
      </c>
      <c r="DY23" s="44">
        <f>CB78</f>
        <v>0.26500000000000001</v>
      </c>
      <c r="DZ23" s="45">
        <f>CC78</f>
        <v>0.25333333333333335</v>
      </c>
      <c r="EA23" s="46">
        <f>CD78</f>
        <v>0.24666666666666667</v>
      </c>
      <c r="EB23" s="44">
        <f>T78</f>
        <v>0.38</v>
      </c>
      <c r="EC23" s="45">
        <f t="shared" ref="EC23:ED23" si="66">U78</f>
        <v>0.3666666666666667</v>
      </c>
      <c r="ED23" s="46">
        <f t="shared" si="66"/>
        <v>0.36000000000000004</v>
      </c>
      <c r="EE23" s="44">
        <f>AI78</f>
        <v>0.52</v>
      </c>
      <c r="EF23" s="45">
        <f t="shared" ref="EF23:EG23" si="67">AJ78</f>
        <v>0.50666666666666671</v>
      </c>
      <c r="EG23" s="46">
        <f t="shared" si="67"/>
        <v>0.5033333333333333</v>
      </c>
      <c r="EH23" s="44">
        <f>AX78</f>
        <v>0.68500000000000005</v>
      </c>
      <c r="EI23" s="45">
        <f t="shared" ref="EI23:EJ23" si="68">AY78</f>
        <v>0.67</v>
      </c>
      <c r="EJ23" s="46">
        <f t="shared" si="68"/>
        <v>0.66666666666666663</v>
      </c>
      <c r="EK23" s="44">
        <f>BM78</f>
        <v>0.85499999999999998</v>
      </c>
      <c r="EL23" s="45">
        <f t="shared" ref="EL23:EM23" si="69">BN78</f>
        <v>0.84333333333333327</v>
      </c>
      <c r="EM23" s="46">
        <f t="shared" si="69"/>
        <v>0.84333333333333327</v>
      </c>
    </row>
    <row r="24" spans="5:143" ht="15" thickBot="1">
      <c r="J24" s="2"/>
      <c r="K24" s="2" t="s">
        <v>16</v>
      </c>
      <c r="L24" s="2" t="s">
        <v>17</v>
      </c>
      <c r="M24" s="2" t="s">
        <v>18</v>
      </c>
      <c r="P24" s="2"/>
      <c r="Q24" s="2">
        <v>2000</v>
      </c>
      <c r="R24" s="2">
        <v>2007</v>
      </c>
      <c r="S24" s="2">
        <v>2015</v>
      </c>
      <c r="U24" s="2"/>
      <c r="V24" s="2">
        <v>2000</v>
      </c>
      <c r="W24" s="2">
        <v>2007</v>
      </c>
      <c r="X24" s="2">
        <v>2015</v>
      </c>
      <c r="Z24" s="2"/>
      <c r="AA24" s="2">
        <v>2000</v>
      </c>
      <c r="AB24" s="2">
        <v>2007</v>
      </c>
      <c r="AC24" s="2">
        <v>2015</v>
      </c>
      <c r="AE24" s="2"/>
      <c r="AF24" s="2">
        <v>2000</v>
      </c>
      <c r="AG24" s="2">
        <v>2007</v>
      </c>
      <c r="AH24" s="2">
        <v>2015</v>
      </c>
      <c r="AJ24" s="2"/>
      <c r="AK24" s="2">
        <v>2000</v>
      </c>
      <c r="AL24" s="2">
        <v>2007</v>
      </c>
      <c r="AM24" s="2">
        <v>2015</v>
      </c>
      <c r="AO24" s="2"/>
      <c r="AP24" s="2">
        <v>2000</v>
      </c>
      <c r="AQ24" s="2">
        <v>2007</v>
      </c>
      <c r="AR24" s="2">
        <v>2015</v>
      </c>
      <c r="AT24" s="2"/>
      <c r="AU24" s="2">
        <v>2000</v>
      </c>
      <c r="AV24" s="2">
        <v>2007</v>
      </c>
      <c r="AW24" s="2">
        <v>2015</v>
      </c>
      <c r="AY24" s="2"/>
      <c r="AZ24" s="2">
        <v>2000</v>
      </c>
      <c r="BA24" s="2">
        <v>2007</v>
      </c>
      <c r="BB24" s="2">
        <v>2015</v>
      </c>
      <c r="BD24" s="2"/>
      <c r="BE24" s="2">
        <v>2000</v>
      </c>
      <c r="BF24" s="2">
        <v>2007</v>
      </c>
      <c r="BG24" s="2">
        <v>2015</v>
      </c>
      <c r="BI24" s="2"/>
      <c r="BJ24" s="2">
        <v>2000</v>
      </c>
      <c r="BK24" s="2">
        <v>2007</v>
      </c>
      <c r="BL24" s="2">
        <v>2015</v>
      </c>
      <c r="BN24" s="2"/>
      <c r="BO24" s="2">
        <v>2000</v>
      </c>
      <c r="BP24" s="2">
        <v>2007</v>
      </c>
      <c r="BQ24" s="2">
        <v>2015</v>
      </c>
      <c r="BS24" s="2"/>
      <c r="BT24" s="2">
        <v>2000</v>
      </c>
      <c r="BU24" s="2">
        <v>2007</v>
      </c>
      <c r="BV24" s="2">
        <v>2015</v>
      </c>
      <c r="BX24" s="2"/>
      <c r="BY24" s="2">
        <v>2000</v>
      </c>
      <c r="BZ24" s="2">
        <v>2007</v>
      </c>
      <c r="CA24" s="2">
        <v>2015</v>
      </c>
      <c r="CC24" s="2"/>
      <c r="CD24" s="2">
        <v>2000</v>
      </c>
      <c r="CE24" s="2">
        <v>2007</v>
      </c>
      <c r="CF24" s="2">
        <v>2015</v>
      </c>
      <c r="CH24" s="2"/>
      <c r="CI24" s="2">
        <v>2000</v>
      </c>
      <c r="CJ24" s="2">
        <v>2007</v>
      </c>
      <c r="CK24" s="2">
        <v>2015</v>
      </c>
      <c r="CM24" s="2"/>
      <c r="CN24" s="2">
        <v>2000</v>
      </c>
      <c r="CO24" s="2">
        <v>2007</v>
      </c>
      <c r="CP24" s="2">
        <v>2015</v>
      </c>
      <c r="CR24" s="2"/>
      <c r="CS24" s="2">
        <v>2000</v>
      </c>
      <c r="CT24" s="2">
        <v>2007</v>
      </c>
      <c r="CU24" s="2">
        <v>2015</v>
      </c>
      <c r="CW24" s="2"/>
      <c r="CX24" s="2">
        <v>2000</v>
      </c>
      <c r="CY24" s="2">
        <v>2007</v>
      </c>
      <c r="CZ24" s="2">
        <v>2015</v>
      </c>
      <c r="DB24" s="2"/>
      <c r="DC24" s="2">
        <v>2000</v>
      </c>
      <c r="DD24" s="2">
        <v>2007</v>
      </c>
      <c r="DE24" s="2">
        <v>2015</v>
      </c>
      <c r="DG24" s="2"/>
      <c r="DH24" s="2">
        <v>2000</v>
      </c>
      <c r="DI24" s="2">
        <v>2007</v>
      </c>
      <c r="DJ24" s="2">
        <v>2015</v>
      </c>
      <c r="DL24" s="2"/>
      <c r="DM24" s="2">
        <v>2000</v>
      </c>
      <c r="DN24" s="2">
        <v>2007</v>
      </c>
      <c r="DO24" s="2">
        <v>2015</v>
      </c>
      <c r="DR24" s="20"/>
      <c r="DS24" s="21"/>
      <c r="DT24" s="22"/>
      <c r="DU24" s="23"/>
      <c r="DV24" s="21"/>
      <c r="DW24" s="22"/>
      <c r="DX24" s="23"/>
      <c r="DY24" s="21"/>
      <c r="DZ24" s="22"/>
      <c r="EA24" s="23"/>
      <c r="EB24" s="21"/>
      <c r="EC24" s="22"/>
      <c r="ED24" s="23"/>
      <c r="EE24" s="21"/>
      <c r="EF24" s="22"/>
      <c r="EG24" s="23"/>
      <c r="EH24" s="21"/>
      <c r="EI24" s="22"/>
      <c r="EJ24" s="23"/>
      <c r="EK24" s="21"/>
      <c r="EL24" s="22"/>
      <c r="EM24" s="23"/>
    </row>
    <row r="25" spans="5:143">
      <c r="J25" s="2" t="s">
        <v>3</v>
      </c>
      <c r="K25" s="1">
        <v>1000</v>
      </c>
      <c r="L25" s="7">
        <f>C11</f>
        <v>1000</v>
      </c>
      <c r="M25" s="7">
        <f>L25*15</f>
        <v>15000</v>
      </c>
      <c r="P25" s="2" t="s">
        <v>6</v>
      </c>
      <c r="Q25" s="1">
        <v>2.2000000000000002</v>
      </c>
      <c r="R25" s="1">
        <v>2.29</v>
      </c>
      <c r="S25" s="1" t="s">
        <v>49</v>
      </c>
      <c r="U25" s="2" t="s">
        <v>6</v>
      </c>
      <c r="V25" s="1">
        <v>1.08</v>
      </c>
      <c r="W25" s="1">
        <v>1.07</v>
      </c>
      <c r="X25" s="1" t="s">
        <v>49</v>
      </c>
      <c r="Z25" s="2" t="s">
        <v>6</v>
      </c>
      <c r="AA25" s="1">
        <v>1.41</v>
      </c>
      <c r="AB25" s="1">
        <v>1.41</v>
      </c>
      <c r="AC25" s="1" t="s">
        <v>49</v>
      </c>
      <c r="AE25" s="2" t="s">
        <v>6</v>
      </c>
      <c r="AF25" s="1">
        <v>2.16</v>
      </c>
      <c r="AG25" s="1">
        <v>2.25</v>
      </c>
      <c r="AH25" s="1" t="s">
        <v>49</v>
      </c>
      <c r="AJ25" s="2" t="s">
        <v>6</v>
      </c>
      <c r="AK25" s="1">
        <v>1.3</v>
      </c>
      <c r="AL25" s="1">
        <v>1.28</v>
      </c>
      <c r="AM25" s="1" t="s">
        <v>49</v>
      </c>
      <c r="AO25" s="2" t="s">
        <v>6</v>
      </c>
      <c r="AP25" s="1">
        <v>1.41</v>
      </c>
      <c r="AQ25" s="1">
        <v>1.41</v>
      </c>
      <c r="AR25" s="1" t="s">
        <v>49</v>
      </c>
      <c r="AT25" s="2" t="s">
        <v>6</v>
      </c>
      <c r="AU25" s="1">
        <v>2.06</v>
      </c>
      <c r="AV25" s="1">
        <v>2.14</v>
      </c>
      <c r="AW25" s="1" t="s">
        <v>49</v>
      </c>
      <c r="AY25" s="2" t="s">
        <v>6</v>
      </c>
      <c r="AZ25" s="1">
        <v>1.69</v>
      </c>
      <c r="BA25" s="1">
        <v>1.67</v>
      </c>
      <c r="BB25" s="1" t="s">
        <v>49</v>
      </c>
      <c r="BD25" s="2" t="s">
        <v>6</v>
      </c>
      <c r="BE25" s="1">
        <v>1.42</v>
      </c>
      <c r="BF25" s="1">
        <v>1.42</v>
      </c>
      <c r="BG25" s="1" t="s">
        <v>49</v>
      </c>
      <c r="BI25" s="2" t="s">
        <v>6</v>
      </c>
      <c r="BJ25" s="1">
        <v>1.94</v>
      </c>
      <c r="BK25" s="1">
        <v>2.02</v>
      </c>
      <c r="BL25" s="1" t="s">
        <v>49</v>
      </c>
      <c r="BN25" s="2" t="s">
        <v>6</v>
      </c>
      <c r="BO25" s="1">
        <v>2.4700000000000002</v>
      </c>
      <c r="BP25" s="1">
        <v>2.44</v>
      </c>
      <c r="BQ25" s="1" t="s">
        <v>49</v>
      </c>
      <c r="BS25" s="2" t="s">
        <v>6</v>
      </c>
      <c r="BT25" s="1">
        <v>1.42</v>
      </c>
      <c r="BU25" s="1">
        <v>1.42</v>
      </c>
      <c r="BV25" s="1" t="s">
        <v>49</v>
      </c>
      <c r="BX25" s="2" t="s">
        <v>6</v>
      </c>
      <c r="BY25" s="1">
        <v>1.94</v>
      </c>
      <c r="BZ25" s="1">
        <v>2.02</v>
      </c>
      <c r="CA25" s="1" t="s">
        <v>49</v>
      </c>
      <c r="CC25" s="2" t="s">
        <v>6</v>
      </c>
      <c r="CD25" s="1">
        <v>0.88</v>
      </c>
      <c r="CE25" s="1">
        <v>0.87</v>
      </c>
      <c r="CF25" s="1" t="s">
        <v>49</v>
      </c>
      <c r="CH25" s="2" t="s">
        <v>6</v>
      </c>
      <c r="CI25" s="1">
        <v>1.41</v>
      </c>
      <c r="CJ25" s="1">
        <v>1.41</v>
      </c>
      <c r="CK25" s="1" t="s">
        <v>49</v>
      </c>
      <c r="CM25" s="2" t="s">
        <v>6</v>
      </c>
      <c r="CN25" s="1">
        <v>1.71</v>
      </c>
      <c r="CO25" s="1">
        <v>1.78</v>
      </c>
      <c r="CP25" s="1" t="s">
        <v>49</v>
      </c>
      <c r="CR25" s="2" t="s">
        <v>6</v>
      </c>
      <c r="CS25" s="1">
        <v>0.75</v>
      </c>
      <c r="CT25" s="1">
        <v>0.74</v>
      </c>
      <c r="CU25" s="1" t="s">
        <v>49</v>
      </c>
      <c r="CW25" s="2" t="s">
        <v>6</v>
      </c>
      <c r="CX25" s="1">
        <v>1.41</v>
      </c>
      <c r="CY25" s="1">
        <v>1.41</v>
      </c>
      <c r="CZ25" s="1" t="s">
        <v>49</v>
      </c>
      <c r="DB25" s="2" t="s">
        <v>6</v>
      </c>
      <c r="DC25" s="1">
        <v>1.54</v>
      </c>
      <c r="DD25" s="1">
        <v>1.6</v>
      </c>
      <c r="DE25" s="1" t="s">
        <v>49</v>
      </c>
      <c r="DG25" s="2" t="s">
        <v>6</v>
      </c>
      <c r="DH25" s="1">
        <v>0.65</v>
      </c>
      <c r="DI25" s="1">
        <v>0.64</v>
      </c>
      <c r="DJ25" s="1" t="s">
        <v>49</v>
      </c>
      <c r="DL25" s="2" t="s">
        <v>6</v>
      </c>
      <c r="DM25" s="1">
        <v>1.41</v>
      </c>
      <c r="DN25" s="1">
        <v>1.41</v>
      </c>
      <c r="DO25" s="1" t="s">
        <v>49</v>
      </c>
      <c r="DR25" s="19" t="s">
        <v>42</v>
      </c>
      <c r="DS25" s="33">
        <f>DM13</f>
        <v>0.18</v>
      </c>
      <c r="DT25" s="34">
        <f>DN13</f>
        <v>0.18000000000000002</v>
      </c>
      <c r="DU25" s="35">
        <f>DO13</f>
        <v>0.18000000000000002</v>
      </c>
      <c r="DV25" s="33">
        <f>CX13</f>
        <v>0.18</v>
      </c>
      <c r="DW25" s="34">
        <f>CY13</f>
        <v>0.18000000000000002</v>
      </c>
      <c r="DX25" s="35">
        <f>CZ13</f>
        <v>0.18000000000000002</v>
      </c>
      <c r="DY25" s="33">
        <f>CI13</f>
        <v>0.185</v>
      </c>
      <c r="DZ25" s="34">
        <f>CJ13</f>
        <v>0.18333333333333335</v>
      </c>
      <c r="EA25" s="35">
        <f>CK13</f>
        <v>0.18000000000000002</v>
      </c>
      <c r="EB25" s="33">
        <f>AA13</f>
        <v>0.19</v>
      </c>
      <c r="EC25" s="34">
        <f t="shared" ref="EC25:ED25" si="70">AB13</f>
        <v>0.19000000000000003</v>
      </c>
      <c r="ED25" s="35">
        <f t="shared" si="70"/>
        <v>0.19000000000000003</v>
      </c>
      <c r="EE25" s="33">
        <f>AP13</f>
        <v>0.2</v>
      </c>
      <c r="EF25" s="34">
        <f t="shared" ref="EF25:EG25" si="71">AQ13</f>
        <v>0.20000000000000004</v>
      </c>
      <c r="EG25" s="35">
        <f t="shared" si="71"/>
        <v>0.20000000000000004</v>
      </c>
      <c r="EH25" s="33">
        <f>BE13</f>
        <v>0.21</v>
      </c>
      <c r="EI25" s="34">
        <f t="shared" ref="EI25:EJ25" si="72">BF13</f>
        <v>0.21</v>
      </c>
      <c r="EJ25" s="35">
        <f t="shared" si="72"/>
        <v>0.21</v>
      </c>
      <c r="EK25" s="33">
        <f>BT13</f>
        <v>0.22</v>
      </c>
      <c r="EL25" s="34">
        <f t="shared" ref="EL25:EM25" si="73">BU13</f>
        <v>0.22</v>
      </c>
      <c r="EM25" s="35">
        <f t="shared" si="73"/>
        <v>0.22</v>
      </c>
    </row>
    <row r="26" spans="5:143">
      <c r="J26" s="2" t="s">
        <v>4</v>
      </c>
      <c r="K26" s="1">
        <v>1000</v>
      </c>
      <c r="L26" s="7">
        <f>C11</f>
        <v>1000</v>
      </c>
      <c r="M26" s="7">
        <f>L26*8</f>
        <v>8000</v>
      </c>
      <c r="P26" s="2" t="s">
        <v>3</v>
      </c>
      <c r="Q26" s="1">
        <v>0.78</v>
      </c>
      <c r="R26" s="1">
        <v>0.82</v>
      </c>
      <c r="S26" s="1">
        <v>0.94</v>
      </c>
      <c r="U26" s="2" t="s">
        <v>3</v>
      </c>
      <c r="V26" s="1">
        <v>0.62</v>
      </c>
      <c r="W26" s="1">
        <v>0.62</v>
      </c>
      <c r="X26" s="1">
        <v>0.62</v>
      </c>
      <c r="Z26" s="2" t="s">
        <v>3</v>
      </c>
      <c r="AA26" s="1">
        <v>1.41</v>
      </c>
      <c r="AB26" s="1">
        <v>1.41</v>
      </c>
      <c r="AC26" s="1">
        <v>1.41</v>
      </c>
      <c r="AE26" s="2" t="s">
        <v>3</v>
      </c>
      <c r="AF26" s="1">
        <v>0.84</v>
      </c>
      <c r="AG26" s="1">
        <v>0.88</v>
      </c>
      <c r="AH26" s="1">
        <v>1.02</v>
      </c>
      <c r="AJ26" s="2" t="s">
        <v>3</v>
      </c>
      <c r="AK26" s="1">
        <v>0.69</v>
      </c>
      <c r="AL26" s="1">
        <v>0.69</v>
      </c>
      <c r="AM26" s="1">
        <v>0.69</v>
      </c>
      <c r="AO26" s="2" t="s">
        <v>3</v>
      </c>
      <c r="AP26" s="1">
        <v>1.41</v>
      </c>
      <c r="AQ26" s="1">
        <v>1.41</v>
      </c>
      <c r="AR26" s="1">
        <v>1.41</v>
      </c>
      <c r="AT26" s="2" t="s">
        <v>3</v>
      </c>
      <c r="AU26" s="1">
        <v>0.91</v>
      </c>
      <c r="AV26" s="1">
        <v>0.95</v>
      </c>
      <c r="AW26" s="1">
        <v>1.1000000000000001</v>
      </c>
      <c r="AY26" s="2" t="s">
        <v>3</v>
      </c>
      <c r="AZ26" s="1">
        <v>0.85</v>
      </c>
      <c r="BA26" s="1">
        <v>0.84</v>
      </c>
      <c r="BB26" s="1">
        <v>0.84</v>
      </c>
      <c r="BD26" s="2" t="s">
        <v>3</v>
      </c>
      <c r="BE26" s="1">
        <v>1.42</v>
      </c>
      <c r="BF26" s="1">
        <v>1.42</v>
      </c>
      <c r="BG26" s="1">
        <v>1.42</v>
      </c>
      <c r="BI26" s="2" t="s">
        <v>3</v>
      </c>
      <c r="BJ26" s="1">
        <v>0.95</v>
      </c>
      <c r="BK26" s="1">
        <v>0.99</v>
      </c>
      <c r="BL26" s="1">
        <v>1.1499999999999999</v>
      </c>
      <c r="BN26" s="2" t="s">
        <v>3</v>
      </c>
      <c r="BO26" s="1">
        <v>1.1100000000000001</v>
      </c>
      <c r="BP26" s="1">
        <v>1.1000000000000001</v>
      </c>
      <c r="BQ26" s="1">
        <v>1.1000000000000001</v>
      </c>
      <c r="BS26" s="2" t="s">
        <v>3</v>
      </c>
      <c r="BT26" s="1">
        <v>1.42</v>
      </c>
      <c r="BU26" s="1">
        <v>1.42</v>
      </c>
      <c r="BV26" s="1">
        <v>1.42</v>
      </c>
      <c r="BX26" s="2" t="s">
        <v>3</v>
      </c>
      <c r="BY26" s="1">
        <v>0.62</v>
      </c>
      <c r="BZ26" s="1">
        <v>0.65</v>
      </c>
      <c r="CA26" s="1">
        <v>0.76</v>
      </c>
      <c r="CC26" s="2" t="s">
        <v>3</v>
      </c>
      <c r="CD26" s="1">
        <v>0.53</v>
      </c>
      <c r="CE26" s="1">
        <v>0.53</v>
      </c>
      <c r="CF26" s="1">
        <v>0.53</v>
      </c>
      <c r="CH26" s="2" t="s">
        <v>3</v>
      </c>
      <c r="CI26" s="1">
        <v>1.41</v>
      </c>
      <c r="CJ26" s="1">
        <v>1.41</v>
      </c>
      <c r="CK26" s="1">
        <v>1.41</v>
      </c>
      <c r="CM26" s="2" t="s">
        <v>3</v>
      </c>
      <c r="CN26" s="1">
        <v>0.51</v>
      </c>
      <c r="CO26" s="1">
        <v>0.53</v>
      </c>
      <c r="CP26" s="1">
        <v>0.62</v>
      </c>
      <c r="CR26" s="2" t="s">
        <v>3</v>
      </c>
      <c r="CS26" s="1">
        <v>0.47</v>
      </c>
      <c r="CT26" s="1">
        <v>0.47</v>
      </c>
      <c r="CU26" s="1">
        <v>0.47</v>
      </c>
      <c r="CW26" s="2" t="s">
        <v>3</v>
      </c>
      <c r="CX26" s="1">
        <v>1.41</v>
      </c>
      <c r="CY26" s="1">
        <v>1.41</v>
      </c>
      <c r="CZ26" s="1">
        <v>1.41</v>
      </c>
      <c r="DB26" s="2" t="s">
        <v>3</v>
      </c>
      <c r="DC26" s="1">
        <v>0.42</v>
      </c>
      <c r="DD26" s="1">
        <v>0.45</v>
      </c>
      <c r="DE26" s="1">
        <v>0.53</v>
      </c>
      <c r="DG26" s="2" t="s">
        <v>3</v>
      </c>
      <c r="DH26" s="1">
        <v>0.43</v>
      </c>
      <c r="DI26" s="1">
        <v>0.42</v>
      </c>
      <c r="DJ26" s="1">
        <v>0.42</v>
      </c>
      <c r="DL26" s="2" t="s">
        <v>3</v>
      </c>
      <c r="DM26" s="1">
        <v>1.4</v>
      </c>
      <c r="DN26" s="1">
        <v>1.4</v>
      </c>
      <c r="DO26" s="1">
        <v>1.4</v>
      </c>
      <c r="DR26" s="16" t="s">
        <v>43</v>
      </c>
      <c r="DS26" s="9">
        <f>DM21</f>
        <v>0</v>
      </c>
      <c r="DT26" s="1">
        <f>DN21</f>
        <v>0</v>
      </c>
      <c r="DU26" s="10">
        <f>DO21</f>
        <v>0</v>
      </c>
      <c r="DV26" s="9">
        <f>CX21</f>
        <v>0</v>
      </c>
      <c r="DW26" s="1">
        <f>CY21</f>
        <v>0</v>
      </c>
      <c r="DX26" s="10">
        <f>CZ21</f>
        <v>0</v>
      </c>
      <c r="DY26" s="9">
        <f>CI21</f>
        <v>0</v>
      </c>
      <c r="DZ26" s="1">
        <f>CJ21</f>
        <v>0</v>
      </c>
      <c r="EA26" s="10">
        <f>CK21</f>
        <v>0</v>
      </c>
      <c r="EB26" s="9">
        <f>AA21</f>
        <v>0</v>
      </c>
      <c r="EC26" s="1">
        <f t="shared" ref="EC26:ED26" si="74">AB21</f>
        <v>0</v>
      </c>
      <c r="ED26" s="10">
        <f t="shared" si="74"/>
        <v>0</v>
      </c>
      <c r="EE26" s="9">
        <f>AP21</f>
        <v>0.01</v>
      </c>
      <c r="EF26" s="1">
        <f t="shared" ref="EF26:EG26" si="75">AQ21</f>
        <v>0.01</v>
      </c>
      <c r="EG26" s="10">
        <f t="shared" si="75"/>
        <v>0.01</v>
      </c>
      <c r="EH26" s="9">
        <f>BE21</f>
        <v>0.01</v>
      </c>
      <c r="EI26" s="1">
        <f t="shared" ref="EI26:EJ26" si="76">BF21</f>
        <v>0.01</v>
      </c>
      <c r="EJ26" s="10">
        <f t="shared" si="76"/>
        <v>0.01</v>
      </c>
      <c r="EK26" s="9">
        <f>BT21</f>
        <v>0.01</v>
      </c>
      <c r="EL26" s="1">
        <f t="shared" ref="EL26:EM26" si="77">BU21</f>
        <v>0.01</v>
      </c>
      <c r="EM26" s="10">
        <f t="shared" si="77"/>
        <v>0.01</v>
      </c>
    </row>
    <row r="27" spans="5:143">
      <c r="J27" s="2" t="s">
        <v>5</v>
      </c>
      <c r="K27" s="1">
        <v>1000</v>
      </c>
      <c r="L27" s="7">
        <f>C11</f>
        <v>1000</v>
      </c>
      <c r="M27" s="7">
        <f>L27*5</f>
        <v>5000</v>
      </c>
      <c r="P27" s="2" t="s">
        <v>4</v>
      </c>
      <c r="Q27" s="1" t="s">
        <v>49</v>
      </c>
      <c r="R27" s="1">
        <v>0.55000000000000004</v>
      </c>
      <c r="S27" s="1">
        <v>0.64</v>
      </c>
      <c r="U27" s="2" t="s">
        <v>4</v>
      </c>
      <c r="V27" s="1" t="s">
        <v>49</v>
      </c>
      <c r="W27" s="1">
        <v>0.35</v>
      </c>
      <c r="X27" s="1">
        <v>0.35</v>
      </c>
      <c r="Z27" s="2" t="s">
        <v>4</v>
      </c>
      <c r="AA27" s="1" t="s">
        <v>49</v>
      </c>
      <c r="AB27" s="1">
        <v>1.41</v>
      </c>
      <c r="AC27" s="1">
        <v>1.41</v>
      </c>
      <c r="AE27" s="2" t="s">
        <v>4</v>
      </c>
      <c r="AF27" s="1" t="s">
        <v>49</v>
      </c>
      <c r="AG27" s="1">
        <v>0.61</v>
      </c>
      <c r="AH27" s="1">
        <v>0.7</v>
      </c>
      <c r="AJ27" s="2" t="s">
        <v>4</v>
      </c>
      <c r="AK27" s="1" t="s">
        <v>49</v>
      </c>
      <c r="AL27" s="1">
        <v>0.45</v>
      </c>
      <c r="AM27" s="1">
        <v>0.45</v>
      </c>
      <c r="AO27" s="2" t="s">
        <v>4</v>
      </c>
      <c r="AP27" s="1" t="s">
        <v>49</v>
      </c>
      <c r="AQ27" s="1">
        <v>1.41</v>
      </c>
      <c r="AR27" s="1">
        <v>1.41</v>
      </c>
      <c r="AT27" s="2" t="s">
        <v>4</v>
      </c>
      <c r="AU27" s="1" t="s">
        <v>49</v>
      </c>
      <c r="AV27" s="1">
        <v>0.66</v>
      </c>
      <c r="AW27" s="1">
        <v>0.76</v>
      </c>
      <c r="AY27" s="2" t="s">
        <v>4</v>
      </c>
      <c r="AZ27" s="1" t="s">
        <v>49</v>
      </c>
      <c r="BA27" s="1">
        <v>0.53</v>
      </c>
      <c r="BB27" s="1">
        <v>0.53</v>
      </c>
      <c r="BD27" s="2" t="s">
        <v>4</v>
      </c>
      <c r="BE27" s="1" t="s">
        <v>49</v>
      </c>
      <c r="BF27" s="1">
        <v>1.42</v>
      </c>
      <c r="BG27" s="1">
        <v>1.42</v>
      </c>
      <c r="BI27" s="2" t="s">
        <v>4</v>
      </c>
      <c r="BJ27" s="1" t="s">
        <v>49</v>
      </c>
      <c r="BK27" s="1">
        <v>0.71</v>
      </c>
      <c r="BL27" s="1">
        <v>0.81</v>
      </c>
      <c r="BN27" s="2" t="s">
        <v>4</v>
      </c>
      <c r="BO27" s="1" t="s">
        <v>49</v>
      </c>
      <c r="BP27" s="1">
        <v>0.69</v>
      </c>
      <c r="BQ27" s="1">
        <v>0.69</v>
      </c>
      <c r="BS27" s="2" t="s">
        <v>4</v>
      </c>
      <c r="BT27" s="1" t="s">
        <v>49</v>
      </c>
      <c r="BU27" s="1">
        <v>1.42</v>
      </c>
      <c r="BV27" s="1">
        <v>1.42</v>
      </c>
      <c r="BX27" s="2" t="s">
        <v>4</v>
      </c>
      <c r="BY27" s="1" t="s">
        <v>49</v>
      </c>
      <c r="BZ27" s="1">
        <v>0.47</v>
      </c>
      <c r="CA27" s="1">
        <v>0.54</v>
      </c>
      <c r="CC27" s="2" t="s">
        <v>4</v>
      </c>
      <c r="CD27" s="1" t="s">
        <v>49</v>
      </c>
      <c r="CE27" s="1">
        <v>0.28999999999999998</v>
      </c>
      <c r="CF27" s="1">
        <v>0.28999999999999998</v>
      </c>
      <c r="CH27" s="2" t="s">
        <v>4</v>
      </c>
      <c r="CI27" s="1" t="s">
        <v>49</v>
      </c>
      <c r="CJ27" s="1">
        <v>1.41</v>
      </c>
      <c r="CK27" s="1">
        <v>1.41</v>
      </c>
      <c r="CM27" s="2" t="s">
        <v>4</v>
      </c>
      <c r="CN27" s="1" t="s">
        <v>49</v>
      </c>
      <c r="CO27" s="1">
        <v>0.39</v>
      </c>
      <c r="CP27" s="1">
        <v>0.46</v>
      </c>
      <c r="CR27" s="2" t="s">
        <v>4</v>
      </c>
      <c r="CS27" s="1" t="s">
        <v>49</v>
      </c>
      <c r="CT27" s="1">
        <v>0.25</v>
      </c>
      <c r="CU27" s="1">
        <v>0.25</v>
      </c>
      <c r="CW27" s="2" t="s">
        <v>4</v>
      </c>
      <c r="CX27" s="1" t="s">
        <v>49</v>
      </c>
      <c r="CY27" s="1">
        <v>1.41</v>
      </c>
      <c r="CZ27" s="1">
        <v>1.41</v>
      </c>
      <c r="DB27" s="2" t="s">
        <v>4</v>
      </c>
      <c r="DC27" s="1" t="s">
        <v>49</v>
      </c>
      <c r="DD27" s="1">
        <v>0.35</v>
      </c>
      <c r="DE27" s="1">
        <v>0.41</v>
      </c>
      <c r="DG27" s="2" t="s">
        <v>4</v>
      </c>
      <c r="DH27" s="1" t="s">
        <v>49</v>
      </c>
      <c r="DI27" s="1">
        <v>0.22</v>
      </c>
      <c r="DJ27" s="1">
        <v>0.22</v>
      </c>
      <c r="DL27" s="2" t="s">
        <v>4</v>
      </c>
      <c r="DM27" s="1" t="s">
        <v>49</v>
      </c>
      <c r="DN27" s="1">
        <v>1.4</v>
      </c>
      <c r="DO27" s="1">
        <v>1.4</v>
      </c>
      <c r="DR27" s="16" t="s">
        <v>44</v>
      </c>
      <c r="DS27" s="27">
        <f>DM29</f>
        <v>1.4049999999999998</v>
      </c>
      <c r="DT27" s="6">
        <f>DN29</f>
        <v>1.4033333333333331</v>
      </c>
      <c r="DU27" s="28">
        <f>DO29</f>
        <v>1.3999999999999997</v>
      </c>
      <c r="DV27" s="27">
        <f>CX29</f>
        <v>1.41</v>
      </c>
      <c r="DW27" s="6">
        <f>CY29</f>
        <v>1.41</v>
      </c>
      <c r="DX27" s="28">
        <f>CZ29</f>
        <v>1.41</v>
      </c>
      <c r="DY27" s="27">
        <f>CI29</f>
        <v>1.41</v>
      </c>
      <c r="DZ27" s="6">
        <f>CJ29</f>
        <v>1.41</v>
      </c>
      <c r="EA27" s="28">
        <f>CK29</f>
        <v>1.41</v>
      </c>
      <c r="EB27" s="27">
        <f>AA29</f>
        <v>1.41</v>
      </c>
      <c r="EC27" s="6">
        <f t="shared" ref="EC27:ED27" si="78">AB29</f>
        <v>1.41</v>
      </c>
      <c r="ED27" s="28">
        <f t="shared" si="78"/>
        <v>1.41</v>
      </c>
      <c r="EE27" s="27">
        <f>AP29</f>
        <v>1.41</v>
      </c>
      <c r="EF27" s="6">
        <f t="shared" ref="EF27:EG27" si="79">AQ29</f>
        <v>1.41</v>
      </c>
      <c r="EG27" s="28">
        <f t="shared" si="79"/>
        <v>1.41</v>
      </c>
      <c r="EH27" s="27">
        <f>BE29</f>
        <v>1.42</v>
      </c>
      <c r="EI27" s="6">
        <f t="shared" ref="EI27:EJ27" si="80">BF29</f>
        <v>1.42</v>
      </c>
      <c r="EJ27" s="28">
        <f t="shared" si="80"/>
        <v>1.42</v>
      </c>
      <c r="EK27" s="27">
        <f>BT29</f>
        <v>1.42</v>
      </c>
      <c r="EL27" s="6">
        <f t="shared" ref="EL27:EM27" si="81">BU29</f>
        <v>1.42</v>
      </c>
      <c r="EM27" s="28">
        <f t="shared" si="81"/>
        <v>1.42</v>
      </c>
    </row>
    <row r="28" spans="5:143">
      <c r="P28" s="2" t="s">
        <v>5</v>
      </c>
      <c r="Q28" s="1" t="s">
        <v>49</v>
      </c>
      <c r="R28" s="1" t="s">
        <v>49</v>
      </c>
      <c r="S28" s="1">
        <v>0.56999999999999995</v>
      </c>
      <c r="U28" s="2" t="s">
        <v>5</v>
      </c>
      <c r="V28" s="1" t="s">
        <v>49</v>
      </c>
      <c r="W28" s="1" t="s">
        <v>49</v>
      </c>
      <c r="X28" s="1">
        <v>0.34</v>
      </c>
      <c r="Z28" s="2" t="s">
        <v>5</v>
      </c>
      <c r="AA28" s="1" t="s">
        <v>49</v>
      </c>
      <c r="AB28" s="1" t="s">
        <v>49</v>
      </c>
      <c r="AC28" s="1">
        <v>1.41</v>
      </c>
      <c r="AE28" s="2" t="s">
        <v>5</v>
      </c>
      <c r="AF28" s="1" t="s">
        <v>49</v>
      </c>
      <c r="AG28" s="1" t="s">
        <v>49</v>
      </c>
      <c r="AH28" s="1">
        <v>0.61</v>
      </c>
      <c r="AJ28" s="2" t="s">
        <v>5</v>
      </c>
      <c r="AK28" s="1" t="s">
        <v>49</v>
      </c>
      <c r="AL28" s="1" t="s">
        <v>49</v>
      </c>
      <c r="AM28" s="1">
        <v>0.37</v>
      </c>
      <c r="AO28" s="2" t="s">
        <v>5</v>
      </c>
      <c r="AP28" s="1" t="s">
        <v>49</v>
      </c>
      <c r="AQ28" s="1" t="s">
        <v>49</v>
      </c>
      <c r="AR28" s="1">
        <v>1.41</v>
      </c>
      <c r="AT28" s="2" t="s">
        <v>5</v>
      </c>
      <c r="AU28" s="1" t="s">
        <v>49</v>
      </c>
      <c r="AV28" s="1" t="s">
        <v>49</v>
      </c>
      <c r="AW28" s="1">
        <v>0.65</v>
      </c>
      <c r="AY28" s="2" t="s">
        <v>5</v>
      </c>
      <c r="AZ28" s="1" t="s">
        <v>49</v>
      </c>
      <c r="BA28" s="1" t="s">
        <v>49</v>
      </c>
      <c r="BB28" s="1">
        <v>0.41</v>
      </c>
      <c r="BD28" s="2" t="s">
        <v>5</v>
      </c>
      <c r="BE28" s="1" t="s">
        <v>49</v>
      </c>
      <c r="BF28" s="1" t="s">
        <v>49</v>
      </c>
      <c r="BG28" s="1">
        <v>1.42</v>
      </c>
      <c r="BI28" s="2" t="s">
        <v>5</v>
      </c>
      <c r="BJ28" s="1" t="s">
        <v>49</v>
      </c>
      <c r="BK28" s="1" t="s">
        <v>49</v>
      </c>
      <c r="BL28" s="1">
        <v>0.68</v>
      </c>
      <c r="BN28" s="2" t="s">
        <v>5</v>
      </c>
      <c r="BO28" s="1" t="s">
        <v>49</v>
      </c>
      <c r="BP28" s="1" t="s">
        <v>49</v>
      </c>
      <c r="BQ28" s="1">
        <v>0.51</v>
      </c>
      <c r="BS28" s="2" t="s">
        <v>5</v>
      </c>
      <c r="BT28" s="1" t="s">
        <v>49</v>
      </c>
      <c r="BU28" s="1" t="s">
        <v>49</v>
      </c>
      <c r="BV28" s="1">
        <v>1.42</v>
      </c>
      <c r="BX28" s="2" t="s">
        <v>5</v>
      </c>
      <c r="BY28" s="1" t="s">
        <v>49</v>
      </c>
      <c r="BZ28" s="1" t="s">
        <v>49</v>
      </c>
      <c r="CA28" s="1">
        <v>0.48</v>
      </c>
      <c r="CC28" s="2" t="s">
        <v>5</v>
      </c>
      <c r="CD28" s="1" t="s">
        <v>49</v>
      </c>
      <c r="CE28" s="1" t="s">
        <v>49</v>
      </c>
      <c r="CF28" s="1">
        <v>0.32</v>
      </c>
      <c r="CH28" s="2" t="s">
        <v>5</v>
      </c>
      <c r="CI28" s="1" t="s">
        <v>49</v>
      </c>
      <c r="CJ28" s="1" t="s">
        <v>49</v>
      </c>
      <c r="CK28" s="1">
        <v>1.41</v>
      </c>
      <c r="CM28" s="2" t="s">
        <v>5</v>
      </c>
      <c r="CN28" s="1" t="s">
        <v>49</v>
      </c>
      <c r="CO28" s="1" t="s">
        <v>49</v>
      </c>
      <c r="CP28" s="1">
        <v>0.4</v>
      </c>
      <c r="CR28" s="2" t="s">
        <v>5</v>
      </c>
      <c r="CS28" s="1" t="s">
        <v>49</v>
      </c>
      <c r="CT28" s="1" t="s">
        <v>49</v>
      </c>
      <c r="CU28" s="1">
        <v>0.28999999999999998</v>
      </c>
      <c r="CW28" s="2" t="s">
        <v>5</v>
      </c>
      <c r="CX28" s="1" t="s">
        <v>49</v>
      </c>
      <c r="CY28" s="1" t="s">
        <v>49</v>
      </c>
      <c r="CZ28" s="1">
        <v>1.41</v>
      </c>
      <c r="DB28" s="2" t="s">
        <v>5</v>
      </c>
      <c r="DC28" s="1" t="s">
        <v>49</v>
      </c>
      <c r="DD28" s="1" t="s">
        <v>49</v>
      </c>
      <c r="DE28" s="1">
        <v>0.35</v>
      </c>
      <c r="DG28" s="2" t="s">
        <v>5</v>
      </c>
      <c r="DH28" s="1" t="s">
        <v>49</v>
      </c>
      <c r="DI28" s="1" t="s">
        <v>49</v>
      </c>
      <c r="DJ28" s="1">
        <v>0.27</v>
      </c>
      <c r="DL28" s="2" t="s">
        <v>5</v>
      </c>
      <c r="DM28" s="1" t="s">
        <v>49</v>
      </c>
      <c r="DN28" s="1" t="s">
        <v>49</v>
      </c>
      <c r="DO28" s="1">
        <v>1.4</v>
      </c>
      <c r="DR28" s="16" t="s">
        <v>45</v>
      </c>
      <c r="DS28" s="9">
        <f>DM37</f>
        <v>0.01</v>
      </c>
      <c r="DT28" s="1">
        <f>DN37</f>
        <v>0.01</v>
      </c>
      <c r="DU28" s="10">
        <f>DO37</f>
        <v>0.01</v>
      </c>
      <c r="DV28" s="9">
        <f>CX37</f>
        <v>0.01</v>
      </c>
      <c r="DW28" s="1">
        <f>CY37</f>
        <v>0.01</v>
      </c>
      <c r="DX28" s="10">
        <f>CZ37</f>
        <v>0.01</v>
      </c>
      <c r="DY28" s="9">
        <f>CI37</f>
        <v>0.01</v>
      </c>
      <c r="DZ28" s="1">
        <f>CJ37</f>
        <v>0.01</v>
      </c>
      <c r="EA28" s="10">
        <f>CK37</f>
        <v>0.01</v>
      </c>
      <c r="EB28" s="9">
        <f>AA37</f>
        <v>0.01</v>
      </c>
      <c r="EC28" s="1">
        <f t="shared" ref="EC28:ED28" si="82">AB37</f>
        <v>0.01</v>
      </c>
      <c r="ED28" s="10">
        <f t="shared" si="82"/>
        <v>0.01</v>
      </c>
      <c r="EE28" s="9">
        <f>AP37</f>
        <v>0.01</v>
      </c>
      <c r="EF28" s="1">
        <f t="shared" ref="EF28:EG28" si="83">AQ37</f>
        <v>0.01</v>
      </c>
      <c r="EG28" s="10">
        <f t="shared" si="83"/>
        <v>0.01</v>
      </c>
      <c r="EH28" s="9">
        <f>BE37</f>
        <v>0.02</v>
      </c>
      <c r="EI28" s="1">
        <f t="shared" ref="EI28:EJ28" si="84">BF37</f>
        <v>0.02</v>
      </c>
      <c r="EJ28" s="10">
        <f t="shared" si="84"/>
        <v>0.02</v>
      </c>
      <c r="EK28" s="9">
        <f>BT37</f>
        <v>0.02</v>
      </c>
      <c r="EL28" s="1">
        <f t="shared" ref="EL28:EM28" si="85">BU37</f>
        <v>0.02</v>
      </c>
      <c r="EM28" s="10">
        <f t="shared" si="85"/>
        <v>0.02</v>
      </c>
    </row>
    <row r="29" spans="5:143">
      <c r="P29" s="3" t="s">
        <v>137</v>
      </c>
      <c r="Q29" s="6">
        <f>AVERAGE(Q25:Q28)</f>
        <v>1.4900000000000002</v>
      </c>
      <c r="R29" s="6">
        <f>AVERAGE(R25:R28)</f>
        <v>1.22</v>
      </c>
      <c r="S29" s="6">
        <f>AVERAGE(S25:S28)</f>
        <v>0.71666666666666667</v>
      </c>
      <c r="U29" s="3" t="s">
        <v>137</v>
      </c>
      <c r="V29" s="6">
        <f>AVERAGE(V25:V28)</f>
        <v>0.85000000000000009</v>
      </c>
      <c r="W29" s="6">
        <f>AVERAGE(W25:W28)</f>
        <v>0.68</v>
      </c>
      <c r="X29" s="6">
        <f>AVERAGE(X25:X28)</f>
        <v>0.4366666666666667</v>
      </c>
      <c r="Z29" s="3" t="s">
        <v>137</v>
      </c>
      <c r="AA29" s="6">
        <f>AVERAGE(AA25:AA28)</f>
        <v>1.41</v>
      </c>
      <c r="AB29" s="6">
        <f>AVERAGE(AB25:AB28)</f>
        <v>1.41</v>
      </c>
      <c r="AC29" s="6">
        <f>AVERAGE(AC25:AC28)</f>
        <v>1.41</v>
      </c>
      <c r="AE29" s="3" t="s">
        <v>137</v>
      </c>
      <c r="AF29" s="6">
        <f>AVERAGE(AF25:AF28)</f>
        <v>1.5</v>
      </c>
      <c r="AG29" s="6">
        <f>AVERAGE(AG25:AG28)</f>
        <v>1.2466666666666666</v>
      </c>
      <c r="AH29" s="6">
        <f>AVERAGE(AH25:AH28)</f>
        <v>0.77666666666666673</v>
      </c>
      <c r="AJ29" s="3" t="s">
        <v>137</v>
      </c>
      <c r="AK29" s="6">
        <f>AVERAGE(AK25:AK28)</f>
        <v>0.995</v>
      </c>
      <c r="AL29" s="6">
        <f>AVERAGE(AL25:AL28)</f>
        <v>0.80666666666666664</v>
      </c>
      <c r="AM29" s="6">
        <f>AVERAGE(AM25:AM28)</f>
        <v>0.5033333333333333</v>
      </c>
      <c r="AO29" s="3" t="s">
        <v>137</v>
      </c>
      <c r="AP29" s="6">
        <f>AVERAGE(AP25:AP28)</f>
        <v>1.41</v>
      </c>
      <c r="AQ29" s="6">
        <f>AVERAGE(AQ25:AQ28)</f>
        <v>1.41</v>
      </c>
      <c r="AR29" s="6">
        <f>AVERAGE(AR25:AR28)</f>
        <v>1.41</v>
      </c>
      <c r="AT29" s="3" t="s">
        <v>137</v>
      </c>
      <c r="AU29" s="6">
        <f>AVERAGE(AU25:AU28)</f>
        <v>1.4850000000000001</v>
      </c>
      <c r="AV29" s="6">
        <f>AVERAGE(AV25:AV28)</f>
        <v>1.25</v>
      </c>
      <c r="AW29" s="6">
        <f>AVERAGE(AW25:AW28)</f>
        <v>0.83666666666666678</v>
      </c>
      <c r="AY29" s="3" t="s">
        <v>137</v>
      </c>
      <c r="AZ29" s="6">
        <f>AVERAGE(AZ25:AZ28)</f>
        <v>1.27</v>
      </c>
      <c r="BA29" s="6">
        <f>AVERAGE(BA25:BA28)</f>
        <v>1.0133333333333334</v>
      </c>
      <c r="BB29" s="6">
        <f>AVERAGE(BB25:BB28)</f>
        <v>0.59333333333333338</v>
      </c>
      <c r="BD29" s="3" t="s">
        <v>137</v>
      </c>
      <c r="BE29" s="6">
        <f>AVERAGE(BE25:BE28)</f>
        <v>1.42</v>
      </c>
      <c r="BF29" s="6">
        <f>AVERAGE(BF25:BF28)</f>
        <v>1.42</v>
      </c>
      <c r="BG29" s="6">
        <f>AVERAGE(BG25:BG28)</f>
        <v>1.42</v>
      </c>
      <c r="BI29" s="3" t="s">
        <v>137</v>
      </c>
      <c r="BJ29" s="6">
        <f>AVERAGE(BJ25:BJ28)</f>
        <v>1.4449999999999998</v>
      </c>
      <c r="BK29" s="6">
        <f>AVERAGE(BK25:BK28)</f>
        <v>1.24</v>
      </c>
      <c r="BL29" s="6">
        <f>AVERAGE(BL25:BL28)</f>
        <v>0.88</v>
      </c>
      <c r="BN29" s="3" t="s">
        <v>137</v>
      </c>
      <c r="BO29" s="6">
        <f>AVERAGE(BO25:BO28)</f>
        <v>1.79</v>
      </c>
      <c r="BP29" s="6">
        <f>AVERAGE(BP25:BP28)</f>
        <v>1.4100000000000001</v>
      </c>
      <c r="BQ29" s="6">
        <f>AVERAGE(BQ25:BQ28)</f>
        <v>0.76666666666666661</v>
      </c>
      <c r="BS29" s="3" t="s">
        <v>137</v>
      </c>
      <c r="BT29" s="6">
        <f>AVERAGE(BT25:BT28)</f>
        <v>1.42</v>
      </c>
      <c r="BU29" s="6">
        <f>AVERAGE(BU25:BU28)</f>
        <v>1.42</v>
      </c>
      <c r="BV29" s="6">
        <f>AVERAGE(BV25:BV28)</f>
        <v>1.42</v>
      </c>
      <c r="BX29" s="3" t="s">
        <v>137</v>
      </c>
      <c r="BY29" s="6">
        <f>AVERAGE(BY25:BY28)</f>
        <v>1.28</v>
      </c>
      <c r="BZ29" s="6">
        <f>AVERAGE(BZ25:BZ28)</f>
        <v>1.0466666666666666</v>
      </c>
      <c r="CA29" s="6">
        <f>AVERAGE(CA25:CA28)</f>
        <v>0.59333333333333338</v>
      </c>
      <c r="CC29" s="3" t="s">
        <v>137</v>
      </c>
      <c r="CD29" s="6">
        <f>AVERAGE(CD25:CD28)</f>
        <v>0.70500000000000007</v>
      </c>
      <c r="CE29" s="6">
        <f>AVERAGE(CE25:CE28)</f>
        <v>0.56333333333333335</v>
      </c>
      <c r="CF29" s="6">
        <f>AVERAGE(CF25:CF28)</f>
        <v>0.38000000000000006</v>
      </c>
      <c r="CH29" s="3" t="s">
        <v>137</v>
      </c>
      <c r="CI29" s="6">
        <f>AVERAGE(CI25:CI28)</f>
        <v>1.41</v>
      </c>
      <c r="CJ29" s="6">
        <f>AVERAGE(CJ25:CJ28)</f>
        <v>1.41</v>
      </c>
      <c r="CK29" s="6">
        <f>AVERAGE(CK25:CK28)</f>
        <v>1.41</v>
      </c>
      <c r="CM29" s="3" t="s">
        <v>137</v>
      </c>
      <c r="CN29" s="6">
        <f>AVERAGE(CN25:CN28)</f>
        <v>1.1099999999999999</v>
      </c>
      <c r="CO29" s="6">
        <f>AVERAGE(CO25:CO28)</f>
        <v>0.9</v>
      </c>
      <c r="CP29" s="6">
        <f>AVERAGE(CP25:CP28)</f>
        <v>0.49333333333333335</v>
      </c>
      <c r="CR29" s="3" t="s">
        <v>137</v>
      </c>
      <c r="CS29" s="6">
        <f>AVERAGE(CS25:CS28)</f>
        <v>0.61</v>
      </c>
      <c r="CT29" s="6">
        <f>AVERAGE(CT25:CT28)</f>
        <v>0.48666666666666664</v>
      </c>
      <c r="CU29" s="6">
        <f>AVERAGE(CU25:CU28)</f>
        <v>0.33666666666666667</v>
      </c>
      <c r="CW29" s="3" t="s">
        <v>137</v>
      </c>
      <c r="CX29" s="6">
        <f>AVERAGE(CX25:CX28)</f>
        <v>1.41</v>
      </c>
      <c r="CY29" s="6">
        <f>AVERAGE(CY25:CY28)</f>
        <v>1.41</v>
      </c>
      <c r="CZ29" s="6">
        <f>AVERAGE(CZ25:CZ28)</f>
        <v>1.41</v>
      </c>
      <c r="DB29" s="3" t="s">
        <v>137</v>
      </c>
      <c r="DC29" s="6">
        <f>AVERAGE(DC25:DC28)</f>
        <v>0.98</v>
      </c>
      <c r="DD29" s="6">
        <f>AVERAGE(DD25:DD28)</f>
        <v>0.80000000000000016</v>
      </c>
      <c r="DE29" s="6">
        <f>AVERAGE(DE25:DE28)</f>
        <v>0.43</v>
      </c>
      <c r="DG29" s="3" t="s">
        <v>137</v>
      </c>
      <c r="DH29" s="6">
        <f>AVERAGE(DH25:DH28)</f>
        <v>0.54</v>
      </c>
      <c r="DI29" s="6">
        <f>AVERAGE(DI25:DI28)</f>
        <v>0.42666666666666669</v>
      </c>
      <c r="DJ29" s="6">
        <f>AVERAGE(DJ25:DJ28)</f>
        <v>0.30333333333333334</v>
      </c>
      <c r="DL29" s="3" t="s">
        <v>137</v>
      </c>
      <c r="DM29" s="6">
        <f>AVERAGE(DM25:DM28)</f>
        <v>1.4049999999999998</v>
      </c>
      <c r="DN29" s="6">
        <f>AVERAGE(DN25:DN28)</f>
        <v>1.4033333333333331</v>
      </c>
      <c r="DO29" s="6">
        <f>AVERAGE(DO25:DO28)</f>
        <v>1.3999999999999997</v>
      </c>
      <c r="DR29" s="16" t="s">
        <v>46</v>
      </c>
      <c r="DS29" s="9">
        <f>DM45</f>
        <v>0</v>
      </c>
      <c r="DT29" s="1">
        <f>DN45</f>
        <v>0</v>
      </c>
      <c r="DU29" s="10">
        <f>DO45</f>
        <v>0</v>
      </c>
      <c r="DV29" s="9">
        <f>CX45</f>
        <v>0</v>
      </c>
      <c r="DW29" s="1">
        <f>CY45</f>
        <v>0</v>
      </c>
      <c r="DX29" s="10">
        <f>CZ45</f>
        <v>0</v>
      </c>
      <c r="DY29" s="9">
        <f>CI45</f>
        <v>0</v>
      </c>
      <c r="DZ29" s="1">
        <f>CJ45</f>
        <v>0</v>
      </c>
      <c r="EA29" s="10">
        <f>CK45</f>
        <v>0</v>
      </c>
      <c r="EB29" s="9">
        <f>AA45</f>
        <v>0</v>
      </c>
      <c r="EC29" s="1">
        <f t="shared" ref="EC29:ED29" si="86">AB45</f>
        <v>0</v>
      </c>
      <c r="ED29" s="10">
        <f t="shared" si="86"/>
        <v>0</v>
      </c>
      <c r="EE29" s="9">
        <f>AP45</f>
        <v>0</v>
      </c>
      <c r="EF29" s="1">
        <f t="shared" ref="EF29:EG29" si="87">AQ45</f>
        <v>0</v>
      </c>
      <c r="EG29" s="10">
        <f t="shared" si="87"/>
        <v>0</v>
      </c>
      <c r="EH29" s="9">
        <f>BE45</f>
        <v>0</v>
      </c>
      <c r="EI29" s="1">
        <f t="shared" ref="EI29:EJ29" si="88">BF45</f>
        <v>0</v>
      </c>
      <c r="EJ29" s="10">
        <f t="shared" si="88"/>
        <v>0</v>
      </c>
      <c r="EK29" s="9">
        <f>BT45</f>
        <v>0</v>
      </c>
      <c r="EL29" s="1">
        <f t="shared" ref="EL29:EM29" si="89">BU45</f>
        <v>0</v>
      </c>
      <c r="EM29" s="10">
        <f t="shared" si="89"/>
        <v>0</v>
      </c>
    </row>
    <row r="30" spans="5:143" ht="15" thickBot="1">
      <c r="DR30" s="17" t="s">
        <v>47</v>
      </c>
      <c r="DS30" s="11">
        <f>DM53</f>
        <v>0.63</v>
      </c>
      <c r="DT30" s="37">
        <f>DN53</f>
        <v>0.6166666666666667</v>
      </c>
      <c r="DU30" s="38">
        <f>DO53</f>
        <v>0.60333333333333339</v>
      </c>
      <c r="DV30" s="36">
        <f>CX53</f>
        <v>0.72499999999999998</v>
      </c>
      <c r="DW30" s="37">
        <f>CY53</f>
        <v>0.70666666666666667</v>
      </c>
      <c r="DX30" s="38">
        <f>CZ53</f>
        <v>0.68666666666666654</v>
      </c>
      <c r="DY30" s="36">
        <f>CI53</f>
        <v>0.88500000000000001</v>
      </c>
      <c r="DZ30" s="37">
        <f>CJ53</f>
        <v>0.86</v>
      </c>
      <c r="EA30" s="38">
        <f>CK53</f>
        <v>0.83</v>
      </c>
      <c r="EB30" s="36">
        <f>AA53</f>
        <v>1.1099999999999999</v>
      </c>
      <c r="EC30" s="37">
        <f t="shared" ref="EC30:ED30" si="90">AB53</f>
        <v>1.0833333333333333</v>
      </c>
      <c r="ED30" s="38">
        <f t="shared" si="90"/>
        <v>1.0433333333333332</v>
      </c>
      <c r="EE30" s="36">
        <f>AP53</f>
        <v>1.38</v>
      </c>
      <c r="EF30" s="37">
        <f t="shared" ref="EF30:EG30" si="91">AQ53</f>
        <v>1.3533333333333333</v>
      </c>
      <c r="EG30" s="38">
        <f t="shared" si="91"/>
        <v>1.3166666666666667</v>
      </c>
      <c r="EH30" s="36">
        <f>BE53</f>
        <v>1.69</v>
      </c>
      <c r="EI30" s="37">
        <f t="shared" ref="EI30:EJ30" si="92">BF53</f>
        <v>1.6633333333333333</v>
      </c>
      <c r="EJ30" s="38">
        <f t="shared" si="92"/>
        <v>1.6266666666666667</v>
      </c>
      <c r="EK30" s="36">
        <f>BT53</f>
        <v>2.02</v>
      </c>
      <c r="EL30" s="37">
        <f t="shared" ref="EL30:EM30" si="93">BU53</f>
        <v>1.9933333333333334</v>
      </c>
      <c r="EM30" s="38">
        <f t="shared" si="93"/>
        <v>1.9533333333333331</v>
      </c>
    </row>
    <row r="31" spans="5:143">
      <c r="P31" s="47" t="s">
        <v>65</v>
      </c>
      <c r="Q31" s="47"/>
      <c r="R31" s="47"/>
      <c r="S31" s="47"/>
      <c r="U31" s="47" t="s">
        <v>73</v>
      </c>
      <c r="V31" s="47"/>
      <c r="W31" s="47"/>
      <c r="X31" s="47"/>
      <c r="Z31" s="47" t="s">
        <v>55</v>
      </c>
      <c r="AA31" s="47"/>
      <c r="AB31" s="47"/>
      <c r="AC31" s="47"/>
      <c r="AE31" s="47" t="s">
        <v>65</v>
      </c>
      <c r="AF31" s="47"/>
      <c r="AG31" s="47"/>
      <c r="AH31" s="47"/>
      <c r="AJ31" s="47" t="s">
        <v>73</v>
      </c>
      <c r="AK31" s="47"/>
      <c r="AL31" s="47"/>
      <c r="AM31" s="47"/>
      <c r="AO31" s="47" t="s">
        <v>55</v>
      </c>
      <c r="AP31" s="47"/>
      <c r="AQ31" s="47"/>
      <c r="AR31" s="47"/>
      <c r="AT31" s="47" t="s">
        <v>65</v>
      </c>
      <c r="AU31" s="47"/>
      <c r="AV31" s="47"/>
      <c r="AW31" s="47"/>
      <c r="AY31" s="47" t="s">
        <v>73</v>
      </c>
      <c r="AZ31" s="47"/>
      <c r="BA31" s="47"/>
      <c r="BB31" s="47"/>
      <c r="BD31" s="47" t="s">
        <v>55</v>
      </c>
      <c r="BE31" s="47"/>
      <c r="BF31" s="47"/>
      <c r="BG31" s="47"/>
      <c r="BI31" s="47" t="s">
        <v>65</v>
      </c>
      <c r="BJ31" s="47"/>
      <c r="BK31" s="47"/>
      <c r="BL31" s="47"/>
      <c r="BN31" s="47" t="s">
        <v>73</v>
      </c>
      <c r="BO31" s="47"/>
      <c r="BP31" s="47"/>
      <c r="BQ31" s="47"/>
      <c r="BS31" s="47" t="s">
        <v>55</v>
      </c>
      <c r="BT31" s="47"/>
      <c r="BU31" s="47"/>
      <c r="BV31" s="47"/>
      <c r="BX31" s="47" t="s">
        <v>65</v>
      </c>
      <c r="BY31" s="47"/>
      <c r="BZ31" s="47"/>
      <c r="CA31" s="47"/>
      <c r="CC31" s="47" t="s">
        <v>73</v>
      </c>
      <c r="CD31" s="47"/>
      <c r="CE31" s="47"/>
      <c r="CF31" s="47"/>
      <c r="CH31" s="47" t="s">
        <v>55</v>
      </c>
      <c r="CI31" s="47"/>
      <c r="CJ31" s="47"/>
      <c r="CK31" s="47"/>
      <c r="CM31" s="47" t="s">
        <v>65</v>
      </c>
      <c r="CN31" s="47"/>
      <c r="CO31" s="47"/>
      <c r="CP31" s="47"/>
      <c r="CR31" s="47" t="s">
        <v>73</v>
      </c>
      <c r="CS31" s="47"/>
      <c r="CT31" s="47"/>
      <c r="CU31" s="47"/>
      <c r="CW31" s="47" t="s">
        <v>55</v>
      </c>
      <c r="CX31" s="47"/>
      <c r="CY31" s="47"/>
      <c r="CZ31" s="47"/>
      <c r="DB31" s="47" t="s">
        <v>65</v>
      </c>
      <c r="DC31" s="47"/>
      <c r="DD31" s="47"/>
      <c r="DE31" s="47"/>
      <c r="DG31" s="47" t="s">
        <v>73</v>
      </c>
      <c r="DH31" s="47"/>
      <c r="DI31" s="47"/>
      <c r="DJ31" s="47"/>
      <c r="DL31" s="47" t="s">
        <v>55</v>
      </c>
      <c r="DM31" s="47"/>
      <c r="DN31" s="47"/>
      <c r="DO31" s="47"/>
    </row>
    <row r="32" spans="5:143">
      <c r="P32" s="2"/>
      <c r="Q32" s="2">
        <v>2000</v>
      </c>
      <c r="R32" s="2">
        <v>2007</v>
      </c>
      <c r="S32" s="2">
        <v>2015</v>
      </c>
      <c r="U32" s="2"/>
      <c r="V32" s="2">
        <v>2000</v>
      </c>
      <c r="W32" s="2">
        <v>2007</v>
      </c>
      <c r="X32" s="2">
        <v>2015</v>
      </c>
      <c r="Z32" s="2"/>
      <c r="AA32" s="2">
        <v>2000</v>
      </c>
      <c r="AB32" s="2">
        <v>2007</v>
      </c>
      <c r="AC32" s="2">
        <v>2015</v>
      </c>
      <c r="AE32" s="2"/>
      <c r="AF32" s="2">
        <v>2000</v>
      </c>
      <c r="AG32" s="2">
        <v>2007</v>
      </c>
      <c r="AH32" s="2">
        <v>2015</v>
      </c>
      <c r="AJ32" s="2"/>
      <c r="AK32" s="2">
        <v>2000</v>
      </c>
      <c r="AL32" s="2">
        <v>2007</v>
      </c>
      <c r="AM32" s="2">
        <v>2015</v>
      </c>
      <c r="AO32" s="2"/>
      <c r="AP32" s="2">
        <v>2000</v>
      </c>
      <c r="AQ32" s="2">
        <v>2007</v>
      </c>
      <c r="AR32" s="2">
        <v>2015</v>
      </c>
      <c r="AT32" s="2"/>
      <c r="AU32" s="2">
        <v>2000</v>
      </c>
      <c r="AV32" s="2">
        <v>2007</v>
      </c>
      <c r="AW32" s="2">
        <v>2015</v>
      </c>
      <c r="AY32" s="2"/>
      <c r="AZ32" s="2">
        <v>2000</v>
      </c>
      <c r="BA32" s="2">
        <v>2007</v>
      </c>
      <c r="BB32" s="2">
        <v>2015</v>
      </c>
      <c r="BD32" s="2"/>
      <c r="BE32" s="2">
        <v>2000</v>
      </c>
      <c r="BF32" s="2">
        <v>2007</v>
      </c>
      <c r="BG32" s="2">
        <v>2015</v>
      </c>
      <c r="BI32" s="2"/>
      <c r="BJ32" s="2">
        <v>2000</v>
      </c>
      <c r="BK32" s="2">
        <v>2007</v>
      </c>
      <c r="BL32" s="2">
        <v>2015</v>
      </c>
      <c r="BN32" s="2"/>
      <c r="BO32" s="2">
        <v>2000</v>
      </c>
      <c r="BP32" s="2">
        <v>2007</v>
      </c>
      <c r="BQ32" s="2">
        <v>2015</v>
      </c>
      <c r="BS32" s="2"/>
      <c r="BT32" s="2">
        <v>2000</v>
      </c>
      <c r="BU32" s="2">
        <v>2007</v>
      </c>
      <c r="BV32" s="2">
        <v>2015</v>
      </c>
      <c r="BX32" s="2"/>
      <c r="BY32" s="2">
        <v>2000</v>
      </c>
      <c r="BZ32" s="2">
        <v>2007</v>
      </c>
      <c r="CA32" s="2">
        <v>2015</v>
      </c>
      <c r="CC32" s="2"/>
      <c r="CD32" s="2">
        <v>2000</v>
      </c>
      <c r="CE32" s="2">
        <v>2007</v>
      </c>
      <c r="CF32" s="2">
        <v>2015</v>
      </c>
      <c r="CH32" s="2"/>
      <c r="CI32" s="2">
        <v>2000</v>
      </c>
      <c r="CJ32" s="2">
        <v>2007</v>
      </c>
      <c r="CK32" s="2">
        <v>2015</v>
      </c>
      <c r="CM32" s="2"/>
      <c r="CN32" s="2">
        <v>2000</v>
      </c>
      <c r="CO32" s="2">
        <v>2007</v>
      </c>
      <c r="CP32" s="2">
        <v>2015</v>
      </c>
      <c r="CR32" s="2"/>
      <c r="CS32" s="2">
        <v>2000</v>
      </c>
      <c r="CT32" s="2">
        <v>2007</v>
      </c>
      <c r="CU32" s="2">
        <v>2015</v>
      </c>
      <c r="CW32" s="2"/>
      <c r="CX32" s="2">
        <v>2000</v>
      </c>
      <c r="CY32" s="2">
        <v>2007</v>
      </c>
      <c r="CZ32" s="2">
        <v>2015</v>
      </c>
      <c r="DB32" s="2"/>
      <c r="DC32" s="2">
        <v>2000</v>
      </c>
      <c r="DD32" s="2">
        <v>2007</v>
      </c>
      <c r="DE32" s="2">
        <v>2015</v>
      </c>
      <c r="DG32" s="2"/>
      <c r="DH32" s="2">
        <v>2000</v>
      </c>
      <c r="DI32" s="2">
        <v>2007</v>
      </c>
      <c r="DJ32" s="2">
        <v>2015</v>
      </c>
      <c r="DL32" s="2"/>
      <c r="DM32" s="2">
        <v>2000</v>
      </c>
      <c r="DN32" s="2">
        <v>2007</v>
      </c>
      <c r="DO32" s="2">
        <v>2015</v>
      </c>
    </row>
    <row r="33" spans="16:119">
      <c r="P33" s="2" t="s">
        <v>6</v>
      </c>
      <c r="Q33" s="1">
        <v>0.18</v>
      </c>
      <c r="R33" s="1">
        <v>0.18</v>
      </c>
      <c r="S33" s="1" t="s">
        <v>49</v>
      </c>
      <c r="U33" s="2" t="s">
        <v>6</v>
      </c>
      <c r="V33" s="1">
        <v>0.99</v>
      </c>
      <c r="W33" s="1">
        <v>0.98</v>
      </c>
      <c r="X33" s="1" t="s">
        <v>49</v>
      </c>
      <c r="Z33" s="2" t="s">
        <v>6</v>
      </c>
      <c r="AA33" s="1">
        <v>0.01</v>
      </c>
      <c r="AB33" s="1">
        <v>0.01</v>
      </c>
      <c r="AC33" s="1" t="s">
        <v>49</v>
      </c>
      <c r="AE33" s="2" t="s">
        <v>6</v>
      </c>
      <c r="AF33" s="1">
        <v>0.18</v>
      </c>
      <c r="AG33" s="1">
        <v>0.18</v>
      </c>
      <c r="AH33" s="1" t="s">
        <v>49</v>
      </c>
      <c r="AJ33" s="2" t="s">
        <v>6</v>
      </c>
      <c r="AK33" s="1">
        <v>1.21</v>
      </c>
      <c r="AL33" s="1">
        <v>1.19</v>
      </c>
      <c r="AM33" s="1" t="s">
        <v>49</v>
      </c>
      <c r="AO33" s="2" t="s">
        <v>6</v>
      </c>
      <c r="AP33" s="1">
        <v>0.01</v>
      </c>
      <c r="AQ33" s="1">
        <v>0.01</v>
      </c>
      <c r="AR33" s="1" t="s">
        <v>49</v>
      </c>
      <c r="AT33" s="2" t="s">
        <v>6</v>
      </c>
      <c r="AU33" s="1">
        <v>0.18</v>
      </c>
      <c r="AV33" s="1">
        <v>0.18</v>
      </c>
      <c r="AW33" s="1" t="s">
        <v>49</v>
      </c>
      <c r="AY33" s="2" t="s">
        <v>6</v>
      </c>
      <c r="AZ33" s="1">
        <v>1.59</v>
      </c>
      <c r="BA33" s="1">
        <v>1.57</v>
      </c>
      <c r="BB33" s="1" t="s">
        <v>49</v>
      </c>
      <c r="BD33" s="2" t="s">
        <v>6</v>
      </c>
      <c r="BE33" s="1">
        <v>0.02</v>
      </c>
      <c r="BF33" s="1">
        <v>0.02</v>
      </c>
      <c r="BG33" s="1" t="s">
        <v>49</v>
      </c>
      <c r="BI33" s="2" t="s">
        <v>6</v>
      </c>
      <c r="BJ33" s="1">
        <v>0.18</v>
      </c>
      <c r="BK33" s="1">
        <v>0.18</v>
      </c>
      <c r="BL33" s="1" t="s">
        <v>49</v>
      </c>
      <c r="BN33" s="2" t="s">
        <v>6</v>
      </c>
      <c r="BO33" s="1">
        <v>2.37</v>
      </c>
      <c r="BP33" s="1">
        <v>2.34</v>
      </c>
      <c r="BQ33" s="1" t="s">
        <v>49</v>
      </c>
      <c r="BS33" s="2" t="s">
        <v>6</v>
      </c>
      <c r="BT33" s="1">
        <v>0.02</v>
      </c>
      <c r="BU33" s="1">
        <v>0.02</v>
      </c>
      <c r="BV33" s="1" t="s">
        <v>49</v>
      </c>
      <c r="BX33" s="2" t="s">
        <v>6</v>
      </c>
      <c r="BY33" s="1">
        <v>0.18</v>
      </c>
      <c r="BZ33" s="1">
        <v>0.18</v>
      </c>
      <c r="CA33" s="1" t="s">
        <v>49</v>
      </c>
      <c r="CC33" s="2" t="s">
        <v>6</v>
      </c>
      <c r="CD33" s="1">
        <v>0.79</v>
      </c>
      <c r="CE33" s="1">
        <v>0.78</v>
      </c>
      <c r="CF33" s="1" t="s">
        <v>49</v>
      </c>
      <c r="CH33" s="2" t="s">
        <v>6</v>
      </c>
      <c r="CI33" s="1">
        <v>0.01</v>
      </c>
      <c r="CJ33" s="1">
        <v>0.01</v>
      </c>
      <c r="CK33" s="1" t="s">
        <v>49</v>
      </c>
      <c r="CM33" s="2" t="s">
        <v>6</v>
      </c>
      <c r="CN33" s="1">
        <v>0.18</v>
      </c>
      <c r="CO33" s="1">
        <v>0.18</v>
      </c>
      <c r="CP33" s="1" t="s">
        <v>49</v>
      </c>
      <c r="CR33" s="2" t="s">
        <v>6</v>
      </c>
      <c r="CS33" s="1">
        <v>0.66</v>
      </c>
      <c r="CT33" s="1">
        <v>0.65</v>
      </c>
      <c r="CU33" s="1" t="s">
        <v>49</v>
      </c>
      <c r="CW33" s="2" t="s">
        <v>6</v>
      </c>
      <c r="CX33" s="1">
        <v>0.01</v>
      </c>
      <c r="CY33" s="1">
        <v>0.01</v>
      </c>
      <c r="CZ33" s="1" t="s">
        <v>49</v>
      </c>
      <c r="DB33" s="2" t="s">
        <v>6</v>
      </c>
      <c r="DC33" s="1">
        <v>0.18</v>
      </c>
      <c r="DD33" s="1">
        <v>0.18</v>
      </c>
      <c r="DE33" s="1" t="s">
        <v>49</v>
      </c>
      <c r="DG33" s="2" t="s">
        <v>6</v>
      </c>
      <c r="DH33" s="1">
        <v>0.55000000000000004</v>
      </c>
      <c r="DI33" s="1">
        <v>0.55000000000000004</v>
      </c>
      <c r="DJ33" s="1" t="s">
        <v>49</v>
      </c>
      <c r="DL33" s="2" t="s">
        <v>6</v>
      </c>
      <c r="DM33" s="1">
        <v>0.01</v>
      </c>
      <c r="DN33" s="1">
        <v>0.01</v>
      </c>
      <c r="DO33" s="1" t="s">
        <v>49</v>
      </c>
    </row>
    <row r="34" spans="16:119">
      <c r="P34" s="2" t="s">
        <v>3</v>
      </c>
      <c r="Q34" s="1">
        <v>0.18</v>
      </c>
      <c r="R34" s="1">
        <v>0.18</v>
      </c>
      <c r="S34" s="1">
        <v>0.18</v>
      </c>
      <c r="U34" s="2" t="s">
        <v>3</v>
      </c>
      <c r="V34" s="1">
        <v>0.53</v>
      </c>
      <c r="W34" s="1">
        <v>0.52</v>
      </c>
      <c r="X34" s="1">
        <v>0.52</v>
      </c>
      <c r="Z34" s="2" t="s">
        <v>3</v>
      </c>
      <c r="AA34" s="1">
        <v>0.01</v>
      </c>
      <c r="AB34" s="1">
        <v>0.01</v>
      </c>
      <c r="AC34" s="1">
        <v>0.01</v>
      </c>
      <c r="AE34" s="2" t="s">
        <v>3</v>
      </c>
      <c r="AF34" s="1">
        <v>0.18</v>
      </c>
      <c r="AG34" s="1">
        <v>0.18</v>
      </c>
      <c r="AH34" s="1">
        <v>0.18</v>
      </c>
      <c r="AJ34" s="2" t="s">
        <v>3</v>
      </c>
      <c r="AK34" s="1">
        <v>0.6</v>
      </c>
      <c r="AL34" s="1">
        <v>0.59</v>
      </c>
      <c r="AM34" s="1">
        <v>0.59</v>
      </c>
      <c r="AO34" s="2" t="s">
        <v>3</v>
      </c>
      <c r="AP34" s="1">
        <v>0.01</v>
      </c>
      <c r="AQ34" s="1">
        <v>0.01</v>
      </c>
      <c r="AR34" s="1">
        <v>0.01</v>
      </c>
      <c r="AT34" s="2" t="s">
        <v>3</v>
      </c>
      <c r="AU34" s="1">
        <v>0.18</v>
      </c>
      <c r="AV34" s="1">
        <v>0.18</v>
      </c>
      <c r="AW34" s="1">
        <v>0.18</v>
      </c>
      <c r="AY34" s="2" t="s">
        <v>3</v>
      </c>
      <c r="AZ34" s="1">
        <v>0.76</v>
      </c>
      <c r="BA34" s="1">
        <v>0.75</v>
      </c>
      <c r="BB34" s="1">
        <v>0.75</v>
      </c>
      <c r="BD34" s="2" t="s">
        <v>3</v>
      </c>
      <c r="BE34" s="1">
        <v>0.02</v>
      </c>
      <c r="BF34" s="1">
        <v>0.02</v>
      </c>
      <c r="BG34" s="1">
        <v>0.02</v>
      </c>
      <c r="BI34" s="2" t="s">
        <v>3</v>
      </c>
      <c r="BJ34" s="1">
        <v>0.18</v>
      </c>
      <c r="BK34" s="1">
        <v>0.18</v>
      </c>
      <c r="BL34" s="1">
        <v>0.18</v>
      </c>
      <c r="BN34" s="2" t="s">
        <v>3</v>
      </c>
      <c r="BO34" s="1">
        <v>1.01</v>
      </c>
      <c r="BP34" s="1">
        <v>1</v>
      </c>
      <c r="BQ34" s="1">
        <v>1</v>
      </c>
      <c r="BS34" s="2" t="s">
        <v>3</v>
      </c>
      <c r="BT34" s="1">
        <v>0.02</v>
      </c>
      <c r="BU34" s="1">
        <v>0.02</v>
      </c>
      <c r="BV34" s="1">
        <v>0.02</v>
      </c>
      <c r="BX34" s="2" t="s">
        <v>3</v>
      </c>
      <c r="BY34" s="1">
        <v>0.18</v>
      </c>
      <c r="BZ34" s="1">
        <v>0.18</v>
      </c>
      <c r="CA34" s="1">
        <v>0.18</v>
      </c>
      <c r="CC34" s="2" t="s">
        <v>3</v>
      </c>
      <c r="CD34" s="1">
        <v>0.44</v>
      </c>
      <c r="CE34" s="1">
        <v>0.43</v>
      </c>
      <c r="CF34" s="1">
        <v>0.43</v>
      </c>
      <c r="CH34" s="2" t="s">
        <v>3</v>
      </c>
      <c r="CI34" s="1">
        <v>0.01</v>
      </c>
      <c r="CJ34" s="1">
        <v>0.01</v>
      </c>
      <c r="CK34" s="1">
        <v>0.01</v>
      </c>
      <c r="CM34" s="2" t="s">
        <v>3</v>
      </c>
      <c r="CN34" s="1">
        <v>0.18</v>
      </c>
      <c r="CO34" s="1">
        <v>0.18</v>
      </c>
      <c r="CP34" s="1">
        <v>0.18</v>
      </c>
      <c r="CR34" s="2" t="s">
        <v>3</v>
      </c>
      <c r="CS34" s="1">
        <v>0.38</v>
      </c>
      <c r="CT34" s="1">
        <v>0.37</v>
      </c>
      <c r="CU34" s="1">
        <v>0.37</v>
      </c>
      <c r="CW34" s="2" t="s">
        <v>3</v>
      </c>
      <c r="CX34" s="1">
        <v>0.01</v>
      </c>
      <c r="CY34" s="1">
        <v>0.01</v>
      </c>
      <c r="CZ34" s="1">
        <v>0.01</v>
      </c>
      <c r="DB34" s="2" t="s">
        <v>3</v>
      </c>
      <c r="DC34" s="1">
        <v>0.18</v>
      </c>
      <c r="DD34" s="1">
        <v>0.18</v>
      </c>
      <c r="DE34" s="1">
        <v>0.18</v>
      </c>
      <c r="DG34" s="2" t="s">
        <v>3</v>
      </c>
      <c r="DH34" s="1">
        <v>0.33</v>
      </c>
      <c r="DI34" s="1">
        <v>0.33</v>
      </c>
      <c r="DJ34" s="1">
        <v>0.33</v>
      </c>
      <c r="DL34" s="2" t="s">
        <v>3</v>
      </c>
      <c r="DM34" s="1">
        <v>0.01</v>
      </c>
      <c r="DN34" s="1">
        <v>0.01</v>
      </c>
      <c r="DO34" s="1">
        <v>0.01</v>
      </c>
    </row>
    <row r="35" spans="16:119">
      <c r="P35" s="2" t="s">
        <v>4</v>
      </c>
      <c r="Q35" s="1" t="s">
        <v>49</v>
      </c>
      <c r="R35" s="1">
        <v>0.11</v>
      </c>
      <c r="S35" s="1">
        <v>0.11</v>
      </c>
      <c r="U35" s="2" t="s">
        <v>4</v>
      </c>
      <c r="V35" s="1" t="s">
        <v>49</v>
      </c>
      <c r="W35" s="1">
        <v>0.26</v>
      </c>
      <c r="X35" s="1">
        <v>0.26</v>
      </c>
      <c r="Z35" s="2" t="s">
        <v>4</v>
      </c>
      <c r="AA35" s="1" t="s">
        <v>49</v>
      </c>
      <c r="AB35" s="1">
        <v>0.01</v>
      </c>
      <c r="AC35" s="1">
        <v>0.01</v>
      </c>
      <c r="AE35" s="2" t="s">
        <v>4</v>
      </c>
      <c r="AF35" s="1" t="s">
        <v>49</v>
      </c>
      <c r="AG35" s="1">
        <v>0.11</v>
      </c>
      <c r="AH35" s="1">
        <v>0.11</v>
      </c>
      <c r="AJ35" s="2" t="s">
        <v>4</v>
      </c>
      <c r="AK35" s="1" t="s">
        <v>49</v>
      </c>
      <c r="AL35" s="1">
        <v>0.35</v>
      </c>
      <c r="AM35" s="1">
        <v>0.35</v>
      </c>
      <c r="AO35" s="2" t="s">
        <v>4</v>
      </c>
      <c r="AP35" s="1" t="s">
        <v>49</v>
      </c>
      <c r="AQ35" s="1">
        <v>0.01</v>
      </c>
      <c r="AR35" s="1">
        <v>0.01</v>
      </c>
      <c r="AT35" s="2" t="s">
        <v>4</v>
      </c>
      <c r="AU35" s="1" t="s">
        <v>49</v>
      </c>
      <c r="AV35" s="1">
        <v>0.11</v>
      </c>
      <c r="AW35" s="1">
        <v>0.11</v>
      </c>
      <c r="AY35" s="2" t="s">
        <v>4</v>
      </c>
      <c r="AZ35" s="1" t="s">
        <v>49</v>
      </c>
      <c r="BA35" s="1">
        <v>0.44</v>
      </c>
      <c r="BB35" s="1">
        <v>0.44</v>
      </c>
      <c r="BD35" s="2" t="s">
        <v>4</v>
      </c>
      <c r="BE35" s="1" t="s">
        <v>49</v>
      </c>
      <c r="BF35" s="1">
        <v>0.02</v>
      </c>
      <c r="BG35" s="1">
        <v>0.02</v>
      </c>
      <c r="BI35" s="2" t="s">
        <v>4</v>
      </c>
      <c r="BJ35" s="1" t="s">
        <v>49</v>
      </c>
      <c r="BK35" s="1">
        <v>0.11</v>
      </c>
      <c r="BL35" s="1">
        <v>0.11</v>
      </c>
      <c r="BN35" s="2" t="s">
        <v>4</v>
      </c>
      <c r="BO35" s="1" t="s">
        <v>49</v>
      </c>
      <c r="BP35" s="1">
        <v>0.6</v>
      </c>
      <c r="BQ35" s="1">
        <v>0.6</v>
      </c>
      <c r="BS35" s="2" t="s">
        <v>4</v>
      </c>
      <c r="BT35" s="1" t="s">
        <v>49</v>
      </c>
      <c r="BU35" s="1">
        <v>0.02</v>
      </c>
      <c r="BV35" s="1">
        <v>0.02</v>
      </c>
      <c r="BX35" s="2" t="s">
        <v>4</v>
      </c>
      <c r="BY35" s="1" t="s">
        <v>49</v>
      </c>
      <c r="BZ35" s="1">
        <v>0.11</v>
      </c>
      <c r="CA35" s="1">
        <v>0.11</v>
      </c>
      <c r="CC35" s="2" t="s">
        <v>4</v>
      </c>
      <c r="CD35" s="1" t="s">
        <v>49</v>
      </c>
      <c r="CE35" s="1">
        <v>0.2</v>
      </c>
      <c r="CF35" s="1">
        <v>0.2</v>
      </c>
      <c r="CH35" s="2" t="s">
        <v>4</v>
      </c>
      <c r="CI35" s="1" t="s">
        <v>49</v>
      </c>
      <c r="CJ35" s="1">
        <v>0.01</v>
      </c>
      <c r="CK35" s="1">
        <v>0.01</v>
      </c>
      <c r="CM35" s="2" t="s">
        <v>4</v>
      </c>
      <c r="CN35" s="1" t="s">
        <v>49</v>
      </c>
      <c r="CO35" s="1">
        <v>0.11</v>
      </c>
      <c r="CP35" s="1">
        <v>0.11</v>
      </c>
      <c r="CR35" s="2" t="s">
        <v>4</v>
      </c>
      <c r="CS35" s="1" t="s">
        <v>49</v>
      </c>
      <c r="CT35" s="1">
        <v>0.16</v>
      </c>
      <c r="CU35" s="1">
        <v>0.16</v>
      </c>
      <c r="CW35" s="2" t="s">
        <v>4</v>
      </c>
      <c r="CX35" s="1" t="s">
        <v>49</v>
      </c>
      <c r="CY35" s="1">
        <v>0.01</v>
      </c>
      <c r="CZ35" s="1">
        <v>0.01</v>
      </c>
      <c r="DB35" s="2" t="s">
        <v>4</v>
      </c>
      <c r="DC35" s="1" t="s">
        <v>49</v>
      </c>
      <c r="DD35" s="1">
        <v>0.11</v>
      </c>
      <c r="DE35" s="1">
        <v>0.11</v>
      </c>
      <c r="DG35" s="2" t="s">
        <v>4</v>
      </c>
      <c r="DH35" s="1" t="s">
        <v>49</v>
      </c>
      <c r="DI35" s="1">
        <v>0.13</v>
      </c>
      <c r="DJ35" s="1">
        <v>0.13</v>
      </c>
      <c r="DL35" s="2" t="s">
        <v>4</v>
      </c>
      <c r="DM35" s="1" t="s">
        <v>49</v>
      </c>
      <c r="DN35" s="1">
        <v>0.01</v>
      </c>
      <c r="DO35" s="1">
        <v>0.01</v>
      </c>
    </row>
    <row r="36" spans="16:119">
      <c r="P36" s="2" t="s">
        <v>5</v>
      </c>
      <c r="Q36" s="1" t="s">
        <v>49</v>
      </c>
      <c r="R36" s="1" t="s">
        <v>49</v>
      </c>
      <c r="S36" s="1">
        <v>0.1</v>
      </c>
      <c r="U36" s="2" t="s">
        <v>5</v>
      </c>
      <c r="V36" s="1" t="s">
        <v>49</v>
      </c>
      <c r="W36" s="1" t="s">
        <v>49</v>
      </c>
      <c r="X36" s="1">
        <v>0.24</v>
      </c>
      <c r="Z36" s="2" t="s">
        <v>5</v>
      </c>
      <c r="AA36" s="1" t="s">
        <v>49</v>
      </c>
      <c r="AB36" s="1" t="s">
        <v>49</v>
      </c>
      <c r="AC36" s="1">
        <v>0.01</v>
      </c>
      <c r="AE36" s="2" t="s">
        <v>5</v>
      </c>
      <c r="AF36" s="1" t="s">
        <v>49</v>
      </c>
      <c r="AG36" s="1" t="s">
        <v>49</v>
      </c>
      <c r="AH36" s="1">
        <v>0.1</v>
      </c>
      <c r="AJ36" s="2" t="s">
        <v>5</v>
      </c>
      <c r="AK36" s="1" t="s">
        <v>49</v>
      </c>
      <c r="AL36" s="1" t="s">
        <v>49</v>
      </c>
      <c r="AM36" s="1">
        <v>0.27</v>
      </c>
      <c r="AO36" s="2" t="s">
        <v>5</v>
      </c>
      <c r="AP36" s="1" t="s">
        <v>49</v>
      </c>
      <c r="AQ36" s="1" t="s">
        <v>49</v>
      </c>
      <c r="AR36" s="1">
        <v>0.01</v>
      </c>
      <c r="AT36" s="2" t="s">
        <v>5</v>
      </c>
      <c r="AU36" s="1" t="s">
        <v>49</v>
      </c>
      <c r="AV36" s="1" t="s">
        <v>49</v>
      </c>
      <c r="AW36" s="1">
        <v>0.1</v>
      </c>
      <c r="AY36" s="2" t="s">
        <v>5</v>
      </c>
      <c r="AZ36" s="1" t="s">
        <v>49</v>
      </c>
      <c r="BA36" s="1" t="s">
        <v>49</v>
      </c>
      <c r="BB36" s="1">
        <v>0.32</v>
      </c>
      <c r="BD36" s="2" t="s">
        <v>5</v>
      </c>
      <c r="BE36" s="1" t="s">
        <v>49</v>
      </c>
      <c r="BF36" s="1" t="s">
        <v>49</v>
      </c>
      <c r="BG36" s="1">
        <v>0.02</v>
      </c>
      <c r="BI36" s="2" t="s">
        <v>5</v>
      </c>
      <c r="BJ36" s="1" t="s">
        <v>49</v>
      </c>
      <c r="BK36" s="1" t="s">
        <v>49</v>
      </c>
      <c r="BL36" s="1">
        <v>0.1</v>
      </c>
      <c r="BN36" s="2" t="s">
        <v>5</v>
      </c>
      <c r="BO36" s="1" t="s">
        <v>49</v>
      </c>
      <c r="BP36" s="1" t="s">
        <v>49</v>
      </c>
      <c r="BQ36" s="1">
        <v>0.42</v>
      </c>
      <c r="BS36" s="2" t="s">
        <v>5</v>
      </c>
      <c r="BT36" s="1" t="s">
        <v>49</v>
      </c>
      <c r="BU36" s="1" t="s">
        <v>49</v>
      </c>
      <c r="BV36" s="1">
        <v>0.02</v>
      </c>
      <c r="BX36" s="2" t="s">
        <v>5</v>
      </c>
      <c r="BY36" s="1" t="s">
        <v>49</v>
      </c>
      <c r="BZ36" s="1" t="s">
        <v>49</v>
      </c>
      <c r="CA36" s="1">
        <v>0.1</v>
      </c>
      <c r="CC36" s="2" t="s">
        <v>5</v>
      </c>
      <c r="CD36" s="1" t="s">
        <v>49</v>
      </c>
      <c r="CE36" s="1" t="s">
        <v>49</v>
      </c>
      <c r="CF36" s="1">
        <v>0.23</v>
      </c>
      <c r="CH36" s="2" t="s">
        <v>5</v>
      </c>
      <c r="CI36" s="1" t="s">
        <v>49</v>
      </c>
      <c r="CJ36" s="1" t="s">
        <v>49</v>
      </c>
      <c r="CK36" s="1">
        <v>0.01</v>
      </c>
      <c r="CM36" s="2" t="s">
        <v>5</v>
      </c>
      <c r="CN36" s="1" t="s">
        <v>49</v>
      </c>
      <c r="CO36" s="1" t="s">
        <v>49</v>
      </c>
      <c r="CP36" s="1">
        <v>0.1</v>
      </c>
      <c r="CR36" s="2" t="s">
        <v>5</v>
      </c>
      <c r="CS36" s="1" t="s">
        <v>49</v>
      </c>
      <c r="CT36" s="1" t="s">
        <v>49</v>
      </c>
      <c r="CU36" s="1">
        <v>0.2</v>
      </c>
      <c r="CW36" s="2" t="s">
        <v>5</v>
      </c>
      <c r="CX36" s="1" t="s">
        <v>49</v>
      </c>
      <c r="CY36" s="1" t="s">
        <v>49</v>
      </c>
      <c r="CZ36" s="1">
        <v>0.01</v>
      </c>
      <c r="DB36" s="2" t="s">
        <v>5</v>
      </c>
      <c r="DC36" s="1" t="s">
        <v>49</v>
      </c>
      <c r="DD36" s="1" t="s">
        <v>49</v>
      </c>
      <c r="DE36" s="1">
        <v>0.1</v>
      </c>
      <c r="DG36" s="2" t="s">
        <v>5</v>
      </c>
      <c r="DH36" s="1" t="s">
        <v>49</v>
      </c>
      <c r="DI36" s="1" t="s">
        <v>49</v>
      </c>
      <c r="DJ36" s="1">
        <v>0.18</v>
      </c>
      <c r="DL36" s="2" t="s">
        <v>5</v>
      </c>
      <c r="DM36" s="1" t="s">
        <v>49</v>
      </c>
      <c r="DN36" s="1" t="s">
        <v>49</v>
      </c>
      <c r="DO36" s="1">
        <v>0.01</v>
      </c>
    </row>
    <row r="37" spans="16:119">
      <c r="P37" s="3" t="s">
        <v>137</v>
      </c>
      <c r="Q37" s="6">
        <f>AVERAGE(Q33:Q36)</f>
        <v>0.18</v>
      </c>
      <c r="R37" s="6">
        <f>AVERAGE(R33:R36)</f>
        <v>0.15666666666666665</v>
      </c>
      <c r="S37" s="6">
        <f>AVERAGE(S33:S36)</f>
        <v>0.13</v>
      </c>
      <c r="U37" s="3" t="s">
        <v>137</v>
      </c>
      <c r="V37" s="6">
        <f>AVERAGE(V33:V36)</f>
        <v>0.76</v>
      </c>
      <c r="W37" s="6">
        <f>AVERAGE(W33:W36)</f>
        <v>0.58666666666666667</v>
      </c>
      <c r="X37" s="6">
        <f>AVERAGE(X33:X36)</f>
        <v>0.34</v>
      </c>
      <c r="Z37" s="3" t="s">
        <v>137</v>
      </c>
      <c r="AA37" s="6">
        <f>AVERAGE(AA33:AA36)</f>
        <v>0.01</v>
      </c>
      <c r="AB37" s="6">
        <f>AVERAGE(AB33:AB36)</f>
        <v>0.01</v>
      </c>
      <c r="AC37" s="6">
        <f>AVERAGE(AC33:AC36)</f>
        <v>0.01</v>
      </c>
      <c r="AE37" s="3" t="s">
        <v>137</v>
      </c>
      <c r="AF37" s="6">
        <f>AVERAGE(AF33:AF36)</f>
        <v>0.18</v>
      </c>
      <c r="AG37" s="6">
        <f>AVERAGE(AG33:AG36)</f>
        <v>0.15666666666666665</v>
      </c>
      <c r="AH37" s="6">
        <f>AVERAGE(AH33:AH36)</f>
        <v>0.13</v>
      </c>
      <c r="AJ37" s="3" t="s">
        <v>137</v>
      </c>
      <c r="AK37" s="6">
        <f>AVERAGE(AK33:AK36)</f>
        <v>0.90500000000000003</v>
      </c>
      <c r="AL37" s="6">
        <f>AVERAGE(AL33:AL36)</f>
        <v>0.71</v>
      </c>
      <c r="AM37" s="6">
        <f>AVERAGE(AM33:AM36)</f>
        <v>0.40333333333333332</v>
      </c>
      <c r="AO37" s="3" t="s">
        <v>137</v>
      </c>
      <c r="AP37" s="6">
        <f>AVERAGE(AP33:AP36)</f>
        <v>0.01</v>
      </c>
      <c r="AQ37" s="6">
        <f>AVERAGE(AQ33:AQ36)</f>
        <v>0.01</v>
      </c>
      <c r="AR37" s="6">
        <f>AVERAGE(AR33:AR36)</f>
        <v>0.01</v>
      </c>
      <c r="AT37" s="3" t="s">
        <v>137</v>
      </c>
      <c r="AU37" s="6">
        <f>AVERAGE(AU33:AU36)</f>
        <v>0.18</v>
      </c>
      <c r="AV37" s="6">
        <f>AVERAGE(AV33:AV36)</f>
        <v>0.15666666666666665</v>
      </c>
      <c r="AW37" s="6">
        <f>AVERAGE(AW33:AW36)</f>
        <v>0.13</v>
      </c>
      <c r="AY37" s="3" t="s">
        <v>137</v>
      </c>
      <c r="AZ37" s="6">
        <f>AVERAGE(AZ33:AZ36)</f>
        <v>1.175</v>
      </c>
      <c r="BA37" s="6">
        <f>AVERAGE(BA33:BA36)</f>
        <v>0.92</v>
      </c>
      <c r="BB37" s="6">
        <f>AVERAGE(BB33:BB36)</f>
        <v>0.5033333333333333</v>
      </c>
      <c r="BD37" s="3" t="s">
        <v>137</v>
      </c>
      <c r="BE37" s="6">
        <f>AVERAGE(BE33:BE36)</f>
        <v>0.02</v>
      </c>
      <c r="BF37" s="6">
        <f>AVERAGE(BF33:BF36)</f>
        <v>0.02</v>
      </c>
      <c r="BG37" s="6">
        <f>AVERAGE(BG33:BG36)</f>
        <v>0.02</v>
      </c>
      <c r="BI37" s="3" t="s">
        <v>137</v>
      </c>
      <c r="BJ37" s="6">
        <f>AVERAGE(BJ33:BJ36)</f>
        <v>0.18</v>
      </c>
      <c r="BK37" s="6">
        <f>AVERAGE(BK33:BK36)</f>
        <v>0.15666666666666665</v>
      </c>
      <c r="BL37" s="6">
        <f>AVERAGE(BL33:BL36)</f>
        <v>0.13</v>
      </c>
      <c r="BN37" s="3" t="s">
        <v>137</v>
      </c>
      <c r="BO37" s="6">
        <f>AVERAGE(BO33:BO36)</f>
        <v>1.69</v>
      </c>
      <c r="BP37" s="6">
        <f>AVERAGE(BP33:BP36)</f>
        <v>1.3133333333333332</v>
      </c>
      <c r="BQ37" s="6">
        <f>AVERAGE(BQ33:BQ36)</f>
        <v>0.67333333333333334</v>
      </c>
      <c r="BS37" s="3" t="s">
        <v>137</v>
      </c>
      <c r="BT37" s="6">
        <f>AVERAGE(BT33:BT36)</f>
        <v>0.02</v>
      </c>
      <c r="BU37" s="6">
        <f>AVERAGE(BU33:BU36)</f>
        <v>0.02</v>
      </c>
      <c r="BV37" s="6">
        <f>AVERAGE(BV33:BV36)</f>
        <v>0.02</v>
      </c>
      <c r="BX37" s="3" t="s">
        <v>137</v>
      </c>
      <c r="BY37" s="6">
        <f>AVERAGE(BY33:BY36)</f>
        <v>0.18</v>
      </c>
      <c r="BZ37" s="6">
        <f>AVERAGE(BZ33:BZ36)</f>
        <v>0.15666666666666665</v>
      </c>
      <c r="CA37" s="6">
        <f>AVERAGE(CA33:CA36)</f>
        <v>0.13</v>
      </c>
      <c r="CC37" s="3" t="s">
        <v>137</v>
      </c>
      <c r="CD37" s="6">
        <f>AVERAGE(CD33:CD36)</f>
        <v>0.61499999999999999</v>
      </c>
      <c r="CE37" s="6">
        <f>AVERAGE(CE33:CE36)</f>
        <v>0.47</v>
      </c>
      <c r="CF37" s="6">
        <f>AVERAGE(CF33:CF36)</f>
        <v>0.28666666666666668</v>
      </c>
      <c r="CH37" s="3" t="s">
        <v>137</v>
      </c>
      <c r="CI37" s="6">
        <f>AVERAGE(CI33:CI36)</f>
        <v>0.01</v>
      </c>
      <c r="CJ37" s="6">
        <f>AVERAGE(CJ33:CJ36)</f>
        <v>0.01</v>
      </c>
      <c r="CK37" s="6">
        <f>AVERAGE(CK33:CK36)</f>
        <v>0.01</v>
      </c>
      <c r="CM37" s="3" t="s">
        <v>137</v>
      </c>
      <c r="CN37" s="6">
        <f>AVERAGE(CN33:CN36)</f>
        <v>0.18</v>
      </c>
      <c r="CO37" s="6">
        <f>AVERAGE(CO33:CO36)</f>
        <v>0.15666666666666665</v>
      </c>
      <c r="CP37" s="6">
        <f>AVERAGE(CP33:CP36)</f>
        <v>0.13</v>
      </c>
      <c r="CR37" s="3" t="s">
        <v>137</v>
      </c>
      <c r="CS37" s="6">
        <f>AVERAGE(CS33:CS36)</f>
        <v>0.52</v>
      </c>
      <c r="CT37" s="6">
        <f>AVERAGE(CT33:CT36)</f>
        <v>0.39333333333333331</v>
      </c>
      <c r="CU37" s="6">
        <f>AVERAGE(CU33:CU36)</f>
        <v>0.24333333333333332</v>
      </c>
      <c r="CW37" s="3" t="s">
        <v>137</v>
      </c>
      <c r="CX37" s="6">
        <f>AVERAGE(CX33:CX36)</f>
        <v>0.01</v>
      </c>
      <c r="CY37" s="6">
        <f>AVERAGE(CY33:CY36)</f>
        <v>0.01</v>
      </c>
      <c r="CZ37" s="6">
        <f>AVERAGE(CZ33:CZ36)</f>
        <v>0.01</v>
      </c>
      <c r="DB37" s="3" t="s">
        <v>137</v>
      </c>
      <c r="DC37" s="6">
        <f>AVERAGE(DC33:DC36)</f>
        <v>0.18</v>
      </c>
      <c r="DD37" s="6">
        <f>AVERAGE(DD33:DD36)</f>
        <v>0.15666666666666665</v>
      </c>
      <c r="DE37" s="6">
        <f>AVERAGE(DE33:DE36)</f>
        <v>0.13</v>
      </c>
      <c r="DG37" s="3" t="s">
        <v>137</v>
      </c>
      <c r="DH37" s="6">
        <f>AVERAGE(DH33:DH36)</f>
        <v>0.44000000000000006</v>
      </c>
      <c r="DI37" s="6">
        <f>AVERAGE(DI33:DI36)</f>
        <v>0.33666666666666673</v>
      </c>
      <c r="DJ37" s="6">
        <f>AVERAGE(DJ33:DJ36)</f>
        <v>0.21333333333333335</v>
      </c>
      <c r="DL37" s="3" t="s">
        <v>137</v>
      </c>
      <c r="DM37" s="6">
        <f>AVERAGE(DM33:DM36)</f>
        <v>0.01</v>
      </c>
      <c r="DN37" s="6">
        <f>AVERAGE(DN33:DN36)</f>
        <v>0.01</v>
      </c>
      <c r="DO37" s="6">
        <f>AVERAGE(DO33:DO36)</f>
        <v>0.01</v>
      </c>
    </row>
    <row r="39" spans="16:119">
      <c r="P39" s="47" t="s">
        <v>66</v>
      </c>
      <c r="Q39" s="47"/>
      <c r="R39" s="47"/>
      <c r="S39" s="47"/>
      <c r="U39" s="47" t="s">
        <v>72</v>
      </c>
      <c r="V39" s="47"/>
      <c r="W39" s="47"/>
      <c r="X39" s="47"/>
      <c r="Z39" s="47" t="s">
        <v>56</v>
      </c>
      <c r="AA39" s="47"/>
      <c r="AB39" s="47"/>
      <c r="AC39" s="47"/>
      <c r="AE39" s="47" t="s">
        <v>66</v>
      </c>
      <c r="AF39" s="47"/>
      <c r="AG39" s="47"/>
      <c r="AH39" s="47"/>
      <c r="AJ39" s="47" t="s">
        <v>72</v>
      </c>
      <c r="AK39" s="47"/>
      <c r="AL39" s="47"/>
      <c r="AM39" s="47"/>
      <c r="AO39" s="47" t="s">
        <v>56</v>
      </c>
      <c r="AP39" s="47"/>
      <c r="AQ39" s="47"/>
      <c r="AR39" s="47"/>
      <c r="AT39" s="47" t="s">
        <v>66</v>
      </c>
      <c r="AU39" s="47"/>
      <c r="AV39" s="47"/>
      <c r="AW39" s="47"/>
      <c r="AY39" s="47" t="s">
        <v>72</v>
      </c>
      <c r="AZ39" s="47"/>
      <c r="BA39" s="47"/>
      <c r="BB39" s="47"/>
      <c r="BD39" s="47" t="s">
        <v>56</v>
      </c>
      <c r="BE39" s="47"/>
      <c r="BF39" s="47"/>
      <c r="BG39" s="47"/>
      <c r="BI39" s="47" t="s">
        <v>66</v>
      </c>
      <c r="BJ39" s="47"/>
      <c r="BK39" s="47"/>
      <c r="BL39" s="47"/>
      <c r="BN39" s="47" t="s">
        <v>72</v>
      </c>
      <c r="BO39" s="47"/>
      <c r="BP39" s="47"/>
      <c r="BQ39" s="47"/>
      <c r="BS39" s="47" t="s">
        <v>56</v>
      </c>
      <c r="BT39" s="47"/>
      <c r="BU39" s="47"/>
      <c r="BV39" s="47"/>
      <c r="BX39" s="47" t="s">
        <v>66</v>
      </c>
      <c r="BY39" s="47"/>
      <c r="BZ39" s="47"/>
      <c r="CA39" s="47"/>
      <c r="CC39" s="47" t="s">
        <v>72</v>
      </c>
      <c r="CD39" s="47"/>
      <c r="CE39" s="47"/>
      <c r="CF39" s="47"/>
      <c r="CH39" s="47" t="s">
        <v>56</v>
      </c>
      <c r="CI39" s="47"/>
      <c r="CJ39" s="47"/>
      <c r="CK39" s="47"/>
      <c r="CM39" s="47" t="s">
        <v>66</v>
      </c>
      <c r="CN39" s="47"/>
      <c r="CO39" s="47"/>
      <c r="CP39" s="47"/>
      <c r="CR39" s="47" t="s">
        <v>72</v>
      </c>
      <c r="CS39" s="47"/>
      <c r="CT39" s="47"/>
      <c r="CU39" s="47"/>
      <c r="CW39" s="47" t="s">
        <v>56</v>
      </c>
      <c r="CX39" s="47"/>
      <c r="CY39" s="47"/>
      <c r="CZ39" s="47"/>
      <c r="DB39" s="47" t="s">
        <v>66</v>
      </c>
      <c r="DC39" s="47"/>
      <c r="DD39" s="47"/>
      <c r="DE39" s="47"/>
      <c r="DG39" s="47" t="s">
        <v>72</v>
      </c>
      <c r="DH39" s="47"/>
      <c r="DI39" s="47"/>
      <c r="DJ39" s="47"/>
      <c r="DL39" s="47" t="s">
        <v>56</v>
      </c>
      <c r="DM39" s="47"/>
      <c r="DN39" s="47"/>
      <c r="DO39" s="47"/>
    </row>
    <row r="40" spans="16:119">
      <c r="P40" s="2"/>
      <c r="Q40" s="2">
        <v>2000</v>
      </c>
      <c r="R40" s="2">
        <v>2007</v>
      </c>
      <c r="S40" s="2">
        <v>2015</v>
      </c>
      <c r="U40" s="2"/>
      <c r="V40" s="2">
        <v>2000</v>
      </c>
      <c r="W40" s="2">
        <v>2007</v>
      </c>
      <c r="X40" s="2">
        <v>2015</v>
      </c>
      <c r="Z40" s="2"/>
      <c r="AA40" s="2">
        <v>2000</v>
      </c>
      <c r="AB40" s="2">
        <v>2007</v>
      </c>
      <c r="AC40" s="2">
        <v>2015</v>
      </c>
      <c r="AE40" s="2"/>
      <c r="AF40" s="2">
        <v>2000</v>
      </c>
      <c r="AG40" s="2">
        <v>2007</v>
      </c>
      <c r="AH40" s="2">
        <v>2015</v>
      </c>
      <c r="AJ40" s="2"/>
      <c r="AK40" s="2">
        <v>2000</v>
      </c>
      <c r="AL40" s="2">
        <v>2007</v>
      </c>
      <c r="AM40" s="2">
        <v>2015</v>
      </c>
      <c r="AO40" s="2"/>
      <c r="AP40" s="2">
        <v>2000</v>
      </c>
      <c r="AQ40" s="2">
        <v>2007</v>
      </c>
      <c r="AR40" s="2">
        <v>2015</v>
      </c>
      <c r="AT40" s="2"/>
      <c r="AU40" s="2">
        <v>2000</v>
      </c>
      <c r="AV40" s="2">
        <v>2007</v>
      </c>
      <c r="AW40" s="2">
        <v>2015</v>
      </c>
      <c r="AY40" s="2"/>
      <c r="AZ40" s="2">
        <v>2000</v>
      </c>
      <c r="BA40" s="2">
        <v>2007</v>
      </c>
      <c r="BB40" s="2">
        <v>2015</v>
      </c>
      <c r="BD40" s="2"/>
      <c r="BE40" s="2">
        <v>2000</v>
      </c>
      <c r="BF40" s="2">
        <v>2007</v>
      </c>
      <c r="BG40" s="2">
        <v>2015</v>
      </c>
      <c r="BI40" s="2"/>
      <c r="BJ40" s="2">
        <v>2000</v>
      </c>
      <c r="BK40" s="2">
        <v>2007</v>
      </c>
      <c r="BL40" s="2">
        <v>2015</v>
      </c>
      <c r="BN40" s="2"/>
      <c r="BO40" s="2">
        <v>2000</v>
      </c>
      <c r="BP40" s="2">
        <v>2007</v>
      </c>
      <c r="BQ40" s="2">
        <v>2015</v>
      </c>
      <c r="BS40" s="2"/>
      <c r="BT40" s="2">
        <v>2000</v>
      </c>
      <c r="BU40" s="2">
        <v>2007</v>
      </c>
      <c r="BV40" s="2">
        <v>2015</v>
      </c>
      <c r="BX40" s="2"/>
      <c r="BY40" s="2">
        <v>2000</v>
      </c>
      <c r="BZ40" s="2">
        <v>2007</v>
      </c>
      <c r="CA40" s="2">
        <v>2015</v>
      </c>
      <c r="CC40" s="2"/>
      <c r="CD40" s="2">
        <v>2000</v>
      </c>
      <c r="CE40" s="2">
        <v>2007</v>
      </c>
      <c r="CF40" s="2">
        <v>2015</v>
      </c>
      <c r="CH40" s="2"/>
      <c r="CI40" s="2">
        <v>2000</v>
      </c>
      <c r="CJ40" s="2">
        <v>2007</v>
      </c>
      <c r="CK40" s="2">
        <v>2015</v>
      </c>
      <c r="CM40" s="2"/>
      <c r="CN40" s="2">
        <v>2000</v>
      </c>
      <c r="CO40" s="2">
        <v>2007</v>
      </c>
      <c r="CP40" s="2">
        <v>2015</v>
      </c>
      <c r="CR40" s="2"/>
      <c r="CS40" s="2">
        <v>2000</v>
      </c>
      <c r="CT40" s="2">
        <v>2007</v>
      </c>
      <c r="CU40" s="2">
        <v>2015</v>
      </c>
      <c r="CW40" s="2"/>
      <c r="CX40" s="2">
        <v>2000</v>
      </c>
      <c r="CY40" s="2">
        <v>2007</v>
      </c>
      <c r="CZ40" s="2">
        <v>2015</v>
      </c>
      <c r="DB40" s="2"/>
      <c r="DC40" s="2">
        <v>2000</v>
      </c>
      <c r="DD40" s="2">
        <v>2007</v>
      </c>
      <c r="DE40" s="2">
        <v>2015</v>
      </c>
      <c r="DG40" s="2"/>
      <c r="DH40" s="2">
        <v>2000</v>
      </c>
      <c r="DI40" s="2">
        <v>2007</v>
      </c>
      <c r="DJ40" s="2">
        <v>2015</v>
      </c>
      <c r="DL40" s="2"/>
      <c r="DM40" s="2">
        <v>2000</v>
      </c>
      <c r="DN40" s="2">
        <v>2007</v>
      </c>
      <c r="DO40" s="2">
        <v>2015</v>
      </c>
    </row>
    <row r="41" spans="16:119">
      <c r="P41" s="2" t="s">
        <v>6</v>
      </c>
      <c r="Q41" s="1">
        <v>20.05</v>
      </c>
      <c r="R41" s="1">
        <v>19.940000000000001</v>
      </c>
      <c r="S41" s="1" t="s">
        <v>49</v>
      </c>
      <c r="U41" s="2" t="s">
        <v>6</v>
      </c>
      <c r="V41" s="1">
        <v>0.5</v>
      </c>
      <c r="W41" s="1">
        <v>0.49</v>
      </c>
      <c r="X41" s="1" t="s">
        <v>49</v>
      </c>
      <c r="Z41" s="2" t="s">
        <v>6</v>
      </c>
      <c r="AA41" s="1">
        <v>0</v>
      </c>
      <c r="AB41" s="1">
        <v>0</v>
      </c>
      <c r="AC41" s="1" t="s">
        <v>49</v>
      </c>
      <c r="AE41" s="2" t="s">
        <v>6</v>
      </c>
      <c r="AF41" s="1">
        <v>28.89</v>
      </c>
      <c r="AG41" s="1">
        <v>28.72</v>
      </c>
      <c r="AH41" s="1" t="s">
        <v>49</v>
      </c>
      <c r="AJ41" s="2" t="s">
        <v>6</v>
      </c>
      <c r="AK41" s="1">
        <v>0.6</v>
      </c>
      <c r="AL41" s="1">
        <v>0.6</v>
      </c>
      <c r="AM41" s="1" t="s">
        <v>49</v>
      </c>
      <c r="AO41" s="2" t="s">
        <v>6</v>
      </c>
      <c r="AP41" s="1">
        <v>0</v>
      </c>
      <c r="AQ41" s="1">
        <v>0</v>
      </c>
      <c r="AR41" s="1" t="s">
        <v>49</v>
      </c>
      <c r="AT41" s="2" t="s">
        <v>6</v>
      </c>
      <c r="AU41" s="1">
        <v>37.74</v>
      </c>
      <c r="AV41" s="1">
        <v>37.520000000000003</v>
      </c>
      <c r="AW41" s="1" t="s">
        <v>49</v>
      </c>
      <c r="AY41" s="2" t="s">
        <v>6</v>
      </c>
      <c r="AZ41" s="1">
        <v>0.8</v>
      </c>
      <c r="BA41" s="1">
        <v>0.79</v>
      </c>
      <c r="BB41" s="1" t="s">
        <v>49</v>
      </c>
      <c r="BD41" s="2" t="s">
        <v>6</v>
      </c>
      <c r="BE41" s="1">
        <v>0</v>
      </c>
      <c r="BF41" s="1">
        <v>0</v>
      </c>
      <c r="BG41" s="1" t="s">
        <v>49</v>
      </c>
      <c r="BI41" s="2" t="s">
        <v>6</v>
      </c>
      <c r="BJ41" s="1">
        <v>46.78</v>
      </c>
      <c r="BK41" s="1">
        <v>46.51</v>
      </c>
      <c r="BL41" s="1" t="s">
        <v>49</v>
      </c>
      <c r="BN41" s="2" t="s">
        <v>6</v>
      </c>
      <c r="BO41" s="1">
        <v>1.19</v>
      </c>
      <c r="BP41" s="1">
        <v>1.17</v>
      </c>
      <c r="BQ41" s="1" t="s">
        <v>49</v>
      </c>
      <c r="BS41" s="2" t="s">
        <v>6</v>
      </c>
      <c r="BT41" s="1">
        <v>0</v>
      </c>
      <c r="BU41" s="1">
        <v>0</v>
      </c>
      <c r="BV41" s="1" t="s">
        <v>49</v>
      </c>
      <c r="BX41" s="2" t="s">
        <v>6</v>
      </c>
      <c r="BY41" s="1">
        <v>13.1</v>
      </c>
      <c r="BZ41" s="1">
        <v>13.02</v>
      </c>
      <c r="CA41" s="1" t="s">
        <v>49</v>
      </c>
      <c r="CC41" s="2" t="s">
        <v>6</v>
      </c>
      <c r="CD41" s="1">
        <v>0.39</v>
      </c>
      <c r="CE41" s="1">
        <v>0.39</v>
      </c>
      <c r="CF41" s="1" t="s">
        <v>49</v>
      </c>
      <c r="CH41" s="2" t="s">
        <v>6</v>
      </c>
      <c r="CI41" s="1">
        <v>0</v>
      </c>
      <c r="CJ41" s="1">
        <v>0</v>
      </c>
      <c r="CK41" s="1" t="s">
        <v>49</v>
      </c>
      <c r="CM41" s="2" t="s">
        <v>6</v>
      </c>
      <c r="CN41" s="1">
        <v>8.65</v>
      </c>
      <c r="CO41" s="1">
        <v>8.6</v>
      </c>
      <c r="CP41" s="1" t="s">
        <v>49</v>
      </c>
      <c r="CR41" s="2" t="s">
        <v>6</v>
      </c>
      <c r="CS41" s="1">
        <v>0.33</v>
      </c>
      <c r="CT41" s="1">
        <v>0.32</v>
      </c>
      <c r="CU41" s="1" t="s">
        <v>49</v>
      </c>
      <c r="CW41" s="2" t="s">
        <v>6</v>
      </c>
      <c r="CX41" s="1">
        <v>0</v>
      </c>
      <c r="CY41" s="1">
        <v>0</v>
      </c>
      <c r="CZ41" s="1" t="s">
        <v>49</v>
      </c>
      <c r="DB41" s="2" t="s">
        <v>6</v>
      </c>
      <c r="DC41" s="1">
        <v>6.12</v>
      </c>
      <c r="DD41" s="1">
        <v>6.08</v>
      </c>
      <c r="DE41" s="1" t="s">
        <v>49</v>
      </c>
      <c r="DG41" s="2" t="s">
        <v>6</v>
      </c>
      <c r="DH41" s="1">
        <v>0.28000000000000003</v>
      </c>
      <c r="DI41" s="1">
        <v>0.27</v>
      </c>
      <c r="DJ41" s="1" t="s">
        <v>49</v>
      </c>
      <c r="DL41" s="2" t="s">
        <v>6</v>
      </c>
      <c r="DM41" s="1">
        <v>0</v>
      </c>
      <c r="DN41" s="1">
        <v>0</v>
      </c>
      <c r="DO41" s="1" t="s">
        <v>49</v>
      </c>
    </row>
    <row r="42" spans="16:119">
      <c r="P42" s="2" t="s">
        <v>3</v>
      </c>
      <c r="Q42" s="1">
        <v>12.47</v>
      </c>
      <c r="R42" s="1">
        <v>12.4</v>
      </c>
      <c r="S42" s="1">
        <v>12.17</v>
      </c>
      <c r="U42" s="2" t="s">
        <v>3</v>
      </c>
      <c r="V42" s="1">
        <v>0.34</v>
      </c>
      <c r="W42" s="1">
        <v>0.34</v>
      </c>
      <c r="X42" s="1">
        <v>0.34</v>
      </c>
      <c r="Z42" s="2" t="s">
        <v>3</v>
      </c>
      <c r="AA42" s="1">
        <v>0</v>
      </c>
      <c r="AB42" s="1">
        <v>0</v>
      </c>
      <c r="AC42" s="1">
        <v>0</v>
      </c>
      <c r="AE42" s="2" t="s">
        <v>3</v>
      </c>
      <c r="AF42" s="1">
        <v>17.82</v>
      </c>
      <c r="AG42" s="1">
        <v>17.72</v>
      </c>
      <c r="AH42" s="1">
        <v>17.399999999999999</v>
      </c>
      <c r="AJ42" s="2" t="s">
        <v>3</v>
      </c>
      <c r="AK42" s="1">
        <v>0.39</v>
      </c>
      <c r="AL42" s="1">
        <v>0.39</v>
      </c>
      <c r="AM42" s="1">
        <v>0.39</v>
      </c>
      <c r="AO42" s="2" t="s">
        <v>3</v>
      </c>
      <c r="AP42" s="1">
        <v>0</v>
      </c>
      <c r="AQ42" s="1">
        <v>0</v>
      </c>
      <c r="AR42" s="1">
        <v>0</v>
      </c>
      <c r="AT42" s="2" t="s">
        <v>3</v>
      </c>
      <c r="AU42" s="1">
        <v>23.78</v>
      </c>
      <c r="AV42" s="1">
        <v>23.65</v>
      </c>
      <c r="AW42" s="1">
        <v>23.22</v>
      </c>
      <c r="AY42" s="2" t="s">
        <v>3</v>
      </c>
      <c r="AZ42" s="1">
        <v>0.49</v>
      </c>
      <c r="BA42" s="1">
        <v>0.49</v>
      </c>
      <c r="BB42" s="1">
        <v>0.49</v>
      </c>
      <c r="BD42" s="2" t="s">
        <v>3</v>
      </c>
      <c r="BE42" s="1">
        <v>0</v>
      </c>
      <c r="BF42" s="1">
        <v>0</v>
      </c>
      <c r="BG42" s="1">
        <v>0</v>
      </c>
      <c r="BI42" s="2" t="s">
        <v>3</v>
      </c>
      <c r="BJ42" s="1">
        <v>29.36</v>
      </c>
      <c r="BK42" s="1">
        <v>29.19</v>
      </c>
      <c r="BL42" s="1">
        <v>28.66</v>
      </c>
      <c r="BN42" s="2" t="s">
        <v>3</v>
      </c>
      <c r="BO42" s="1">
        <v>0.66</v>
      </c>
      <c r="BP42" s="1">
        <v>0.65</v>
      </c>
      <c r="BQ42" s="1">
        <v>0.65</v>
      </c>
      <c r="BS42" s="2" t="s">
        <v>3</v>
      </c>
      <c r="BT42" s="1">
        <v>0</v>
      </c>
      <c r="BU42" s="1">
        <v>0</v>
      </c>
      <c r="BV42" s="1">
        <v>0</v>
      </c>
      <c r="BX42" s="2" t="s">
        <v>3</v>
      </c>
      <c r="BY42" s="1">
        <v>8.41</v>
      </c>
      <c r="BZ42" s="1">
        <v>8.36</v>
      </c>
      <c r="CA42" s="1">
        <v>8.2100000000000009</v>
      </c>
      <c r="CC42" s="2" t="s">
        <v>3</v>
      </c>
      <c r="CD42" s="1">
        <v>0.28999999999999998</v>
      </c>
      <c r="CE42" s="1">
        <v>0.28000000000000003</v>
      </c>
      <c r="CF42" s="1">
        <v>0.28000000000000003</v>
      </c>
      <c r="CH42" s="2" t="s">
        <v>3</v>
      </c>
      <c r="CI42" s="1">
        <v>0</v>
      </c>
      <c r="CJ42" s="1">
        <v>0</v>
      </c>
      <c r="CK42" s="1">
        <v>0</v>
      </c>
      <c r="CM42" s="2" t="s">
        <v>3</v>
      </c>
      <c r="CN42" s="1">
        <v>5.67</v>
      </c>
      <c r="CO42" s="1">
        <v>5.64</v>
      </c>
      <c r="CP42" s="1">
        <v>5.53</v>
      </c>
      <c r="CR42" s="2" t="s">
        <v>3</v>
      </c>
      <c r="CS42" s="1">
        <v>0.25</v>
      </c>
      <c r="CT42" s="1">
        <v>0.24</v>
      </c>
      <c r="CU42" s="1">
        <v>0.24</v>
      </c>
      <c r="CW42" s="2" t="s">
        <v>3</v>
      </c>
      <c r="CX42" s="1">
        <v>0</v>
      </c>
      <c r="CY42" s="1">
        <v>0</v>
      </c>
      <c r="CZ42" s="1">
        <v>0</v>
      </c>
      <c r="DB42" s="2" t="s">
        <v>3</v>
      </c>
      <c r="DC42" s="1">
        <v>4.17</v>
      </c>
      <c r="DD42" s="1">
        <v>4.1500000000000004</v>
      </c>
      <c r="DE42" s="1">
        <v>4.07</v>
      </c>
      <c r="DG42" s="2" t="s">
        <v>3</v>
      </c>
      <c r="DH42" s="1">
        <v>0.22</v>
      </c>
      <c r="DI42" s="1">
        <v>0.21</v>
      </c>
      <c r="DJ42" s="1">
        <v>0.21</v>
      </c>
      <c r="DL42" s="2" t="s">
        <v>3</v>
      </c>
      <c r="DM42" s="1">
        <v>0</v>
      </c>
      <c r="DN42" s="1">
        <v>0</v>
      </c>
      <c r="DO42" s="1">
        <v>0</v>
      </c>
    </row>
    <row r="43" spans="16:119">
      <c r="P43" s="2" t="s">
        <v>4</v>
      </c>
      <c r="Q43" s="1" t="s">
        <v>49</v>
      </c>
      <c r="R43" s="1">
        <v>13.32</v>
      </c>
      <c r="S43" s="1">
        <v>13.08</v>
      </c>
      <c r="U43" s="2" t="s">
        <v>4</v>
      </c>
      <c r="V43" s="1" t="s">
        <v>49</v>
      </c>
      <c r="W43" s="1">
        <v>0.17</v>
      </c>
      <c r="X43" s="1">
        <v>0.17</v>
      </c>
      <c r="Z43" s="2" t="s">
        <v>4</v>
      </c>
      <c r="AA43" s="1" t="s">
        <v>49</v>
      </c>
      <c r="AB43" s="1">
        <v>0</v>
      </c>
      <c r="AC43" s="1">
        <v>0</v>
      </c>
      <c r="AE43" s="2" t="s">
        <v>4</v>
      </c>
      <c r="AF43" s="1" t="s">
        <v>49</v>
      </c>
      <c r="AG43" s="1">
        <v>18.670000000000002</v>
      </c>
      <c r="AH43" s="1">
        <v>18.329999999999998</v>
      </c>
      <c r="AJ43" s="2" t="s">
        <v>4</v>
      </c>
      <c r="AK43" s="1" t="s">
        <v>49</v>
      </c>
      <c r="AL43" s="1">
        <v>0.23</v>
      </c>
      <c r="AM43" s="1">
        <v>0.23</v>
      </c>
      <c r="AO43" s="2" t="s">
        <v>4</v>
      </c>
      <c r="AP43" s="1" t="s">
        <v>49</v>
      </c>
      <c r="AQ43" s="1">
        <v>0</v>
      </c>
      <c r="AR43" s="1">
        <v>0</v>
      </c>
      <c r="AT43" s="2" t="s">
        <v>4</v>
      </c>
      <c r="AU43" s="1" t="s">
        <v>49</v>
      </c>
      <c r="AV43" s="1">
        <v>24.19</v>
      </c>
      <c r="AW43" s="1">
        <v>23.75</v>
      </c>
      <c r="AY43" s="2" t="s">
        <v>4</v>
      </c>
      <c r="AZ43" s="1" t="s">
        <v>49</v>
      </c>
      <c r="BA43" s="1">
        <v>0.28999999999999998</v>
      </c>
      <c r="BB43" s="1">
        <v>0.28999999999999998</v>
      </c>
      <c r="BD43" s="2" t="s">
        <v>4</v>
      </c>
      <c r="BE43" s="1" t="s">
        <v>49</v>
      </c>
      <c r="BF43" s="1">
        <v>0</v>
      </c>
      <c r="BG43" s="1">
        <v>0</v>
      </c>
      <c r="BI43" s="2" t="s">
        <v>4</v>
      </c>
      <c r="BJ43" s="1" t="s">
        <v>49</v>
      </c>
      <c r="BK43" s="1">
        <v>29.41</v>
      </c>
      <c r="BL43" s="1">
        <v>28.88</v>
      </c>
      <c r="BN43" s="2" t="s">
        <v>4</v>
      </c>
      <c r="BO43" s="1" t="s">
        <v>49</v>
      </c>
      <c r="BP43" s="1">
        <v>0.39</v>
      </c>
      <c r="BQ43" s="1">
        <v>0.39</v>
      </c>
      <c r="BS43" s="2" t="s">
        <v>4</v>
      </c>
      <c r="BT43" s="1" t="s">
        <v>49</v>
      </c>
      <c r="BU43" s="1">
        <v>0</v>
      </c>
      <c r="BV43" s="1">
        <v>0</v>
      </c>
      <c r="BX43" s="2" t="s">
        <v>4</v>
      </c>
      <c r="BY43" s="1" t="s">
        <v>49</v>
      </c>
      <c r="BZ43" s="1">
        <v>9.16</v>
      </c>
      <c r="CA43" s="1">
        <v>8.99</v>
      </c>
      <c r="CC43" s="2" t="s">
        <v>4</v>
      </c>
      <c r="CD43" s="1" t="s">
        <v>49</v>
      </c>
      <c r="CE43" s="1">
        <v>0.13</v>
      </c>
      <c r="CF43" s="1">
        <v>0.13</v>
      </c>
      <c r="CH43" s="2" t="s">
        <v>4</v>
      </c>
      <c r="CI43" s="1" t="s">
        <v>49</v>
      </c>
      <c r="CJ43" s="1">
        <v>0</v>
      </c>
      <c r="CK43" s="1">
        <v>0</v>
      </c>
      <c r="CM43" s="2" t="s">
        <v>4</v>
      </c>
      <c r="CN43" s="1" t="s">
        <v>49</v>
      </c>
      <c r="CO43" s="1">
        <v>6.21</v>
      </c>
      <c r="CP43" s="1">
        <v>6.09</v>
      </c>
      <c r="CR43" s="2" t="s">
        <v>4</v>
      </c>
      <c r="CS43" s="1" t="s">
        <v>49</v>
      </c>
      <c r="CT43" s="1">
        <v>0.1</v>
      </c>
      <c r="CU43" s="1">
        <v>0.1</v>
      </c>
      <c r="CW43" s="2" t="s">
        <v>4</v>
      </c>
      <c r="CX43" s="1" t="s">
        <v>49</v>
      </c>
      <c r="CY43" s="1">
        <v>0</v>
      </c>
      <c r="CZ43" s="1">
        <v>0</v>
      </c>
      <c r="DB43" s="2" t="s">
        <v>4</v>
      </c>
      <c r="DC43" s="1" t="s">
        <v>49</v>
      </c>
      <c r="DD43" s="1">
        <v>4.5999999999999996</v>
      </c>
      <c r="DE43" s="1">
        <v>4.5199999999999996</v>
      </c>
      <c r="DG43" s="2" t="s">
        <v>4</v>
      </c>
      <c r="DH43" s="1" t="s">
        <v>49</v>
      </c>
      <c r="DI43" s="1">
        <v>0.08</v>
      </c>
      <c r="DJ43" s="1">
        <v>0.08</v>
      </c>
      <c r="DL43" s="2" t="s">
        <v>4</v>
      </c>
      <c r="DM43" s="1" t="s">
        <v>49</v>
      </c>
      <c r="DN43" s="1">
        <v>0</v>
      </c>
      <c r="DO43" s="1">
        <v>0</v>
      </c>
    </row>
    <row r="44" spans="16:119">
      <c r="P44" s="2" t="s">
        <v>5</v>
      </c>
      <c r="Q44" s="1" t="s">
        <v>49</v>
      </c>
      <c r="R44" s="1" t="s">
        <v>49</v>
      </c>
      <c r="S44" s="1">
        <v>11.91</v>
      </c>
      <c r="U44" s="2" t="s">
        <v>5</v>
      </c>
      <c r="V44" s="1" t="s">
        <v>49</v>
      </c>
      <c r="W44" s="1" t="s">
        <v>49</v>
      </c>
      <c r="X44" s="1">
        <v>0.17</v>
      </c>
      <c r="Z44" s="2" t="s">
        <v>5</v>
      </c>
      <c r="AA44" s="1" t="s">
        <v>49</v>
      </c>
      <c r="AB44" s="1" t="s">
        <v>49</v>
      </c>
      <c r="AC44" s="1">
        <v>0</v>
      </c>
      <c r="AE44" s="2" t="s">
        <v>5</v>
      </c>
      <c r="AF44" s="1" t="s">
        <v>49</v>
      </c>
      <c r="AG44" s="1" t="s">
        <v>49</v>
      </c>
      <c r="AH44" s="1">
        <v>16.04</v>
      </c>
      <c r="AJ44" s="2" t="s">
        <v>5</v>
      </c>
      <c r="AK44" s="1" t="s">
        <v>49</v>
      </c>
      <c r="AL44" s="1" t="s">
        <v>49</v>
      </c>
      <c r="AM44" s="1">
        <v>0.19</v>
      </c>
      <c r="AO44" s="2" t="s">
        <v>5</v>
      </c>
      <c r="AP44" s="1" t="s">
        <v>49</v>
      </c>
      <c r="AQ44" s="1" t="s">
        <v>49</v>
      </c>
      <c r="AR44" s="1">
        <v>0</v>
      </c>
      <c r="AT44" s="2" t="s">
        <v>5</v>
      </c>
      <c r="AU44" s="1" t="s">
        <v>49</v>
      </c>
      <c r="AV44" s="1" t="s">
        <v>49</v>
      </c>
      <c r="AW44" s="1">
        <v>20.64</v>
      </c>
      <c r="AY44" s="2" t="s">
        <v>5</v>
      </c>
      <c r="AZ44" s="1" t="s">
        <v>49</v>
      </c>
      <c r="BA44" s="1" t="s">
        <v>49</v>
      </c>
      <c r="BB44" s="1">
        <v>0.22</v>
      </c>
      <c r="BD44" s="2" t="s">
        <v>5</v>
      </c>
      <c r="BE44" s="1" t="s">
        <v>49</v>
      </c>
      <c r="BF44" s="1" t="s">
        <v>49</v>
      </c>
      <c r="BG44" s="1">
        <v>0</v>
      </c>
      <c r="BI44" s="2" t="s">
        <v>5</v>
      </c>
      <c r="BJ44" s="1" t="s">
        <v>49</v>
      </c>
      <c r="BK44" s="1" t="s">
        <v>49</v>
      </c>
      <c r="BL44" s="1">
        <v>25.15</v>
      </c>
      <c r="BN44" s="2" t="s">
        <v>5</v>
      </c>
      <c r="BO44" s="1" t="s">
        <v>49</v>
      </c>
      <c r="BP44" s="1" t="s">
        <v>49</v>
      </c>
      <c r="BQ44" s="1">
        <v>0.28999999999999998</v>
      </c>
      <c r="BS44" s="2" t="s">
        <v>5</v>
      </c>
      <c r="BT44" s="1" t="s">
        <v>49</v>
      </c>
      <c r="BU44" s="1" t="s">
        <v>49</v>
      </c>
      <c r="BV44" s="1">
        <v>0</v>
      </c>
      <c r="BX44" s="2" t="s">
        <v>5</v>
      </c>
      <c r="BY44" s="1" t="s">
        <v>49</v>
      </c>
      <c r="BZ44" s="1" t="s">
        <v>49</v>
      </c>
      <c r="CA44" s="1">
        <v>8.34</v>
      </c>
      <c r="CC44" s="2" t="s">
        <v>5</v>
      </c>
      <c r="CD44" s="1" t="s">
        <v>49</v>
      </c>
      <c r="CE44" s="1" t="s">
        <v>49</v>
      </c>
      <c r="CF44" s="1">
        <v>0.16</v>
      </c>
      <c r="CH44" s="2" t="s">
        <v>5</v>
      </c>
      <c r="CI44" s="1" t="s">
        <v>49</v>
      </c>
      <c r="CJ44" s="1" t="s">
        <v>49</v>
      </c>
      <c r="CK44" s="1">
        <v>0</v>
      </c>
      <c r="CM44" s="2" t="s">
        <v>5</v>
      </c>
      <c r="CN44" s="1" t="s">
        <v>49</v>
      </c>
      <c r="CO44" s="1" t="s">
        <v>49</v>
      </c>
      <c r="CP44" s="1">
        <v>6.03</v>
      </c>
      <c r="CR44" s="2" t="s">
        <v>5</v>
      </c>
      <c r="CS44" s="1" t="s">
        <v>49</v>
      </c>
      <c r="CT44" s="1" t="s">
        <v>49</v>
      </c>
      <c r="CU44" s="1">
        <v>0.14000000000000001</v>
      </c>
      <c r="CW44" s="2" t="s">
        <v>5</v>
      </c>
      <c r="CX44" s="1" t="s">
        <v>49</v>
      </c>
      <c r="CY44" s="1" t="s">
        <v>49</v>
      </c>
      <c r="CZ44" s="1">
        <v>0</v>
      </c>
      <c r="DB44" s="2" t="s">
        <v>5</v>
      </c>
      <c r="DC44" s="1" t="s">
        <v>49</v>
      </c>
      <c r="DD44" s="1" t="s">
        <v>49</v>
      </c>
      <c r="DE44" s="1">
        <v>4.63</v>
      </c>
      <c r="DG44" s="2" t="s">
        <v>5</v>
      </c>
      <c r="DH44" s="1" t="s">
        <v>49</v>
      </c>
      <c r="DI44" s="1" t="s">
        <v>49</v>
      </c>
      <c r="DJ44" s="1">
        <v>0.13</v>
      </c>
      <c r="DL44" s="2" t="s">
        <v>5</v>
      </c>
      <c r="DM44" s="1" t="s">
        <v>49</v>
      </c>
      <c r="DN44" s="1" t="s">
        <v>49</v>
      </c>
      <c r="DO44" s="1">
        <v>0</v>
      </c>
    </row>
    <row r="45" spans="16:119">
      <c r="P45" s="3" t="s">
        <v>137</v>
      </c>
      <c r="Q45" s="6">
        <f>AVERAGE(Q41:Q44)</f>
        <v>16.260000000000002</v>
      </c>
      <c r="R45" s="6">
        <f>AVERAGE(R41:R44)</f>
        <v>15.22</v>
      </c>
      <c r="S45" s="6">
        <f>AVERAGE(S41:S44)</f>
        <v>12.386666666666665</v>
      </c>
      <c r="U45" s="3" t="s">
        <v>137</v>
      </c>
      <c r="V45" s="6">
        <f>AVERAGE(V41:V44)</f>
        <v>0.42000000000000004</v>
      </c>
      <c r="W45" s="6">
        <f>AVERAGE(W41:W44)</f>
        <v>0.33333333333333331</v>
      </c>
      <c r="X45" s="6">
        <f>AVERAGE(X41:X44)</f>
        <v>0.22666666666666668</v>
      </c>
      <c r="Z45" s="3" t="s">
        <v>137</v>
      </c>
      <c r="AA45" s="6">
        <f>AVERAGE(AA41:AA44)</f>
        <v>0</v>
      </c>
      <c r="AB45" s="6">
        <f>AVERAGE(AB41:AB44)</f>
        <v>0</v>
      </c>
      <c r="AC45" s="6">
        <f>AVERAGE(AC41:AC44)</f>
        <v>0</v>
      </c>
      <c r="AE45" s="3" t="s">
        <v>137</v>
      </c>
      <c r="AF45" s="6">
        <f>AVERAGE(AF41:AF44)</f>
        <v>23.355</v>
      </c>
      <c r="AG45" s="6">
        <f>AVERAGE(AG41:AG44)</f>
        <v>21.703333333333333</v>
      </c>
      <c r="AH45" s="6">
        <f>AVERAGE(AH41:AH44)</f>
        <v>17.256666666666664</v>
      </c>
      <c r="AJ45" s="3" t="s">
        <v>137</v>
      </c>
      <c r="AK45" s="6">
        <f>AVERAGE(AK41:AK44)</f>
        <v>0.495</v>
      </c>
      <c r="AL45" s="6">
        <f>AVERAGE(AL41:AL44)</f>
        <v>0.40666666666666668</v>
      </c>
      <c r="AM45" s="6">
        <f>AVERAGE(AM41:AM44)</f>
        <v>0.27</v>
      </c>
      <c r="AO45" s="3" t="s">
        <v>137</v>
      </c>
      <c r="AP45" s="6">
        <f>AVERAGE(AP41:AP44)</f>
        <v>0</v>
      </c>
      <c r="AQ45" s="6">
        <f>AVERAGE(AQ41:AQ44)</f>
        <v>0</v>
      </c>
      <c r="AR45" s="6">
        <f>AVERAGE(AR41:AR44)</f>
        <v>0</v>
      </c>
      <c r="AT45" s="3" t="s">
        <v>137</v>
      </c>
      <c r="AU45" s="6">
        <f>AVERAGE(AU41:AU44)</f>
        <v>30.76</v>
      </c>
      <c r="AV45" s="6">
        <f>AVERAGE(AV41:AV44)</f>
        <v>28.453333333333333</v>
      </c>
      <c r="AW45" s="6">
        <f>AVERAGE(AW41:AW44)</f>
        <v>22.536666666666665</v>
      </c>
      <c r="AY45" s="3" t="s">
        <v>137</v>
      </c>
      <c r="AZ45" s="6">
        <f>AVERAGE(AZ41:AZ44)</f>
        <v>0.64500000000000002</v>
      </c>
      <c r="BA45" s="6">
        <f>AVERAGE(BA41:BA44)</f>
        <v>0.52333333333333332</v>
      </c>
      <c r="BB45" s="6">
        <f>AVERAGE(BB41:BB44)</f>
        <v>0.33333333333333331</v>
      </c>
      <c r="BD45" s="3" t="s">
        <v>137</v>
      </c>
      <c r="BE45" s="6">
        <f>AVERAGE(BE41:BE44)</f>
        <v>0</v>
      </c>
      <c r="BF45" s="6">
        <f>AVERAGE(BF41:BF44)</f>
        <v>0</v>
      </c>
      <c r="BG45" s="6">
        <f>AVERAGE(BG41:BG44)</f>
        <v>0</v>
      </c>
      <c r="BI45" s="3" t="s">
        <v>137</v>
      </c>
      <c r="BJ45" s="6">
        <f>AVERAGE(BJ41:BJ44)</f>
        <v>38.07</v>
      </c>
      <c r="BK45" s="6">
        <f>AVERAGE(BK41:BK44)</f>
        <v>35.036666666666669</v>
      </c>
      <c r="BL45" s="6">
        <f>AVERAGE(BL41:BL44)</f>
        <v>27.563333333333333</v>
      </c>
      <c r="BN45" s="3" t="s">
        <v>137</v>
      </c>
      <c r="BO45" s="6">
        <f>AVERAGE(BO41:BO44)</f>
        <v>0.92500000000000004</v>
      </c>
      <c r="BP45" s="6">
        <f>AVERAGE(BP41:BP44)</f>
        <v>0.73666666666666669</v>
      </c>
      <c r="BQ45" s="6">
        <f>AVERAGE(BQ41:BQ44)</f>
        <v>0.44333333333333336</v>
      </c>
      <c r="BS45" s="3" t="s">
        <v>137</v>
      </c>
      <c r="BT45" s="6">
        <f>AVERAGE(BT41:BT44)</f>
        <v>0</v>
      </c>
      <c r="BU45" s="6">
        <f>AVERAGE(BU41:BU44)</f>
        <v>0</v>
      </c>
      <c r="BV45" s="6">
        <f>AVERAGE(BV41:BV44)</f>
        <v>0</v>
      </c>
      <c r="BX45" s="3" t="s">
        <v>137</v>
      </c>
      <c r="BY45" s="6">
        <f>AVERAGE(BY41:BY44)</f>
        <v>10.754999999999999</v>
      </c>
      <c r="BZ45" s="6">
        <f>AVERAGE(BZ41:BZ44)</f>
        <v>10.18</v>
      </c>
      <c r="CA45" s="6">
        <f>AVERAGE(CA41:CA44)</f>
        <v>8.5133333333333336</v>
      </c>
      <c r="CC45" s="3" t="s">
        <v>137</v>
      </c>
      <c r="CD45" s="6">
        <f>AVERAGE(CD41:CD44)</f>
        <v>0.33999999999999997</v>
      </c>
      <c r="CE45" s="6">
        <f>AVERAGE(CE41:CE44)</f>
        <v>0.26666666666666666</v>
      </c>
      <c r="CF45" s="6">
        <f>AVERAGE(CF41:CF44)</f>
        <v>0.19000000000000003</v>
      </c>
      <c r="CH45" s="3" t="s">
        <v>137</v>
      </c>
      <c r="CI45" s="6">
        <f>AVERAGE(CI41:CI44)</f>
        <v>0</v>
      </c>
      <c r="CJ45" s="6">
        <f>AVERAGE(CJ41:CJ44)</f>
        <v>0</v>
      </c>
      <c r="CK45" s="6">
        <f>AVERAGE(CK41:CK44)</f>
        <v>0</v>
      </c>
      <c r="CM45" s="3" t="s">
        <v>137</v>
      </c>
      <c r="CN45" s="6">
        <f>AVERAGE(CN41:CN44)</f>
        <v>7.16</v>
      </c>
      <c r="CO45" s="6">
        <f>AVERAGE(CO41:CO44)</f>
        <v>6.8166666666666664</v>
      </c>
      <c r="CP45" s="6">
        <f>AVERAGE(CP41:CP44)</f>
        <v>5.8833333333333337</v>
      </c>
      <c r="CR45" s="3" t="s">
        <v>137</v>
      </c>
      <c r="CS45" s="6">
        <f>AVERAGE(CS41:CS44)</f>
        <v>0.29000000000000004</v>
      </c>
      <c r="CT45" s="6">
        <f>AVERAGE(CT41:CT44)</f>
        <v>0.22</v>
      </c>
      <c r="CU45" s="6">
        <f>AVERAGE(CU41:CU44)</f>
        <v>0.16</v>
      </c>
      <c r="CW45" s="3" t="s">
        <v>137</v>
      </c>
      <c r="CX45" s="6">
        <f>AVERAGE(CX41:CX44)</f>
        <v>0</v>
      </c>
      <c r="CY45" s="6">
        <f>AVERAGE(CY41:CY44)</f>
        <v>0</v>
      </c>
      <c r="CZ45" s="6">
        <f>AVERAGE(CZ41:CZ44)</f>
        <v>0</v>
      </c>
      <c r="DB45" s="3" t="s">
        <v>137</v>
      </c>
      <c r="DC45" s="6">
        <f>AVERAGE(DC41:DC44)</f>
        <v>5.1449999999999996</v>
      </c>
      <c r="DD45" s="6">
        <f>AVERAGE(DD41:DD44)</f>
        <v>4.9433333333333334</v>
      </c>
      <c r="DE45" s="6">
        <f>AVERAGE(DE41:DE44)</f>
        <v>4.4066666666666663</v>
      </c>
      <c r="DG45" s="3" t="s">
        <v>137</v>
      </c>
      <c r="DH45" s="6">
        <f>AVERAGE(DH41:DH44)</f>
        <v>0.25</v>
      </c>
      <c r="DI45" s="6">
        <f>AVERAGE(DI41:DI44)</f>
        <v>0.18666666666666665</v>
      </c>
      <c r="DJ45" s="6">
        <f>AVERAGE(DJ41:DJ44)</f>
        <v>0.13999999999999999</v>
      </c>
      <c r="DL45" s="3" t="s">
        <v>137</v>
      </c>
      <c r="DM45" s="6">
        <f>AVERAGE(DM41:DM44)</f>
        <v>0</v>
      </c>
      <c r="DN45" s="6">
        <f>AVERAGE(DN41:DN44)</f>
        <v>0</v>
      </c>
      <c r="DO45" s="6">
        <f>AVERAGE(DO41:DO44)</f>
        <v>0</v>
      </c>
    </row>
    <row r="47" spans="16:119">
      <c r="P47" s="47" t="s">
        <v>67</v>
      </c>
      <c r="Q47" s="47"/>
      <c r="R47" s="47"/>
      <c r="S47" s="47"/>
      <c r="U47" s="47" t="s">
        <v>71</v>
      </c>
      <c r="V47" s="47"/>
      <c r="W47" s="47"/>
      <c r="X47" s="47"/>
      <c r="Z47" s="47" t="s">
        <v>57</v>
      </c>
      <c r="AA47" s="47"/>
      <c r="AB47" s="47"/>
      <c r="AC47" s="47"/>
      <c r="AE47" s="47" t="s">
        <v>67</v>
      </c>
      <c r="AF47" s="47"/>
      <c r="AG47" s="47"/>
      <c r="AH47" s="47"/>
      <c r="AJ47" s="47" t="s">
        <v>71</v>
      </c>
      <c r="AK47" s="47"/>
      <c r="AL47" s="47"/>
      <c r="AM47" s="47"/>
      <c r="AO47" s="47" t="s">
        <v>57</v>
      </c>
      <c r="AP47" s="47"/>
      <c r="AQ47" s="47"/>
      <c r="AR47" s="47"/>
      <c r="AT47" s="47" t="s">
        <v>67</v>
      </c>
      <c r="AU47" s="47"/>
      <c r="AV47" s="47"/>
      <c r="AW47" s="47"/>
      <c r="AY47" s="47" t="s">
        <v>71</v>
      </c>
      <c r="AZ47" s="47"/>
      <c r="BA47" s="47"/>
      <c r="BB47" s="47"/>
      <c r="BD47" s="47" t="s">
        <v>57</v>
      </c>
      <c r="BE47" s="47"/>
      <c r="BF47" s="47"/>
      <c r="BG47" s="47"/>
      <c r="BI47" s="47" t="s">
        <v>67</v>
      </c>
      <c r="BJ47" s="47"/>
      <c r="BK47" s="47"/>
      <c r="BL47" s="47"/>
      <c r="BN47" s="47" t="s">
        <v>71</v>
      </c>
      <c r="BO47" s="47"/>
      <c r="BP47" s="47"/>
      <c r="BQ47" s="47"/>
      <c r="BS47" s="47" t="s">
        <v>57</v>
      </c>
      <c r="BT47" s="47"/>
      <c r="BU47" s="47"/>
      <c r="BV47" s="47"/>
      <c r="BX47" s="47" t="s">
        <v>67</v>
      </c>
      <c r="BY47" s="47"/>
      <c r="BZ47" s="47"/>
      <c r="CA47" s="47"/>
      <c r="CC47" s="47" t="s">
        <v>71</v>
      </c>
      <c r="CD47" s="47"/>
      <c r="CE47" s="47"/>
      <c r="CF47" s="47"/>
      <c r="CH47" s="47" t="s">
        <v>57</v>
      </c>
      <c r="CI47" s="47"/>
      <c r="CJ47" s="47"/>
      <c r="CK47" s="47"/>
      <c r="CM47" s="47" t="s">
        <v>67</v>
      </c>
      <c r="CN47" s="47"/>
      <c r="CO47" s="47"/>
      <c r="CP47" s="47"/>
      <c r="CR47" s="47" t="s">
        <v>71</v>
      </c>
      <c r="CS47" s="47"/>
      <c r="CT47" s="47"/>
      <c r="CU47" s="47"/>
      <c r="CW47" s="47" t="s">
        <v>57</v>
      </c>
      <c r="CX47" s="47"/>
      <c r="CY47" s="47"/>
      <c r="CZ47" s="47"/>
      <c r="DB47" s="47" t="s">
        <v>67</v>
      </c>
      <c r="DC47" s="47"/>
      <c r="DD47" s="47"/>
      <c r="DE47" s="47"/>
      <c r="DG47" s="47" t="s">
        <v>71</v>
      </c>
      <c r="DH47" s="47"/>
      <c r="DI47" s="47"/>
      <c r="DJ47" s="47"/>
      <c r="DL47" s="47" t="s">
        <v>57</v>
      </c>
      <c r="DM47" s="47"/>
      <c r="DN47" s="47"/>
      <c r="DO47" s="47"/>
    </row>
    <row r="48" spans="16:119">
      <c r="P48" s="2"/>
      <c r="Q48" s="2">
        <v>2000</v>
      </c>
      <c r="R48" s="2">
        <v>2007</v>
      </c>
      <c r="S48" s="2">
        <v>2015</v>
      </c>
      <c r="U48" s="2"/>
      <c r="V48" s="2">
        <v>2000</v>
      </c>
      <c r="W48" s="2">
        <v>2007</v>
      </c>
      <c r="X48" s="2">
        <v>2015</v>
      </c>
      <c r="Z48" s="2"/>
      <c r="AA48" s="2">
        <v>2000</v>
      </c>
      <c r="AB48" s="2">
        <v>2007</v>
      </c>
      <c r="AC48" s="2">
        <v>2015</v>
      </c>
      <c r="AE48" s="2"/>
      <c r="AF48" s="2">
        <v>2000</v>
      </c>
      <c r="AG48" s="2">
        <v>2007</v>
      </c>
      <c r="AH48" s="2">
        <v>2015</v>
      </c>
      <c r="AJ48" s="2"/>
      <c r="AK48" s="2">
        <v>2000</v>
      </c>
      <c r="AL48" s="2">
        <v>2007</v>
      </c>
      <c r="AM48" s="2">
        <v>2015</v>
      </c>
      <c r="AO48" s="2"/>
      <c r="AP48" s="2">
        <v>2000</v>
      </c>
      <c r="AQ48" s="2">
        <v>2007</v>
      </c>
      <c r="AR48" s="2">
        <v>2015</v>
      </c>
      <c r="AT48" s="2"/>
      <c r="AU48" s="2">
        <v>2000</v>
      </c>
      <c r="AV48" s="2">
        <v>2007</v>
      </c>
      <c r="AW48" s="2">
        <v>2015</v>
      </c>
      <c r="AY48" s="2"/>
      <c r="AZ48" s="2">
        <v>2000</v>
      </c>
      <c r="BA48" s="2">
        <v>2007</v>
      </c>
      <c r="BB48" s="2">
        <v>2015</v>
      </c>
      <c r="BD48" s="2"/>
      <c r="BE48" s="2">
        <v>2000</v>
      </c>
      <c r="BF48" s="2">
        <v>2007</v>
      </c>
      <c r="BG48" s="2">
        <v>2015</v>
      </c>
      <c r="BI48" s="2"/>
      <c r="BJ48" s="2">
        <v>2000</v>
      </c>
      <c r="BK48" s="2">
        <v>2007</v>
      </c>
      <c r="BL48" s="2">
        <v>2015</v>
      </c>
      <c r="BN48" s="2"/>
      <c r="BO48" s="2">
        <v>2000</v>
      </c>
      <c r="BP48" s="2">
        <v>2007</v>
      </c>
      <c r="BQ48" s="2">
        <v>2015</v>
      </c>
      <c r="BS48" s="2"/>
      <c r="BT48" s="2">
        <v>2000</v>
      </c>
      <c r="BU48" s="2">
        <v>2007</v>
      </c>
      <c r="BV48" s="2">
        <v>2015</v>
      </c>
      <c r="BX48" s="2"/>
      <c r="BY48" s="2">
        <v>2000</v>
      </c>
      <c r="BZ48" s="2">
        <v>2007</v>
      </c>
      <c r="CA48" s="2">
        <v>2015</v>
      </c>
      <c r="CC48" s="2"/>
      <c r="CD48" s="2">
        <v>2000</v>
      </c>
      <c r="CE48" s="2">
        <v>2007</v>
      </c>
      <c r="CF48" s="2">
        <v>2015</v>
      </c>
      <c r="CH48" s="2"/>
      <c r="CI48" s="2">
        <v>2000</v>
      </c>
      <c r="CJ48" s="2">
        <v>2007</v>
      </c>
      <c r="CK48" s="2">
        <v>2015</v>
      </c>
      <c r="CM48" s="2"/>
      <c r="CN48" s="2">
        <v>2000</v>
      </c>
      <c r="CO48" s="2">
        <v>2007</v>
      </c>
      <c r="CP48" s="2">
        <v>2015</v>
      </c>
      <c r="CR48" s="2"/>
      <c r="CS48" s="2">
        <v>2000</v>
      </c>
      <c r="CT48" s="2">
        <v>2007</v>
      </c>
      <c r="CU48" s="2">
        <v>2015</v>
      </c>
      <c r="CW48" s="2"/>
      <c r="CX48" s="2">
        <v>2000</v>
      </c>
      <c r="CY48" s="2">
        <v>2007</v>
      </c>
      <c r="CZ48" s="2">
        <v>2015</v>
      </c>
      <c r="DB48" s="2"/>
      <c r="DC48" s="2">
        <v>2000</v>
      </c>
      <c r="DD48" s="2">
        <v>2007</v>
      </c>
      <c r="DE48" s="2">
        <v>2015</v>
      </c>
      <c r="DG48" s="2"/>
      <c r="DH48" s="2">
        <v>2000</v>
      </c>
      <c r="DI48" s="2">
        <v>2007</v>
      </c>
      <c r="DJ48" s="2">
        <v>2015</v>
      </c>
      <c r="DL48" s="2"/>
      <c r="DM48" s="2">
        <v>2000</v>
      </c>
      <c r="DN48" s="2">
        <v>2007</v>
      </c>
      <c r="DO48" s="2">
        <v>2015</v>
      </c>
    </row>
    <row r="49" spans="16:119">
      <c r="P49" s="2" t="s">
        <v>6</v>
      </c>
      <c r="Q49" s="1">
        <v>17.850000000000001</v>
      </c>
      <c r="R49" s="1">
        <v>17.75</v>
      </c>
      <c r="S49" s="1" t="s">
        <v>49</v>
      </c>
      <c r="U49" s="2" t="s">
        <v>6</v>
      </c>
      <c r="V49" s="1">
        <v>0.4</v>
      </c>
      <c r="W49" s="1">
        <v>0.39</v>
      </c>
      <c r="X49" s="1" t="s">
        <v>49</v>
      </c>
      <c r="Z49" s="2" t="s">
        <v>6</v>
      </c>
      <c r="AA49" s="1">
        <v>1.17</v>
      </c>
      <c r="AB49" s="1">
        <v>1.17</v>
      </c>
      <c r="AC49" s="1" t="s">
        <v>49</v>
      </c>
      <c r="AE49" s="2" t="s">
        <v>6</v>
      </c>
      <c r="AF49" s="1">
        <v>25.71</v>
      </c>
      <c r="AG49" s="1">
        <v>25.56</v>
      </c>
      <c r="AH49" s="1" t="s">
        <v>49</v>
      </c>
      <c r="AJ49" s="2" t="s">
        <v>6</v>
      </c>
      <c r="AK49" s="1">
        <v>0.48</v>
      </c>
      <c r="AL49" s="1">
        <v>0.48</v>
      </c>
      <c r="AM49" s="1" t="s">
        <v>49</v>
      </c>
      <c r="AO49" s="2" t="s">
        <v>6</v>
      </c>
      <c r="AP49" s="1">
        <v>1.44</v>
      </c>
      <c r="AQ49" s="1">
        <v>1.44</v>
      </c>
      <c r="AR49" s="1" t="s">
        <v>49</v>
      </c>
      <c r="AT49" s="2" t="s">
        <v>6</v>
      </c>
      <c r="AU49" s="1">
        <v>33.590000000000003</v>
      </c>
      <c r="AV49" s="1">
        <v>33.4</v>
      </c>
      <c r="AW49" s="1" t="s">
        <v>49</v>
      </c>
      <c r="AY49" s="2" t="s">
        <v>6</v>
      </c>
      <c r="AZ49" s="1">
        <v>0.64</v>
      </c>
      <c r="BA49" s="1">
        <v>0.63</v>
      </c>
      <c r="BB49" s="1" t="s">
        <v>49</v>
      </c>
      <c r="BD49" s="2" t="s">
        <v>6</v>
      </c>
      <c r="BE49" s="1">
        <v>1.75</v>
      </c>
      <c r="BF49" s="1">
        <v>1.75</v>
      </c>
      <c r="BG49" s="1" t="s">
        <v>49</v>
      </c>
      <c r="BI49" s="2" t="s">
        <v>6</v>
      </c>
      <c r="BJ49" s="1">
        <v>41.64</v>
      </c>
      <c r="BK49" s="1">
        <v>41.4</v>
      </c>
      <c r="BL49" s="1" t="s">
        <v>49</v>
      </c>
      <c r="BN49" s="2" t="s">
        <v>6</v>
      </c>
      <c r="BO49" s="1">
        <v>0.95</v>
      </c>
      <c r="BP49" s="1">
        <v>0.94</v>
      </c>
      <c r="BQ49" s="1" t="s">
        <v>49</v>
      </c>
      <c r="BS49" s="2" t="s">
        <v>6</v>
      </c>
      <c r="BT49" s="1">
        <v>2.09</v>
      </c>
      <c r="BU49" s="1">
        <v>2.09</v>
      </c>
      <c r="BV49" s="1" t="s">
        <v>49</v>
      </c>
      <c r="BX49" s="2" t="s">
        <v>6</v>
      </c>
      <c r="BY49" s="1">
        <v>11.66</v>
      </c>
      <c r="BZ49" s="1">
        <v>11.59</v>
      </c>
      <c r="CA49" s="1" t="s">
        <v>49</v>
      </c>
      <c r="CC49" s="2" t="s">
        <v>6</v>
      </c>
      <c r="CD49" s="1">
        <v>0.31</v>
      </c>
      <c r="CE49" s="1">
        <v>0.31</v>
      </c>
      <c r="CF49" s="1" t="s">
        <v>49</v>
      </c>
      <c r="CH49" s="2" t="s">
        <v>6</v>
      </c>
      <c r="CI49" s="1">
        <v>0.93</v>
      </c>
      <c r="CJ49" s="1">
        <v>0.93</v>
      </c>
      <c r="CK49" s="1" t="s">
        <v>49</v>
      </c>
      <c r="CM49" s="2" t="s">
        <v>6</v>
      </c>
      <c r="CN49" s="1">
        <v>7.7</v>
      </c>
      <c r="CO49" s="1">
        <v>7.66</v>
      </c>
      <c r="CP49" s="1" t="s">
        <v>49</v>
      </c>
      <c r="CR49" s="2" t="s">
        <v>6</v>
      </c>
      <c r="CS49" s="1">
        <v>0.26</v>
      </c>
      <c r="CT49" s="1">
        <v>0.26</v>
      </c>
      <c r="CU49" s="1" t="s">
        <v>49</v>
      </c>
      <c r="CW49" s="2" t="s">
        <v>6</v>
      </c>
      <c r="CX49" s="1">
        <v>0.76</v>
      </c>
      <c r="CY49" s="1">
        <v>0.76</v>
      </c>
      <c r="CZ49" s="1" t="s">
        <v>49</v>
      </c>
      <c r="DB49" s="2" t="s">
        <v>6</v>
      </c>
      <c r="DC49" s="1">
        <v>5.44</v>
      </c>
      <c r="DD49" s="1">
        <v>5.41</v>
      </c>
      <c r="DE49" s="1" t="s">
        <v>49</v>
      </c>
      <c r="DG49" s="2" t="s">
        <v>6</v>
      </c>
      <c r="DH49" s="1">
        <v>0.22</v>
      </c>
      <c r="DI49" s="1">
        <v>0.22</v>
      </c>
      <c r="DJ49" s="1" t="s">
        <v>49</v>
      </c>
      <c r="DL49" s="2" t="s">
        <v>6</v>
      </c>
      <c r="DM49" s="1">
        <v>0.66</v>
      </c>
      <c r="DN49" s="1">
        <v>0.66</v>
      </c>
      <c r="DO49" s="1" t="s">
        <v>49</v>
      </c>
    </row>
    <row r="50" spans="16:119">
      <c r="P50" s="2" t="s">
        <v>3</v>
      </c>
      <c r="Q50" s="1">
        <v>11.1</v>
      </c>
      <c r="R50" s="1">
        <v>11.03</v>
      </c>
      <c r="S50" s="1">
        <v>10.83</v>
      </c>
      <c r="U50" s="2" t="s">
        <v>3</v>
      </c>
      <c r="V50" s="1">
        <v>0.14000000000000001</v>
      </c>
      <c r="W50" s="1">
        <v>0.14000000000000001</v>
      </c>
      <c r="X50" s="1">
        <v>0.14000000000000001</v>
      </c>
      <c r="Z50" s="2" t="s">
        <v>3</v>
      </c>
      <c r="AA50" s="1">
        <v>1.05</v>
      </c>
      <c r="AB50" s="1">
        <v>1.05</v>
      </c>
      <c r="AC50" s="1">
        <v>1.05</v>
      </c>
      <c r="AE50" s="2" t="s">
        <v>3</v>
      </c>
      <c r="AF50" s="1">
        <v>15.86</v>
      </c>
      <c r="AG50" s="1">
        <v>15.77</v>
      </c>
      <c r="AH50" s="1">
        <v>15.49</v>
      </c>
      <c r="AJ50" s="2" t="s">
        <v>3</v>
      </c>
      <c r="AK50" s="1">
        <v>0.16</v>
      </c>
      <c r="AL50" s="1">
        <v>0.15</v>
      </c>
      <c r="AM50" s="1">
        <v>0.15</v>
      </c>
      <c r="AO50" s="2" t="s">
        <v>3</v>
      </c>
      <c r="AP50" s="1">
        <v>1.32</v>
      </c>
      <c r="AQ50" s="1">
        <v>1.32</v>
      </c>
      <c r="AR50" s="1">
        <v>1.32</v>
      </c>
      <c r="AT50" s="2" t="s">
        <v>3</v>
      </c>
      <c r="AU50" s="1">
        <v>21.17</v>
      </c>
      <c r="AV50" s="1">
        <v>21.05</v>
      </c>
      <c r="AW50" s="1">
        <v>20.66</v>
      </c>
      <c r="AY50" s="2" t="s">
        <v>3</v>
      </c>
      <c r="AZ50" s="1">
        <v>0.2</v>
      </c>
      <c r="BA50" s="1">
        <v>0.19</v>
      </c>
      <c r="BB50" s="1">
        <v>0.19</v>
      </c>
      <c r="BD50" s="2" t="s">
        <v>3</v>
      </c>
      <c r="BE50" s="1">
        <v>1.63</v>
      </c>
      <c r="BF50" s="1">
        <v>1.63</v>
      </c>
      <c r="BG50" s="1">
        <v>1.63</v>
      </c>
      <c r="BI50" s="2" t="s">
        <v>3</v>
      </c>
      <c r="BJ50" s="1">
        <v>26.13</v>
      </c>
      <c r="BK50" s="1">
        <v>25.98</v>
      </c>
      <c r="BL50" s="1">
        <v>25.5</v>
      </c>
      <c r="BN50" s="2" t="s">
        <v>3</v>
      </c>
      <c r="BO50" s="1">
        <v>0.26</v>
      </c>
      <c r="BP50" s="1">
        <v>0.26</v>
      </c>
      <c r="BQ50" s="1">
        <v>0.26</v>
      </c>
      <c r="BS50" s="2" t="s">
        <v>3</v>
      </c>
      <c r="BT50" s="1">
        <v>1.95</v>
      </c>
      <c r="BU50" s="1">
        <v>1.95</v>
      </c>
      <c r="BV50" s="1">
        <v>1.95</v>
      </c>
      <c r="BX50" s="2" t="s">
        <v>3</v>
      </c>
      <c r="BY50" s="1">
        <v>7.48</v>
      </c>
      <c r="BZ50" s="1">
        <v>7.44</v>
      </c>
      <c r="CA50" s="1">
        <v>7.31</v>
      </c>
      <c r="CC50" s="2" t="s">
        <v>3</v>
      </c>
      <c r="CD50" s="1">
        <v>0.11</v>
      </c>
      <c r="CE50" s="1">
        <v>0.11</v>
      </c>
      <c r="CF50" s="1">
        <v>0.11</v>
      </c>
      <c r="CH50" s="2" t="s">
        <v>3</v>
      </c>
      <c r="CI50" s="1">
        <v>0.84</v>
      </c>
      <c r="CJ50" s="1">
        <v>0.84</v>
      </c>
      <c r="CK50" s="1">
        <v>0.84</v>
      </c>
      <c r="CM50" s="2" t="s">
        <v>3</v>
      </c>
      <c r="CN50" s="1">
        <v>5.04</v>
      </c>
      <c r="CO50" s="1">
        <v>5.0199999999999996</v>
      </c>
      <c r="CP50" s="1">
        <v>4.92</v>
      </c>
      <c r="CR50" s="2" t="s">
        <v>3</v>
      </c>
      <c r="CS50" s="1">
        <v>0.1</v>
      </c>
      <c r="CT50" s="1">
        <v>0.1</v>
      </c>
      <c r="CU50" s="1">
        <v>0.1</v>
      </c>
      <c r="CW50" s="2" t="s">
        <v>3</v>
      </c>
      <c r="CX50" s="1">
        <v>0.69</v>
      </c>
      <c r="CY50" s="1">
        <v>0.69</v>
      </c>
      <c r="CZ50" s="1">
        <v>0.69</v>
      </c>
      <c r="DB50" s="2" t="s">
        <v>3</v>
      </c>
      <c r="DC50" s="1">
        <v>3.71</v>
      </c>
      <c r="DD50" s="1">
        <v>3.69</v>
      </c>
      <c r="DE50" s="1">
        <v>3.62</v>
      </c>
      <c r="DG50" s="2" t="s">
        <v>3</v>
      </c>
      <c r="DH50" s="1">
        <v>0.09</v>
      </c>
      <c r="DI50" s="1">
        <v>0.09</v>
      </c>
      <c r="DJ50" s="1">
        <v>0.09</v>
      </c>
      <c r="DL50" s="2" t="s">
        <v>3</v>
      </c>
      <c r="DM50" s="1">
        <v>0.6</v>
      </c>
      <c r="DN50" s="1">
        <v>0.6</v>
      </c>
      <c r="DO50" s="1">
        <v>0.6</v>
      </c>
    </row>
    <row r="51" spans="16:119">
      <c r="P51" s="2" t="s">
        <v>4</v>
      </c>
      <c r="Q51" s="1" t="s">
        <v>49</v>
      </c>
      <c r="R51" s="1">
        <v>11.86</v>
      </c>
      <c r="S51" s="1">
        <v>11.64</v>
      </c>
      <c r="U51" s="2" t="s">
        <v>4</v>
      </c>
      <c r="V51" s="1" t="s">
        <v>49</v>
      </c>
      <c r="W51" s="1">
        <v>7.0000000000000007E-2</v>
      </c>
      <c r="X51" s="1">
        <v>7.0000000000000007E-2</v>
      </c>
      <c r="Z51" s="2" t="s">
        <v>4</v>
      </c>
      <c r="AA51" s="1" t="s">
        <v>49</v>
      </c>
      <c r="AB51" s="1">
        <v>1.03</v>
      </c>
      <c r="AC51" s="1">
        <v>1.03</v>
      </c>
      <c r="AE51" s="2" t="s">
        <v>4</v>
      </c>
      <c r="AF51" s="1" t="s">
        <v>49</v>
      </c>
      <c r="AG51" s="1">
        <v>16.62</v>
      </c>
      <c r="AH51" s="1">
        <v>16.32</v>
      </c>
      <c r="AJ51" s="2" t="s">
        <v>4</v>
      </c>
      <c r="AK51" s="1" t="s">
        <v>49</v>
      </c>
      <c r="AL51" s="1">
        <v>0.09</v>
      </c>
      <c r="AM51" s="1">
        <v>0.09</v>
      </c>
      <c r="AO51" s="2" t="s">
        <v>4</v>
      </c>
      <c r="AP51" s="1" t="s">
        <v>49</v>
      </c>
      <c r="AQ51" s="1">
        <v>1.3</v>
      </c>
      <c r="AR51" s="1">
        <v>1.3</v>
      </c>
      <c r="AT51" s="2" t="s">
        <v>4</v>
      </c>
      <c r="AU51" s="1" t="s">
        <v>49</v>
      </c>
      <c r="AV51" s="1">
        <v>21.53</v>
      </c>
      <c r="AW51" s="1">
        <v>21.13</v>
      </c>
      <c r="AY51" s="2" t="s">
        <v>4</v>
      </c>
      <c r="AZ51" s="1" t="s">
        <v>49</v>
      </c>
      <c r="BA51" s="1">
        <v>0.11</v>
      </c>
      <c r="BB51" s="1">
        <v>0.11</v>
      </c>
      <c r="BD51" s="2" t="s">
        <v>4</v>
      </c>
      <c r="BE51" s="1" t="s">
        <v>49</v>
      </c>
      <c r="BF51" s="1">
        <v>1.61</v>
      </c>
      <c r="BG51" s="1">
        <v>1.61</v>
      </c>
      <c r="BI51" s="2" t="s">
        <v>4</v>
      </c>
      <c r="BJ51" s="1" t="s">
        <v>49</v>
      </c>
      <c r="BK51" s="1">
        <v>26.18</v>
      </c>
      <c r="BL51" s="1">
        <v>25.7</v>
      </c>
      <c r="BN51" s="2" t="s">
        <v>4</v>
      </c>
      <c r="BO51" s="1" t="s">
        <v>49</v>
      </c>
      <c r="BP51" s="1">
        <v>0.16</v>
      </c>
      <c r="BQ51" s="1">
        <v>0.16</v>
      </c>
      <c r="BS51" s="2" t="s">
        <v>4</v>
      </c>
      <c r="BT51" s="1" t="s">
        <v>49</v>
      </c>
      <c r="BU51" s="1">
        <v>1.94</v>
      </c>
      <c r="BV51" s="1">
        <v>1.94</v>
      </c>
      <c r="BX51" s="2" t="s">
        <v>4</v>
      </c>
      <c r="BY51" s="1" t="s">
        <v>49</v>
      </c>
      <c r="BZ51" s="1">
        <v>8.15</v>
      </c>
      <c r="CA51" s="1">
        <v>8</v>
      </c>
      <c r="CC51" s="2" t="s">
        <v>4</v>
      </c>
      <c r="CD51" s="1" t="s">
        <v>49</v>
      </c>
      <c r="CE51" s="1">
        <v>0.05</v>
      </c>
      <c r="CF51" s="1">
        <v>0.05</v>
      </c>
      <c r="CH51" s="2" t="s">
        <v>4</v>
      </c>
      <c r="CI51" s="1" t="s">
        <v>49</v>
      </c>
      <c r="CJ51" s="1">
        <v>0.81</v>
      </c>
      <c r="CK51" s="1">
        <v>0.81</v>
      </c>
      <c r="CM51" s="2" t="s">
        <v>4</v>
      </c>
      <c r="CN51" s="1" t="s">
        <v>49</v>
      </c>
      <c r="CO51" s="1">
        <v>5.52</v>
      </c>
      <c r="CP51" s="1">
        <v>5.42</v>
      </c>
      <c r="CR51" s="2" t="s">
        <v>4</v>
      </c>
      <c r="CS51" s="1" t="s">
        <v>49</v>
      </c>
      <c r="CT51" s="1">
        <v>0.04</v>
      </c>
      <c r="CU51" s="1">
        <v>0.04</v>
      </c>
      <c r="CW51" s="2" t="s">
        <v>4</v>
      </c>
      <c r="CX51" s="1" t="s">
        <v>49</v>
      </c>
      <c r="CY51" s="1">
        <v>0.67</v>
      </c>
      <c r="CZ51" s="1">
        <v>0.67</v>
      </c>
      <c r="DB51" s="2" t="s">
        <v>4</v>
      </c>
      <c r="DC51" s="1" t="s">
        <v>49</v>
      </c>
      <c r="DD51" s="1">
        <v>4.0999999999999996</v>
      </c>
      <c r="DE51" s="1">
        <v>4.0199999999999996</v>
      </c>
      <c r="DG51" s="2" t="s">
        <v>4</v>
      </c>
      <c r="DH51" s="1" t="s">
        <v>49</v>
      </c>
      <c r="DI51" s="1">
        <v>0.03</v>
      </c>
      <c r="DJ51" s="1">
        <v>0.03</v>
      </c>
      <c r="DL51" s="2" t="s">
        <v>4</v>
      </c>
      <c r="DM51" s="1" t="s">
        <v>49</v>
      </c>
      <c r="DN51" s="1">
        <v>0.59</v>
      </c>
      <c r="DO51" s="1">
        <v>0.59</v>
      </c>
    </row>
    <row r="52" spans="16:119">
      <c r="P52" s="2" t="s">
        <v>5</v>
      </c>
      <c r="Q52" s="1" t="s">
        <v>49</v>
      </c>
      <c r="R52" s="1" t="s">
        <v>49</v>
      </c>
      <c r="S52" s="1">
        <v>10.24</v>
      </c>
      <c r="U52" s="2" t="s">
        <v>5</v>
      </c>
      <c r="V52" s="1" t="s">
        <v>49</v>
      </c>
      <c r="W52" s="1" t="s">
        <v>49</v>
      </c>
      <c r="X52" s="1">
        <v>0.05</v>
      </c>
      <c r="Z52" s="2" t="s">
        <v>5</v>
      </c>
      <c r="AA52" s="1" t="s">
        <v>49</v>
      </c>
      <c r="AB52" s="1" t="s">
        <v>49</v>
      </c>
      <c r="AC52" s="1">
        <v>1.05</v>
      </c>
      <c r="AE52" s="2" t="s">
        <v>5</v>
      </c>
      <c r="AF52" s="1" t="s">
        <v>49</v>
      </c>
      <c r="AG52" s="1" t="s">
        <v>49</v>
      </c>
      <c r="AH52" s="1">
        <v>13.79</v>
      </c>
      <c r="AJ52" s="2" t="s">
        <v>5</v>
      </c>
      <c r="AK52" s="1" t="s">
        <v>49</v>
      </c>
      <c r="AL52" s="1" t="s">
        <v>49</v>
      </c>
      <c r="AM52" s="1">
        <v>0.06</v>
      </c>
      <c r="AO52" s="2" t="s">
        <v>5</v>
      </c>
      <c r="AP52" s="1" t="s">
        <v>49</v>
      </c>
      <c r="AQ52" s="1" t="s">
        <v>49</v>
      </c>
      <c r="AR52" s="1">
        <v>1.33</v>
      </c>
      <c r="AT52" s="2" t="s">
        <v>5</v>
      </c>
      <c r="AU52" s="1" t="s">
        <v>49</v>
      </c>
      <c r="AV52" s="1" t="s">
        <v>49</v>
      </c>
      <c r="AW52" s="1">
        <v>17.75</v>
      </c>
      <c r="AY52" s="2" t="s">
        <v>5</v>
      </c>
      <c r="AZ52" s="1" t="s">
        <v>49</v>
      </c>
      <c r="BA52" s="1" t="s">
        <v>49</v>
      </c>
      <c r="BB52" s="1">
        <v>7.0000000000000007E-2</v>
      </c>
      <c r="BD52" s="2" t="s">
        <v>5</v>
      </c>
      <c r="BE52" s="1" t="s">
        <v>49</v>
      </c>
      <c r="BF52" s="1" t="s">
        <v>49</v>
      </c>
      <c r="BG52" s="1">
        <v>1.64</v>
      </c>
      <c r="BI52" s="2" t="s">
        <v>5</v>
      </c>
      <c r="BJ52" s="1" t="s">
        <v>49</v>
      </c>
      <c r="BK52" s="1" t="s">
        <v>49</v>
      </c>
      <c r="BL52" s="1">
        <v>21.63</v>
      </c>
      <c r="BN52" s="2" t="s">
        <v>5</v>
      </c>
      <c r="BO52" s="1" t="s">
        <v>49</v>
      </c>
      <c r="BP52" s="1" t="s">
        <v>49</v>
      </c>
      <c r="BQ52" s="1">
        <v>0.09</v>
      </c>
      <c r="BS52" s="2" t="s">
        <v>5</v>
      </c>
      <c r="BT52" s="1" t="s">
        <v>49</v>
      </c>
      <c r="BU52" s="1" t="s">
        <v>49</v>
      </c>
      <c r="BV52" s="1">
        <v>1.97</v>
      </c>
      <c r="BX52" s="2" t="s">
        <v>5</v>
      </c>
      <c r="BY52" s="1" t="s">
        <v>49</v>
      </c>
      <c r="BZ52" s="1" t="s">
        <v>49</v>
      </c>
      <c r="CA52" s="1">
        <v>7.17</v>
      </c>
      <c r="CC52" s="2" t="s">
        <v>5</v>
      </c>
      <c r="CD52" s="1" t="s">
        <v>49</v>
      </c>
      <c r="CE52" s="1" t="s">
        <v>49</v>
      </c>
      <c r="CF52" s="1">
        <v>0.05</v>
      </c>
      <c r="CH52" s="2" t="s">
        <v>5</v>
      </c>
      <c r="CI52" s="1" t="s">
        <v>49</v>
      </c>
      <c r="CJ52" s="1" t="s">
        <v>49</v>
      </c>
      <c r="CK52" s="1">
        <v>0.84</v>
      </c>
      <c r="CM52" s="2" t="s">
        <v>5</v>
      </c>
      <c r="CN52" s="1" t="s">
        <v>49</v>
      </c>
      <c r="CO52" s="1" t="s">
        <v>49</v>
      </c>
      <c r="CP52" s="1">
        <v>5.19</v>
      </c>
      <c r="CR52" s="2" t="s">
        <v>5</v>
      </c>
      <c r="CS52" s="1" t="s">
        <v>49</v>
      </c>
      <c r="CT52" s="1" t="s">
        <v>49</v>
      </c>
      <c r="CU52" s="1">
        <v>0.04</v>
      </c>
      <c r="CW52" s="2" t="s">
        <v>5</v>
      </c>
      <c r="CX52" s="1" t="s">
        <v>49</v>
      </c>
      <c r="CY52" s="1" t="s">
        <v>49</v>
      </c>
      <c r="CZ52" s="1">
        <v>0.7</v>
      </c>
      <c r="DB52" s="2" t="s">
        <v>5</v>
      </c>
      <c r="DC52" s="1" t="s">
        <v>49</v>
      </c>
      <c r="DD52" s="1" t="s">
        <v>49</v>
      </c>
      <c r="DE52" s="1">
        <v>3.98</v>
      </c>
      <c r="DG52" s="2" t="s">
        <v>5</v>
      </c>
      <c r="DH52" s="1" t="s">
        <v>49</v>
      </c>
      <c r="DI52" s="1" t="s">
        <v>49</v>
      </c>
      <c r="DJ52" s="1">
        <v>0.04</v>
      </c>
      <c r="DL52" s="2" t="s">
        <v>5</v>
      </c>
      <c r="DM52" s="1" t="s">
        <v>49</v>
      </c>
      <c r="DN52" s="1" t="s">
        <v>49</v>
      </c>
      <c r="DO52" s="1">
        <v>0.62</v>
      </c>
    </row>
    <row r="53" spans="16:119">
      <c r="P53" s="3" t="s">
        <v>137</v>
      </c>
      <c r="Q53" s="6">
        <f>AVERAGE(Q49:Q52)</f>
        <v>14.475000000000001</v>
      </c>
      <c r="R53" s="6">
        <f>AVERAGE(R49:R52)</f>
        <v>13.546666666666667</v>
      </c>
      <c r="S53" s="6">
        <f>AVERAGE(S49:S52)</f>
        <v>10.903333333333334</v>
      </c>
      <c r="U53" s="3" t="s">
        <v>137</v>
      </c>
      <c r="V53" s="6">
        <f>AVERAGE(V49:V52)</f>
        <v>0.27</v>
      </c>
      <c r="W53" s="6">
        <f>AVERAGE(W49:W52)</f>
        <v>0.20000000000000004</v>
      </c>
      <c r="X53" s="6">
        <f>AVERAGE(X49:X52)</f>
        <v>8.666666666666667E-2</v>
      </c>
      <c r="Z53" s="3" t="s">
        <v>137</v>
      </c>
      <c r="AA53" s="6">
        <f>AVERAGE(AA49:AA52)</f>
        <v>1.1099999999999999</v>
      </c>
      <c r="AB53" s="6">
        <f>AVERAGE(AB49:AB52)</f>
        <v>1.0833333333333333</v>
      </c>
      <c r="AC53" s="6">
        <f>AVERAGE(AC49:AC52)</f>
        <v>1.0433333333333332</v>
      </c>
      <c r="AE53" s="3" t="s">
        <v>137</v>
      </c>
      <c r="AF53" s="6">
        <f>AVERAGE(AF49:AF52)</f>
        <v>20.785</v>
      </c>
      <c r="AG53" s="6">
        <f>AVERAGE(AG49:AG52)</f>
        <v>19.316666666666666</v>
      </c>
      <c r="AH53" s="6">
        <f>AVERAGE(AH49:AH52)</f>
        <v>15.200000000000001</v>
      </c>
      <c r="AJ53" s="3" t="s">
        <v>137</v>
      </c>
      <c r="AK53" s="6">
        <f>AVERAGE(AK49:AK52)</f>
        <v>0.32</v>
      </c>
      <c r="AL53" s="6">
        <f>AVERAGE(AL49:AL52)</f>
        <v>0.24</v>
      </c>
      <c r="AM53" s="6">
        <f>AVERAGE(AM49:AM52)</f>
        <v>9.9999999999999992E-2</v>
      </c>
      <c r="AO53" s="3" t="s">
        <v>137</v>
      </c>
      <c r="AP53" s="6">
        <f>AVERAGE(AP49:AP52)</f>
        <v>1.38</v>
      </c>
      <c r="AQ53" s="6">
        <f>AVERAGE(AQ49:AQ52)</f>
        <v>1.3533333333333333</v>
      </c>
      <c r="AR53" s="6">
        <f>AVERAGE(AR49:AR52)</f>
        <v>1.3166666666666667</v>
      </c>
      <c r="AT53" s="3" t="s">
        <v>137</v>
      </c>
      <c r="AU53" s="6">
        <f>AVERAGE(AU49:AU52)</f>
        <v>27.380000000000003</v>
      </c>
      <c r="AV53" s="6">
        <f>AVERAGE(AV49:AV52)</f>
        <v>25.326666666666668</v>
      </c>
      <c r="AW53" s="6">
        <f>AVERAGE(AW49:AW52)</f>
        <v>19.846666666666668</v>
      </c>
      <c r="AY53" s="3" t="s">
        <v>137</v>
      </c>
      <c r="AZ53" s="6">
        <f>AVERAGE(AZ49:AZ52)</f>
        <v>0.42000000000000004</v>
      </c>
      <c r="BA53" s="6">
        <f>AVERAGE(BA49:BA52)</f>
        <v>0.31</v>
      </c>
      <c r="BB53" s="6">
        <f>AVERAGE(BB49:BB52)</f>
        <v>0.12333333333333334</v>
      </c>
      <c r="BD53" s="3" t="s">
        <v>137</v>
      </c>
      <c r="BE53" s="6">
        <f>AVERAGE(BE49:BE52)</f>
        <v>1.69</v>
      </c>
      <c r="BF53" s="6">
        <f>AVERAGE(BF49:BF52)</f>
        <v>1.6633333333333333</v>
      </c>
      <c r="BG53" s="6">
        <f>AVERAGE(BG49:BG52)</f>
        <v>1.6266666666666667</v>
      </c>
      <c r="BI53" s="3" t="s">
        <v>137</v>
      </c>
      <c r="BJ53" s="6">
        <f>AVERAGE(BJ49:BJ52)</f>
        <v>33.884999999999998</v>
      </c>
      <c r="BK53" s="6">
        <f>AVERAGE(BK49:BK52)</f>
        <v>31.186666666666667</v>
      </c>
      <c r="BL53" s="6">
        <f>AVERAGE(BL49:BL52)</f>
        <v>24.276666666666667</v>
      </c>
      <c r="BN53" s="3" t="s">
        <v>137</v>
      </c>
      <c r="BO53" s="6">
        <f>AVERAGE(BO49:BO52)</f>
        <v>0.60499999999999998</v>
      </c>
      <c r="BP53" s="6">
        <f>AVERAGE(BP49:BP52)</f>
        <v>0.45333333333333331</v>
      </c>
      <c r="BQ53" s="6">
        <f>AVERAGE(BQ49:BQ52)</f>
        <v>0.17</v>
      </c>
      <c r="BS53" s="3" t="s">
        <v>137</v>
      </c>
      <c r="BT53" s="6">
        <f>AVERAGE(BT49:BT52)</f>
        <v>2.02</v>
      </c>
      <c r="BU53" s="6">
        <f>AVERAGE(BU49:BU52)</f>
        <v>1.9933333333333334</v>
      </c>
      <c r="BV53" s="6">
        <f>AVERAGE(BV49:BV52)</f>
        <v>1.9533333333333331</v>
      </c>
      <c r="BX53" s="3" t="s">
        <v>137</v>
      </c>
      <c r="BY53" s="6">
        <f>AVERAGE(BY49:BY52)</f>
        <v>9.57</v>
      </c>
      <c r="BZ53" s="6">
        <f>AVERAGE(BZ49:BZ52)</f>
        <v>9.06</v>
      </c>
      <c r="CA53" s="6">
        <f>AVERAGE(CA49:CA52)</f>
        <v>7.4933333333333323</v>
      </c>
      <c r="CC53" s="3" t="s">
        <v>137</v>
      </c>
      <c r="CD53" s="6">
        <f>AVERAGE(CD49:CD52)</f>
        <v>0.21</v>
      </c>
      <c r="CE53" s="6">
        <f>AVERAGE(CE49:CE52)</f>
        <v>0.15666666666666665</v>
      </c>
      <c r="CF53" s="6">
        <f>AVERAGE(CF49:CF52)</f>
        <v>7.0000000000000007E-2</v>
      </c>
      <c r="CH53" s="3" t="s">
        <v>137</v>
      </c>
      <c r="CI53" s="6">
        <f>AVERAGE(CI49:CI52)</f>
        <v>0.88500000000000001</v>
      </c>
      <c r="CJ53" s="6">
        <f>AVERAGE(CJ49:CJ52)</f>
        <v>0.86</v>
      </c>
      <c r="CK53" s="6">
        <f>AVERAGE(CK49:CK52)</f>
        <v>0.83</v>
      </c>
      <c r="CM53" s="3" t="s">
        <v>137</v>
      </c>
      <c r="CN53" s="6">
        <f>AVERAGE(CN49:CN52)</f>
        <v>6.37</v>
      </c>
      <c r="CO53" s="6">
        <f>AVERAGE(CO49:CO52)</f>
        <v>6.0666666666666664</v>
      </c>
      <c r="CP53" s="6">
        <f>AVERAGE(CP49:CP52)</f>
        <v>5.1766666666666667</v>
      </c>
      <c r="CR53" s="3" t="s">
        <v>137</v>
      </c>
      <c r="CS53" s="6">
        <f>AVERAGE(CS49:CS52)</f>
        <v>0.18</v>
      </c>
      <c r="CT53" s="6">
        <f>AVERAGE(CT49:CT52)</f>
        <v>0.13333333333333333</v>
      </c>
      <c r="CU53" s="6">
        <f>AVERAGE(CU49:CU52)</f>
        <v>6.0000000000000005E-2</v>
      </c>
      <c r="CW53" s="3" t="s">
        <v>137</v>
      </c>
      <c r="CX53" s="6">
        <f>AVERAGE(CX49:CX52)</f>
        <v>0.72499999999999998</v>
      </c>
      <c r="CY53" s="6">
        <f>AVERAGE(CY49:CY52)</f>
        <v>0.70666666666666667</v>
      </c>
      <c r="CZ53" s="6">
        <f>AVERAGE(CZ49:CZ52)</f>
        <v>0.68666666666666654</v>
      </c>
      <c r="DB53" s="3" t="s">
        <v>137</v>
      </c>
      <c r="DC53" s="6">
        <f>AVERAGE(DC49:DC52)</f>
        <v>4.5750000000000002</v>
      </c>
      <c r="DD53" s="6">
        <f>AVERAGE(DD49:DD52)</f>
        <v>4.3999999999999995</v>
      </c>
      <c r="DE53" s="6">
        <f>AVERAGE(DE49:DE52)</f>
        <v>3.8733333333333331</v>
      </c>
      <c r="DG53" s="3" t="s">
        <v>137</v>
      </c>
      <c r="DH53" s="6">
        <f>AVERAGE(DH49:DH52)</f>
        <v>0.155</v>
      </c>
      <c r="DI53" s="6">
        <f>AVERAGE(DI49:DI52)</f>
        <v>0.11333333333333333</v>
      </c>
      <c r="DJ53" s="6">
        <f>AVERAGE(DJ49:DJ52)</f>
        <v>5.3333333333333337E-2</v>
      </c>
      <c r="DL53" s="3" t="s">
        <v>137</v>
      </c>
      <c r="DM53" s="6">
        <f>AVERAGE(DM49:DM52)</f>
        <v>0.63</v>
      </c>
      <c r="DN53" s="6">
        <f>AVERAGE(DN49:DN52)</f>
        <v>0.6166666666666667</v>
      </c>
      <c r="DO53" s="6">
        <f>AVERAGE(DO49:DO52)</f>
        <v>0.60333333333333339</v>
      </c>
    </row>
    <row r="55" spans="16:119">
      <c r="P55" s="47" t="s">
        <v>68</v>
      </c>
      <c r="Q55" s="47"/>
      <c r="R55" s="47"/>
      <c r="S55" s="47"/>
      <c r="U55" s="47" t="s">
        <v>60</v>
      </c>
      <c r="V55" s="47"/>
      <c r="W55" s="47"/>
      <c r="X55" s="47"/>
      <c r="AE55" s="47" t="s">
        <v>68</v>
      </c>
      <c r="AF55" s="47"/>
      <c r="AG55" s="47"/>
      <c r="AH55" s="47"/>
      <c r="AJ55" s="47" t="s">
        <v>60</v>
      </c>
      <c r="AK55" s="47"/>
      <c r="AL55" s="47"/>
      <c r="AM55" s="47"/>
      <c r="AT55" s="47" t="s">
        <v>68</v>
      </c>
      <c r="AU55" s="47"/>
      <c r="AV55" s="47"/>
      <c r="AW55" s="47"/>
      <c r="AY55" s="47" t="s">
        <v>60</v>
      </c>
      <c r="AZ55" s="47"/>
      <c r="BA55" s="47"/>
      <c r="BB55" s="47"/>
      <c r="BI55" s="47" t="s">
        <v>68</v>
      </c>
      <c r="BJ55" s="47"/>
      <c r="BK55" s="47"/>
      <c r="BL55" s="47"/>
      <c r="BN55" s="47" t="s">
        <v>60</v>
      </c>
      <c r="BO55" s="47"/>
      <c r="BP55" s="47"/>
      <c r="BQ55" s="47"/>
      <c r="BX55" s="47" t="s">
        <v>68</v>
      </c>
      <c r="BY55" s="47"/>
      <c r="BZ55" s="47"/>
      <c r="CA55" s="47"/>
      <c r="CC55" s="47" t="s">
        <v>60</v>
      </c>
      <c r="CD55" s="47"/>
      <c r="CE55" s="47"/>
      <c r="CF55" s="47"/>
      <c r="CM55" s="47" t="s">
        <v>68</v>
      </c>
      <c r="CN55" s="47"/>
      <c r="CO55" s="47"/>
      <c r="CP55" s="47"/>
      <c r="CR55" s="47" t="s">
        <v>60</v>
      </c>
      <c r="CS55" s="47"/>
      <c r="CT55" s="47"/>
      <c r="CU55" s="47"/>
      <c r="DB55" s="47" t="s">
        <v>68</v>
      </c>
      <c r="DC55" s="47"/>
      <c r="DD55" s="47"/>
      <c r="DE55" s="47"/>
      <c r="DG55" s="47" t="s">
        <v>60</v>
      </c>
      <c r="DH55" s="47"/>
      <c r="DI55" s="47"/>
      <c r="DJ55" s="47"/>
    </row>
    <row r="56" spans="16:119">
      <c r="P56" s="2"/>
      <c r="Q56" s="2">
        <v>2000</v>
      </c>
      <c r="R56" s="2">
        <v>2007</v>
      </c>
      <c r="S56" s="2">
        <v>2015</v>
      </c>
      <c r="U56" s="2"/>
      <c r="V56" s="2">
        <v>2000</v>
      </c>
      <c r="W56" s="2">
        <v>2007</v>
      </c>
      <c r="X56" s="2">
        <v>2015</v>
      </c>
      <c r="Z56" s="52" t="s">
        <v>61</v>
      </c>
      <c r="AA56" s="52"/>
      <c r="AB56" s="52"/>
      <c r="AC56" s="52"/>
      <c r="AE56" s="2"/>
      <c r="AF56" s="2">
        <v>2000</v>
      </c>
      <c r="AG56" s="2">
        <v>2007</v>
      </c>
      <c r="AH56" s="2">
        <v>2015</v>
      </c>
      <c r="AJ56" s="2"/>
      <c r="AK56" s="2">
        <v>2000</v>
      </c>
      <c r="AL56" s="2">
        <v>2007</v>
      </c>
      <c r="AM56" s="2">
        <v>2015</v>
      </c>
      <c r="AO56" s="52" t="s">
        <v>61</v>
      </c>
      <c r="AP56" s="52"/>
      <c r="AQ56" s="52"/>
      <c r="AR56" s="52"/>
      <c r="AT56" s="2"/>
      <c r="AU56" s="2">
        <v>2000</v>
      </c>
      <c r="AV56" s="2">
        <v>2007</v>
      </c>
      <c r="AW56" s="2">
        <v>2015</v>
      </c>
      <c r="AY56" s="2"/>
      <c r="AZ56" s="2">
        <v>2000</v>
      </c>
      <c r="BA56" s="2">
        <v>2007</v>
      </c>
      <c r="BB56" s="2">
        <v>2015</v>
      </c>
      <c r="BD56" s="52" t="s">
        <v>61</v>
      </c>
      <c r="BE56" s="52"/>
      <c r="BF56" s="52"/>
      <c r="BG56" s="52"/>
      <c r="BI56" s="2"/>
      <c r="BJ56" s="2">
        <v>2000</v>
      </c>
      <c r="BK56" s="2">
        <v>2007</v>
      </c>
      <c r="BL56" s="2">
        <v>2015</v>
      </c>
      <c r="BN56" s="2"/>
      <c r="BO56" s="2">
        <v>2000</v>
      </c>
      <c r="BP56" s="2">
        <v>2007</v>
      </c>
      <c r="BQ56" s="2">
        <v>2015</v>
      </c>
      <c r="BS56" s="52" t="s">
        <v>61</v>
      </c>
      <c r="BT56" s="52"/>
      <c r="BU56" s="52"/>
      <c r="BV56" s="52"/>
      <c r="BX56" s="2"/>
      <c r="BY56" s="2">
        <v>2000</v>
      </c>
      <c r="BZ56" s="2">
        <v>2007</v>
      </c>
      <c r="CA56" s="2">
        <v>2015</v>
      </c>
      <c r="CC56" s="2"/>
      <c r="CD56" s="2">
        <v>2000</v>
      </c>
      <c r="CE56" s="2">
        <v>2007</v>
      </c>
      <c r="CF56" s="2">
        <v>2015</v>
      </c>
      <c r="CH56" s="52" t="s">
        <v>61</v>
      </c>
      <c r="CI56" s="52"/>
      <c r="CJ56" s="52"/>
      <c r="CK56" s="52"/>
      <c r="CM56" s="2"/>
      <c r="CN56" s="2">
        <v>2000</v>
      </c>
      <c r="CO56" s="2">
        <v>2007</v>
      </c>
      <c r="CP56" s="2">
        <v>2015</v>
      </c>
      <c r="CR56" s="2"/>
      <c r="CS56" s="2">
        <v>2000</v>
      </c>
      <c r="CT56" s="2">
        <v>2007</v>
      </c>
      <c r="CU56" s="2">
        <v>2015</v>
      </c>
      <c r="CW56" s="52" t="s">
        <v>61</v>
      </c>
      <c r="CX56" s="52"/>
      <c r="CY56" s="52"/>
      <c r="CZ56" s="52"/>
      <c r="DB56" s="2"/>
      <c r="DC56" s="2">
        <v>2000</v>
      </c>
      <c r="DD56" s="2">
        <v>2007</v>
      </c>
      <c r="DE56" s="2">
        <v>2015</v>
      </c>
      <c r="DG56" s="2"/>
      <c r="DH56" s="2">
        <v>2000</v>
      </c>
      <c r="DI56" s="2">
        <v>2007</v>
      </c>
      <c r="DJ56" s="2">
        <v>2015</v>
      </c>
      <c r="DL56" s="52" t="s">
        <v>61</v>
      </c>
      <c r="DM56" s="52"/>
      <c r="DN56" s="52"/>
      <c r="DO56" s="52"/>
    </row>
    <row r="57" spans="16:119">
      <c r="P57" s="2" t="s">
        <v>6</v>
      </c>
      <c r="Q57" s="1">
        <v>2.21</v>
      </c>
      <c r="R57" s="1">
        <v>2.19</v>
      </c>
      <c r="S57" s="1" t="s">
        <v>49</v>
      </c>
      <c r="U57" s="2" t="s">
        <v>6</v>
      </c>
      <c r="V57" s="24">
        <f>(460.77/835)*100</f>
        <v>55.182035928143712</v>
      </c>
      <c r="W57" s="24">
        <f>(460.77/835)*100</f>
        <v>55.182035928143712</v>
      </c>
      <c r="X57" s="24" t="s">
        <v>49</v>
      </c>
      <c r="Z57" s="2" t="s">
        <v>6</v>
      </c>
      <c r="AA57" s="24">
        <f>V65*1000/(V57*8.35)</f>
        <v>3.1555873863315753</v>
      </c>
      <c r="AB57" s="24">
        <f t="shared" ref="AB57:AC60" si="94">W65*1000/(W57*8.35)</f>
        <v>3.1555873863315753</v>
      </c>
      <c r="AC57" s="24"/>
      <c r="AE57" s="2" t="s">
        <v>6</v>
      </c>
      <c r="AF57" s="1">
        <v>3.18</v>
      </c>
      <c r="AG57" s="1">
        <v>3.16</v>
      </c>
      <c r="AH57" s="1" t="s">
        <v>49</v>
      </c>
      <c r="AJ57" s="2" t="s">
        <v>6</v>
      </c>
      <c r="AK57" s="24">
        <f>(615.62/835)*100</f>
        <v>73.726946107784428</v>
      </c>
      <c r="AL57" s="24">
        <f>(615.62/835)*100</f>
        <v>73.726946107784428</v>
      </c>
      <c r="AM57" s="24" t="s">
        <v>49</v>
      </c>
      <c r="AO57" s="2" t="s">
        <v>6</v>
      </c>
      <c r="AP57" s="24">
        <f>AK65*1000/(AK57*8.35)</f>
        <v>3.1561677658295704</v>
      </c>
      <c r="AQ57" s="24">
        <f t="shared" ref="AQ57:AQ59" si="95">AL65*1000/(AL57*8.35)</f>
        <v>3.1561677658295704</v>
      </c>
      <c r="AR57" s="24"/>
      <c r="AT57" s="2" t="s">
        <v>6</v>
      </c>
      <c r="AU57" s="1">
        <v>4.1500000000000004</v>
      </c>
      <c r="AV57" s="1">
        <v>4.13</v>
      </c>
      <c r="AW57" s="1" t="s">
        <v>49</v>
      </c>
      <c r="AY57" s="2" t="s">
        <v>6</v>
      </c>
      <c r="AZ57" s="24">
        <f>(795.4/835)*100</f>
        <v>95.257485029940113</v>
      </c>
      <c r="BA57" s="24">
        <f>(795.4/835)*100</f>
        <v>95.257485029940113</v>
      </c>
      <c r="BB57" s="24" t="s">
        <v>49</v>
      </c>
      <c r="BD57" s="2" t="s">
        <v>6</v>
      </c>
      <c r="BE57" s="24">
        <f>AZ65*1000/(AZ57*8.35)</f>
        <v>3.1543877294443052</v>
      </c>
      <c r="BF57" s="24">
        <f t="shared" ref="BF57:BF59" si="96">BA65*1000/(BA57*8.35)</f>
        <v>3.1543877294443052</v>
      </c>
      <c r="BG57" s="24"/>
      <c r="BI57" s="2" t="s">
        <v>6</v>
      </c>
      <c r="BJ57" s="1">
        <v>5.15</v>
      </c>
      <c r="BK57" s="1">
        <v>5.12</v>
      </c>
      <c r="BL57" s="1" t="s">
        <v>49</v>
      </c>
      <c r="BN57" s="2" t="s">
        <v>6</v>
      </c>
      <c r="BO57" s="24">
        <f>(992.21/835)*100</f>
        <v>118.82754491017964</v>
      </c>
      <c r="BP57" s="24">
        <f>(992.21/835)*100</f>
        <v>118.82754491017964</v>
      </c>
      <c r="BQ57" s="24" t="s">
        <v>49</v>
      </c>
      <c r="BS57" s="2" t="s">
        <v>6</v>
      </c>
      <c r="BT57" s="24">
        <f>BO65*1000/(BO57*8.35)</f>
        <v>3.1535662813315732</v>
      </c>
      <c r="BU57" s="24">
        <f t="shared" ref="BU57:BU59" si="97">BP65*1000/(BP57*8.35)</f>
        <v>3.1535662813315732</v>
      </c>
      <c r="BV57" s="24"/>
      <c r="BX57" s="2" t="s">
        <v>6</v>
      </c>
      <c r="BY57" s="1">
        <v>1.44</v>
      </c>
      <c r="BZ57" s="1">
        <v>1.43</v>
      </c>
      <c r="CA57" s="1" t="s">
        <v>49</v>
      </c>
      <c r="CC57" s="2" t="s">
        <v>6</v>
      </c>
      <c r="CD57" s="24">
        <f>(322.55/835)*100</f>
        <v>38.628742514970057</v>
      </c>
      <c r="CE57" s="24">
        <f>(322.55/835)*100</f>
        <v>38.628742514970057</v>
      </c>
      <c r="CF57" s="24" t="s">
        <v>49</v>
      </c>
      <c r="CH57" s="2" t="s">
        <v>6</v>
      </c>
      <c r="CI57" s="24">
        <f>CD65*1000/(CD57*8.35)</f>
        <v>3.1592001240117811</v>
      </c>
      <c r="CJ57" s="24">
        <f t="shared" ref="CJ57:CJ59" si="98">CE65*1000/(CE57*8.35)</f>
        <v>3.1592001240117811</v>
      </c>
      <c r="CK57" s="24"/>
      <c r="CM57" s="2" t="s">
        <v>6</v>
      </c>
      <c r="CN57" s="1">
        <v>0.95</v>
      </c>
      <c r="CO57" s="1">
        <v>0.95</v>
      </c>
      <c r="CP57" s="1" t="s">
        <v>49</v>
      </c>
      <c r="CR57" s="2" t="s">
        <v>6</v>
      </c>
      <c r="CS57" s="24">
        <f>(223.52/835)*100</f>
        <v>26.768862275449102</v>
      </c>
      <c r="CT57" s="24">
        <f>(223.52/835)*100</f>
        <v>26.768862275449102</v>
      </c>
      <c r="CU57" s="24" t="s">
        <v>49</v>
      </c>
      <c r="CW57" s="2" t="s">
        <v>6</v>
      </c>
      <c r="CX57" s="24">
        <f>CS65*1000/(CS57*8.35)</f>
        <v>3.1630279169649249</v>
      </c>
      <c r="CY57" s="24">
        <f t="shared" ref="CY57:CY59" si="99">CT65*1000/(CT57*8.35)</f>
        <v>3.1630279169649249</v>
      </c>
      <c r="CZ57" s="24"/>
      <c r="DB57" s="2" t="s">
        <v>6</v>
      </c>
      <c r="DC57" s="1">
        <v>0.67</v>
      </c>
      <c r="DD57" s="1">
        <v>0.67</v>
      </c>
      <c r="DE57" s="1" t="s">
        <v>49</v>
      </c>
      <c r="DG57" s="2" t="s">
        <v>6</v>
      </c>
      <c r="DH57" s="24">
        <f>(166.7/835)*100</f>
        <v>19.964071856287426</v>
      </c>
      <c r="DI57" s="24">
        <f>(166.7/835)*100</f>
        <v>19.964071856287426</v>
      </c>
      <c r="DJ57" s="24" t="s">
        <v>49</v>
      </c>
      <c r="DL57" s="2" t="s">
        <v>6</v>
      </c>
      <c r="DM57" s="24">
        <f>DH65*1000/(DH57*8.35)</f>
        <v>3.1673665266946611</v>
      </c>
      <c r="DN57" s="24">
        <f t="shared" ref="DN57:DN59" si="100">DI65*1000/(DI57*8.35)</f>
        <v>3.1673665266946611</v>
      </c>
      <c r="DO57" s="1"/>
    </row>
    <row r="58" spans="16:119">
      <c r="P58" s="2" t="s">
        <v>3</v>
      </c>
      <c r="Q58" s="1">
        <v>1.37</v>
      </c>
      <c r="R58" s="1">
        <v>1.36</v>
      </c>
      <c r="S58" s="1">
        <v>1.34</v>
      </c>
      <c r="U58" s="2" t="s">
        <v>3</v>
      </c>
      <c r="V58" s="24">
        <f>(393.85/835)*100</f>
        <v>47.167664670658688</v>
      </c>
      <c r="W58" s="24">
        <f>(393.85/835)*100</f>
        <v>47.167664670658688</v>
      </c>
      <c r="X58" s="24">
        <f>(393.85/835)*100</f>
        <v>47.167664670658688</v>
      </c>
      <c r="Z58" s="2" t="s">
        <v>3</v>
      </c>
      <c r="AA58" s="24">
        <f t="shared" ref="AA58" si="101">V66*1000/(V58*8.35)</f>
        <v>3.1560238669544241</v>
      </c>
      <c r="AB58" s="24">
        <f t="shared" si="94"/>
        <v>3.1565484067538403</v>
      </c>
      <c r="AC58" s="24">
        <f t="shared" si="94"/>
        <v>3.1565484067538403</v>
      </c>
      <c r="AE58" s="2" t="s">
        <v>3</v>
      </c>
      <c r="AF58" s="1">
        <v>1.96</v>
      </c>
      <c r="AG58" s="1">
        <v>1.95</v>
      </c>
      <c r="AH58" s="1">
        <v>1.91</v>
      </c>
      <c r="AJ58" s="2" t="s">
        <v>3</v>
      </c>
      <c r="AK58" s="24">
        <f>(546.32/835)*100</f>
        <v>65.427544910179648</v>
      </c>
      <c r="AL58" s="24">
        <f>(546.32/835)*100</f>
        <v>65.427544910179648</v>
      </c>
      <c r="AM58" s="24">
        <f>(546.32/835)*100</f>
        <v>65.427544910179648</v>
      </c>
      <c r="AO58" s="2" t="s">
        <v>3</v>
      </c>
      <c r="AP58" s="24">
        <f t="shared" ref="AP58" si="102">AK66*1000/(AK58*8.35)</f>
        <v>3.1556596866305457</v>
      </c>
      <c r="AQ58" s="24">
        <f t="shared" si="95"/>
        <v>3.1556596866305457</v>
      </c>
      <c r="AR58" s="24">
        <f t="shared" ref="AR58:AR60" si="103">AM66*1000/(AM58*8.35)</f>
        <v>3.1556596866305457</v>
      </c>
      <c r="AT58" s="2" t="s">
        <v>3</v>
      </c>
      <c r="AU58" s="1">
        <v>2.62</v>
      </c>
      <c r="AV58" s="1">
        <v>2.6</v>
      </c>
      <c r="AW58" s="1">
        <v>2.5499999999999998</v>
      </c>
      <c r="AY58" s="2" t="s">
        <v>3</v>
      </c>
      <c r="AZ58" s="24">
        <f>(726.46/835)*100</f>
        <v>87.00119760479042</v>
      </c>
      <c r="BA58" s="24">
        <f>(726.46/835)*100</f>
        <v>87.00119760479042</v>
      </c>
      <c r="BB58" s="24">
        <f>(726.46/835)*100</f>
        <v>87.00119760479042</v>
      </c>
      <c r="BD58" s="2" t="s">
        <v>3</v>
      </c>
      <c r="BE58" s="24">
        <f t="shared" ref="BE58" si="104">AZ66*1000/(AZ58*8.35)</f>
        <v>3.1536492029843353</v>
      </c>
      <c r="BF58" s="24">
        <f t="shared" si="96"/>
        <v>3.1536492029843353</v>
      </c>
      <c r="BG58" s="24">
        <f t="shared" ref="BG58:BG60" si="105">BB66*1000/(BB58*8.35)</f>
        <v>3.1536492029843353</v>
      </c>
      <c r="BI58" s="2" t="s">
        <v>3</v>
      </c>
      <c r="BJ58" s="1">
        <v>3.23</v>
      </c>
      <c r="BK58" s="1">
        <v>3.21</v>
      </c>
      <c r="BL58" s="1">
        <v>3.15</v>
      </c>
      <c r="BN58" s="2" t="s">
        <v>3</v>
      </c>
      <c r="BO58" s="24">
        <f>(909.72/835)*100</f>
        <v>108.94850299401197</v>
      </c>
      <c r="BP58" s="24">
        <f>(909.72/835)*100</f>
        <v>108.94850299401197</v>
      </c>
      <c r="BQ58" s="24">
        <f>(909.72/835)*100</f>
        <v>108.94850299401197</v>
      </c>
      <c r="BS58" s="2" t="s">
        <v>3</v>
      </c>
      <c r="BT58" s="24">
        <f t="shared" ref="BT58" si="106">BO66*1000/(BO58*8.35)</f>
        <v>3.1537176274018384</v>
      </c>
      <c r="BU58" s="24">
        <f t="shared" si="97"/>
        <v>3.1537176274018384</v>
      </c>
      <c r="BV58" s="24">
        <f t="shared" ref="BV58:BV60" si="107">BQ66*1000/(BQ58*8.35)</f>
        <v>3.1537176274018384</v>
      </c>
      <c r="BX58" s="2" t="s">
        <v>3</v>
      </c>
      <c r="BY58" s="1">
        <v>0.92</v>
      </c>
      <c r="BZ58" s="1">
        <v>0.92</v>
      </c>
      <c r="CA58" s="1">
        <v>0.9</v>
      </c>
      <c r="CC58" s="2" t="s">
        <v>3</v>
      </c>
      <c r="CD58" s="24">
        <f>(269.52/835)*100</f>
        <v>32.277844311377244</v>
      </c>
      <c r="CE58" s="24">
        <f>(269.52/835)*100</f>
        <v>32.277844311377244</v>
      </c>
      <c r="CF58" s="24">
        <f>(269.52/835)*100</f>
        <v>32.277844311377244</v>
      </c>
      <c r="CH58" s="2" t="s">
        <v>3</v>
      </c>
      <c r="CI58" s="24">
        <f t="shared" ref="CI58" si="108">CD66*1000/(CD58*8.35)</f>
        <v>3.1574651231819533</v>
      </c>
      <c r="CJ58" s="24">
        <f t="shared" si="98"/>
        <v>3.1574651231819533</v>
      </c>
      <c r="CK58" s="24">
        <f t="shared" ref="CK58:CK60" si="109">CF66*1000/(CF58*8.35)</f>
        <v>3.1574651231819533</v>
      </c>
      <c r="CM58" s="2" t="s">
        <v>3</v>
      </c>
      <c r="CN58" s="1">
        <v>0.62</v>
      </c>
      <c r="CO58" s="1">
        <v>0.62</v>
      </c>
      <c r="CP58" s="1">
        <v>0.61</v>
      </c>
      <c r="CR58" s="2" t="s">
        <v>3</v>
      </c>
      <c r="CS58" s="24">
        <f>(184.6/835)*100</f>
        <v>22.107784431137723</v>
      </c>
      <c r="CT58" s="24">
        <f>(184.6/835)*100</f>
        <v>22.107784431137723</v>
      </c>
      <c r="CU58" s="24">
        <f>(184.6/835)*100</f>
        <v>22.107784431137723</v>
      </c>
      <c r="CW58" s="2" t="s">
        <v>3</v>
      </c>
      <c r="CX58" s="24">
        <f t="shared" ref="CX58" si="110">CS66*1000/(CS58*8.35)</f>
        <v>3.1635969664138681</v>
      </c>
      <c r="CY58" s="24">
        <f t="shared" si="99"/>
        <v>3.1635969664138681</v>
      </c>
      <c r="CZ58" s="24">
        <f t="shared" ref="CZ58:CZ60" si="111">CU66*1000/(CU58*8.35)</f>
        <v>3.1635969664138681</v>
      </c>
      <c r="DB58" s="2" t="s">
        <v>3</v>
      </c>
      <c r="DC58" s="1">
        <v>0.46</v>
      </c>
      <c r="DD58" s="1">
        <v>0.46</v>
      </c>
      <c r="DE58" s="1">
        <v>0.45</v>
      </c>
      <c r="DG58" s="2" t="s">
        <v>3</v>
      </c>
      <c r="DH58" s="24">
        <f>(135.2/835)*100</f>
        <v>16.191616766467064</v>
      </c>
      <c r="DI58" s="24">
        <f>(135.2/835)*100</f>
        <v>16.191616766467064</v>
      </c>
      <c r="DJ58" s="24">
        <f>(135.2/835)*100</f>
        <v>16.191616766467064</v>
      </c>
      <c r="DL58" s="2" t="s">
        <v>3</v>
      </c>
      <c r="DM58" s="24">
        <f t="shared" ref="DM58" si="112">DH66*1000/(DH58*8.35)</f>
        <v>3.1656804733727815</v>
      </c>
      <c r="DN58" s="24">
        <f t="shared" si="100"/>
        <v>3.1656804733727815</v>
      </c>
      <c r="DO58" s="24">
        <f t="shared" ref="DO58:DO60" si="113">DJ66*1000/(DJ58*8.35)</f>
        <v>3.1656804733727815</v>
      </c>
    </row>
    <row r="59" spans="16:119">
      <c r="P59" s="2" t="s">
        <v>4</v>
      </c>
      <c r="Q59" s="1" t="s">
        <v>49</v>
      </c>
      <c r="R59" s="1">
        <v>1.47</v>
      </c>
      <c r="S59" s="1">
        <v>1.44</v>
      </c>
      <c r="U59" s="2" t="s">
        <v>4</v>
      </c>
      <c r="V59" s="25" t="s">
        <v>49</v>
      </c>
      <c r="W59" s="24">
        <f>(379.26/835)*100</f>
        <v>45.420359281437122</v>
      </c>
      <c r="X59" s="24">
        <f>(379.26/835)*100</f>
        <v>45.420359281437122</v>
      </c>
      <c r="Z59" s="2" t="s">
        <v>4</v>
      </c>
      <c r="AA59" s="24"/>
      <c r="AB59" s="24">
        <f t="shared" si="94"/>
        <v>3.1551598903127145</v>
      </c>
      <c r="AC59" s="24">
        <f t="shared" si="94"/>
        <v>3.1551598903127145</v>
      </c>
      <c r="AE59" s="2" t="s">
        <v>4</v>
      </c>
      <c r="AF59" s="1" t="s">
        <v>49</v>
      </c>
      <c r="AG59" s="1">
        <v>2.0499999999999998</v>
      </c>
      <c r="AH59" s="1">
        <v>2.02</v>
      </c>
      <c r="AJ59" s="2" t="s">
        <v>4</v>
      </c>
      <c r="AK59" s="25" t="s">
        <v>49</v>
      </c>
      <c r="AL59" s="24">
        <f>(538.07/835)*100</f>
        <v>64.439520958083847</v>
      </c>
      <c r="AM59" s="24">
        <f>(538.07/835)*100</f>
        <v>64.439520958083847</v>
      </c>
      <c r="AO59" s="2" t="s">
        <v>4</v>
      </c>
      <c r="AP59" s="24"/>
      <c r="AQ59" s="24">
        <f t="shared" si="95"/>
        <v>3.1538647387886329</v>
      </c>
      <c r="AR59" s="24">
        <f t="shared" si="103"/>
        <v>3.1538647387886329</v>
      </c>
      <c r="AT59" s="2" t="s">
        <v>4</v>
      </c>
      <c r="AU59" s="1" t="s">
        <v>49</v>
      </c>
      <c r="AV59" s="1">
        <v>2.66</v>
      </c>
      <c r="AW59" s="1">
        <v>2.61</v>
      </c>
      <c r="AY59" s="2" t="s">
        <v>4</v>
      </c>
      <c r="AZ59" s="25" t="s">
        <v>49</v>
      </c>
      <c r="BA59" s="24">
        <f>(713.27/835)*100</f>
        <v>85.421556886227549</v>
      </c>
      <c r="BB59" s="24">
        <f>(713.27/835)*100</f>
        <v>85.421556886227549</v>
      </c>
      <c r="BD59" s="2" t="s">
        <v>4</v>
      </c>
      <c r="BE59" s="24"/>
      <c r="BF59" s="24">
        <f t="shared" si="96"/>
        <v>3.1530836850000701</v>
      </c>
      <c r="BG59" s="24">
        <f t="shared" si="105"/>
        <v>3.1530836850000701</v>
      </c>
      <c r="BI59" s="2" t="s">
        <v>4</v>
      </c>
      <c r="BJ59" s="1" t="s">
        <v>49</v>
      </c>
      <c r="BK59" s="1">
        <v>3.24</v>
      </c>
      <c r="BL59" s="1">
        <v>3.18</v>
      </c>
      <c r="BN59" s="2" t="s">
        <v>4</v>
      </c>
      <c r="BO59" s="25" t="s">
        <v>49</v>
      </c>
      <c r="BP59" s="24">
        <f>(906.37/835)*100</f>
        <v>108.54730538922155</v>
      </c>
      <c r="BQ59" s="24">
        <f>(906.37/835)*100</f>
        <v>108.54730538922155</v>
      </c>
      <c r="BS59" s="2" t="s">
        <v>4</v>
      </c>
      <c r="BT59" s="24"/>
      <c r="BU59" s="24">
        <f t="shared" si="97"/>
        <v>3.1532376402572906</v>
      </c>
      <c r="BV59" s="24">
        <f t="shared" si="107"/>
        <v>3.1532376402572906</v>
      </c>
      <c r="BX59" s="2" t="s">
        <v>4</v>
      </c>
      <c r="BY59" s="1" t="s">
        <v>49</v>
      </c>
      <c r="BZ59" s="1">
        <v>1.01</v>
      </c>
      <c r="CA59" s="1">
        <v>0.99</v>
      </c>
      <c r="CC59" s="2" t="s">
        <v>4</v>
      </c>
      <c r="CD59" s="25" t="s">
        <v>49</v>
      </c>
      <c r="CE59" s="24">
        <f>(256.4/835)*100</f>
        <v>30.706586826347305</v>
      </c>
      <c r="CF59" s="24">
        <f>(256.4/835)*100</f>
        <v>30.706586826347305</v>
      </c>
      <c r="CH59" s="2" t="s">
        <v>4</v>
      </c>
      <c r="CI59" s="24"/>
      <c r="CJ59" s="24">
        <f t="shared" si="98"/>
        <v>3.155226209048362</v>
      </c>
      <c r="CK59" s="24">
        <f t="shared" si="109"/>
        <v>3.155226209048362</v>
      </c>
      <c r="CM59" s="2" t="s">
        <v>4</v>
      </c>
      <c r="CN59" s="1" t="s">
        <v>49</v>
      </c>
      <c r="CO59" s="1">
        <v>0.68</v>
      </c>
      <c r="CP59" s="1">
        <v>0.67</v>
      </c>
      <c r="CR59" s="2" t="s">
        <v>4</v>
      </c>
      <c r="CS59" s="25" t="s">
        <v>49</v>
      </c>
      <c r="CT59" s="24">
        <f>(174.49/835)*100</f>
        <v>20.897005988023952</v>
      </c>
      <c r="CU59" s="24">
        <f>(174.49/835)*100</f>
        <v>20.897005988023952</v>
      </c>
      <c r="CW59" s="2" t="s">
        <v>4</v>
      </c>
      <c r="CX59" s="24"/>
      <c r="CY59" s="24">
        <f t="shared" si="99"/>
        <v>3.157774084474755</v>
      </c>
      <c r="CZ59" s="24">
        <f t="shared" si="111"/>
        <v>3.157774084474755</v>
      </c>
      <c r="DB59" s="2" t="s">
        <v>4</v>
      </c>
      <c r="DC59" s="1" t="s">
        <v>49</v>
      </c>
      <c r="DD59" s="1">
        <v>0.51</v>
      </c>
      <c r="DE59" s="1">
        <v>0.5</v>
      </c>
      <c r="DG59" s="2" t="s">
        <v>4</v>
      </c>
      <c r="DH59" s="25" t="s">
        <v>49</v>
      </c>
      <c r="DI59" s="24">
        <f>(126.4/835)*100</f>
        <v>15.137724550898204</v>
      </c>
      <c r="DJ59" s="24">
        <f>(126.4/835)*100</f>
        <v>15.137724550898204</v>
      </c>
      <c r="DL59" s="2" t="s">
        <v>4</v>
      </c>
      <c r="DM59" s="24"/>
      <c r="DN59" s="24">
        <f t="shared" si="100"/>
        <v>3.1645569620253169</v>
      </c>
      <c r="DO59" s="24">
        <f t="shared" si="113"/>
        <v>3.1645569620253169</v>
      </c>
    </row>
    <row r="60" spans="16:119">
      <c r="P60" s="2" t="s">
        <v>5</v>
      </c>
      <c r="Q60" s="1" t="s">
        <v>49</v>
      </c>
      <c r="R60" s="1" t="s">
        <v>49</v>
      </c>
      <c r="S60" s="1">
        <v>1.67</v>
      </c>
      <c r="U60" s="2" t="s">
        <v>5</v>
      </c>
      <c r="V60" s="24" t="s">
        <v>49</v>
      </c>
      <c r="W60" s="24" t="s">
        <v>49</v>
      </c>
      <c r="X60" s="24">
        <f>(395.14/835)*100</f>
        <v>47.32215568862275</v>
      </c>
      <c r="Z60" s="2" t="s">
        <v>5</v>
      </c>
      <c r="AA60" s="24"/>
      <c r="AB60" s="24"/>
      <c r="AC60" s="24">
        <f t="shared" si="94"/>
        <v>3.1534687199473601</v>
      </c>
      <c r="AE60" s="2" t="s">
        <v>5</v>
      </c>
      <c r="AF60" s="1" t="s">
        <v>49</v>
      </c>
      <c r="AG60" s="1" t="s">
        <v>49</v>
      </c>
      <c r="AH60" s="1">
        <v>2.25</v>
      </c>
      <c r="AJ60" s="2" t="s">
        <v>5</v>
      </c>
      <c r="AK60" s="24" t="s">
        <v>49</v>
      </c>
      <c r="AL60" s="24" t="s">
        <v>49</v>
      </c>
      <c r="AM60" s="24">
        <f>(556.74/835)*100</f>
        <v>66.675449101796417</v>
      </c>
      <c r="AO60" s="2" t="s">
        <v>5</v>
      </c>
      <c r="AP60" s="24"/>
      <c r="AQ60" s="24"/>
      <c r="AR60" s="24">
        <f t="shared" si="103"/>
        <v>3.1522793404461686</v>
      </c>
      <c r="AT60" s="2" t="s">
        <v>5</v>
      </c>
      <c r="AU60" s="1" t="s">
        <v>49</v>
      </c>
      <c r="AV60" s="1" t="s">
        <v>49</v>
      </c>
      <c r="AW60" s="1">
        <v>2.89</v>
      </c>
      <c r="AY60" s="2" t="s">
        <v>5</v>
      </c>
      <c r="AZ60" s="24" t="s">
        <v>49</v>
      </c>
      <c r="BA60" s="24" t="s">
        <v>49</v>
      </c>
      <c r="BB60" s="24">
        <f>(730.18/835)*100</f>
        <v>87.446706586826338</v>
      </c>
      <c r="BD60" s="2" t="s">
        <v>5</v>
      </c>
      <c r="BE60" s="24"/>
      <c r="BF60" s="24"/>
      <c r="BG60" s="24">
        <f t="shared" si="105"/>
        <v>3.1526472924484379</v>
      </c>
      <c r="BI60" s="2" t="s">
        <v>5</v>
      </c>
      <c r="BJ60" s="1" t="s">
        <v>49</v>
      </c>
      <c r="BK60" s="1" t="s">
        <v>49</v>
      </c>
      <c r="BL60" s="1">
        <v>3.52</v>
      </c>
      <c r="BN60" s="2" t="s">
        <v>5</v>
      </c>
      <c r="BO60" s="24" t="s">
        <v>49</v>
      </c>
      <c r="BP60" s="24" t="s">
        <v>49</v>
      </c>
      <c r="BQ60" s="24">
        <f>(921.07/835)*100</f>
        <v>110.30778443113773</v>
      </c>
      <c r="BS60" s="2" t="s">
        <v>5</v>
      </c>
      <c r="BT60" s="24"/>
      <c r="BU60" s="24"/>
      <c r="BV60" s="24">
        <f t="shared" si="107"/>
        <v>3.151769138067682</v>
      </c>
      <c r="BX60" s="2" t="s">
        <v>5</v>
      </c>
      <c r="BY60" s="1" t="s">
        <v>49</v>
      </c>
      <c r="BZ60" s="1" t="s">
        <v>49</v>
      </c>
      <c r="CA60" s="1">
        <v>1.17</v>
      </c>
      <c r="CC60" s="2" t="s">
        <v>5</v>
      </c>
      <c r="CD60" s="24" t="s">
        <v>49</v>
      </c>
      <c r="CE60" s="24" t="s">
        <v>49</v>
      </c>
      <c r="CF60" s="24">
        <f>(274.7/835)*100</f>
        <v>32.898203592814369</v>
      </c>
      <c r="CH60" s="2" t="s">
        <v>5</v>
      </c>
      <c r="CI60" s="24"/>
      <c r="CJ60" s="24"/>
      <c r="CK60" s="24">
        <f t="shared" si="109"/>
        <v>3.156170367673826</v>
      </c>
      <c r="CM60" s="2" t="s">
        <v>5</v>
      </c>
      <c r="CN60" s="1" t="s">
        <v>49</v>
      </c>
      <c r="CO60" s="1" t="s">
        <v>49</v>
      </c>
      <c r="CP60" s="1">
        <v>0.84</v>
      </c>
      <c r="CR60" s="2" t="s">
        <v>5</v>
      </c>
      <c r="CS60" s="24" t="s">
        <v>49</v>
      </c>
      <c r="CT60" s="24" t="s">
        <v>49</v>
      </c>
      <c r="CU60" s="24">
        <f>(191.25/835)*100</f>
        <v>22.904191616766468</v>
      </c>
      <c r="CW60" s="2" t="s">
        <v>5</v>
      </c>
      <c r="CX60" s="24"/>
      <c r="CY60" s="24"/>
      <c r="CZ60" s="24">
        <f t="shared" si="111"/>
        <v>3.1581699346405228</v>
      </c>
      <c r="DB60" s="2" t="s">
        <v>5</v>
      </c>
      <c r="DC60" s="1" t="s">
        <v>49</v>
      </c>
      <c r="DD60" s="1" t="s">
        <v>49</v>
      </c>
      <c r="DE60" s="1">
        <v>0.65</v>
      </c>
      <c r="DG60" s="2" t="s">
        <v>5</v>
      </c>
      <c r="DH60" s="24" t="s">
        <v>49</v>
      </c>
      <c r="DI60" s="24" t="s">
        <v>49</v>
      </c>
      <c r="DJ60" s="24">
        <f>(143.23/835)*100</f>
        <v>17.15329341317365</v>
      </c>
      <c r="DL60" s="2" t="s">
        <v>5</v>
      </c>
      <c r="DM60" s="24"/>
      <c r="DN60" s="24"/>
      <c r="DO60" s="24">
        <f t="shared" si="113"/>
        <v>3.1557634573762487</v>
      </c>
    </row>
    <row r="61" spans="16:119">
      <c r="P61" s="3" t="s">
        <v>137</v>
      </c>
      <c r="Q61" s="6">
        <f>AVERAGE(Q57:Q60)</f>
        <v>1.79</v>
      </c>
      <c r="R61" s="6">
        <f>AVERAGE(R57:R60)</f>
        <v>1.6733333333333331</v>
      </c>
      <c r="S61" s="6">
        <f>AVERAGE(S57:S60)</f>
        <v>1.4833333333333334</v>
      </c>
      <c r="U61" s="3" t="s">
        <v>137</v>
      </c>
      <c r="V61" s="24">
        <f>AVERAGE(V57:V60)</f>
        <v>51.1748502994012</v>
      </c>
      <c r="W61" s="24">
        <f t="shared" ref="W61:X61" si="114">AVERAGE(W57:W60)</f>
        <v>49.256686626746507</v>
      </c>
      <c r="X61" s="24">
        <f t="shared" si="114"/>
        <v>46.636726546906182</v>
      </c>
      <c r="Z61" s="26"/>
      <c r="AE61" s="3" t="s">
        <v>137</v>
      </c>
      <c r="AF61" s="6">
        <f>AVERAGE(AF57:AF60)</f>
        <v>2.5700000000000003</v>
      </c>
      <c r="AG61" s="6">
        <f>AVERAGE(AG57:AG60)</f>
        <v>2.3866666666666667</v>
      </c>
      <c r="AH61" s="6">
        <f>AVERAGE(AH57:AH60)</f>
        <v>2.06</v>
      </c>
      <c r="AJ61" s="3" t="s">
        <v>137</v>
      </c>
      <c r="AK61" s="24">
        <f>AVERAGE(AK57:AK60)</f>
        <v>69.577245508982031</v>
      </c>
      <c r="AL61" s="24">
        <f t="shared" ref="AL61:AM61" si="115">AVERAGE(AL57:AL60)</f>
        <v>67.864670658682641</v>
      </c>
      <c r="AM61" s="24">
        <f t="shared" si="115"/>
        <v>65.514171656686642</v>
      </c>
      <c r="AO61" s="26"/>
      <c r="AT61" s="3" t="s">
        <v>137</v>
      </c>
      <c r="AU61" s="6">
        <f>AVERAGE(AU57:AU60)</f>
        <v>3.3850000000000002</v>
      </c>
      <c r="AV61" s="6">
        <f>AVERAGE(AV57:AV60)</f>
        <v>3.1300000000000003</v>
      </c>
      <c r="AW61" s="6">
        <f>AVERAGE(AW57:AW60)</f>
        <v>2.6833333333333336</v>
      </c>
      <c r="AY61" s="3" t="s">
        <v>137</v>
      </c>
      <c r="AZ61" s="24">
        <f>AVERAGE(AZ57:AZ60)</f>
        <v>91.12934131736526</v>
      </c>
      <c r="BA61" s="24">
        <f t="shared" ref="BA61:BB61" si="116">AVERAGE(BA57:BA60)</f>
        <v>89.226746506986032</v>
      </c>
      <c r="BB61" s="24">
        <f t="shared" si="116"/>
        <v>86.623153692614778</v>
      </c>
      <c r="BD61" s="26"/>
      <c r="BI61" s="3" t="s">
        <v>137</v>
      </c>
      <c r="BJ61" s="6">
        <f>AVERAGE(BJ57:BJ60)</f>
        <v>4.1900000000000004</v>
      </c>
      <c r="BK61" s="6">
        <f>AVERAGE(BK57:BK60)</f>
        <v>3.8566666666666669</v>
      </c>
      <c r="BL61" s="6">
        <f>AVERAGE(BL57:BL60)</f>
        <v>3.2833333333333332</v>
      </c>
      <c r="BN61" s="3" t="s">
        <v>137</v>
      </c>
      <c r="BO61" s="24">
        <f>AVERAGE(BO57:BO60)</f>
        <v>113.88802395209581</v>
      </c>
      <c r="BP61" s="24">
        <f t="shared" ref="BP61:BQ61" si="117">AVERAGE(BP57:BP60)</f>
        <v>112.10778443113772</v>
      </c>
      <c r="BQ61" s="24">
        <f t="shared" si="117"/>
        <v>109.26786427145709</v>
      </c>
      <c r="BS61" s="26"/>
      <c r="BX61" s="3" t="s">
        <v>137</v>
      </c>
      <c r="BY61" s="6">
        <f>AVERAGE(BY57:BY60)</f>
        <v>1.18</v>
      </c>
      <c r="BZ61" s="6">
        <f>AVERAGE(BZ57:BZ60)</f>
        <v>1.1200000000000001</v>
      </c>
      <c r="CA61" s="6">
        <f>AVERAGE(CA57:CA60)</f>
        <v>1.02</v>
      </c>
      <c r="CC61" s="3" t="s">
        <v>137</v>
      </c>
      <c r="CD61" s="24">
        <f>AVERAGE(CD57:CD60)</f>
        <v>35.453293413173654</v>
      </c>
      <c r="CE61" s="24">
        <f t="shared" ref="CE61:CF61" si="118">AVERAGE(CE57:CE60)</f>
        <v>33.87105788423154</v>
      </c>
      <c r="CF61" s="24">
        <f t="shared" si="118"/>
        <v>31.960878243512969</v>
      </c>
      <c r="CH61" s="26"/>
      <c r="CM61" s="3" t="s">
        <v>137</v>
      </c>
      <c r="CN61" s="6">
        <f>AVERAGE(CN57:CN60)</f>
        <v>0.78499999999999992</v>
      </c>
      <c r="CO61" s="6">
        <f>AVERAGE(CO57:CO60)</f>
        <v>0.75</v>
      </c>
      <c r="CP61" s="6">
        <f>AVERAGE(CP57:CP60)</f>
        <v>0.70666666666666667</v>
      </c>
      <c r="CR61" s="3" t="s">
        <v>137</v>
      </c>
      <c r="CS61" s="24">
        <f>AVERAGE(CS57:CS60)</f>
        <v>24.438323353293413</v>
      </c>
      <c r="CT61" s="24">
        <f t="shared" ref="CT61:CU61" si="119">AVERAGE(CT57:CT60)</f>
        <v>23.257884231536924</v>
      </c>
      <c r="CU61" s="24">
        <f t="shared" si="119"/>
        <v>21.969660678642715</v>
      </c>
      <c r="CW61" s="26"/>
      <c r="DB61" s="3" t="s">
        <v>137</v>
      </c>
      <c r="DC61" s="6">
        <f>AVERAGE(DC57:DC60)</f>
        <v>0.56500000000000006</v>
      </c>
      <c r="DD61" s="6">
        <f>AVERAGE(DD57:DD60)</f>
        <v>0.54666666666666675</v>
      </c>
      <c r="DE61" s="6">
        <f>AVERAGE(DE57:DE60)</f>
        <v>0.53333333333333333</v>
      </c>
      <c r="DG61" s="3" t="s">
        <v>137</v>
      </c>
      <c r="DH61" s="24">
        <f>AVERAGE(DH57:DH60)</f>
        <v>18.077844311377245</v>
      </c>
      <c r="DI61" s="24">
        <f t="shared" ref="DI61:DJ61" si="120">AVERAGE(DI57:DI60)</f>
        <v>17.097804391217565</v>
      </c>
      <c r="DJ61" s="24">
        <f t="shared" si="120"/>
        <v>16.160878243512972</v>
      </c>
      <c r="DL61" s="26"/>
    </row>
    <row r="63" spans="16:119">
      <c r="P63" s="47" t="s">
        <v>69</v>
      </c>
      <c r="Q63" s="47"/>
      <c r="R63" s="47"/>
      <c r="S63" s="47"/>
      <c r="U63" s="47" t="s">
        <v>59</v>
      </c>
      <c r="V63" s="47"/>
      <c r="W63" s="47"/>
      <c r="X63" s="47"/>
      <c r="Z63" s="53" t="s">
        <v>77</v>
      </c>
      <c r="AA63" s="53"/>
      <c r="AB63" s="53"/>
      <c r="AC63" s="53"/>
      <c r="AE63" s="47" t="s">
        <v>69</v>
      </c>
      <c r="AF63" s="47"/>
      <c r="AG63" s="47"/>
      <c r="AH63" s="47"/>
      <c r="AJ63" s="47" t="s">
        <v>59</v>
      </c>
      <c r="AK63" s="47"/>
      <c r="AL63" s="47"/>
      <c r="AM63" s="47"/>
      <c r="AO63" s="53" t="s">
        <v>77</v>
      </c>
      <c r="AP63" s="53"/>
      <c r="AQ63" s="53"/>
      <c r="AR63" s="53"/>
      <c r="AT63" s="47" t="s">
        <v>69</v>
      </c>
      <c r="AU63" s="47"/>
      <c r="AV63" s="47"/>
      <c r="AW63" s="47"/>
      <c r="AY63" s="47" t="s">
        <v>59</v>
      </c>
      <c r="AZ63" s="47"/>
      <c r="BA63" s="47"/>
      <c r="BB63" s="47"/>
      <c r="BD63" s="53" t="s">
        <v>77</v>
      </c>
      <c r="BE63" s="53"/>
      <c r="BF63" s="53"/>
      <c r="BG63" s="53"/>
      <c r="BI63" s="47" t="s">
        <v>69</v>
      </c>
      <c r="BJ63" s="47"/>
      <c r="BK63" s="47"/>
      <c r="BL63" s="47"/>
      <c r="BN63" s="47" t="s">
        <v>59</v>
      </c>
      <c r="BO63" s="47"/>
      <c r="BP63" s="47"/>
      <c r="BQ63" s="47"/>
      <c r="BS63" s="53" t="s">
        <v>77</v>
      </c>
      <c r="BT63" s="53"/>
      <c r="BU63" s="53"/>
      <c r="BV63" s="53"/>
      <c r="BX63" s="47" t="s">
        <v>69</v>
      </c>
      <c r="BY63" s="47"/>
      <c r="BZ63" s="47"/>
      <c r="CA63" s="47"/>
      <c r="CC63" s="47" t="s">
        <v>59</v>
      </c>
      <c r="CD63" s="47"/>
      <c r="CE63" s="47"/>
      <c r="CF63" s="47"/>
      <c r="CH63" s="53" t="s">
        <v>77</v>
      </c>
      <c r="CI63" s="53"/>
      <c r="CJ63" s="53"/>
      <c r="CK63" s="53"/>
      <c r="CM63" s="47" t="s">
        <v>69</v>
      </c>
      <c r="CN63" s="47"/>
      <c r="CO63" s="47"/>
      <c r="CP63" s="47"/>
      <c r="CR63" s="47" t="s">
        <v>59</v>
      </c>
      <c r="CS63" s="47"/>
      <c r="CT63" s="47"/>
      <c r="CU63" s="47"/>
      <c r="CW63" s="53" t="s">
        <v>77</v>
      </c>
      <c r="CX63" s="53"/>
      <c r="CY63" s="53"/>
      <c r="CZ63" s="53"/>
      <c r="DB63" s="47" t="s">
        <v>69</v>
      </c>
      <c r="DC63" s="47"/>
      <c r="DD63" s="47"/>
      <c r="DE63" s="47"/>
      <c r="DG63" s="47" t="s">
        <v>59</v>
      </c>
      <c r="DH63" s="47"/>
      <c r="DI63" s="47"/>
      <c r="DJ63" s="47"/>
      <c r="DL63" s="53" t="s">
        <v>77</v>
      </c>
      <c r="DM63" s="53"/>
      <c r="DN63" s="53"/>
      <c r="DO63" s="53"/>
    </row>
    <row r="64" spans="16:119">
      <c r="P64" s="2"/>
      <c r="Q64" s="2">
        <v>2000</v>
      </c>
      <c r="R64" s="2">
        <v>2007</v>
      </c>
      <c r="S64" s="2">
        <v>2015</v>
      </c>
      <c r="U64" s="2"/>
      <c r="V64" s="2">
        <v>2000</v>
      </c>
      <c r="W64" s="2">
        <v>2007</v>
      </c>
      <c r="X64" s="2">
        <v>2015</v>
      </c>
      <c r="Z64" s="2" t="s">
        <v>6</v>
      </c>
      <c r="AA64" s="6">
        <f>(V65/V57)*100</f>
        <v>2.6349154675868656</v>
      </c>
      <c r="AB64" s="6">
        <f t="shared" ref="AB64:AC67" si="121">(W65/W57)*100</f>
        <v>2.6349154675868656</v>
      </c>
      <c r="AC64" s="6"/>
      <c r="AE64" s="2"/>
      <c r="AF64" s="2">
        <v>2000</v>
      </c>
      <c r="AG64" s="2">
        <v>2007</v>
      </c>
      <c r="AH64" s="2">
        <v>2015</v>
      </c>
      <c r="AJ64" s="2"/>
      <c r="AK64" s="2">
        <v>2000</v>
      </c>
      <c r="AL64" s="2">
        <v>2007</v>
      </c>
      <c r="AM64" s="2">
        <v>2015</v>
      </c>
      <c r="AO64" s="2" t="s">
        <v>6</v>
      </c>
      <c r="AP64" s="6">
        <f>(AK65/AK57)*100</f>
        <v>2.6354000844676913</v>
      </c>
      <c r="AQ64" s="6">
        <f t="shared" ref="AQ64:AQ66" si="122">(AL65/AL57)*100</f>
        <v>2.6354000844676913</v>
      </c>
      <c r="AR64" s="6"/>
      <c r="AT64" s="2"/>
      <c r="AU64" s="2">
        <v>2000</v>
      </c>
      <c r="AV64" s="2">
        <v>2007</v>
      </c>
      <c r="AW64" s="2">
        <v>2015</v>
      </c>
      <c r="AY64" s="2"/>
      <c r="AZ64" s="2">
        <v>2000</v>
      </c>
      <c r="BA64" s="2">
        <v>2007</v>
      </c>
      <c r="BB64" s="2">
        <v>2015</v>
      </c>
      <c r="BD64" s="2" t="s">
        <v>6</v>
      </c>
      <c r="BE64" s="6">
        <f>(AZ65/AZ57)*100</f>
        <v>2.6339137540859947</v>
      </c>
      <c r="BF64" s="6">
        <f t="shared" ref="BF64:BF66" si="123">(BA65/BA57)*100</f>
        <v>2.6339137540859947</v>
      </c>
      <c r="BG64" s="6"/>
      <c r="BI64" s="2"/>
      <c r="BJ64" s="2">
        <v>2000</v>
      </c>
      <c r="BK64" s="2">
        <v>2007</v>
      </c>
      <c r="BL64" s="2">
        <v>2015</v>
      </c>
      <c r="BN64" s="2"/>
      <c r="BO64" s="2">
        <v>2000</v>
      </c>
      <c r="BP64" s="2">
        <v>2007</v>
      </c>
      <c r="BQ64" s="2">
        <v>2015</v>
      </c>
      <c r="BS64" s="2" t="s">
        <v>6</v>
      </c>
      <c r="BT64" s="6">
        <f>(BO65/BO57)*100</f>
        <v>2.6332278449118633</v>
      </c>
      <c r="BU64" s="6">
        <f t="shared" ref="BU64:BU66" si="124">(BP65/BP57)*100</f>
        <v>2.6332278449118633</v>
      </c>
      <c r="BV64" s="6"/>
      <c r="BX64" s="2"/>
      <c r="BY64" s="2">
        <v>2000</v>
      </c>
      <c r="BZ64" s="2">
        <v>2007</v>
      </c>
      <c r="CA64" s="2">
        <v>2015</v>
      </c>
      <c r="CC64" s="2"/>
      <c r="CD64" s="2">
        <v>2000</v>
      </c>
      <c r="CE64" s="2">
        <v>2007</v>
      </c>
      <c r="CF64" s="2">
        <v>2015</v>
      </c>
      <c r="CH64" s="2" t="s">
        <v>6</v>
      </c>
      <c r="CI64" s="6">
        <f>(CD65/CD57)*100</f>
        <v>2.6379321035498373</v>
      </c>
      <c r="CJ64" s="6">
        <f t="shared" ref="CJ64:CJ66" si="125">(CE65/CE57)*100</f>
        <v>2.6379321035498373</v>
      </c>
      <c r="CK64" s="6"/>
      <c r="CM64" s="2"/>
      <c r="CN64" s="2">
        <v>2000</v>
      </c>
      <c r="CO64" s="2">
        <v>2007</v>
      </c>
      <c r="CP64" s="2">
        <v>2015</v>
      </c>
      <c r="CR64" s="2"/>
      <c r="CS64" s="2">
        <v>2000</v>
      </c>
      <c r="CT64" s="2">
        <v>2007</v>
      </c>
      <c r="CU64" s="2">
        <v>2015</v>
      </c>
      <c r="CW64" s="2" t="s">
        <v>6</v>
      </c>
      <c r="CX64" s="6">
        <f>(CS65/CS57)*100</f>
        <v>2.641128310665712</v>
      </c>
      <c r="CY64" s="6">
        <f t="shared" ref="CY64:CY66" si="126">(CT65/CT57)*100</f>
        <v>2.641128310665712</v>
      </c>
      <c r="CZ64" s="6"/>
      <c r="DB64" s="2"/>
      <c r="DC64" s="2">
        <v>2000</v>
      </c>
      <c r="DD64" s="2">
        <v>2007</v>
      </c>
      <c r="DE64" s="2">
        <v>2015</v>
      </c>
      <c r="DG64" s="2"/>
      <c r="DH64" s="2">
        <v>2000</v>
      </c>
      <c r="DI64" s="2">
        <v>2007</v>
      </c>
      <c r="DJ64" s="2">
        <v>2015</v>
      </c>
      <c r="DL64" s="2" t="s">
        <v>6</v>
      </c>
      <c r="DM64" s="6">
        <f>(DH65/DH57)*100</f>
        <v>2.6447510497900417</v>
      </c>
      <c r="DN64" s="6">
        <f t="shared" ref="DN64:DN66" si="127">(DI65/DI57)*100</f>
        <v>2.6447510497900417</v>
      </c>
      <c r="DO64" s="6"/>
    </row>
    <row r="65" spans="16:119">
      <c r="P65" s="2" t="s">
        <v>6</v>
      </c>
      <c r="Q65" s="1">
        <v>0.03</v>
      </c>
      <c r="R65" s="1">
        <v>0.03</v>
      </c>
      <c r="S65" s="1" t="s">
        <v>49</v>
      </c>
      <c r="U65" s="2" t="s">
        <v>6</v>
      </c>
      <c r="V65" s="24">
        <v>1.454</v>
      </c>
      <c r="W65" s="24">
        <v>1.454</v>
      </c>
      <c r="X65" s="1" t="s">
        <v>49</v>
      </c>
      <c r="Z65" s="2" t="s">
        <v>3</v>
      </c>
      <c r="AA65" s="6">
        <f t="shared" ref="AA65" si="128">(V66/V58)*100</f>
        <v>2.635279928906944</v>
      </c>
      <c r="AB65" s="6">
        <f t="shared" si="121"/>
        <v>2.6357179196394567</v>
      </c>
      <c r="AC65" s="6">
        <f t="shared" si="121"/>
        <v>2.6357179196394567</v>
      </c>
      <c r="AE65" s="2" t="s">
        <v>6</v>
      </c>
      <c r="AF65" s="1">
        <v>0.03</v>
      </c>
      <c r="AG65" s="1">
        <v>0.03</v>
      </c>
      <c r="AH65" s="1" t="s">
        <v>49</v>
      </c>
      <c r="AJ65" s="2" t="s">
        <v>6</v>
      </c>
      <c r="AK65" s="24">
        <v>1.9430000000000001</v>
      </c>
      <c r="AL65" s="24">
        <v>1.9430000000000001</v>
      </c>
      <c r="AM65" s="1" t="s">
        <v>49</v>
      </c>
      <c r="AO65" s="2" t="s">
        <v>3</v>
      </c>
      <c r="AP65" s="6">
        <f t="shared" ref="AP65" si="129">(AK66/AK58)*100</f>
        <v>2.6349758383365054</v>
      </c>
      <c r="AQ65" s="6">
        <f t="shared" si="122"/>
        <v>2.6349758383365054</v>
      </c>
      <c r="AR65" s="6">
        <f t="shared" ref="AR65:AR67" si="130">(AM66/AM58)*100</f>
        <v>2.6349758383365054</v>
      </c>
      <c r="AT65" s="2" t="s">
        <v>6</v>
      </c>
      <c r="AU65" s="1">
        <v>0.03</v>
      </c>
      <c r="AV65" s="1">
        <v>0.03</v>
      </c>
      <c r="AW65" s="1" t="s">
        <v>49</v>
      </c>
      <c r="AY65" s="2" t="s">
        <v>6</v>
      </c>
      <c r="AZ65" s="24">
        <v>2.5089999999999999</v>
      </c>
      <c r="BA65" s="24">
        <v>2.5089999999999999</v>
      </c>
      <c r="BB65" s="1" t="s">
        <v>49</v>
      </c>
      <c r="BD65" s="2" t="s">
        <v>3</v>
      </c>
      <c r="BE65" s="6">
        <f t="shared" ref="BE65" si="131">(AZ66/AZ58)*100</f>
        <v>2.6332970844919199</v>
      </c>
      <c r="BF65" s="6">
        <f t="shared" si="123"/>
        <v>2.6332970844919199</v>
      </c>
      <c r="BG65" s="6">
        <f t="shared" ref="BG65:BG67" si="132">(BB66/BB58)*100</f>
        <v>2.6332970844919199</v>
      </c>
      <c r="BI65" s="2" t="s">
        <v>6</v>
      </c>
      <c r="BJ65" s="1">
        <v>0.03</v>
      </c>
      <c r="BK65" s="1">
        <v>0.03</v>
      </c>
      <c r="BL65" s="1" t="s">
        <v>49</v>
      </c>
      <c r="BN65" s="2" t="s">
        <v>6</v>
      </c>
      <c r="BO65" s="24">
        <v>3.129</v>
      </c>
      <c r="BP65" s="24">
        <v>3.129</v>
      </c>
      <c r="BQ65" s="1" t="s">
        <v>49</v>
      </c>
      <c r="BS65" s="2" t="s">
        <v>3</v>
      </c>
      <c r="BT65" s="6">
        <f t="shared" ref="BT65" si="133">(BO66/BO58)*100</f>
        <v>2.6333542188805348</v>
      </c>
      <c r="BU65" s="6">
        <f t="shared" si="124"/>
        <v>2.6333542188805348</v>
      </c>
      <c r="BV65" s="6">
        <f t="shared" ref="BV65:BV67" si="134">(BQ66/BQ58)*100</f>
        <v>2.6333542188805348</v>
      </c>
      <c r="BX65" s="2" t="s">
        <v>6</v>
      </c>
      <c r="BY65" s="1">
        <v>0.03</v>
      </c>
      <c r="BZ65" s="1">
        <v>0.03</v>
      </c>
      <c r="CA65" s="1" t="s">
        <v>49</v>
      </c>
      <c r="CC65" s="2" t="s">
        <v>6</v>
      </c>
      <c r="CD65" s="24">
        <v>1.0189999999999999</v>
      </c>
      <c r="CE65" s="24">
        <v>1.0189999999999999</v>
      </c>
      <c r="CF65" s="1" t="s">
        <v>49</v>
      </c>
      <c r="CH65" s="2" t="s">
        <v>3</v>
      </c>
      <c r="CI65" s="6">
        <f t="shared" ref="CI65" si="135">(CD66/CD58)*100</f>
        <v>2.6364833778569312</v>
      </c>
      <c r="CJ65" s="6">
        <f t="shared" si="125"/>
        <v>2.6364833778569312</v>
      </c>
      <c r="CK65" s="6">
        <f t="shared" ref="CK65:CK67" si="136">(CF66/CF58)*100</f>
        <v>2.6364833778569312</v>
      </c>
      <c r="CM65" s="2" t="s">
        <v>6</v>
      </c>
      <c r="CN65" s="1">
        <v>0.03</v>
      </c>
      <c r="CO65" s="1">
        <v>0.03</v>
      </c>
      <c r="CP65" s="1" t="s">
        <v>49</v>
      </c>
      <c r="CR65" s="2" t="s">
        <v>6</v>
      </c>
      <c r="CS65" s="24">
        <v>0.70699999999999996</v>
      </c>
      <c r="CT65" s="24">
        <v>0.70699999999999996</v>
      </c>
      <c r="CU65" s="1" t="s">
        <v>49</v>
      </c>
      <c r="CW65" s="2" t="s">
        <v>3</v>
      </c>
      <c r="CX65" s="6">
        <f t="shared" ref="CX65" si="137">(CS66/CS58)*100</f>
        <v>2.6416034669555799</v>
      </c>
      <c r="CY65" s="6">
        <f t="shared" si="126"/>
        <v>2.6416034669555799</v>
      </c>
      <c r="CZ65" s="6">
        <f t="shared" ref="CZ65:CZ67" si="138">(CU66/CU58)*100</f>
        <v>2.6416034669555799</v>
      </c>
      <c r="DB65" s="2" t="s">
        <v>6</v>
      </c>
      <c r="DC65" s="1">
        <v>0.03</v>
      </c>
      <c r="DD65" s="1">
        <v>0.03</v>
      </c>
      <c r="DE65" s="1" t="s">
        <v>49</v>
      </c>
      <c r="DG65" s="2" t="s">
        <v>6</v>
      </c>
      <c r="DH65" s="24">
        <v>0.52800000000000002</v>
      </c>
      <c r="DI65" s="24">
        <v>0.52800000000000002</v>
      </c>
      <c r="DJ65" s="1" t="s">
        <v>49</v>
      </c>
      <c r="DL65" s="2" t="s">
        <v>3</v>
      </c>
      <c r="DM65" s="6">
        <f t="shared" ref="DM65" si="139">(DH66/DH58)*100</f>
        <v>2.6433431952662723</v>
      </c>
      <c r="DN65" s="6">
        <f t="shared" si="127"/>
        <v>2.6433431952662723</v>
      </c>
      <c r="DO65" s="6">
        <f t="shared" ref="DO65:DO67" si="140">(DJ66/DJ58)*100</f>
        <v>2.6433431952662723</v>
      </c>
    </row>
    <row r="66" spans="16:119">
      <c r="P66" s="2" t="s">
        <v>3</v>
      </c>
      <c r="Q66" s="1">
        <v>0.01</v>
      </c>
      <c r="R66" s="1">
        <v>0.01</v>
      </c>
      <c r="S66" s="1">
        <v>0.01</v>
      </c>
      <c r="U66" s="2" t="s">
        <v>3</v>
      </c>
      <c r="V66" s="24">
        <v>1.2430000000000001</v>
      </c>
      <c r="W66" s="24">
        <f>1243206.59/1000000</f>
        <v>1.24320659</v>
      </c>
      <c r="X66" s="24">
        <f>1243206.59/1000000</f>
        <v>1.24320659</v>
      </c>
      <c r="Z66" s="2" t="s">
        <v>4</v>
      </c>
      <c r="AA66" s="6"/>
      <c r="AB66" s="6">
        <f t="shared" si="121"/>
        <v>2.6345585084111165</v>
      </c>
      <c r="AC66" s="6">
        <f t="shared" si="121"/>
        <v>2.6345585084111165</v>
      </c>
      <c r="AE66" s="2" t="s">
        <v>3</v>
      </c>
      <c r="AF66" s="1">
        <v>0.01</v>
      </c>
      <c r="AG66" s="1">
        <v>0.01</v>
      </c>
      <c r="AH66" s="1">
        <v>0.01</v>
      </c>
      <c r="AJ66" s="2" t="s">
        <v>3</v>
      </c>
      <c r="AK66" s="24">
        <v>1.724</v>
      </c>
      <c r="AL66" s="24">
        <v>1.724</v>
      </c>
      <c r="AM66" s="24">
        <v>1.724</v>
      </c>
      <c r="AO66" s="2" t="s">
        <v>4</v>
      </c>
      <c r="AP66" s="6"/>
      <c r="AQ66" s="6">
        <f t="shared" si="122"/>
        <v>2.6334770568885086</v>
      </c>
      <c r="AR66" s="6">
        <f t="shared" si="130"/>
        <v>2.6334770568885086</v>
      </c>
      <c r="AT66" s="2" t="s">
        <v>3</v>
      </c>
      <c r="AU66" s="1">
        <v>0.01</v>
      </c>
      <c r="AV66" s="1">
        <v>0.01</v>
      </c>
      <c r="AW66" s="1">
        <v>0.01</v>
      </c>
      <c r="AY66" s="2" t="s">
        <v>3</v>
      </c>
      <c r="AZ66" s="24">
        <v>2.2909999999999999</v>
      </c>
      <c r="BA66" s="24">
        <v>2.2909999999999999</v>
      </c>
      <c r="BB66" s="24">
        <v>2.2909999999999999</v>
      </c>
      <c r="BD66" s="2" t="s">
        <v>4</v>
      </c>
      <c r="BE66" s="6"/>
      <c r="BF66" s="6">
        <f t="shared" si="123"/>
        <v>2.6328248769750586</v>
      </c>
      <c r="BG66" s="6">
        <f t="shared" si="132"/>
        <v>2.6328248769750586</v>
      </c>
      <c r="BI66" s="2" t="s">
        <v>3</v>
      </c>
      <c r="BJ66" s="1">
        <v>0.01</v>
      </c>
      <c r="BK66" s="1">
        <v>0.01</v>
      </c>
      <c r="BL66" s="1">
        <v>0.01</v>
      </c>
      <c r="BN66" s="2" t="s">
        <v>3</v>
      </c>
      <c r="BO66" s="24">
        <v>2.8690000000000002</v>
      </c>
      <c r="BP66" s="24">
        <v>2.8690000000000002</v>
      </c>
      <c r="BQ66" s="24">
        <v>2.8690000000000002</v>
      </c>
      <c r="BS66" s="2" t="s">
        <v>4</v>
      </c>
      <c r="BT66" s="6"/>
      <c r="BU66" s="6">
        <f t="shared" si="124"/>
        <v>2.6329534296148376</v>
      </c>
      <c r="BV66" s="6">
        <f t="shared" si="134"/>
        <v>2.6329534296148376</v>
      </c>
      <c r="BX66" s="2" t="s">
        <v>3</v>
      </c>
      <c r="BY66" s="1">
        <v>0.01</v>
      </c>
      <c r="BZ66" s="1">
        <v>0.01</v>
      </c>
      <c r="CA66" s="1">
        <v>0.01</v>
      </c>
      <c r="CC66" s="2" t="s">
        <v>3</v>
      </c>
      <c r="CD66" s="24">
        <v>0.85099999999999998</v>
      </c>
      <c r="CE66" s="24">
        <v>0.85099999999999998</v>
      </c>
      <c r="CF66" s="24">
        <v>0.85099999999999998</v>
      </c>
      <c r="CH66" s="2" t="s">
        <v>4</v>
      </c>
      <c r="CI66" s="6"/>
      <c r="CJ66" s="6">
        <f t="shared" si="125"/>
        <v>2.6346138845553821</v>
      </c>
      <c r="CK66" s="6">
        <f t="shared" si="136"/>
        <v>2.6346138845553821</v>
      </c>
      <c r="CM66" s="2" t="s">
        <v>3</v>
      </c>
      <c r="CN66" s="1">
        <v>0.01</v>
      </c>
      <c r="CO66" s="1">
        <v>0.01</v>
      </c>
      <c r="CP66" s="1">
        <v>0.01</v>
      </c>
      <c r="CR66" s="2" t="s">
        <v>3</v>
      </c>
      <c r="CS66" s="24">
        <v>0.58399999999999996</v>
      </c>
      <c r="CT66" s="24">
        <v>0.58399999999999996</v>
      </c>
      <c r="CU66" s="24">
        <v>0.58399999999999996</v>
      </c>
      <c r="CW66" s="2" t="s">
        <v>4</v>
      </c>
      <c r="CX66" s="6"/>
      <c r="CY66" s="6">
        <f t="shared" si="126"/>
        <v>2.6367413605364205</v>
      </c>
      <c r="CZ66" s="6">
        <f t="shared" si="138"/>
        <v>2.6367413605364205</v>
      </c>
      <c r="DB66" s="2" t="s">
        <v>3</v>
      </c>
      <c r="DC66" s="1">
        <v>0.01</v>
      </c>
      <c r="DD66" s="1">
        <v>0.01</v>
      </c>
      <c r="DE66" s="1">
        <v>0.01</v>
      </c>
      <c r="DG66" s="2" t="s">
        <v>3</v>
      </c>
      <c r="DH66" s="24">
        <v>0.42799999999999999</v>
      </c>
      <c r="DI66" s="24">
        <v>0.42799999999999999</v>
      </c>
      <c r="DJ66" s="24">
        <v>0.42799999999999999</v>
      </c>
      <c r="DL66" s="2" t="s">
        <v>4</v>
      </c>
      <c r="DM66" s="6"/>
      <c r="DN66" s="6">
        <f t="shared" si="127"/>
        <v>2.6424050632911396</v>
      </c>
      <c r="DO66" s="6">
        <f t="shared" si="140"/>
        <v>2.6424050632911396</v>
      </c>
    </row>
    <row r="67" spans="16:119">
      <c r="P67" s="2" t="s">
        <v>4</v>
      </c>
      <c r="Q67" s="1" t="s">
        <v>49</v>
      </c>
      <c r="R67" s="1">
        <v>0.01</v>
      </c>
      <c r="S67" s="1">
        <v>0.01</v>
      </c>
      <c r="U67" s="2" t="s">
        <v>4</v>
      </c>
      <c r="V67" s="1" t="s">
        <v>49</v>
      </c>
      <c r="W67" s="24">
        <f>1196625.94/1000000</f>
        <v>1.1966259399999999</v>
      </c>
      <c r="X67" s="24">
        <f>1196625.94/1000000</f>
        <v>1.1966259399999999</v>
      </c>
      <c r="Z67" s="2" t="s">
        <v>5</v>
      </c>
      <c r="AA67" s="1"/>
      <c r="AB67" s="1"/>
      <c r="AC67" s="6">
        <f t="shared" si="121"/>
        <v>2.6331463811560458</v>
      </c>
      <c r="AE67" s="2" t="s">
        <v>4</v>
      </c>
      <c r="AF67" s="1" t="s">
        <v>49</v>
      </c>
      <c r="AG67" s="1">
        <v>0.01</v>
      </c>
      <c r="AH67" s="1">
        <v>0.01</v>
      </c>
      <c r="AJ67" s="2" t="s">
        <v>4</v>
      </c>
      <c r="AK67" s="1" t="s">
        <v>49</v>
      </c>
      <c r="AL67" s="24">
        <v>1.6970000000000001</v>
      </c>
      <c r="AM67" s="24">
        <v>1.6970000000000001</v>
      </c>
      <c r="AO67" s="2" t="s">
        <v>5</v>
      </c>
      <c r="AP67" s="1"/>
      <c r="AQ67" s="1"/>
      <c r="AR67" s="6">
        <f t="shared" si="130"/>
        <v>2.6321532492725503</v>
      </c>
      <c r="AT67" s="2" t="s">
        <v>4</v>
      </c>
      <c r="AU67" s="1" t="s">
        <v>49</v>
      </c>
      <c r="AV67" s="1">
        <v>0.01</v>
      </c>
      <c r="AW67" s="1">
        <v>0.01</v>
      </c>
      <c r="AY67" s="2" t="s">
        <v>4</v>
      </c>
      <c r="AZ67" s="1" t="s">
        <v>49</v>
      </c>
      <c r="BA67" s="24">
        <v>2.2490000000000001</v>
      </c>
      <c r="BB67" s="24">
        <v>2.2490000000000001</v>
      </c>
      <c r="BD67" s="2" t="s">
        <v>5</v>
      </c>
      <c r="BE67" s="1"/>
      <c r="BF67" s="1"/>
      <c r="BG67" s="6">
        <f t="shared" si="132"/>
        <v>2.6324604891944459</v>
      </c>
      <c r="BI67" s="2" t="s">
        <v>4</v>
      </c>
      <c r="BJ67" s="1" t="s">
        <v>49</v>
      </c>
      <c r="BK67" s="1">
        <v>0.01</v>
      </c>
      <c r="BL67" s="1">
        <v>0.01</v>
      </c>
      <c r="BN67" s="2" t="s">
        <v>4</v>
      </c>
      <c r="BO67" s="1" t="s">
        <v>49</v>
      </c>
      <c r="BP67" s="24">
        <v>2.8580000000000001</v>
      </c>
      <c r="BQ67" s="24">
        <v>2.8580000000000001</v>
      </c>
      <c r="BS67" s="2" t="s">
        <v>5</v>
      </c>
      <c r="BT67" s="1"/>
      <c r="BU67" s="1"/>
      <c r="BV67" s="6">
        <f t="shared" si="134"/>
        <v>2.6317272302865145</v>
      </c>
      <c r="BX67" s="2" t="s">
        <v>4</v>
      </c>
      <c r="BY67" s="1" t="s">
        <v>49</v>
      </c>
      <c r="BZ67" s="1">
        <v>0.01</v>
      </c>
      <c r="CA67" s="1">
        <v>0.01</v>
      </c>
      <c r="CC67" s="2" t="s">
        <v>4</v>
      </c>
      <c r="CD67" s="1" t="s">
        <v>49</v>
      </c>
      <c r="CE67" s="24">
        <v>0.80900000000000005</v>
      </c>
      <c r="CF67" s="24">
        <v>0.80900000000000005</v>
      </c>
      <c r="CH67" s="2" t="s">
        <v>5</v>
      </c>
      <c r="CI67" s="1"/>
      <c r="CJ67" s="1"/>
      <c r="CK67" s="6">
        <f t="shared" si="136"/>
        <v>2.635402257007645</v>
      </c>
      <c r="CM67" s="2" t="s">
        <v>4</v>
      </c>
      <c r="CN67" s="1" t="s">
        <v>49</v>
      </c>
      <c r="CO67" s="1">
        <v>0.01</v>
      </c>
      <c r="CP67" s="1">
        <v>0.01</v>
      </c>
      <c r="CR67" s="2" t="s">
        <v>4</v>
      </c>
      <c r="CS67" s="1" t="s">
        <v>49</v>
      </c>
      <c r="CT67" s="24">
        <v>0.55100000000000005</v>
      </c>
      <c r="CU67" s="24">
        <v>0.55100000000000005</v>
      </c>
      <c r="CW67" s="2" t="s">
        <v>5</v>
      </c>
      <c r="CX67" s="1"/>
      <c r="CY67" s="1"/>
      <c r="CZ67" s="6">
        <f t="shared" si="138"/>
        <v>2.6370718954248367</v>
      </c>
      <c r="DB67" s="2" t="s">
        <v>4</v>
      </c>
      <c r="DC67" s="1" t="s">
        <v>49</v>
      </c>
      <c r="DD67" s="1">
        <v>0.01</v>
      </c>
      <c r="DE67" s="1">
        <v>0.01</v>
      </c>
      <c r="DG67" s="2" t="s">
        <v>4</v>
      </c>
      <c r="DH67" s="1" t="s">
        <v>49</v>
      </c>
      <c r="DI67" s="24">
        <v>0.4</v>
      </c>
      <c r="DJ67" s="24">
        <v>0.4</v>
      </c>
      <c r="DL67" s="2" t="s">
        <v>5</v>
      </c>
      <c r="DM67" s="1"/>
      <c r="DN67" s="1"/>
      <c r="DO67" s="6">
        <f t="shared" si="140"/>
        <v>2.6350624869091677</v>
      </c>
    </row>
    <row r="68" spans="16:119">
      <c r="P68" s="2" t="s">
        <v>5</v>
      </c>
      <c r="Q68" s="1" t="s">
        <v>49</v>
      </c>
      <c r="R68" s="1" t="s">
        <v>49</v>
      </c>
      <c r="S68" s="1">
        <v>0.01</v>
      </c>
      <c r="U68" s="2" t="s">
        <v>5</v>
      </c>
      <c r="V68" s="1" t="s">
        <v>49</v>
      </c>
      <c r="W68" s="1" t="s">
        <v>49</v>
      </c>
      <c r="X68" s="24">
        <f>1246061.63/1000000</f>
        <v>1.2460616299999998</v>
      </c>
      <c r="AE68" s="2" t="s">
        <v>5</v>
      </c>
      <c r="AF68" s="1" t="s">
        <v>49</v>
      </c>
      <c r="AG68" s="1" t="s">
        <v>49</v>
      </c>
      <c r="AH68" s="1">
        <v>0.01</v>
      </c>
      <c r="AJ68" s="2" t="s">
        <v>5</v>
      </c>
      <c r="AK68" s="1" t="s">
        <v>49</v>
      </c>
      <c r="AL68" s="1" t="s">
        <v>49</v>
      </c>
      <c r="AM68" s="24">
        <v>1.7549999999999999</v>
      </c>
      <c r="AT68" s="2" t="s">
        <v>5</v>
      </c>
      <c r="AU68" s="1" t="s">
        <v>49</v>
      </c>
      <c r="AV68" s="1" t="s">
        <v>49</v>
      </c>
      <c r="AW68" s="1">
        <v>0</v>
      </c>
      <c r="AY68" s="2" t="s">
        <v>5</v>
      </c>
      <c r="AZ68" s="1" t="s">
        <v>49</v>
      </c>
      <c r="BA68" s="1" t="s">
        <v>49</v>
      </c>
      <c r="BB68" s="24">
        <v>2.302</v>
      </c>
      <c r="BI68" s="2" t="s">
        <v>5</v>
      </c>
      <c r="BJ68" s="1" t="s">
        <v>49</v>
      </c>
      <c r="BK68" s="1" t="s">
        <v>49</v>
      </c>
      <c r="BL68" s="1">
        <v>0.01</v>
      </c>
      <c r="BN68" s="2" t="s">
        <v>5</v>
      </c>
      <c r="BO68" s="1" t="s">
        <v>49</v>
      </c>
      <c r="BP68" s="1" t="s">
        <v>49</v>
      </c>
      <c r="BQ68" s="24">
        <v>2.903</v>
      </c>
      <c r="BX68" s="2" t="s">
        <v>5</v>
      </c>
      <c r="BY68" s="1" t="s">
        <v>49</v>
      </c>
      <c r="BZ68" s="1" t="s">
        <v>49</v>
      </c>
      <c r="CA68" s="1">
        <v>0.01</v>
      </c>
      <c r="CC68" s="2" t="s">
        <v>5</v>
      </c>
      <c r="CD68" s="1" t="s">
        <v>49</v>
      </c>
      <c r="CE68" s="1" t="s">
        <v>49</v>
      </c>
      <c r="CF68" s="24">
        <v>0.86699999999999999</v>
      </c>
      <c r="CM68" s="2" t="s">
        <v>5</v>
      </c>
      <c r="CN68" s="1" t="s">
        <v>49</v>
      </c>
      <c r="CO68" s="1" t="s">
        <v>49</v>
      </c>
      <c r="CP68" s="1">
        <v>0.01</v>
      </c>
      <c r="CR68" s="2" t="s">
        <v>5</v>
      </c>
      <c r="CS68" s="1" t="s">
        <v>49</v>
      </c>
      <c r="CT68" s="1" t="s">
        <v>49</v>
      </c>
      <c r="CU68" s="24">
        <v>0.60399999999999998</v>
      </c>
      <c r="DB68" s="2" t="s">
        <v>5</v>
      </c>
      <c r="DC68" s="1" t="s">
        <v>49</v>
      </c>
      <c r="DD68" s="1" t="s">
        <v>49</v>
      </c>
      <c r="DE68" s="1">
        <v>0.01</v>
      </c>
      <c r="DG68" s="2" t="s">
        <v>5</v>
      </c>
      <c r="DH68" s="1" t="s">
        <v>49</v>
      </c>
      <c r="DI68" s="1" t="s">
        <v>49</v>
      </c>
      <c r="DJ68" s="24">
        <v>0.45200000000000001</v>
      </c>
    </row>
    <row r="69" spans="16:119">
      <c r="P69" s="3" t="s">
        <v>137</v>
      </c>
      <c r="Q69" s="6">
        <f>AVERAGE(Q65:Q68)</f>
        <v>0.02</v>
      </c>
      <c r="R69" s="6">
        <f>AVERAGE(R65:R68)</f>
        <v>1.6666666666666666E-2</v>
      </c>
      <c r="S69" s="6">
        <f>AVERAGE(S65:S68)</f>
        <v>0.01</v>
      </c>
      <c r="U69" s="3" t="s">
        <v>137</v>
      </c>
      <c r="V69" s="24">
        <f>AVERAGE(V65:V68)</f>
        <v>1.3485</v>
      </c>
      <c r="W69" s="24">
        <f t="shared" ref="W69:X69" si="141">AVERAGE(W65:W68)</f>
        <v>1.2979441766666666</v>
      </c>
      <c r="X69" s="24">
        <f t="shared" si="141"/>
        <v>1.2286313866666665</v>
      </c>
      <c r="AE69" s="3" t="s">
        <v>137</v>
      </c>
      <c r="AF69" s="6">
        <f>AVERAGE(AF65:AF68)</f>
        <v>0.02</v>
      </c>
      <c r="AG69" s="6">
        <f>AVERAGE(AG65:AG68)</f>
        <v>1.6666666666666666E-2</v>
      </c>
      <c r="AH69" s="6">
        <f>AVERAGE(AH65:AH68)</f>
        <v>0.01</v>
      </c>
      <c r="AJ69" s="3" t="s">
        <v>137</v>
      </c>
      <c r="AK69" s="24">
        <f>AVERAGE(AK65:AK68)</f>
        <v>1.8334999999999999</v>
      </c>
      <c r="AL69" s="24">
        <f t="shared" ref="AL69:AM69" si="142">AVERAGE(AL65:AL68)</f>
        <v>1.788</v>
      </c>
      <c r="AM69" s="24">
        <f t="shared" si="142"/>
        <v>1.7253333333333334</v>
      </c>
      <c r="AT69" s="3" t="s">
        <v>137</v>
      </c>
      <c r="AU69" s="6">
        <f>AVERAGE(AU65:AU68)</f>
        <v>0.02</v>
      </c>
      <c r="AV69" s="6">
        <f>AVERAGE(AV65:AV68)</f>
        <v>1.6666666666666666E-2</v>
      </c>
      <c r="AW69" s="6">
        <f>AVERAGE(AW65:AW68)</f>
        <v>6.6666666666666671E-3</v>
      </c>
      <c r="AY69" s="3" t="s">
        <v>137</v>
      </c>
      <c r="AZ69" s="24">
        <f>AVERAGE(AZ65:AZ68)</f>
        <v>2.4</v>
      </c>
      <c r="BA69" s="24">
        <f t="shared" ref="BA69:BB69" si="143">AVERAGE(BA65:BA68)</f>
        <v>2.3496666666666663</v>
      </c>
      <c r="BB69" s="24">
        <f t="shared" si="143"/>
        <v>2.2806666666666668</v>
      </c>
      <c r="BI69" s="3" t="s">
        <v>137</v>
      </c>
      <c r="BJ69" s="6">
        <f>AVERAGE(BJ65:BJ68)</f>
        <v>0.02</v>
      </c>
      <c r="BK69" s="6">
        <f>AVERAGE(BK65:BK68)</f>
        <v>1.6666666666666666E-2</v>
      </c>
      <c r="BL69" s="6">
        <f>AVERAGE(BL65:BL68)</f>
        <v>0.01</v>
      </c>
      <c r="BN69" s="3" t="s">
        <v>137</v>
      </c>
      <c r="BO69" s="24">
        <f>AVERAGE(BO65:BO68)</f>
        <v>2.9990000000000001</v>
      </c>
      <c r="BP69" s="24">
        <f t="shared" ref="BP69:BQ69" si="144">AVERAGE(BP65:BP68)</f>
        <v>2.952</v>
      </c>
      <c r="BQ69" s="24">
        <f t="shared" si="144"/>
        <v>2.8766666666666669</v>
      </c>
      <c r="BX69" s="3" t="s">
        <v>137</v>
      </c>
      <c r="BY69" s="6">
        <f>AVERAGE(BY65:BY68)</f>
        <v>0.02</v>
      </c>
      <c r="BZ69" s="6">
        <f>AVERAGE(BZ65:BZ68)</f>
        <v>1.6666666666666666E-2</v>
      </c>
      <c r="CA69" s="6">
        <f>AVERAGE(CA65:CA68)</f>
        <v>0.01</v>
      </c>
      <c r="CC69" s="3" t="s">
        <v>137</v>
      </c>
      <c r="CD69" s="24">
        <f>AVERAGE(CD65:CD68)</f>
        <v>0.93499999999999994</v>
      </c>
      <c r="CE69" s="24">
        <f t="shared" ref="CE69:CF69" si="145">AVERAGE(CE65:CE68)</f>
        <v>0.8929999999999999</v>
      </c>
      <c r="CF69" s="24">
        <f t="shared" si="145"/>
        <v>0.84233333333333338</v>
      </c>
      <c r="CM69" s="3" t="s">
        <v>137</v>
      </c>
      <c r="CN69" s="6">
        <f>AVERAGE(CN65:CN68)</f>
        <v>0.02</v>
      </c>
      <c r="CO69" s="6">
        <f>AVERAGE(CO65:CO68)</f>
        <v>1.6666666666666666E-2</v>
      </c>
      <c r="CP69" s="6">
        <f>AVERAGE(CP65:CP68)</f>
        <v>0.01</v>
      </c>
      <c r="CR69" s="3" t="s">
        <v>137</v>
      </c>
      <c r="CS69" s="24">
        <f>AVERAGE(CS65:CS68)</f>
        <v>0.64549999999999996</v>
      </c>
      <c r="CT69" s="24">
        <f t="shared" ref="CT69:CU69" si="146">AVERAGE(CT65:CT68)</f>
        <v>0.61399999999999999</v>
      </c>
      <c r="CU69" s="24">
        <f t="shared" si="146"/>
        <v>0.57966666666666666</v>
      </c>
      <c r="DB69" s="3" t="s">
        <v>137</v>
      </c>
      <c r="DC69" s="6">
        <f>AVERAGE(DC65:DC68)</f>
        <v>0.02</v>
      </c>
      <c r="DD69" s="6">
        <f>AVERAGE(DD65:DD68)</f>
        <v>1.6666666666666666E-2</v>
      </c>
      <c r="DE69" s="6">
        <f>AVERAGE(DE65:DE68)</f>
        <v>0.01</v>
      </c>
      <c r="DG69" s="3" t="s">
        <v>137</v>
      </c>
      <c r="DH69" s="24">
        <f>AVERAGE(DH65:DH68)</f>
        <v>0.47799999999999998</v>
      </c>
      <c r="DI69" s="24">
        <f t="shared" ref="DI69:DJ69" si="147">AVERAGE(DI65:DI68)</f>
        <v>0.45199999999999996</v>
      </c>
      <c r="DJ69" s="24">
        <f t="shared" si="147"/>
        <v>0.42666666666666669</v>
      </c>
    </row>
    <row r="72" spans="16:119">
      <c r="S72" s="47" t="s">
        <v>70</v>
      </c>
      <c r="T72" s="47"/>
      <c r="U72" s="47"/>
      <c r="V72" s="47"/>
      <c r="AH72" s="47" t="s">
        <v>70</v>
      </c>
      <c r="AI72" s="47"/>
      <c r="AJ72" s="47"/>
      <c r="AK72" s="47"/>
      <c r="AW72" s="47" t="s">
        <v>70</v>
      </c>
      <c r="AX72" s="47"/>
      <c r="AY72" s="47"/>
      <c r="AZ72" s="47"/>
      <c r="BL72" s="47" t="s">
        <v>70</v>
      </c>
      <c r="BM72" s="47"/>
      <c r="BN72" s="47"/>
      <c r="BO72" s="47"/>
      <c r="CA72" s="47" t="s">
        <v>70</v>
      </c>
      <c r="CB72" s="47"/>
      <c r="CC72" s="47"/>
      <c r="CD72" s="47"/>
      <c r="CP72" s="47" t="s">
        <v>70</v>
      </c>
      <c r="CQ72" s="47"/>
      <c r="CR72" s="47"/>
      <c r="CS72" s="47"/>
      <c r="DE72" s="47" t="s">
        <v>70</v>
      </c>
      <c r="DF72" s="47"/>
      <c r="DG72" s="47"/>
      <c r="DH72" s="47"/>
    </row>
    <row r="73" spans="16:119">
      <c r="S73" s="2"/>
      <c r="T73" s="2">
        <v>2000</v>
      </c>
      <c r="U73" s="2">
        <v>2007</v>
      </c>
      <c r="V73" s="2">
        <v>2015</v>
      </c>
      <c r="AH73" s="2"/>
      <c r="AI73" s="2">
        <v>2000</v>
      </c>
      <c r="AJ73" s="2">
        <v>2007</v>
      </c>
      <c r="AK73" s="2">
        <v>2015</v>
      </c>
      <c r="AW73" s="2"/>
      <c r="AX73" s="2">
        <v>2000</v>
      </c>
      <c r="AY73" s="2">
        <v>2007</v>
      </c>
      <c r="AZ73" s="2">
        <v>2015</v>
      </c>
      <c r="BL73" s="2"/>
      <c r="BM73" s="2">
        <v>2000</v>
      </c>
      <c r="BN73" s="2">
        <v>2007</v>
      </c>
      <c r="BO73" s="2">
        <v>2015</v>
      </c>
      <c r="CA73" s="2"/>
      <c r="CB73" s="2">
        <v>2000</v>
      </c>
      <c r="CC73" s="2">
        <v>2007</v>
      </c>
      <c r="CD73" s="2">
        <v>2015</v>
      </c>
      <c r="CP73" s="2"/>
      <c r="CQ73" s="2">
        <v>2000</v>
      </c>
      <c r="CR73" s="2">
        <v>2007</v>
      </c>
      <c r="CS73" s="2">
        <v>2015</v>
      </c>
      <c r="DE73" s="2"/>
      <c r="DF73" s="2">
        <v>2000</v>
      </c>
      <c r="DG73" s="2">
        <v>2007</v>
      </c>
      <c r="DH73" s="2">
        <v>2015</v>
      </c>
    </row>
    <row r="74" spans="16:119">
      <c r="S74" s="2" t="s">
        <v>6</v>
      </c>
      <c r="T74" s="1">
        <v>0.41</v>
      </c>
      <c r="U74" s="1">
        <v>0.41</v>
      </c>
      <c r="V74" s="1" t="s">
        <v>49</v>
      </c>
      <c r="AH74" s="2" t="s">
        <v>6</v>
      </c>
      <c r="AI74" s="1">
        <v>0.55000000000000004</v>
      </c>
      <c r="AJ74" s="1">
        <v>0.55000000000000004</v>
      </c>
      <c r="AK74" s="1" t="s">
        <v>49</v>
      </c>
      <c r="AW74" s="2" t="s">
        <v>6</v>
      </c>
      <c r="AX74" s="1">
        <v>0.72</v>
      </c>
      <c r="AY74" s="1">
        <v>0.72</v>
      </c>
      <c r="AZ74" s="1" t="s">
        <v>49</v>
      </c>
      <c r="BL74" s="2" t="s">
        <v>6</v>
      </c>
      <c r="BM74" s="1">
        <v>0.89</v>
      </c>
      <c r="BN74" s="1">
        <v>0.89</v>
      </c>
      <c r="BO74" s="1" t="s">
        <v>49</v>
      </c>
      <c r="CA74" s="2" t="s">
        <v>6</v>
      </c>
      <c r="CB74" s="1">
        <v>0.28999999999999998</v>
      </c>
      <c r="CC74" s="1">
        <v>0.28999999999999998</v>
      </c>
      <c r="CD74" s="1" t="s">
        <v>49</v>
      </c>
      <c r="CP74" s="2" t="s">
        <v>6</v>
      </c>
      <c r="CQ74" s="1">
        <v>0.2</v>
      </c>
      <c r="CR74" s="1">
        <v>0.2</v>
      </c>
      <c r="CS74" s="1" t="s">
        <v>49</v>
      </c>
      <c r="DE74" s="2" t="s">
        <v>6</v>
      </c>
      <c r="DF74" s="1">
        <v>0.15</v>
      </c>
      <c r="DG74" s="1">
        <v>0.15</v>
      </c>
      <c r="DH74" s="1" t="s">
        <v>49</v>
      </c>
    </row>
    <row r="75" spans="16:119">
      <c r="S75" s="2" t="s">
        <v>3</v>
      </c>
      <c r="T75" s="1">
        <v>0.35</v>
      </c>
      <c r="U75" s="1">
        <v>0.35</v>
      </c>
      <c r="V75" s="1">
        <v>0.36</v>
      </c>
      <c r="AH75" s="2" t="s">
        <v>3</v>
      </c>
      <c r="AI75" s="1">
        <v>0.49</v>
      </c>
      <c r="AJ75" s="1">
        <v>0.49</v>
      </c>
      <c r="AK75" s="1">
        <v>0.5</v>
      </c>
      <c r="AW75" s="2" t="s">
        <v>3</v>
      </c>
      <c r="AX75" s="1">
        <v>0.65</v>
      </c>
      <c r="AY75" s="1">
        <v>0.65</v>
      </c>
      <c r="AZ75" s="1">
        <v>0.67</v>
      </c>
      <c r="BL75" s="2" t="s">
        <v>3</v>
      </c>
      <c r="BM75" s="1">
        <v>0.82</v>
      </c>
      <c r="BN75" s="1">
        <v>0.82</v>
      </c>
      <c r="BO75" s="1">
        <v>0.84</v>
      </c>
      <c r="CA75" s="2" t="s">
        <v>3</v>
      </c>
      <c r="CB75" s="1">
        <v>0.24</v>
      </c>
      <c r="CC75" s="1">
        <v>0.24</v>
      </c>
      <c r="CD75" s="1">
        <v>0.25</v>
      </c>
      <c r="CP75" s="2" t="s">
        <v>3</v>
      </c>
      <c r="CQ75" s="1">
        <v>0.17</v>
      </c>
      <c r="CR75" s="1">
        <v>0.17</v>
      </c>
      <c r="CS75" s="1">
        <v>0.17</v>
      </c>
      <c r="DE75" s="2" t="s">
        <v>3</v>
      </c>
      <c r="DF75" s="1">
        <v>0.12</v>
      </c>
      <c r="DG75" s="1">
        <v>0.12</v>
      </c>
      <c r="DH75" s="1">
        <v>0.12</v>
      </c>
    </row>
    <row r="76" spans="16:119">
      <c r="S76" s="2" t="s">
        <v>4</v>
      </c>
      <c r="T76" s="1" t="s">
        <v>49</v>
      </c>
      <c r="U76" s="1">
        <v>0.34</v>
      </c>
      <c r="V76" s="1">
        <v>0.35</v>
      </c>
      <c r="AH76" s="2" t="s">
        <v>4</v>
      </c>
      <c r="AI76" s="1" t="s">
        <v>49</v>
      </c>
      <c r="AJ76" s="1">
        <v>0.48</v>
      </c>
      <c r="AK76" s="1">
        <v>0.5</v>
      </c>
      <c r="AW76" s="2" t="s">
        <v>4</v>
      </c>
      <c r="AX76" s="1" t="s">
        <v>49</v>
      </c>
      <c r="AY76" s="1">
        <v>0.64</v>
      </c>
      <c r="AZ76" s="1">
        <v>0.66</v>
      </c>
      <c r="BL76" s="2" t="s">
        <v>4</v>
      </c>
      <c r="BM76" s="1" t="s">
        <v>49</v>
      </c>
      <c r="BN76" s="1">
        <v>0.82</v>
      </c>
      <c r="BO76" s="1">
        <v>0.84</v>
      </c>
      <c r="CA76" s="2" t="s">
        <v>4</v>
      </c>
      <c r="CB76" s="1" t="s">
        <v>49</v>
      </c>
      <c r="CC76" s="1">
        <v>0.23</v>
      </c>
      <c r="CD76" s="1">
        <v>0.24</v>
      </c>
      <c r="CP76" s="2" t="s">
        <v>4</v>
      </c>
      <c r="CQ76" s="1" t="s">
        <v>49</v>
      </c>
      <c r="CR76" s="1">
        <v>0.16</v>
      </c>
      <c r="CS76" s="1">
        <v>0.16</v>
      </c>
      <c r="DE76" s="2" t="s">
        <v>4</v>
      </c>
      <c r="DF76" s="1" t="s">
        <v>49</v>
      </c>
      <c r="DG76" s="1">
        <v>0.11</v>
      </c>
      <c r="DH76" s="1">
        <v>0.12</v>
      </c>
    </row>
    <row r="77" spans="16:119">
      <c r="S77" s="2" t="s">
        <v>5</v>
      </c>
      <c r="T77" s="1" t="s">
        <v>49</v>
      </c>
      <c r="U77" s="1" t="s">
        <v>49</v>
      </c>
      <c r="V77" s="1">
        <v>0.37</v>
      </c>
      <c r="AH77" s="2" t="s">
        <v>5</v>
      </c>
      <c r="AI77" s="1" t="s">
        <v>49</v>
      </c>
      <c r="AJ77" s="1" t="s">
        <v>49</v>
      </c>
      <c r="AK77" s="1">
        <v>0.51</v>
      </c>
      <c r="AW77" s="2" t="s">
        <v>5</v>
      </c>
      <c r="AX77" s="1" t="s">
        <v>49</v>
      </c>
      <c r="AY77" s="1" t="s">
        <v>49</v>
      </c>
      <c r="AZ77" s="1">
        <v>0.67</v>
      </c>
      <c r="BL77" s="2" t="s">
        <v>5</v>
      </c>
      <c r="BM77" s="1" t="s">
        <v>49</v>
      </c>
      <c r="BN77" s="1" t="s">
        <v>49</v>
      </c>
      <c r="BO77" s="1">
        <v>0.85</v>
      </c>
      <c r="CA77" s="2" t="s">
        <v>5</v>
      </c>
      <c r="CB77" s="1" t="s">
        <v>49</v>
      </c>
      <c r="CC77" s="1" t="s">
        <v>49</v>
      </c>
      <c r="CD77" s="1">
        <v>0.25</v>
      </c>
      <c r="CP77" s="2" t="s">
        <v>5</v>
      </c>
      <c r="CQ77" s="1" t="s">
        <v>49</v>
      </c>
      <c r="CR77" s="1" t="s">
        <v>49</v>
      </c>
      <c r="CS77" s="1">
        <v>0.18</v>
      </c>
      <c r="DE77" s="2" t="s">
        <v>5</v>
      </c>
      <c r="DF77" s="1" t="s">
        <v>49</v>
      </c>
      <c r="DG77" s="1" t="s">
        <v>49</v>
      </c>
      <c r="DH77" s="1">
        <v>0.13</v>
      </c>
    </row>
    <row r="78" spans="16:119">
      <c r="S78" s="3" t="s">
        <v>137</v>
      </c>
      <c r="T78" s="6">
        <f>AVERAGE(T74:T77)</f>
        <v>0.38</v>
      </c>
      <c r="U78" s="6">
        <f>AVERAGE(U74:U77)</f>
        <v>0.3666666666666667</v>
      </c>
      <c r="V78" s="6">
        <f>AVERAGE(V74:V77)</f>
        <v>0.36000000000000004</v>
      </c>
      <c r="AH78" s="3" t="s">
        <v>137</v>
      </c>
      <c r="AI78" s="6">
        <f>AVERAGE(AI74:AI77)</f>
        <v>0.52</v>
      </c>
      <c r="AJ78" s="6">
        <f>AVERAGE(AJ74:AJ77)</f>
        <v>0.50666666666666671</v>
      </c>
      <c r="AK78" s="6">
        <f>AVERAGE(AK74:AK77)</f>
        <v>0.5033333333333333</v>
      </c>
      <c r="AW78" s="3" t="s">
        <v>137</v>
      </c>
      <c r="AX78" s="6">
        <f>AVERAGE(AX74:AX77)</f>
        <v>0.68500000000000005</v>
      </c>
      <c r="AY78" s="6">
        <f>AVERAGE(AY74:AY77)</f>
        <v>0.67</v>
      </c>
      <c r="AZ78" s="6">
        <f>AVERAGE(AZ74:AZ77)</f>
        <v>0.66666666666666663</v>
      </c>
      <c r="BL78" s="3" t="s">
        <v>137</v>
      </c>
      <c r="BM78" s="6">
        <f>AVERAGE(BM74:BM77)</f>
        <v>0.85499999999999998</v>
      </c>
      <c r="BN78" s="6">
        <f>AVERAGE(BN74:BN77)</f>
        <v>0.84333333333333327</v>
      </c>
      <c r="BO78" s="6">
        <f>AVERAGE(BO74:BO77)</f>
        <v>0.84333333333333327</v>
      </c>
      <c r="CA78" s="3" t="s">
        <v>137</v>
      </c>
      <c r="CB78" s="6">
        <f>AVERAGE(CB74:CB77)</f>
        <v>0.26500000000000001</v>
      </c>
      <c r="CC78" s="6">
        <f>AVERAGE(CC74:CC77)</f>
        <v>0.25333333333333335</v>
      </c>
      <c r="CD78" s="6">
        <f>AVERAGE(CD74:CD77)</f>
        <v>0.24666666666666667</v>
      </c>
      <c r="CP78" s="3" t="s">
        <v>137</v>
      </c>
      <c r="CQ78" s="6">
        <f>AVERAGE(CQ74:CQ77)</f>
        <v>0.185</v>
      </c>
      <c r="CR78" s="6">
        <f>AVERAGE(CR74:CR77)</f>
        <v>0.17666666666666667</v>
      </c>
      <c r="CS78" s="6">
        <f>AVERAGE(CS74:CS77)</f>
        <v>0.17</v>
      </c>
      <c r="DE78" s="3" t="s">
        <v>137</v>
      </c>
      <c r="DF78" s="6">
        <f>AVERAGE(DF74:DF77)</f>
        <v>0.13500000000000001</v>
      </c>
      <c r="DG78" s="6">
        <f>AVERAGE(DG74:DG77)</f>
        <v>0.12666666666666668</v>
      </c>
      <c r="DH78" s="6">
        <f>AVERAGE(DH74:DH77)</f>
        <v>0.12333333333333334</v>
      </c>
    </row>
  </sheetData>
  <mergeCells count="214">
    <mergeCell ref="DY5:EA5"/>
    <mergeCell ref="DV5:DX5"/>
    <mergeCell ref="DS5:DU5"/>
    <mergeCell ref="EB5:ED5"/>
    <mergeCell ref="EE5:EG5"/>
    <mergeCell ref="EH5:EJ5"/>
    <mergeCell ref="EK5:EM5"/>
    <mergeCell ref="DG7:DJ7"/>
    <mergeCell ref="DL7:DO7"/>
    <mergeCell ref="DB7:DE7"/>
    <mergeCell ref="E2:H2"/>
    <mergeCell ref="B3:C3"/>
    <mergeCell ref="E3:H3"/>
    <mergeCell ref="J3:M3"/>
    <mergeCell ref="Q3:AB3"/>
    <mergeCell ref="AF3:AQ3"/>
    <mergeCell ref="AE5:AM5"/>
    <mergeCell ref="AO5:AR5"/>
    <mergeCell ref="AT5:BB5"/>
    <mergeCell ref="BD5:BG5"/>
    <mergeCell ref="AU3:BF3"/>
    <mergeCell ref="BJ3:BU3"/>
    <mergeCell ref="BY3:CJ3"/>
    <mergeCell ref="CN3:CY3"/>
    <mergeCell ref="DC3:DN3"/>
    <mergeCell ref="DB5:DJ5"/>
    <mergeCell ref="DL5:DO5"/>
    <mergeCell ref="BI5:BQ5"/>
    <mergeCell ref="BS5:BV5"/>
    <mergeCell ref="BX5:CF5"/>
    <mergeCell ref="CH5:CK5"/>
    <mergeCell ref="CM5:CU5"/>
    <mergeCell ref="CW5:CZ5"/>
    <mergeCell ref="P5:X5"/>
    <mergeCell ref="Z5:AC5"/>
    <mergeCell ref="E10:H10"/>
    <mergeCell ref="J11:M11"/>
    <mergeCell ref="J12:M12"/>
    <mergeCell ref="CH7:CK7"/>
    <mergeCell ref="CM7:CP7"/>
    <mergeCell ref="CR7:CU7"/>
    <mergeCell ref="CW7:CZ7"/>
    <mergeCell ref="CC7:CF7"/>
    <mergeCell ref="AY7:BB7"/>
    <mergeCell ref="BD7:BG7"/>
    <mergeCell ref="BI7:BL7"/>
    <mergeCell ref="BN7:BQ7"/>
    <mergeCell ref="BS7:BV7"/>
    <mergeCell ref="BX7:CA7"/>
    <mergeCell ref="P7:S7"/>
    <mergeCell ref="U7:X7"/>
    <mergeCell ref="Z7:AC7"/>
    <mergeCell ref="AE7:AH7"/>
    <mergeCell ref="AJ7:AM7"/>
    <mergeCell ref="AO7:AR7"/>
    <mergeCell ref="AT7:AW7"/>
    <mergeCell ref="DL15:DO15"/>
    <mergeCell ref="E17:H17"/>
    <mergeCell ref="J17:M17"/>
    <mergeCell ref="BS15:BV15"/>
    <mergeCell ref="BX15:CA15"/>
    <mergeCell ref="CC15:CF15"/>
    <mergeCell ref="CH15:CK15"/>
    <mergeCell ref="CM15:CP15"/>
    <mergeCell ref="CR15:CU15"/>
    <mergeCell ref="AO15:AR15"/>
    <mergeCell ref="AT15:AW15"/>
    <mergeCell ref="AY15:BB15"/>
    <mergeCell ref="BD15:BG15"/>
    <mergeCell ref="BI15:BL15"/>
    <mergeCell ref="BN15:BQ15"/>
    <mergeCell ref="P15:S15"/>
    <mergeCell ref="U15:X15"/>
    <mergeCell ref="Z15:AC15"/>
    <mergeCell ref="AE15:AH15"/>
    <mergeCell ref="AJ15:AM15"/>
    <mergeCell ref="J23:M23"/>
    <mergeCell ref="P23:S23"/>
    <mergeCell ref="U23:X23"/>
    <mergeCell ref="Z23:AC23"/>
    <mergeCell ref="AE23:AH23"/>
    <mergeCell ref="AJ23:AM23"/>
    <mergeCell ref="CW15:CZ15"/>
    <mergeCell ref="DB15:DE15"/>
    <mergeCell ref="DG15:DJ15"/>
    <mergeCell ref="CW23:CZ23"/>
    <mergeCell ref="DB23:DE23"/>
    <mergeCell ref="DG23:DJ23"/>
    <mergeCell ref="DL23:DO23"/>
    <mergeCell ref="P31:S31"/>
    <mergeCell ref="U31:X31"/>
    <mergeCell ref="Z31:AC31"/>
    <mergeCell ref="AE31:AH31"/>
    <mergeCell ref="AJ31:AM31"/>
    <mergeCell ref="AO31:AR31"/>
    <mergeCell ref="BS23:BV23"/>
    <mergeCell ref="BX23:CA23"/>
    <mergeCell ref="CC23:CF23"/>
    <mergeCell ref="CH23:CK23"/>
    <mergeCell ref="CM23:CP23"/>
    <mergeCell ref="CR23:CU23"/>
    <mergeCell ref="AO23:AR23"/>
    <mergeCell ref="AT23:AW23"/>
    <mergeCell ref="AY23:BB23"/>
    <mergeCell ref="BD23:BG23"/>
    <mergeCell ref="BI23:BL23"/>
    <mergeCell ref="BN23:BQ23"/>
    <mergeCell ref="BS39:BV39"/>
    <mergeCell ref="BX39:CA39"/>
    <mergeCell ref="DB31:DE31"/>
    <mergeCell ref="DG31:DJ31"/>
    <mergeCell ref="DL31:DO31"/>
    <mergeCell ref="P39:S39"/>
    <mergeCell ref="U39:X39"/>
    <mergeCell ref="Z39:AC39"/>
    <mergeCell ref="AE39:AH39"/>
    <mergeCell ref="AJ39:AM39"/>
    <mergeCell ref="AO39:AR39"/>
    <mergeCell ref="AT39:AW39"/>
    <mergeCell ref="BX31:CA31"/>
    <mergeCell ref="CC31:CF31"/>
    <mergeCell ref="CH31:CK31"/>
    <mergeCell ref="CM31:CP31"/>
    <mergeCell ref="CR31:CU31"/>
    <mergeCell ref="CW31:CZ31"/>
    <mergeCell ref="AT31:AW31"/>
    <mergeCell ref="AY31:BB31"/>
    <mergeCell ref="BD31:BG31"/>
    <mergeCell ref="BI31:BL31"/>
    <mergeCell ref="BN31:BQ31"/>
    <mergeCell ref="BS31:BV31"/>
    <mergeCell ref="BN47:BQ47"/>
    <mergeCell ref="BS47:BV47"/>
    <mergeCell ref="BX47:CA47"/>
    <mergeCell ref="CC47:CF47"/>
    <mergeCell ref="DG39:DJ39"/>
    <mergeCell ref="DL39:DO39"/>
    <mergeCell ref="P47:S47"/>
    <mergeCell ref="U47:X47"/>
    <mergeCell ref="Z47:AC47"/>
    <mergeCell ref="AE47:AH47"/>
    <mergeCell ref="AJ47:AM47"/>
    <mergeCell ref="AO47:AR47"/>
    <mergeCell ref="AT47:AW47"/>
    <mergeCell ref="AY47:BB47"/>
    <mergeCell ref="CC39:CF39"/>
    <mergeCell ref="CH39:CK39"/>
    <mergeCell ref="CM39:CP39"/>
    <mergeCell ref="CR39:CU39"/>
    <mergeCell ref="CW39:CZ39"/>
    <mergeCell ref="DB39:DE39"/>
    <mergeCell ref="AY39:BB39"/>
    <mergeCell ref="BD39:BG39"/>
    <mergeCell ref="BI39:BL39"/>
    <mergeCell ref="BN39:BQ39"/>
    <mergeCell ref="CR55:CU55"/>
    <mergeCell ref="DB55:DE55"/>
    <mergeCell ref="DG55:DJ55"/>
    <mergeCell ref="Z56:AC56"/>
    <mergeCell ref="AO56:AR56"/>
    <mergeCell ref="BD56:BG56"/>
    <mergeCell ref="BS56:BV56"/>
    <mergeCell ref="CH56:CK56"/>
    <mergeCell ref="DL47:DO47"/>
    <mergeCell ref="AE55:AH55"/>
    <mergeCell ref="AJ55:AM55"/>
    <mergeCell ref="AT55:AW55"/>
    <mergeCell ref="AY55:BB55"/>
    <mergeCell ref="BI55:BL55"/>
    <mergeCell ref="BN55:BQ55"/>
    <mergeCell ref="BX55:CA55"/>
    <mergeCell ref="CH47:CK47"/>
    <mergeCell ref="CM47:CP47"/>
    <mergeCell ref="CR47:CU47"/>
    <mergeCell ref="CW47:CZ47"/>
    <mergeCell ref="DB47:DE47"/>
    <mergeCell ref="DG47:DJ47"/>
    <mergeCell ref="BD47:BG47"/>
    <mergeCell ref="BI47:BL47"/>
    <mergeCell ref="P63:S63"/>
    <mergeCell ref="U63:X63"/>
    <mergeCell ref="Z63:AC63"/>
    <mergeCell ref="AE63:AH63"/>
    <mergeCell ref="AJ63:AM63"/>
    <mergeCell ref="AT63:AW63"/>
    <mergeCell ref="AO63:AR63"/>
    <mergeCell ref="CC55:CF55"/>
    <mergeCell ref="CM55:CP55"/>
    <mergeCell ref="P55:S55"/>
    <mergeCell ref="U55:X55"/>
    <mergeCell ref="DS3:EM4"/>
    <mergeCell ref="CW56:CZ56"/>
    <mergeCell ref="CW63:CZ63"/>
    <mergeCell ref="DL56:DO56"/>
    <mergeCell ref="DL63:DO63"/>
    <mergeCell ref="CR63:CU63"/>
    <mergeCell ref="DB63:DE63"/>
    <mergeCell ref="DG63:DJ63"/>
    <mergeCell ref="S72:V72"/>
    <mergeCell ref="AH72:AK72"/>
    <mergeCell ref="AW72:AZ72"/>
    <mergeCell ref="BL72:BO72"/>
    <mergeCell ref="CA72:CD72"/>
    <mergeCell ref="CP72:CS72"/>
    <mergeCell ref="DE72:DH72"/>
    <mergeCell ref="AY63:BB63"/>
    <mergeCell ref="BI63:BL63"/>
    <mergeCell ref="BN63:BQ63"/>
    <mergeCell ref="BX63:CA63"/>
    <mergeCell ref="CC63:CF63"/>
    <mergeCell ref="CM63:CP63"/>
    <mergeCell ref="BD63:BG63"/>
    <mergeCell ref="BS63:BV63"/>
    <mergeCell ref="CH63:CK6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Y78"/>
  <sheetViews>
    <sheetView topLeftCell="BJ9" workbookViewId="0">
      <selection activeCell="AZ76" sqref="AZ76"/>
    </sheetView>
  </sheetViews>
  <sheetFormatPr baseColWidth="10" defaultRowHeight="14" x14ac:dyDescent="0"/>
  <cols>
    <col min="2" max="2" width="29.6640625" bestFit="1" customWidth="1"/>
    <col min="5" max="5" width="13" bestFit="1" customWidth="1"/>
    <col min="6" max="8" width="5" bestFit="1" customWidth="1"/>
    <col min="13" max="13" width="23.6640625" bestFit="1" customWidth="1"/>
    <col min="29" max="29" width="12" bestFit="1" customWidth="1"/>
    <col min="44" max="44" width="12" bestFit="1" customWidth="1"/>
    <col min="63" max="64" width="18.5" customWidth="1"/>
    <col min="65" max="65" width="18.6640625" customWidth="1"/>
    <col min="66" max="66" width="18.5" customWidth="1"/>
    <col min="67" max="67" width="20.1640625" customWidth="1"/>
    <col min="68" max="68" width="21.1640625" customWidth="1"/>
    <col min="69" max="69" width="19.1640625" customWidth="1"/>
    <col min="70" max="70" width="17.83203125" customWidth="1"/>
    <col min="71" max="71" width="23.5" customWidth="1"/>
    <col min="72" max="72" width="20" customWidth="1"/>
    <col min="73" max="73" width="8.6640625" bestFit="1" customWidth="1"/>
    <col min="74" max="74" width="10.5" bestFit="1" customWidth="1"/>
    <col min="75" max="75" width="9.5" bestFit="1" customWidth="1"/>
    <col min="76" max="76" width="8.5" bestFit="1" customWidth="1"/>
    <col min="77" max="77" width="20.5" customWidth="1"/>
  </cols>
  <sheetData>
    <row r="2" spans="2:77" ht="15" thickBot="1">
      <c r="E2" s="51" t="s">
        <v>25</v>
      </c>
      <c r="F2" s="51"/>
      <c r="G2" s="51"/>
      <c r="H2" s="51"/>
    </row>
    <row r="3" spans="2:77">
      <c r="B3" s="47" t="s">
        <v>11</v>
      </c>
      <c r="C3" s="47"/>
      <c r="E3" s="47" t="s">
        <v>7</v>
      </c>
      <c r="F3" s="47"/>
      <c r="G3" s="47"/>
      <c r="H3" s="47"/>
      <c r="J3" s="47" t="s">
        <v>50</v>
      </c>
      <c r="K3" s="47"/>
      <c r="L3" s="47"/>
      <c r="M3" s="47"/>
      <c r="Q3" s="47" t="s">
        <v>58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F3" s="47" t="s">
        <v>93</v>
      </c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U3" s="47" t="s">
        <v>94</v>
      </c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J3" s="14"/>
      <c r="BK3" s="55"/>
      <c r="BL3" s="55"/>
      <c r="BM3" s="55"/>
      <c r="BN3" s="55"/>
      <c r="BO3" s="55"/>
      <c r="BP3" s="55"/>
      <c r="BQ3" s="55"/>
      <c r="BR3" s="55"/>
      <c r="BS3" s="55"/>
      <c r="BT3" s="29"/>
      <c r="BU3" s="29"/>
      <c r="BV3" s="29"/>
      <c r="BW3" s="29"/>
      <c r="BX3" s="29"/>
      <c r="BY3" s="29"/>
    </row>
    <row r="4" spans="2:77" ht="15" thickBot="1">
      <c r="B4" s="2" t="s">
        <v>10</v>
      </c>
      <c r="C4" s="1">
        <v>0.5</v>
      </c>
      <c r="E4" s="2"/>
      <c r="F4" s="2">
        <v>2000</v>
      </c>
      <c r="G4" s="2">
        <v>2007</v>
      </c>
      <c r="H4" s="2">
        <v>2015</v>
      </c>
      <c r="J4" s="2"/>
      <c r="K4" s="2">
        <v>2000</v>
      </c>
      <c r="L4" s="2">
        <v>2007</v>
      </c>
      <c r="M4" s="2">
        <v>2015</v>
      </c>
      <c r="BJ4" s="15"/>
      <c r="BK4" s="58"/>
      <c r="BL4" s="58"/>
      <c r="BM4" s="58"/>
      <c r="BN4" s="58"/>
      <c r="BO4" s="58"/>
      <c r="BP4" s="58"/>
      <c r="BQ4" s="58"/>
      <c r="BR4" s="58"/>
      <c r="BS4" s="58"/>
      <c r="BT4" s="30"/>
      <c r="BU4" s="30"/>
      <c r="BV4" s="30"/>
      <c r="BW4" s="30"/>
      <c r="BX4" s="30"/>
      <c r="BY4" s="30"/>
    </row>
    <row r="5" spans="2:77">
      <c r="B5" s="2" t="s">
        <v>12</v>
      </c>
      <c r="C5" s="1">
        <f>C4*2</f>
        <v>1</v>
      </c>
      <c r="E5" s="2" t="s">
        <v>6</v>
      </c>
      <c r="F5" s="1">
        <v>0</v>
      </c>
      <c r="G5" s="1">
        <v>0</v>
      </c>
      <c r="H5" s="1">
        <v>0</v>
      </c>
      <c r="J5" s="2" t="s">
        <v>6</v>
      </c>
      <c r="K5" s="1">
        <f>F5+F12+F19</f>
        <v>115</v>
      </c>
      <c r="L5" s="1">
        <f t="shared" ref="L5:M8" si="0">G5+G12+G19</f>
        <v>125</v>
      </c>
      <c r="M5" s="1">
        <f t="shared" si="0"/>
        <v>0</v>
      </c>
      <c r="P5" s="47" t="s">
        <v>78</v>
      </c>
      <c r="Q5" s="47"/>
      <c r="R5" s="47"/>
      <c r="S5" s="47"/>
      <c r="T5" s="47"/>
      <c r="U5" s="47"/>
      <c r="V5" s="47"/>
      <c r="W5" s="47"/>
      <c r="X5" s="47"/>
      <c r="Z5" s="47" t="s">
        <v>23</v>
      </c>
      <c r="AA5" s="47"/>
      <c r="AB5" s="47"/>
      <c r="AC5" s="47"/>
      <c r="AE5" s="47" t="s">
        <v>78</v>
      </c>
      <c r="AF5" s="47"/>
      <c r="AG5" s="47"/>
      <c r="AH5" s="47"/>
      <c r="AI5" s="47"/>
      <c r="AJ5" s="47"/>
      <c r="AK5" s="47"/>
      <c r="AL5" s="47"/>
      <c r="AM5" s="47"/>
      <c r="AO5" s="47" t="s">
        <v>23</v>
      </c>
      <c r="AP5" s="47"/>
      <c r="AQ5" s="47"/>
      <c r="AR5" s="47"/>
      <c r="AT5" s="47" t="s">
        <v>81</v>
      </c>
      <c r="AU5" s="47"/>
      <c r="AV5" s="47"/>
      <c r="AW5" s="47"/>
      <c r="AX5" s="47"/>
      <c r="AY5" s="47"/>
      <c r="AZ5" s="47"/>
      <c r="BA5" s="47"/>
      <c r="BB5" s="47"/>
      <c r="BD5" s="47" t="s">
        <v>23</v>
      </c>
      <c r="BE5" s="47"/>
      <c r="BF5" s="47"/>
      <c r="BG5" s="47"/>
      <c r="BJ5" s="15"/>
      <c r="BK5" s="60" t="s">
        <v>95</v>
      </c>
      <c r="BL5" s="61"/>
      <c r="BM5" s="62"/>
      <c r="BN5" s="60" t="s">
        <v>96</v>
      </c>
      <c r="BO5" s="61"/>
      <c r="BP5" s="62"/>
      <c r="BQ5" s="60" t="s">
        <v>97</v>
      </c>
      <c r="BR5" s="61"/>
      <c r="BS5" s="62"/>
    </row>
    <row r="6" spans="2:77" ht="15" thickBot="1">
      <c r="B6" s="2" t="s">
        <v>14</v>
      </c>
      <c r="C6" s="1">
        <v>2.5000000000000001E-2</v>
      </c>
      <c r="E6" s="2" t="s">
        <v>3</v>
      </c>
      <c r="F6" s="1">
        <v>35</v>
      </c>
      <c r="G6" s="1">
        <v>35</v>
      </c>
      <c r="H6" s="1">
        <v>0</v>
      </c>
      <c r="J6" s="2" t="s">
        <v>3</v>
      </c>
      <c r="K6" s="1">
        <f t="shared" ref="K6:K8" si="1">F6+F13+F20</f>
        <v>82</v>
      </c>
      <c r="L6" s="1">
        <f t="shared" si="0"/>
        <v>65</v>
      </c>
      <c r="M6" s="1">
        <f t="shared" si="0"/>
        <v>31</v>
      </c>
      <c r="BJ6" s="18"/>
      <c r="BK6" s="12">
        <v>2000</v>
      </c>
      <c r="BL6" s="8">
        <v>2007</v>
      </c>
      <c r="BM6" s="13">
        <v>2015</v>
      </c>
      <c r="BN6" s="12">
        <v>2000</v>
      </c>
      <c r="BO6" s="8">
        <v>2007</v>
      </c>
      <c r="BP6" s="13">
        <v>2015</v>
      </c>
      <c r="BQ6" s="12">
        <v>2000</v>
      </c>
      <c r="BR6" s="8">
        <v>2007</v>
      </c>
      <c r="BS6" s="13">
        <v>2015</v>
      </c>
      <c r="BU6" s="32"/>
      <c r="BV6" s="32" t="s">
        <v>139</v>
      </c>
      <c r="BW6" s="32" t="s">
        <v>140</v>
      </c>
      <c r="BX6" s="32" t="s">
        <v>138</v>
      </c>
    </row>
    <row r="7" spans="2:77">
      <c r="B7" s="2" t="s">
        <v>15</v>
      </c>
      <c r="C7" s="1">
        <f>C6*2</f>
        <v>0.05</v>
      </c>
      <c r="E7" s="2" t="s">
        <v>4</v>
      </c>
      <c r="F7" s="1">
        <v>0</v>
      </c>
      <c r="G7" s="1">
        <v>12</v>
      </c>
      <c r="H7" s="1">
        <v>16</v>
      </c>
      <c r="J7" s="2" t="s">
        <v>4</v>
      </c>
      <c r="K7" s="1">
        <f t="shared" si="1"/>
        <v>0</v>
      </c>
      <c r="L7" s="1">
        <f t="shared" si="0"/>
        <v>49</v>
      </c>
      <c r="M7" s="1">
        <f t="shared" si="0"/>
        <v>136</v>
      </c>
      <c r="P7" s="47" t="s">
        <v>62</v>
      </c>
      <c r="Q7" s="47"/>
      <c r="R7" s="47"/>
      <c r="S7" s="47"/>
      <c r="U7" s="47" t="s">
        <v>76</v>
      </c>
      <c r="V7" s="47"/>
      <c r="W7" s="47"/>
      <c r="X7" s="47"/>
      <c r="Z7" s="47" t="s">
        <v>52</v>
      </c>
      <c r="AA7" s="47"/>
      <c r="AB7" s="47"/>
      <c r="AC7" s="47"/>
      <c r="AE7" s="47" t="s">
        <v>62</v>
      </c>
      <c r="AF7" s="47"/>
      <c r="AG7" s="47"/>
      <c r="AH7" s="47"/>
      <c r="AJ7" s="47" t="s">
        <v>76</v>
      </c>
      <c r="AK7" s="47"/>
      <c r="AL7" s="47"/>
      <c r="AM7" s="47"/>
      <c r="AO7" s="47" t="s">
        <v>52</v>
      </c>
      <c r="AP7" s="47"/>
      <c r="AQ7" s="47"/>
      <c r="AR7" s="47"/>
      <c r="AT7" s="47" t="s">
        <v>62</v>
      </c>
      <c r="AU7" s="47"/>
      <c r="AV7" s="47"/>
      <c r="AW7" s="47"/>
      <c r="AY7" s="47" t="s">
        <v>76</v>
      </c>
      <c r="AZ7" s="47"/>
      <c r="BA7" s="47"/>
      <c r="BB7" s="47"/>
      <c r="BD7" s="47" t="s">
        <v>52</v>
      </c>
      <c r="BE7" s="47"/>
      <c r="BF7" s="47"/>
      <c r="BG7" s="47"/>
      <c r="BJ7" s="19" t="s">
        <v>26</v>
      </c>
      <c r="BK7" s="39">
        <f>Q13</f>
        <v>5.2700000000000005</v>
      </c>
      <c r="BL7" s="40">
        <f>R13</f>
        <v>4.6866666666666665</v>
      </c>
      <c r="BM7" s="41">
        <f>S13</f>
        <v>3.89</v>
      </c>
      <c r="BN7" s="39">
        <f>AF13</f>
        <v>4.7249999999999996</v>
      </c>
      <c r="BO7" s="40">
        <f>AG13</f>
        <v>4.1466666666666665</v>
      </c>
      <c r="BP7" s="41">
        <f>AH13</f>
        <v>3.3566666666666669</v>
      </c>
      <c r="BQ7" s="39">
        <f>AU13</f>
        <v>4.415</v>
      </c>
      <c r="BR7" s="40">
        <f>AV13</f>
        <v>3.7866666666666666</v>
      </c>
      <c r="BS7" s="41">
        <f>AW13</f>
        <v>2.9499999999999997</v>
      </c>
      <c r="BU7" s="32" t="s">
        <v>127</v>
      </c>
      <c r="BV7" s="31">
        <f>BK21</f>
        <v>51.1748502994012</v>
      </c>
      <c r="BW7" s="31">
        <f>BN21</f>
        <v>47.111976047904193</v>
      </c>
      <c r="BX7" s="31">
        <f>BQ21</f>
        <v>43.32754491017964</v>
      </c>
    </row>
    <row r="8" spans="2:77">
      <c r="B8" s="2" t="s">
        <v>13</v>
      </c>
      <c r="C8" s="6"/>
      <c r="E8" s="2" t="s">
        <v>5</v>
      </c>
      <c r="F8" s="1">
        <v>0</v>
      </c>
      <c r="G8" s="1">
        <v>0</v>
      </c>
      <c r="H8" s="1">
        <v>35</v>
      </c>
      <c r="J8" s="2" t="s">
        <v>5</v>
      </c>
      <c r="K8" s="1">
        <f t="shared" si="1"/>
        <v>0</v>
      </c>
      <c r="L8" s="1">
        <f t="shared" si="0"/>
        <v>0</v>
      </c>
      <c r="M8" s="1">
        <f t="shared" si="0"/>
        <v>97</v>
      </c>
      <c r="P8" s="2"/>
      <c r="Q8" s="2">
        <v>2000</v>
      </c>
      <c r="R8" s="2">
        <v>2007</v>
      </c>
      <c r="S8" s="2">
        <v>2015</v>
      </c>
      <c r="U8" s="2"/>
      <c r="V8" s="2">
        <v>2000</v>
      </c>
      <c r="W8" s="2">
        <v>2007</v>
      </c>
      <c r="X8" s="2">
        <v>2015</v>
      </c>
      <c r="Z8" s="2"/>
      <c r="AA8" s="2">
        <v>2000</v>
      </c>
      <c r="AB8" s="2">
        <v>2007</v>
      </c>
      <c r="AC8" s="2">
        <v>2015</v>
      </c>
      <c r="AE8" s="2"/>
      <c r="AF8" s="2">
        <v>2000</v>
      </c>
      <c r="AG8" s="2">
        <v>2007</v>
      </c>
      <c r="AH8" s="2">
        <v>2015</v>
      </c>
      <c r="AJ8" s="2"/>
      <c r="AK8" s="2">
        <v>2000</v>
      </c>
      <c r="AL8" s="2">
        <v>2007</v>
      </c>
      <c r="AM8" s="2">
        <v>2015</v>
      </c>
      <c r="AO8" s="2"/>
      <c r="AP8" s="2">
        <v>2000</v>
      </c>
      <c r="AQ8" s="2">
        <v>2007</v>
      </c>
      <c r="AR8" s="2">
        <v>2015</v>
      </c>
      <c r="AT8" s="2"/>
      <c r="AU8" s="2">
        <v>2000</v>
      </c>
      <c r="AV8" s="2">
        <v>2007</v>
      </c>
      <c r="AW8" s="2">
        <v>2015</v>
      </c>
      <c r="AY8" s="2"/>
      <c r="AZ8" s="2">
        <v>2000</v>
      </c>
      <c r="BA8" s="2">
        <v>2007</v>
      </c>
      <c r="BB8" s="2">
        <v>2015</v>
      </c>
      <c r="BD8" s="2"/>
      <c r="BE8" s="2">
        <v>2000</v>
      </c>
      <c r="BF8" s="2">
        <v>2007</v>
      </c>
      <c r="BG8" s="2">
        <v>2015</v>
      </c>
      <c r="BJ8" s="16" t="s">
        <v>27</v>
      </c>
      <c r="BK8" s="42">
        <f>Q21</f>
        <v>1.665</v>
      </c>
      <c r="BL8" s="24">
        <f>R21</f>
        <v>1.3766666666666667</v>
      </c>
      <c r="BM8" s="43">
        <f>S21</f>
        <v>0.84666666666666668</v>
      </c>
      <c r="BN8" s="42">
        <f>AF21</f>
        <v>1.7200000000000002</v>
      </c>
      <c r="BO8" s="24">
        <f>AG21</f>
        <v>1.42</v>
      </c>
      <c r="BP8" s="43">
        <f>AH21</f>
        <v>0.87333333333333341</v>
      </c>
      <c r="BQ8" s="42">
        <f>AU21</f>
        <v>1.7850000000000001</v>
      </c>
      <c r="BR8" s="24">
        <f>AV21</f>
        <v>1.4733333333333334</v>
      </c>
      <c r="BS8" s="43">
        <f>AW21</f>
        <v>0.9</v>
      </c>
      <c r="BU8" s="32" t="s">
        <v>128</v>
      </c>
      <c r="BV8" s="31">
        <f>BL21</f>
        <v>49.256686626746507</v>
      </c>
      <c r="BW8" s="31">
        <f>BO21</f>
        <v>45.114171656686629</v>
      </c>
      <c r="BX8" s="31">
        <f>BR21</f>
        <v>41.184031936127745</v>
      </c>
    </row>
    <row r="9" spans="2:77">
      <c r="B9" s="2" t="s">
        <v>1</v>
      </c>
      <c r="C9" s="6"/>
      <c r="J9" s="3" t="s">
        <v>24</v>
      </c>
      <c r="K9" s="3">
        <f>K5+K6+K7+K8</f>
        <v>197</v>
      </c>
      <c r="L9" s="3">
        <f>L5+L6+L7+L8</f>
        <v>239</v>
      </c>
      <c r="M9" s="3">
        <f>M5+M6+M7+M8</f>
        <v>264</v>
      </c>
      <c r="P9" s="2" t="s">
        <v>6</v>
      </c>
      <c r="Q9" s="1">
        <v>7.11</v>
      </c>
      <c r="R9" s="1">
        <v>7.27</v>
      </c>
      <c r="S9" s="1" t="s">
        <v>49</v>
      </c>
      <c r="U9" s="2" t="s">
        <v>6</v>
      </c>
      <c r="V9" s="1">
        <v>0</v>
      </c>
      <c r="W9" s="1">
        <v>0</v>
      </c>
      <c r="X9" s="1" t="s">
        <v>49</v>
      </c>
      <c r="Z9" s="2" t="s">
        <v>6</v>
      </c>
      <c r="AA9" s="1">
        <v>0.19</v>
      </c>
      <c r="AB9" s="1">
        <v>0.19</v>
      </c>
      <c r="AC9" s="1" t="s">
        <v>49</v>
      </c>
      <c r="AE9" s="2" t="s">
        <v>6</v>
      </c>
      <c r="AF9" s="1">
        <v>6.54</v>
      </c>
      <c r="AG9" s="1">
        <v>6.69</v>
      </c>
      <c r="AH9" s="1" t="s">
        <v>49</v>
      </c>
      <c r="AJ9" s="2" t="s">
        <v>6</v>
      </c>
      <c r="AK9" s="1">
        <v>0</v>
      </c>
      <c r="AL9" s="1">
        <v>0</v>
      </c>
      <c r="AM9" s="1" t="s">
        <v>49</v>
      </c>
      <c r="AO9" s="2" t="s">
        <v>6</v>
      </c>
      <c r="AP9" s="1">
        <v>0.15</v>
      </c>
      <c r="AQ9" s="1">
        <v>0.15</v>
      </c>
      <c r="AR9" s="1" t="s">
        <v>49</v>
      </c>
      <c r="AT9" s="2" t="s">
        <v>6</v>
      </c>
      <c r="AU9" s="1">
        <v>6.16</v>
      </c>
      <c r="AV9" s="1">
        <v>6.3</v>
      </c>
      <c r="AW9" s="1" t="s">
        <v>49</v>
      </c>
      <c r="AY9" s="2" t="s">
        <v>6</v>
      </c>
      <c r="AZ9" s="1">
        <v>0</v>
      </c>
      <c r="BA9" s="1">
        <v>0</v>
      </c>
      <c r="BB9" s="1" t="s">
        <v>49</v>
      </c>
      <c r="BD9" s="2" t="s">
        <v>6</v>
      </c>
      <c r="BE9" s="1">
        <v>0.12</v>
      </c>
      <c r="BF9" s="1">
        <v>0.12</v>
      </c>
      <c r="BG9" s="1" t="s">
        <v>49</v>
      </c>
      <c r="BJ9" s="16" t="s">
        <v>28</v>
      </c>
      <c r="BK9" s="42">
        <f>Q29</f>
        <v>1.4900000000000002</v>
      </c>
      <c r="BL9" s="24">
        <f>R29</f>
        <v>1.22</v>
      </c>
      <c r="BM9" s="43">
        <f>S29</f>
        <v>0.71666666666666667</v>
      </c>
      <c r="BN9" s="42">
        <f>AF29</f>
        <v>1.5449999999999999</v>
      </c>
      <c r="BO9" s="24">
        <f>AG29</f>
        <v>1.2666666666666668</v>
      </c>
      <c r="BP9" s="43">
        <f>AH29</f>
        <v>0.74666666666666659</v>
      </c>
      <c r="BQ9" s="42">
        <f>AU29</f>
        <v>1.605</v>
      </c>
      <c r="BR9" s="24">
        <f>AV29</f>
        <v>1.3166666666666667</v>
      </c>
      <c r="BS9" s="43">
        <f>AW29</f>
        <v>0.76666666666666661</v>
      </c>
      <c r="BU9" s="32" t="s">
        <v>129</v>
      </c>
      <c r="BV9" s="31">
        <f>BM21</f>
        <v>46.636726546906182</v>
      </c>
      <c r="BW9" s="31">
        <f>BP21</f>
        <v>42.399201596806385</v>
      </c>
      <c r="BX9" s="31">
        <f>BS21</f>
        <v>38.257884231536927</v>
      </c>
    </row>
    <row r="10" spans="2:77">
      <c r="B10" s="2" t="s">
        <v>2</v>
      </c>
      <c r="C10" s="6"/>
      <c r="E10" s="47" t="s">
        <v>8</v>
      </c>
      <c r="F10" s="47"/>
      <c r="G10" s="47"/>
      <c r="H10" s="47"/>
      <c r="P10" s="2" t="s">
        <v>3</v>
      </c>
      <c r="Q10" s="1">
        <v>3.43</v>
      </c>
      <c r="R10" s="1">
        <v>3.51</v>
      </c>
      <c r="S10" s="1">
        <v>4</v>
      </c>
      <c r="U10" s="2" t="s">
        <v>3</v>
      </c>
      <c r="V10" s="1">
        <v>0</v>
      </c>
      <c r="W10" s="1">
        <v>0</v>
      </c>
      <c r="X10" s="1">
        <v>0</v>
      </c>
      <c r="Z10" s="2" t="s">
        <v>3</v>
      </c>
      <c r="AA10" s="1">
        <v>0.19</v>
      </c>
      <c r="AB10" s="1">
        <v>0.19</v>
      </c>
      <c r="AC10" s="1">
        <v>0.19</v>
      </c>
      <c r="AE10" s="2" t="s">
        <v>3</v>
      </c>
      <c r="AF10" s="1">
        <v>2.91</v>
      </c>
      <c r="AG10" s="1">
        <v>2.98</v>
      </c>
      <c r="AH10" s="1">
        <v>3.39</v>
      </c>
      <c r="AJ10" s="2" t="s">
        <v>3</v>
      </c>
      <c r="AK10" s="1">
        <v>0</v>
      </c>
      <c r="AL10" s="1">
        <v>0</v>
      </c>
      <c r="AM10" s="1">
        <v>0</v>
      </c>
      <c r="AO10" s="2" t="s">
        <v>3</v>
      </c>
      <c r="AP10" s="1">
        <v>0.15</v>
      </c>
      <c r="AQ10" s="1">
        <v>0.15</v>
      </c>
      <c r="AR10" s="1">
        <v>0.15</v>
      </c>
      <c r="AT10" s="2" t="s">
        <v>3</v>
      </c>
      <c r="AU10" s="1">
        <v>2.67</v>
      </c>
      <c r="AV10" s="1">
        <v>2.73</v>
      </c>
      <c r="AW10" s="1">
        <v>3.12</v>
      </c>
      <c r="AY10" s="2" t="s">
        <v>3</v>
      </c>
      <c r="AZ10" s="1">
        <v>0</v>
      </c>
      <c r="BA10" s="1">
        <v>0</v>
      </c>
      <c r="BB10" s="1">
        <v>0</v>
      </c>
      <c r="BD10" s="2" t="s">
        <v>3</v>
      </c>
      <c r="BE10" s="1">
        <v>0.11</v>
      </c>
      <c r="BF10" s="1">
        <v>0.11</v>
      </c>
      <c r="BG10" s="1">
        <v>0.11</v>
      </c>
      <c r="BJ10" s="16" t="s">
        <v>29</v>
      </c>
      <c r="BK10" s="42">
        <f>Q37</f>
        <v>0.18</v>
      </c>
      <c r="BL10" s="24">
        <f>R37</f>
        <v>0.15666666666666665</v>
      </c>
      <c r="BM10" s="43">
        <f>S37</f>
        <v>0.13</v>
      </c>
      <c r="BN10" s="42">
        <f>AF37</f>
        <v>0.18</v>
      </c>
      <c r="BO10" s="24">
        <f>AG37</f>
        <v>0.15666666666666665</v>
      </c>
      <c r="BP10" s="43">
        <f>AH37</f>
        <v>0.13</v>
      </c>
      <c r="BQ10" s="42">
        <f>AU37</f>
        <v>0.18</v>
      </c>
      <c r="BR10" s="24">
        <f>AV37</f>
        <v>0.15666666666666665</v>
      </c>
      <c r="BS10" s="43">
        <f>AW37</f>
        <v>0.13</v>
      </c>
    </row>
    <row r="11" spans="2:77">
      <c r="B11" s="2" t="s">
        <v>0</v>
      </c>
      <c r="C11" s="6">
        <v>1000</v>
      </c>
      <c r="E11" s="2"/>
      <c r="F11" s="2">
        <v>2000</v>
      </c>
      <c r="G11" s="2">
        <v>2007</v>
      </c>
      <c r="H11" s="2">
        <v>2015</v>
      </c>
      <c r="J11" s="47" t="s">
        <v>51</v>
      </c>
      <c r="K11" s="47"/>
      <c r="L11" s="47"/>
      <c r="M11" s="47"/>
      <c r="P11" s="2" t="s">
        <v>4</v>
      </c>
      <c r="Q11" s="1" t="s">
        <v>49</v>
      </c>
      <c r="R11" s="1">
        <v>3.28</v>
      </c>
      <c r="S11" s="1">
        <v>3.73</v>
      </c>
      <c r="U11" s="2" t="s">
        <v>4</v>
      </c>
      <c r="V11" s="1" t="s">
        <v>49</v>
      </c>
      <c r="W11" s="1">
        <v>0</v>
      </c>
      <c r="X11" s="1">
        <v>0</v>
      </c>
      <c r="Z11" s="2" t="s">
        <v>4</v>
      </c>
      <c r="AA11" s="1" t="s">
        <v>49</v>
      </c>
      <c r="AB11" s="1">
        <v>0.19</v>
      </c>
      <c r="AC11" s="1">
        <v>0.19</v>
      </c>
      <c r="AE11" s="2" t="s">
        <v>4</v>
      </c>
      <c r="AF11" s="1" t="s">
        <v>49</v>
      </c>
      <c r="AG11" s="1">
        <v>2.77</v>
      </c>
      <c r="AH11" s="1">
        <v>3.16</v>
      </c>
      <c r="AJ11" s="2" t="s">
        <v>4</v>
      </c>
      <c r="AK11" s="1" t="s">
        <v>49</v>
      </c>
      <c r="AL11" s="1">
        <v>0</v>
      </c>
      <c r="AM11" s="1">
        <v>0</v>
      </c>
      <c r="AO11" s="2" t="s">
        <v>4</v>
      </c>
      <c r="AP11" s="1" t="s">
        <v>49</v>
      </c>
      <c r="AQ11" s="1">
        <v>0.15</v>
      </c>
      <c r="AR11" s="1">
        <v>0.15</v>
      </c>
      <c r="AT11" s="2" t="s">
        <v>4</v>
      </c>
      <c r="AU11" s="1" t="s">
        <v>49</v>
      </c>
      <c r="AV11" s="1">
        <v>2.33</v>
      </c>
      <c r="AW11" s="1">
        <v>2.65</v>
      </c>
      <c r="AY11" s="2" t="s">
        <v>4</v>
      </c>
      <c r="AZ11" s="1" t="s">
        <v>49</v>
      </c>
      <c r="BA11" s="1">
        <v>0</v>
      </c>
      <c r="BB11" s="1">
        <v>0</v>
      </c>
      <c r="BD11" s="2" t="s">
        <v>4</v>
      </c>
      <c r="BE11" s="1" t="s">
        <v>49</v>
      </c>
      <c r="BF11" s="1">
        <v>0.11</v>
      </c>
      <c r="BG11" s="1">
        <v>0.11</v>
      </c>
      <c r="BJ11" s="16" t="s">
        <v>30</v>
      </c>
      <c r="BK11" s="42">
        <f>Q45</f>
        <v>16.260000000000002</v>
      </c>
      <c r="BL11" s="24">
        <f>R45</f>
        <v>15.22</v>
      </c>
      <c r="BM11" s="43">
        <f>S45</f>
        <v>12.386666666666665</v>
      </c>
      <c r="BN11" s="42">
        <f>AF45</f>
        <v>14.86</v>
      </c>
      <c r="BO11" s="24">
        <f>AG45</f>
        <v>13.973333333333334</v>
      </c>
      <c r="BP11" s="43">
        <f>AH45</f>
        <v>11.413333333333332</v>
      </c>
      <c r="BQ11" s="42">
        <f>AU45</f>
        <v>13.454999999999998</v>
      </c>
      <c r="BR11" s="24">
        <f>AV45</f>
        <v>12.676666666666668</v>
      </c>
      <c r="BS11" s="43">
        <f>AW45</f>
        <v>10.409999999999998</v>
      </c>
    </row>
    <row r="12" spans="2:77">
      <c r="E12" s="2" t="s">
        <v>6</v>
      </c>
      <c r="F12" s="1">
        <v>74</v>
      </c>
      <c r="G12" s="1">
        <v>84</v>
      </c>
      <c r="H12" s="1">
        <v>0</v>
      </c>
      <c r="J12" s="47" t="s">
        <v>19</v>
      </c>
      <c r="K12" s="47"/>
      <c r="L12" s="47"/>
      <c r="M12" s="47"/>
      <c r="P12" s="2" t="s">
        <v>5</v>
      </c>
      <c r="Q12" s="1" t="s">
        <v>49</v>
      </c>
      <c r="R12" s="1" t="s">
        <v>49</v>
      </c>
      <c r="S12" s="1">
        <v>3.94</v>
      </c>
      <c r="U12" s="2" t="s">
        <v>5</v>
      </c>
      <c r="V12" s="1" t="s">
        <v>49</v>
      </c>
      <c r="W12" s="1" t="s">
        <v>49</v>
      </c>
      <c r="X12" s="1">
        <v>0</v>
      </c>
      <c r="Z12" s="2" t="s">
        <v>5</v>
      </c>
      <c r="AA12" s="1" t="s">
        <v>49</v>
      </c>
      <c r="AB12" s="1" t="s">
        <v>49</v>
      </c>
      <c r="AC12" s="1">
        <v>0.19</v>
      </c>
      <c r="AE12" s="2" t="s">
        <v>5</v>
      </c>
      <c r="AF12" s="1" t="s">
        <v>49</v>
      </c>
      <c r="AG12" s="1" t="s">
        <v>49</v>
      </c>
      <c r="AH12" s="1">
        <v>3.52</v>
      </c>
      <c r="AJ12" s="2" t="s">
        <v>5</v>
      </c>
      <c r="AK12" s="1" t="s">
        <v>49</v>
      </c>
      <c r="AL12" s="1" t="s">
        <v>49</v>
      </c>
      <c r="AM12" s="1">
        <v>0</v>
      </c>
      <c r="AO12" s="2" t="s">
        <v>5</v>
      </c>
      <c r="AP12" s="1" t="s">
        <v>49</v>
      </c>
      <c r="AQ12" s="1" t="s">
        <v>49</v>
      </c>
      <c r="AR12" s="1">
        <v>0.15</v>
      </c>
      <c r="AT12" s="2" t="s">
        <v>5</v>
      </c>
      <c r="AU12" s="1" t="s">
        <v>49</v>
      </c>
      <c r="AV12" s="1" t="s">
        <v>49</v>
      </c>
      <c r="AW12" s="1">
        <v>3.08</v>
      </c>
      <c r="AY12" s="2" t="s">
        <v>5</v>
      </c>
      <c r="AZ12" s="1" t="s">
        <v>49</v>
      </c>
      <c r="BA12" s="1" t="s">
        <v>49</v>
      </c>
      <c r="BB12" s="1">
        <v>0</v>
      </c>
      <c r="BD12" s="2" t="s">
        <v>5</v>
      </c>
      <c r="BE12" s="1" t="s">
        <v>49</v>
      </c>
      <c r="BF12" s="1" t="s">
        <v>49</v>
      </c>
      <c r="BG12" s="1">
        <v>0.11</v>
      </c>
      <c r="BJ12" s="16" t="s">
        <v>31</v>
      </c>
      <c r="BK12" s="42">
        <f>Q53</f>
        <v>14.475000000000001</v>
      </c>
      <c r="BL12" s="24">
        <f>R53</f>
        <v>13.546666666666667</v>
      </c>
      <c r="BM12" s="43">
        <f>S53</f>
        <v>10.903333333333334</v>
      </c>
      <c r="BN12" s="42">
        <f>AF53</f>
        <v>13.225000000000001</v>
      </c>
      <c r="BO12" s="24">
        <f>AG53</f>
        <v>12.436666666666667</v>
      </c>
      <c r="BP12" s="43">
        <f>AH53</f>
        <v>10.043333333333335</v>
      </c>
      <c r="BQ12" s="42">
        <f>AU53</f>
        <v>11.975000000000001</v>
      </c>
      <c r="BR12" s="24">
        <f>AV53</f>
        <v>11.283333333333333</v>
      </c>
      <c r="BS12" s="43">
        <f>AW53</f>
        <v>9.1633333333333322</v>
      </c>
    </row>
    <row r="13" spans="2:77">
      <c r="E13" s="2" t="s">
        <v>3</v>
      </c>
      <c r="F13" s="1">
        <v>38</v>
      </c>
      <c r="G13" s="1">
        <v>21</v>
      </c>
      <c r="H13" s="1">
        <v>0</v>
      </c>
      <c r="J13" s="2"/>
      <c r="K13" s="2" t="s">
        <v>16</v>
      </c>
      <c r="L13" s="2" t="s">
        <v>17</v>
      </c>
      <c r="M13" s="2" t="s">
        <v>18</v>
      </c>
      <c r="P13" s="3" t="s">
        <v>137</v>
      </c>
      <c r="Q13" s="6">
        <f>AVERAGE(Q9:Q12)</f>
        <v>5.2700000000000005</v>
      </c>
      <c r="R13" s="6">
        <f>AVERAGE(R9:R12)</f>
        <v>4.6866666666666665</v>
      </c>
      <c r="S13" s="6">
        <f>AVERAGE(S9:S12)</f>
        <v>3.89</v>
      </c>
      <c r="U13" s="3" t="s">
        <v>137</v>
      </c>
      <c r="V13" s="6">
        <f>AVERAGE(V9:V12)</f>
        <v>0</v>
      </c>
      <c r="W13" s="6">
        <f>AVERAGE(W9:W12)</f>
        <v>0</v>
      </c>
      <c r="X13" s="6">
        <f>AVERAGE(X9:X12)</f>
        <v>0</v>
      </c>
      <c r="Z13" s="3" t="s">
        <v>137</v>
      </c>
      <c r="AA13" s="6">
        <f>AVERAGE(AA9:AA12)</f>
        <v>0.19</v>
      </c>
      <c r="AB13" s="6">
        <f>AVERAGE(AB9:AB12)</f>
        <v>0.19000000000000003</v>
      </c>
      <c r="AC13" s="6">
        <f>AVERAGE(AC9:AC12)</f>
        <v>0.19000000000000003</v>
      </c>
      <c r="AE13" s="3" t="s">
        <v>137</v>
      </c>
      <c r="AF13" s="6">
        <f>AVERAGE(AF9:AF12)</f>
        <v>4.7249999999999996</v>
      </c>
      <c r="AG13" s="6">
        <f>AVERAGE(AG9:AG12)</f>
        <v>4.1466666666666665</v>
      </c>
      <c r="AH13" s="6">
        <f>AVERAGE(AH9:AH12)</f>
        <v>3.3566666666666669</v>
      </c>
      <c r="AJ13" s="3" t="s">
        <v>137</v>
      </c>
      <c r="AK13" s="6">
        <f>AVERAGE(AK9:AK12)</f>
        <v>0</v>
      </c>
      <c r="AL13" s="6">
        <f>AVERAGE(AL9:AL12)</f>
        <v>0</v>
      </c>
      <c r="AM13" s="6">
        <f>AVERAGE(AM9:AM12)</f>
        <v>0</v>
      </c>
      <c r="AO13" s="3" t="s">
        <v>137</v>
      </c>
      <c r="AP13" s="6">
        <f>AVERAGE(AP9:AP12)</f>
        <v>0.15</v>
      </c>
      <c r="AQ13" s="6">
        <f>AVERAGE(AQ9:AQ12)</f>
        <v>0.15</v>
      </c>
      <c r="AR13" s="6">
        <f>AVERAGE(AR9:AR12)</f>
        <v>0.15</v>
      </c>
      <c r="AT13" s="3" t="s">
        <v>137</v>
      </c>
      <c r="AU13" s="6">
        <f>AVERAGE(AU9:AU12)</f>
        <v>4.415</v>
      </c>
      <c r="AV13" s="6">
        <f>AVERAGE(AV9:AV12)</f>
        <v>3.7866666666666666</v>
      </c>
      <c r="AW13" s="6">
        <f>AVERAGE(AW9:AW12)</f>
        <v>2.9499999999999997</v>
      </c>
      <c r="AY13" s="3" t="s">
        <v>137</v>
      </c>
      <c r="AZ13" s="6">
        <f>AVERAGE(AZ9:AZ12)</f>
        <v>0</v>
      </c>
      <c r="BA13" s="6">
        <f>AVERAGE(BA9:BA12)</f>
        <v>0</v>
      </c>
      <c r="BB13" s="6">
        <f>AVERAGE(BB9:BB12)</f>
        <v>0</v>
      </c>
      <c r="BD13" s="3" t="s">
        <v>137</v>
      </c>
      <c r="BE13" s="6">
        <f>AVERAGE(BE9:BE12)</f>
        <v>0.11499999999999999</v>
      </c>
      <c r="BF13" s="6">
        <f>AVERAGE(BF9:BF12)</f>
        <v>0.11333333333333333</v>
      </c>
      <c r="BG13" s="6">
        <f>AVERAGE(BG9:BG12)</f>
        <v>0.11</v>
      </c>
      <c r="BJ13" s="16" t="s">
        <v>32</v>
      </c>
      <c r="BK13" s="42">
        <f>Q61</f>
        <v>1.79</v>
      </c>
      <c r="BL13" s="24">
        <f>R61</f>
        <v>1.6733333333333331</v>
      </c>
      <c r="BM13" s="43">
        <f>S61</f>
        <v>1.4833333333333334</v>
      </c>
      <c r="BN13" s="42">
        <f>AF61</f>
        <v>1.635</v>
      </c>
      <c r="BO13" s="24">
        <f>AG61</f>
        <v>1.5366666666666668</v>
      </c>
      <c r="BP13" s="43">
        <f>AH61</f>
        <v>1.3666666666666665</v>
      </c>
      <c r="BQ13" s="42">
        <f>AU61</f>
        <v>1.48</v>
      </c>
      <c r="BR13" s="24">
        <f>AV61</f>
        <v>1.3933333333333335</v>
      </c>
      <c r="BS13" s="43">
        <f>AW61</f>
        <v>1.2466666666666668</v>
      </c>
    </row>
    <row r="14" spans="2:77">
      <c r="E14" s="2" t="s">
        <v>4</v>
      </c>
      <c r="F14" s="1">
        <v>0</v>
      </c>
      <c r="G14" s="1">
        <v>29</v>
      </c>
      <c r="H14" s="1">
        <v>97</v>
      </c>
      <c r="J14" s="2" t="s">
        <v>6</v>
      </c>
      <c r="K14" s="1">
        <v>1000</v>
      </c>
      <c r="L14" s="7">
        <f>C11</f>
        <v>1000</v>
      </c>
      <c r="M14" s="7">
        <f>L14*10</f>
        <v>10000</v>
      </c>
      <c r="BJ14" s="16" t="s">
        <v>48</v>
      </c>
      <c r="BK14" s="42">
        <f>Q69</f>
        <v>0.02</v>
      </c>
      <c r="BL14" s="24">
        <f>R69</f>
        <v>1.6666666666666666E-2</v>
      </c>
      <c r="BM14" s="43">
        <f>S69</f>
        <v>0.01</v>
      </c>
      <c r="BN14" s="42">
        <f>AF69</f>
        <v>0.02</v>
      </c>
      <c r="BO14" s="24">
        <f>AG69</f>
        <v>1.6666666666666666E-2</v>
      </c>
      <c r="BP14" s="43">
        <f>AH69</f>
        <v>0.01</v>
      </c>
      <c r="BQ14" s="42">
        <f>AU69</f>
        <v>0.02</v>
      </c>
      <c r="BR14" s="24">
        <f>AV69</f>
        <v>1.6666666666666666E-2</v>
      </c>
      <c r="BS14" s="43">
        <f>AW69</f>
        <v>6.6666666666666671E-3</v>
      </c>
    </row>
    <row r="15" spans="2:77">
      <c r="E15" s="2" t="s">
        <v>5</v>
      </c>
      <c r="F15" s="1">
        <v>0</v>
      </c>
      <c r="G15" s="1">
        <v>0</v>
      </c>
      <c r="H15" s="1">
        <v>51</v>
      </c>
      <c r="J15" s="2" t="s">
        <v>3</v>
      </c>
      <c r="K15" s="1">
        <v>1000</v>
      </c>
      <c r="L15" s="7">
        <f>C11</f>
        <v>1000</v>
      </c>
      <c r="M15" s="7">
        <f>L15*1</f>
        <v>1000</v>
      </c>
      <c r="P15" s="47" t="s">
        <v>63</v>
      </c>
      <c r="Q15" s="47"/>
      <c r="R15" s="47"/>
      <c r="S15" s="47"/>
      <c r="U15" s="47" t="s">
        <v>75</v>
      </c>
      <c r="V15" s="47"/>
      <c r="W15" s="47"/>
      <c r="X15" s="47"/>
      <c r="Z15" s="47" t="s">
        <v>53</v>
      </c>
      <c r="AA15" s="47"/>
      <c r="AB15" s="47"/>
      <c r="AC15" s="47"/>
      <c r="AE15" s="47" t="s">
        <v>63</v>
      </c>
      <c r="AF15" s="47"/>
      <c r="AG15" s="47"/>
      <c r="AH15" s="47"/>
      <c r="AJ15" s="47" t="s">
        <v>75</v>
      </c>
      <c r="AK15" s="47"/>
      <c r="AL15" s="47"/>
      <c r="AM15" s="47"/>
      <c r="AO15" s="47" t="s">
        <v>53</v>
      </c>
      <c r="AP15" s="47"/>
      <c r="AQ15" s="47"/>
      <c r="AR15" s="47"/>
      <c r="AT15" s="47" t="s">
        <v>63</v>
      </c>
      <c r="AU15" s="47"/>
      <c r="AV15" s="47"/>
      <c r="AW15" s="47"/>
      <c r="AY15" s="47" t="s">
        <v>75</v>
      </c>
      <c r="AZ15" s="47"/>
      <c r="BA15" s="47"/>
      <c r="BB15" s="47"/>
      <c r="BD15" s="47" t="s">
        <v>53</v>
      </c>
      <c r="BE15" s="47"/>
      <c r="BF15" s="47"/>
      <c r="BG15" s="47"/>
      <c r="BJ15" s="16" t="s">
        <v>33</v>
      </c>
      <c r="BK15" s="42">
        <f>V13</f>
        <v>0</v>
      </c>
      <c r="BL15" s="24">
        <f>W13</f>
        <v>0</v>
      </c>
      <c r="BM15" s="43">
        <f>X13</f>
        <v>0</v>
      </c>
      <c r="BN15" s="42">
        <f>AK13</f>
        <v>0</v>
      </c>
      <c r="BO15" s="24">
        <f>AL13</f>
        <v>0</v>
      </c>
      <c r="BP15" s="43">
        <f>AM13</f>
        <v>0</v>
      </c>
      <c r="BQ15" s="42">
        <f>AZ13</f>
        <v>0</v>
      </c>
      <c r="BR15" s="24">
        <f>BA13</f>
        <v>0</v>
      </c>
      <c r="BS15" s="43">
        <f>BB13</f>
        <v>0</v>
      </c>
    </row>
    <row r="16" spans="2:77">
      <c r="H16" s="5"/>
      <c r="J16" s="4"/>
      <c r="K16" s="4"/>
      <c r="L16" s="4"/>
      <c r="M16" s="4"/>
      <c r="P16" s="2"/>
      <c r="Q16" s="2">
        <v>2000</v>
      </c>
      <c r="R16" s="2">
        <v>2007</v>
      </c>
      <c r="S16" s="2">
        <v>2015</v>
      </c>
      <c r="U16" s="2"/>
      <c r="V16" s="2">
        <v>2000</v>
      </c>
      <c r="W16" s="2">
        <v>2007</v>
      </c>
      <c r="X16" s="2">
        <v>2015</v>
      </c>
      <c r="Z16" s="2"/>
      <c r="AA16" s="2">
        <v>2000</v>
      </c>
      <c r="AB16" s="2">
        <v>2007</v>
      </c>
      <c r="AC16" s="2">
        <v>2015</v>
      </c>
      <c r="AE16" s="2"/>
      <c r="AF16" s="2">
        <v>2000</v>
      </c>
      <c r="AG16" s="2">
        <v>2007</v>
      </c>
      <c r="AH16" s="2">
        <v>2015</v>
      </c>
      <c r="AJ16" s="2"/>
      <c r="AK16" s="2">
        <v>2000</v>
      </c>
      <c r="AL16" s="2">
        <v>2007</v>
      </c>
      <c r="AM16" s="2">
        <v>2015</v>
      </c>
      <c r="AO16" s="2"/>
      <c r="AP16" s="2">
        <v>2000</v>
      </c>
      <c r="AQ16" s="2">
        <v>2007</v>
      </c>
      <c r="AR16" s="2">
        <v>2015</v>
      </c>
      <c r="AT16" s="2"/>
      <c r="AU16" s="2">
        <v>2000</v>
      </c>
      <c r="AV16" s="2">
        <v>2007</v>
      </c>
      <c r="AW16" s="2">
        <v>2015</v>
      </c>
      <c r="AY16" s="2"/>
      <c r="AZ16" s="2">
        <v>2000</v>
      </c>
      <c r="BA16" s="2">
        <v>2007</v>
      </c>
      <c r="BB16" s="2">
        <v>2015</v>
      </c>
      <c r="BD16" s="2"/>
      <c r="BE16" s="2">
        <v>2000</v>
      </c>
      <c r="BF16" s="2">
        <v>2007</v>
      </c>
      <c r="BG16" s="2">
        <v>2015</v>
      </c>
      <c r="BJ16" s="16" t="s">
        <v>34</v>
      </c>
      <c r="BK16" s="42">
        <f>V21</f>
        <v>0.80499999999999994</v>
      </c>
      <c r="BL16" s="24">
        <f>W21</f>
        <v>0.63</v>
      </c>
      <c r="BM16" s="43">
        <f>X21</f>
        <v>0.38666666666666666</v>
      </c>
      <c r="BN16" s="42">
        <f>AK21</f>
        <v>0.74</v>
      </c>
      <c r="BO16" s="24">
        <f>AL21</f>
        <v>0.56999999999999995</v>
      </c>
      <c r="BP16" s="43">
        <f>AM21</f>
        <v>0.34333333333333332</v>
      </c>
      <c r="BQ16" s="42">
        <f>AZ21</f>
        <v>0.69</v>
      </c>
      <c r="BR16" s="24">
        <f>BA21</f>
        <v>0.52666666666666662</v>
      </c>
      <c r="BS16" s="43">
        <f>BB21</f>
        <v>0.31</v>
      </c>
    </row>
    <row r="17" spans="5:71">
      <c r="E17" s="47" t="s">
        <v>9</v>
      </c>
      <c r="F17" s="47"/>
      <c r="G17" s="47"/>
      <c r="H17" s="47"/>
      <c r="J17" s="48" t="s">
        <v>20</v>
      </c>
      <c r="K17" s="49"/>
      <c r="L17" s="49"/>
      <c r="M17" s="50"/>
      <c r="P17" s="2" t="s">
        <v>6</v>
      </c>
      <c r="Q17" s="1">
        <v>2.38</v>
      </c>
      <c r="R17" s="1">
        <v>2.4700000000000002</v>
      </c>
      <c r="S17" s="1" t="s">
        <v>49</v>
      </c>
      <c r="U17" s="2" t="s">
        <v>6</v>
      </c>
      <c r="V17" s="1">
        <v>1.04</v>
      </c>
      <c r="W17" s="1">
        <v>1.02</v>
      </c>
      <c r="X17" s="1" t="s">
        <v>49</v>
      </c>
      <c r="Z17" s="2" t="s">
        <v>6</v>
      </c>
      <c r="AA17" s="1">
        <v>0</v>
      </c>
      <c r="AB17" s="1">
        <v>0</v>
      </c>
      <c r="AC17" s="1" t="s">
        <v>49</v>
      </c>
      <c r="AE17" s="2" t="s">
        <v>6</v>
      </c>
      <c r="AF17" s="1">
        <v>2.4700000000000002</v>
      </c>
      <c r="AG17" s="1">
        <v>2.57</v>
      </c>
      <c r="AH17" s="1" t="s">
        <v>49</v>
      </c>
      <c r="AJ17" s="2" t="s">
        <v>6</v>
      </c>
      <c r="AK17" s="1">
        <v>0.96</v>
      </c>
      <c r="AL17" s="1">
        <v>0.95</v>
      </c>
      <c r="AM17" s="1" t="s">
        <v>49</v>
      </c>
      <c r="AO17" s="2" t="s">
        <v>6</v>
      </c>
      <c r="AP17" s="1">
        <v>0</v>
      </c>
      <c r="AQ17" s="1">
        <v>0</v>
      </c>
      <c r="AR17" s="1" t="s">
        <v>49</v>
      </c>
      <c r="AT17" s="2" t="s">
        <v>6</v>
      </c>
      <c r="AU17" s="1">
        <v>2.58</v>
      </c>
      <c r="AV17" s="1">
        <v>2.68</v>
      </c>
      <c r="AW17" s="1" t="s">
        <v>49</v>
      </c>
      <c r="AY17" s="2" t="s">
        <v>6</v>
      </c>
      <c r="AZ17" s="1">
        <v>0.9</v>
      </c>
      <c r="BA17" s="1">
        <v>0.89</v>
      </c>
      <c r="BB17" s="1" t="s">
        <v>49</v>
      </c>
      <c r="BD17" s="2" t="s">
        <v>6</v>
      </c>
      <c r="BE17" s="1">
        <v>0</v>
      </c>
      <c r="BF17" s="1">
        <v>0</v>
      </c>
      <c r="BG17" s="1" t="s">
        <v>49</v>
      </c>
      <c r="BJ17" s="16" t="s">
        <v>35</v>
      </c>
      <c r="BK17" s="42">
        <f>V29</f>
        <v>0.85000000000000009</v>
      </c>
      <c r="BL17" s="24">
        <f>W29</f>
        <v>0.68</v>
      </c>
      <c r="BM17" s="43">
        <f>X29</f>
        <v>0.4366666666666667</v>
      </c>
      <c r="BN17" s="42">
        <f>AK29</f>
        <v>0.77500000000000002</v>
      </c>
      <c r="BO17" s="24">
        <f>AL29</f>
        <v>0.61</v>
      </c>
      <c r="BP17" s="43">
        <f>AM29</f>
        <v>0.37666666666666671</v>
      </c>
      <c r="BQ17" s="42">
        <f>AZ29</f>
        <v>0.72</v>
      </c>
      <c r="BR17" s="24">
        <f>BA29</f>
        <v>0.55000000000000004</v>
      </c>
      <c r="BS17" s="43">
        <f>BB29</f>
        <v>0.33666666666666667</v>
      </c>
    </row>
    <row r="18" spans="5:71">
      <c r="E18" s="2"/>
      <c r="F18" s="2">
        <v>2000</v>
      </c>
      <c r="G18" s="2">
        <v>2007</v>
      </c>
      <c r="H18" s="2">
        <v>2015</v>
      </c>
      <c r="J18" s="2"/>
      <c r="K18" s="2" t="s">
        <v>16</v>
      </c>
      <c r="L18" s="2" t="s">
        <v>17</v>
      </c>
      <c r="M18" s="2" t="s">
        <v>18</v>
      </c>
      <c r="P18" s="2" t="s">
        <v>3</v>
      </c>
      <c r="Q18" s="1">
        <v>0.95</v>
      </c>
      <c r="R18" s="1">
        <v>0.99</v>
      </c>
      <c r="S18" s="1">
        <v>1.1200000000000001</v>
      </c>
      <c r="U18" s="2" t="s">
        <v>3</v>
      </c>
      <c r="V18" s="1">
        <v>0.56999999999999995</v>
      </c>
      <c r="W18" s="1">
        <v>0.56999999999999995</v>
      </c>
      <c r="X18" s="1">
        <v>0.56999999999999995</v>
      </c>
      <c r="Z18" s="2" t="s">
        <v>3</v>
      </c>
      <c r="AA18" s="1">
        <v>0</v>
      </c>
      <c r="AB18" s="1">
        <v>0</v>
      </c>
      <c r="AC18" s="1">
        <v>0</v>
      </c>
      <c r="AE18" s="2" t="s">
        <v>3</v>
      </c>
      <c r="AF18" s="1">
        <v>0.97</v>
      </c>
      <c r="AG18" s="1">
        <v>1</v>
      </c>
      <c r="AH18" s="1">
        <v>1.1299999999999999</v>
      </c>
      <c r="AJ18" s="2" t="s">
        <v>3</v>
      </c>
      <c r="AK18" s="1">
        <v>0.52</v>
      </c>
      <c r="AL18" s="1">
        <v>0.51</v>
      </c>
      <c r="AM18" s="1">
        <v>0.51</v>
      </c>
      <c r="AO18" s="2" t="s">
        <v>3</v>
      </c>
      <c r="AP18" s="1">
        <v>0</v>
      </c>
      <c r="AQ18" s="1">
        <v>0</v>
      </c>
      <c r="AR18" s="1">
        <v>0</v>
      </c>
      <c r="AT18" s="2" t="s">
        <v>3</v>
      </c>
      <c r="AU18" s="1">
        <v>0.99</v>
      </c>
      <c r="AV18" s="1">
        <v>1.03</v>
      </c>
      <c r="AW18" s="1">
        <v>1.1599999999999999</v>
      </c>
      <c r="AY18" s="2" t="s">
        <v>3</v>
      </c>
      <c r="AZ18" s="1">
        <v>0.48</v>
      </c>
      <c r="BA18" s="1">
        <v>0.47</v>
      </c>
      <c r="BB18" s="1">
        <v>0.47</v>
      </c>
      <c r="BD18" s="2" t="s">
        <v>3</v>
      </c>
      <c r="BE18" s="1">
        <v>0</v>
      </c>
      <c r="BF18" s="1">
        <v>0</v>
      </c>
      <c r="BG18" s="1">
        <v>0</v>
      </c>
      <c r="BJ18" s="16" t="s">
        <v>36</v>
      </c>
      <c r="BK18" s="42">
        <f>V37</f>
        <v>0.76</v>
      </c>
      <c r="BL18" s="24">
        <f>W37</f>
        <v>0.58666666666666667</v>
      </c>
      <c r="BM18" s="43">
        <f>X37</f>
        <v>0.34</v>
      </c>
      <c r="BN18" s="42">
        <f>AK37</f>
        <v>0.70500000000000007</v>
      </c>
      <c r="BO18" s="24">
        <f>AL37</f>
        <v>0.53999999999999992</v>
      </c>
      <c r="BP18" s="43">
        <f>AM37</f>
        <v>0.30666666666666664</v>
      </c>
      <c r="BQ18" s="42">
        <f>AZ37</f>
        <v>0.66</v>
      </c>
      <c r="BR18" s="24">
        <f>BA37</f>
        <v>0.5</v>
      </c>
      <c r="BS18" s="43">
        <f>BB37</f>
        <v>0.28666666666666668</v>
      </c>
    </row>
    <row r="19" spans="5:71">
      <c r="E19" s="2" t="s">
        <v>6</v>
      </c>
      <c r="F19" s="1">
        <v>41</v>
      </c>
      <c r="G19" s="1">
        <v>41</v>
      </c>
      <c r="H19" s="1">
        <v>0</v>
      </c>
      <c r="J19" s="2" t="s">
        <v>6</v>
      </c>
      <c r="K19" s="1">
        <v>1000</v>
      </c>
      <c r="L19" s="7">
        <f>C11</f>
        <v>1000</v>
      </c>
      <c r="M19" s="7">
        <f>L19*17</f>
        <v>17000</v>
      </c>
      <c r="P19" s="2" t="s">
        <v>4</v>
      </c>
      <c r="Q19" s="1" t="s">
        <v>49</v>
      </c>
      <c r="R19" s="1">
        <v>0.67</v>
      </c>
      <c r="S19" s="1">
        <v>0.75</v>
      </c>
      <c r="U19" s="2" t="s">
        <v>4</v>
      </c>
      <c r="V19" s="1" t="s">
        <v>49</v>
      </c>
      <c r="W19" s="1">
        <v>0.3</v>
      </c>
      <c r="X19" s="1">
        <v>0.3</v>
      </c>
      <c r="Z19" s="2" t="s">
        <v>4</v>
      </c>
      <c r="AA19" s="1" t="s">
        <v>49</v>
      </c>
      <c r="AB19" s="1">
        <v>0</v>
      </c>
      <c r="AC19" s="1">
        <v>0</v>
      </c>
      <c r="AE19" s="2" t="s">
        <v>4</v>
      </c>
      <c r="AF19" s="1" t="s">
        <v>49</v>
      </c>
      <c r="AG19" s="1">
        <v>0.69</v>
      </c>
      <c r="AH19" s="1">
        <v>0.78</v>
      </c>
      <c r="AJ19" s="2" t="s">
        <v>4</v>
      </c>
      <c r="AK19" s="1" t="s">
        <v>49</v>
      </c>
      <c r="AL19" s="1">
        <v>0.25</v>
      </c>
      <c r="AM19" s="1">
        <v>0.26</v>
      </c>
      <c r="AO19" s="2" t="s">
        <v>4</v>
      </c>
      <c r="AP19" s="1" t="s">
        <v>49</v>
      </c>
      <c r="AQ19" s="1">
        <v>0</v>
      </c>
      <c r="AR19" s="1">
        <v>0</v>
      </c>
      <c r="AT19" s="2" t="s">
        <v>4</v>
      </c>
      <c r="AU19" s="1" t="s">
        <v>49</v>
      </c>
      <c r="AV19" s="1">
        <v>0.71</v>
      </c>
      <c r="AW19" s="1">
        <v>0.8</v>
      </c>
      <c r="AY19" s="2" t="s">
        <v>4</v>
      </c>
      <c r="AZ19" s="1" t="s">
        <v>49</v>
      </c>
      <c r="BA19" s="1">
        <v>0.22</v>
      </c>
      <c r="BB19" s="1">
        <v>0.22</v>
      </c>
      <c r="BD19" s="2" t="s">
        <v>4</v>
      </c>
      <c r="BE19" s="1" t="s">
        <v>49</v>
      </c>
      <c r="BF19" s="1">
        <v>0</v>
      </c>
      <c r="BG19" s="1">
        <v>0</v>
      </c>
      <c r="BJ19" s="16" t="s">
        <v>37</v>
      </c>
      <c r="BK19" s="42">
        <f>V45</f>
        <v>0.42000000000000004</v>
      </c>
      <c r="BL19" s="24">
        <f>W45</f>
        <v>0.33333333333333331</v>
      </c>
      <c r="BM19" s="43">
        <f>X45</f>
        <v>0.22666666666666668</v>
      </c>
      <c r="BN19" s="42">
        <f>AK45</f>
        <v>0.38500000000000001</v>
      </c>
      <c r="BO19" s="24">
        <f>AL45</f>
        <v>0.30333333333333334</v>
      </c>
      <c r="BP19" s="43">
        <f>AM45</f>
        <v>0.20333333333333334</v>
      </c>
      <c r="BQ19" s="42">
        <f>AZ45</f>
        <v>0.37</v>
      </c>
      <c r="BR19" s="24">
        <f>BA45</f>
        <v>0.28333333333333333</v>
      </c>
      <c r="BS19" s="43">
        <f>BB45</f>
        <v>0.18999999999999997</v>
      </c>
    </row>
    <row r="20" spans="5:71">
      <c r="E20" s="2" t="s">
        <v>3</v>
      </c>
      <c r="F20" s="1">
        <v>9</v>
      </c>
      <c r="G20" s="1">
        <v>9</v>
      </c>
      <c r="H20" s="1">
        <v>31</v>
      </c>
      <c r="J20" s="2" t="s">
        <v>3</v>
      </c>
      <c r="K20" s="1">
        <v>1000</v>
      </c>
      <c r="L20" s="7">
        <f>C11</f>
        <v>1000</v>
      </c>
      <c r="M20" s="7">
        <f>L20*7</f>
        <v>7000</v>
      </c>
      <c r="P20" s="2" t="s">
        <v>5</v>
      </c>
      <c r="Q20" s="1" t="s">
        <v>49</v>
      </c>
      <c r="R20" s="1" t="s">
        <v>49</v>
      </c>
      <c r="S20" s="1">
        <v>0.67</v>
      </c>
      <c r="U20" s="2" t="s">
        <v>5</v>
      </c>
      <c r="V20" s="1" t="s">
        <v>49</v>
      </c>
      <c r="W20" s="1" t="s">
        <v>49</v>
      </c>
      <c r="X20" s="1">
        <v>0.28999999999999998</v>
      </c>
      <c r="Z20" s="2" t="s">
        <v>5</v>
      </c>
      <c r="AA20" s="1" t="s">
        <v>49</v>
      </c>
      <c r="AB20" s="1" t="s">
        <v>49</v>
      </c>
      <c r="AC20" s="1">
        <v>0</v>
      </c>
      <c r="AE20" s="2" t="s">
        <v>5</v>
      </c>
      <c r="AF20" s="1" t="s">
        <v>49</v>
      </c>
      <c r="AG20" s="1" t="s">
        <v>49</v>
      </c>
      <c r="AH20" s="1">
        <v>0.71</v>
      </c>
      <c r="AJ20" s="2" t="s">
        <v>5</v>
      </c>
      <c r="AK20" s="1" t="s">
        <v>49</v>
      </c>
      <c r="AL20" s="1" t="s">
        <v>49</v>
      </c>
      <c r="AM20" s="1">
        <v>0.26</v>
      </c>
      <c r="AO20" s="2" t="s">
        <v>5</v>
      </c>
      <c r="AP20" s="1" t="s">
        <v>49</v>
      </c>
      <c r="AQ20" s="1" t="s">
        <v>49</v>
      </c>
      <c r="AR20" s="1">
        <v>0</v>
      </c>
      <c r="AT20" s="2" t="s">
        <v>5</v>
      </c>
      <c r="AU20" s="1" t="s">
        <v>49</v>
      </c>
      <c r="AV20" s="1" t="s">
        <v>49</v>
      </c>
      <c r="AW20" s="1">
        <v>0.74</v>
      </c>
      <c r="AY20" s="2" t="s">
        <v>5</v>
      </c>
      <c r="AZ20" s="1" t="s">
        <v>49</v>
      </c>
      <c r="BA20" s="1" t="s">
        <v>49</v>
      </c>
      <c r="BB20" s="1">
        <v>0.24</v>
      </c>
      <c r="BD20" s="2" t="s">
        <v>5</v>
      </c>
      <c r="BE20" s="1" t="s">
        <v>49</v>
      </c>
      <c r="BF20" s="1" t="s">
        <v>49</v>
      </c>
      <c r="BG20" s="1">
        <v>0</v>
      </c>
      <c r="BJ20" s="16" t="s">
        <v>38</v>
      </c>
      <c r="BK20" s="42">
        <f>V53</f>
        <v>0.27</v>
      </c>
      <c r="BL20" s="24">
        <f>W53</f>
        <v>0.20000000000000004</v>
      </c>
      <c r="BM20" s="43">
        <f>X53</f>
        <v>8.666666666666667E-2</v>
      </c>
      <c r="BN20" s="42">
        <f>AK53</f>
        <v>0.25</v>
      </c>
      <c r="BO20" s="24">
        <f>AL53</f>
        <v>0.18333333333333335</v>
      </c>
      <c r="BP20" s="43">
        <f>AM53</f>
        <v>7.6666666666666661E-2</v>
      </c>
      <c r="BQ20" s="42">
        <f>AZ53</f>
        <v>0.23499999999999999</v>
      </c>
      <c r="BR20" s="24">
        <f>BA53</f>
        <v>0.17333333333333334</v>
      </c>
      <c r="BS20" s="43">
        <f>BB53</f>
        <v>7.333333333333332E-2</v>
      </c>
    </row>
    <row r="21" spans="5:71">
      <c r="E21" s="2" t="s">
        <v>4</v>
      </c>
      <c r="F21" s="1">
        <v>0</v>
      </c>
      <c r="G21" s="1">
        <v>8</v>
      </c>
      <c r="H21" s="1">
        <v>23</v>
      </c>
      <c r="J21" s="2" t="s">
        <v>4</v>
      </c>
      <c r="K21" s="1">
        <v>1000</v>
      </c>
      <c r="L21" s="7">
        <f>C11</f>
        <v>1000</v>
      </c>
      <c r="M21" s="7">
        <f>L21*1</f>
        <v>1000</v>
      </c>
      <c r="P21" s="3" t="s">
        <v>137</v>
      </c>
      <c r="Q21" s="6">
        <f>AVERAGE(Q17:Q20)</f>
        <v>1.665</v>
      </c>
      <c r="R21" s="6">
        <f>AVERAGE(R17:R20)</f>
        <v>1.3766666666666667</v>
      </c>
      <c r="S21" s="6">
        <f>AVERAGE(S17:S20)</f>
        <v>0.84666666666666668</v>
      </c>
      <c r="U21" s="3" t="s">
        <v>137</v>
      </c>
      <c r="V21" s="6">
        <f>AVERAGE(V17:V20)</f>
        <v>0.80499999999999994</v>
      </c>
      <c r="W21" s="6">
        <f>AVERAGE(W17:W20)</f>
        <v>0.63</v>
      </c>
      <c r="X21" s="6">
        <f>AVERAGE(X17:X20)</f>
        <v>0.38666666666666666</v>
      </c>
      <c r="Z21" s="3" t="s">
        <v>137</v>
      </c>
      <c r="AA21" s="6">
        <f>AVERAGE(AA17:AA20)</f>
        <v>0</v>
      </c>
      <c r="AB21" s="6">
        <f>AVERAGE(AB17:AB20)</f>
        <v>0</v>
      </c>
      <c r="AC21" s="6">
        <f>AVERAGE(AC17:AC20)</f>
        <v>0</v>
      </c>
      <c r="AE21" s="3" t="s">
        <v>137</v>
      </c>
      <c r="AF21" s="6">
        <f>AVERAGE(AF17:AF20)</f>
        <v>1.7200000000000002</v>
      </c>
      <c r="AG21" s="6">
        <f>AVERAGE(AG17:AG20)</f>
        <v>1.42</v>
      </c>
      <c r="AH21" s="6">
        <f>AVERAGE(AH17:AH20)</f>
        <v>0.87333333333333341</v>
      </c>
      <c r="AJ21" s="3" t="s">
        <v>137</v>
      </c>
      <c r="AK21" s="6">
        <f>AVERAGE(AK17:AK20)</f>
        <v>0.74</v>
      </c>
      <c r="AL21" s="6">
        <f>AVERAGE(AL17:AL20)</f>
        <v>0.56999999999999995</v>
      </c>
      <c r="AM21" s="6">
        <f>AVERAGE(AM17:AM20)</f>
        <v>0.34333333333333332</v>
      </c>
      <c r="AO21" s="3" t="s">
        <v>137</v>
      </c>
      <c r="AP21" s="6">
        <f>AVERAGE(AP17:AP20)</f>
        <v>0</v>
      </c>
      <c r="AQ21" s="6">
        <f>AVERAGE(AQ17:AQ20)</f>
        <v>0</v>
      </c>
      <c r="AR21" s="6">
        <f>AVERAGE(AR17:AR20)</f>
        <v>0</v>
      </c>
      <c r="AT21" s="3" t="s">
        <v>137</v>
      </c>
      <c r="AU21" s="6">
        <f>AVERAGE(AU17:AU20)</f>
        <v>1.7850000000000001</v>
      </c>
      <c r="AV21" s="6">
        <f>AVERAGE(AV17:AV20)</f>
        <v>1.4733333333333334</v>
      </c>
      <c r="AW21" s="6">
        <f>AVERAGE(AW17:AW20)</f>
        <v>0.9</v>
      </c>
      <c r="AY21" s="3" t="s">
        <v>137</v>
      </c>
      <c r="AZ21" s="6">
        <f>AVERAGE(AZ17:AZ20)</f>
        <v>0.69</v>
      </c>
      <c r="BA21" s="6">
        <f>AVERAGE(BA17:BA20)</f>
        <v>0.52666666666666662</v>
      </c>
      <c r="BB21" s="6">
        <f>AVERAGE(BB17:BB20)</f>
        <v>0.31</v>
      </c>
      <c r="BD21" s="3" t="s">
        <v>137</v>
      </c>
      <c r="BE21" s="6">
        <f>AVERAGE(BE17:BE20)</f>
        <v>0</v>
      </c>
      <c r="BF21" s="6">
        <f>AVERAGE(BF17:BF20)</f>
        <v>0</v>
      </c>
      <c r="BG21" s="6">
        <f>AVERAGE(BG17:BG20)</f>
        <v>0</v>
      </c>
      <c r="BJ21" s="16" t="s">
        <v>39</v>
      </c>
      <c r="BK21" s="42">
        <f>V61</f>
        <v>51.1748502994012</v>
      </c>
      <c r="BL21" s="24">
        <f>W61</f>
        <v>49.256686626746507</v>
      </c>
      <c r="BM21" s="43">
        <f>X61</f>
        <v>46.636726546906182</v>
      </c>
      <c r="BN21" s="42">
        <f>AK61</f>
        <v>47.111976047904193</v>
      </c>
      <c r="BO21" s="24">
        <f>AL61</f>
        <v>45.114171656686629</v>
      </c>
      <c r="BP21" s="43">
        <f>AM61</f>
        <v>42.399201596806385</v>
      </c>
      <c r="BQ21" s="42">
        <f>AZ61</f>
        <v>43.32754491017964</v>
      </c>
      <c r="BR21" s="24">
        <f>BA61</f>
        <v>41.184031936127745</v>
      </c>
      <c r="BS21" s="43">
        <f>BB61</f>
        <v>38.257884231536927</v>
      </c>
    </row>
    <row r="22" spans="5:71">
      <c r="E22" s="2" t="s">
        <v>5</v>
      </c>
      <c r="F22" s="1">
        <v>0</v>
      </c>
      <c r="G22" s="1">
        <v>0</v>
      </c>
      <c r="H22" s="1">
        <v>11</v>
      </c>
      <c r="BJ22" s="16" t="s">
        <v>40</v>
      </c>
      <c r="BK22" s="42">
        <f>V69</f>
        <v>1.3485</v>
      </c>
      <c r="BL22" s="24">
        <f>W69</f>
        <v>1.2979441766666666</v>
      </c>
      <c r="BM22" s="43">
        <f>X69</f>
        <v>1.2286313866666665</v>
      </c>
      <c r="BN22" s="42">
        <f>AK69</f>
        <v>1.242</v>
      </c>
      <c r="BO22" s="24">
        <f>AL69</f>
        <v>1.1890000000000001</v>
      </c>
      <c r="BP22" s="43">
        <f>AM69</f>
        <v>1.117</v>
      </c>
      <c r="BQ22" s="42">
        <f>AZ69</f>
        <v>1.1425000000000001</v>
      </c>
      <c r="BR22" s="24">
        <f>BA69</f>
        <v>1.0856666666666668</v>
      </c>
      <c r="BS22" s="43">
        <f>BB69</f>
        <v>1.008</v>
      </c>
    </row>
    <row r="23" spans="5:71" ht="15" thickBot="1">
      <c r="J23" s="48" t="s">
        <v>21</v>
      </c>
      <c r="K23" s="49"/>
      <c r="L23" s="49"/>
      <c r="M23" s="50"/>
      <c r="P23" s="47" t="s">
        <v>64</v>
      </c>
      <c r="Q23" s="47"/>
      <c r="R23" s="47"/>
      <c r="S23" s="47"/>
      <c r="U23" s="47" t="s">
        <v>74</v>
      </c>
      <c r="V23" s="47"/>
      <c r="W23" s="47"/>
      <c r="X23" s="47"/>
      <c r="Z23" s="47" t="s">
        <v>54</v>
      </c>
      <c r="AA23" s="47"/>
      <c r="AB23" s="47"/>
      <c r="AC23" s="47"/>
      <c r="AE23" s="47" t="s">
        <v>64</v>
      </c>
      <c r="AF23" s="47"/>
      <c r="AG23" s="47"/>
      <c r="AH23" s="47"/>
      <c r="AJ23" s="47" t="s">
        <v>74</v>
      </c>
      <c r="AK23" s="47"/>
      <c r="AL23" s="47"/>
      <c r="AM23" s="47"/>
      <c r="AO23" s="47" t="s">
        <v>54</v>
      </c>
      <c r="AP23" s="47"/>
      <c r="AQ23" s="47"/>
      <c r="AR23" s="47"/>
      <c r="AT23" s="47" t="s">
        <v>64</v>
      </c>
      <c r="AU23" s="47"/>
      <c r="AV23" s="47"/>
      <c r="AW23" s="47"/>
      <c r="AY23" s="47" t="s">
        <v>74</v>
      </c>
      <c r="AZ23" s="47"/>
      <c r="BA23" s="47"/>
      <c r="BB23" s="47"/>
      <c r="BD23" s="47" t="s">
        <v>54</v>
      </c>
      <c r="BE23" s="47"/>
      <c r="BF23" s="47"/>
      <c r="BG23" s="47"/>
      <c r="BJ23" s="17" t="s">
        <v>41</v>
      </c>
      <c r="BK23" s="44">
        <f>T78</f>
        <v>0.38</v>
      </c>
      <c r="BL23" s="45">
        <f>U78</f>
        <v>0.3666666666666667</v>
      </c>
      <c r="BM23" s="46">
        <f>V78</f>
        <v>0.36000000000000004</v>
      </c>
      <c r="BN23" s="44">
        <f>AI78</f>
        <v>0.35499999999999998</v>
      </c>
      <c r="BO23" s="45">
        <f>AJ78</f>
        <v>0.34</v>
      </c>
      <c r="BP23" s="46">
        <f>AK78</f>
        <v>0.32666666666666666</v>
      </c>
      <c r="BQ23" s="44">
        <f>AX78</f>
        <v>0.32499999999999996</v>
      </c>
      <c r="BR23" s="45">
        <f>AY78</f>
        <v>0.31</v>
      </c>
      <c r="BS23" s="46">
        <f>AZ78</f>
        <v>0.29333333333333339</v>
      </c>
    </row>
    <row r="24" spans="5:71" ht="15" thickBot="1">
      <c r="J24" s="2"/>
      <c r="K24" s="2" t="s">
        <v>16</v>
      </c>
      <c r="L24" s="2" t="s">
        <v>17</v>
      </c>
      <c r="M24" s="2" t="s">
        <v>18</v>
      </c>
      <c r="P24" s="2"/>
      <c r="Q24" s="2">
        <v>2000</v>
      </c>
      <c r="R24" s="2">
        <v>2007</v>
      </c>
      <c r="S24" s="2">
        <v>2015</v>
      </c>
      <c r="U24" s="2"/>
      <c r="V24" s="2">
        <v>2000</v>
      </c>
      <c r="W24" s="2">
        <v>2007</v>
      </c>
      <c r="X24" s="2">
        <v>2015</v>
      </c>
      <c r="Z24" s="2"/>
      <c r="AA24" s="2">
        <v>2000</v>
      </c>
      <c r="AB24" s="2">
        <v>2007</v>
      </c>
      <c r="AC24" s="2">
        <v>2015</v>
      </c>
      <c r="AE24" s="2"/>
      <c r="AF24" s="2">
        <v>2000</v>
      </c>
      <c r="AG24" s="2">
        <v>2007</v>
      </c>
      <c r="AH24" s="2">
        <v>2015</v>
      </c>
      <c r="AJ24" s="2"/>
      <c r="AK24" s="2">
        <v>2000</v>
      </c>
      <c r="AL24" s="2">
        <v>2007</v>
      </c>
      <c r="AM24" s="2">
        <v>2015</v>
      </c>
      <c r="AO24" s="2"/>
      <c r="AP24" s="2">
        <v>2000</v>
      </c>
      <c r="AQ24" s="2">
        <v>2007</v>
      </c>
      <c r="AR24" s="2">
        <v>2015</v>
      </c>
      <c r="AT24" s="2"/>
      <c r="AU24" s="2">
        <v>2000</v>
      </c>
      <c r="AV24" s="2">
        <v>2007</v>
      </c>
      <c r="AW24" s="2">
        <v>2015</v>
      </c>
      <c r="AY24" s="2"/>
      <c r="AZ24" s="2">
        <v>2000</v>
      </c>
      <c r="BA24" s="2">
        <v>2007</v>
      </c>
      <c r="BB24" s="2">
        <v>2015</v>
      </c>
      <c r="BD24" s="2"/>
      <c r="BE24" s="2">
        <v>2000</v>
      </c>
      <c r="BF24" s="2">
        <v>2007</v>
      </c>
      <c r="BG24" s="2">
        <v>2015</v>
      </c>
      <c r="BJ24" s="20"/>
      <c r="BK24" s="21"/>
      <c r="BL24" s="22"/>
      <c r="BM24" s="23"/>
      <c r="BN24" s="21"/>
      <c r="BO24" s="22"/>
      <c r="BP24" s="23"/>
      <c r="BQ24" s="21"/>
      <c r="BR24" s="22"/>
      <c r="BS24" s="23"/>
    </row>
    <row r="25" spans="5:71">
      <c r="J25" s="2" t="s">
        <v>3</v>
      </c>
      <c r="K25" s="1">
        <v>1000</v>
      </c>
      <c r="L25" s="7">
        <f>C11</f>
        <v>1000</v>
      </c>
      <c r="M25" s="7">
        <f>L25*15</f>
        <v>15000</v>
      </c>
      <c r="P25" s="2" t="s">
        <v>6</v>
      </c>
      <c r="Q25" s="1">
        <v>2.2000000000000002</v>
      </c>
      <c r="R25" s="1">
        <v>2.29</v>
      </c>
      <c r="S25" s="1" t="s">
        <v>49</v>
      </c>
      <c r="U25" s="2" t="s">
        <v>6</v>
      </c>
      <c r="V25" s="1">
        <v>1.08</v>
      </c>
      <c r="W25" s="1">
        <v>1.07</v>
      </c>
      <c r="X25" s="1" t="s">
        <v>49</v>
      </c>
      <c r="Z25" s="2" t="s">
        <v>6</v>
      </c>
      <c r="AA25" s="1">
        <v>1.41</v>
      </c>
      <c r="AB25" s="1">
        <v>1.41</v>
      </c>
      <c r="AC25" s="1" t="s">
        <v>49</v>
      </c>
      <c r="AE25" s="2" t="s">
        <v>6</v>
      </c>
      <c r="AF25" s="1">
        <v>2.2999999999999998</v>
      </c>
      <c r="AG25" s="1">
        <v>2.39</v>
      </c>
      <c r="AH25" s="1" t="s">
        <v>49</v>
      </c>
      <c r="AJ25" s="2" t="s">
        <v>6</v>
      </c>
      <c r="AK25" s="1">
        <v>1</v>
      </c>
      <c r="AL25" s="1">
        <v>0.99</v>
      </c>
      <c r="AM25" s="1" t="s">
        <v>49</v>
      </c>
      <c r="AO25" s="2" t="s">
        <v>6</v>
      </c>
      <c r="AP25" s="1">
        <v>1.1000000000000001</v>
      </c>
      <c r="AQ25" s="1">
        <v>1.1000000000000001</v>
      </c>
      <c r="AR25" s="1" t="s">
        <v>49</v>
      </c>
      <c r="AT25" s="2" t="s">
        <v>6</v>
      </c>
      <c r="AU25" s="1">
        <v>2.4</v>
      </c>
      <c r="AV25" s="1">
        <v>2.5</v>
      </c>
      <c r="AW25" s="1" t="s">
        <v>49</v>
      </c>
      <c r="AY25" s="2" t="s">
        <v>6</v>
      </c>
      <c r="AZ25" s="1">
        <v>0.93</v>
      </c>
      <c r="BA25" s="1">
        <v>0.91</v>
      </c>
      <c r="BB25" s="1" t="s">
        <v>49</v>
      </c>
      <c r="BD25" s="2" t="s">
        <v>6</v>
      </c>
      <c r="BE25" s="1">
        <v>0.79</v>
      </c>
      <c r="BF25" s="1">
        <v>0.79</v>
      </c>
      <c r="BG25" s="1" t="s">
        <v>49</v>
      </c>
      <c r="BJ25" s="19" t="s">
        <v>42</v>
      </c>
      <c r="BK25" s="33">
        <f>AA13</f>
        <v>0.19</v>
      </c>
      <c r="BL25" s="34">
        <f>AB13</f>
        <v>0.19000000000000003</v>
      </c>
      <c r="BM25" s="35">
        <f>AC13</f>
        <v>0.19000000000000003</v>
      </c>
      <c r="BN25" s="33">
        <f>AP13</f>
        <v>0.15</v>
      </c>
      <c r="BO25" s="34">
        <f>AQ13</f>
        <v>0.15</v>
      </c>
      <c r="BP25" s="35">
        <f>AR13</f>
        <v>0.15</v>
      </c>
      <c r="BQ25" s="33">
        <f>BE13</f>
        <v>0.11499999999999999</v>
      </c>
      <c r="BR25" s="34">
        <f>BF13</f>
        <v>0.11333333333333333</v>
      </c>
      <c r="BS25" s="35">
        <f>BG13</f>
        <v>0.11</v>
      </c>
    </row>
    <row r="26" spans="5:71">
      <c r="J26" s="2" t="s">
        <v>4</v>
      </c>
      <c r="K26" s="1">
        <v>1000</v>
      </c>
      <c r="L26" s="7">
        <f>C11</f>
        <v>1000</v>
      </c>
      <c r="M26" s="7">
        <f>L26*8</f>
        <v>8000</v>
      </c>
      <c r="P26" s="2" t="s">
        <v>3</v>
      </c>
      <c r="Q26" s="1">
        <v>0.78</v>
      </c>
      <c r="R26" s="1">
        <v>0.82</v>
      </c>
      <c r="S26" s="1">
        <v>0.94</v>
      </c>
      <c r="U26" s="2" t="s">
        <v>3</v>
      </c>
      <c r="V26" s="1">
        <v>0.62</v>
      </c>
      <c r="W26" s="1">
        <v>0.62</v>
      </c>
      <c r="X26" s="1">
        <v>0.62</v>
      </c>
      <c r="Z26" s="2" t="s">
        <v>3</v>
      </c>
      <c r="AA26" s="1">
        <v>1.41</v>
      </c>
      <c r="AB26" s="1">
        <v>1.41</v>
      </c>
      <c r="AC26" s="1">
        <v>1.41</v>
      </c>
      <c r="AE26" s="2" t="s">
        <v>3</v>
      </c>
      <c r="AF26" s="1">
        <v>0.79</v>
      </c>
      <c r="AG26" s="1">
        <v>0.83</v>
      </c>
      <c r="AH26" s="1">
        <v>0.96</v>
      </c>
      <c r="AJ26" s="2" t="s">
        <v>3</v>
      </c>
      <c r="AK26" s="1">
        <v>0.55000000000000004</v>
      </c>
      <c r="AL26" s="1">
        <v>0.55000000000000004</v>
      </c>
      <c r="AM26" s="1">
        <v>0.55000000000000004</v>
      </c>
      <c r="AO26" s="2" t="s">
        <v>3</v>
      </c>
      <c r="AP26" s="1">
        <v>1.1000000000000001</v>
      </c>
      <c r="AQ26" s="1">
        <v>1.1000000000000001</v>
      </c>
      <c r="AR26" s="1">
        <v>1.1000000000000001</v>
      </c>
      <c r="AT26" s="2" t="s">
        <v>3</v>
      </c>
      <c r="AU26" s="1">
        <v>0.81</v>
      </c>
      <c r="AV26" s="1">
        <v>0.85</v>
      </c>
      <c r="AW26" s="1">
        <v>0.98</v>
      </c>
      <c r="AY26" s="2" t="s">
        <v>3</v>
      </c>
      <c r="AZ26" s="1">
        <v>0.51</v>
      </c>
      <c r="BA26" s="1">
        <v>0.5</v>
      </c>
      <c r="BB26" s="1">
        <v>0.5</v>
      </c>
      <c r="BD26" s="2" t="s">
        <v>3</v>
      </c>
      <c r="BE26" s="1">
        <v>0.79</v>
      </c>
      <c r="BF26" s="1">
        <v>0.79</v>
      </c>
      <c r="BG26" s="1">
        <v>0.79</v>
      </c>
      <c r="BJ26" s="16" t="s">
        <v>43</v>
      </c>
      <c r="BK26" s="9">
        <f>AA21</f>
        <v>0</v>
      </c>
      <c r="BL26" s="1">
        <f>AB21</f>
        <v>0</v>
      </c>
      <c r="BM26" s="10">
        <f>AC21</f>
        <v>0</v>
      </c>
      <c r="BN26" s="9">
        <f>AP21</f>
        <v>0</v>
      </c>
      <c r="BO26" s="1">
        <f>AQ21</f>
        <v>0</v>
      </c>
      <c r="BP26" s="10">
        <f>AR21</f>
        <v>0</v>
      </c>
      <c r="BQ26" s="9">
        <f>BE21</f>
        <v>0</v>
      </c>
      <c r="BR26" s="1">
        <f>BF21</f>
        <v>0</v>
      </c>
      <c r="BS26" s="10">
        <f>BG21</f>
        <v>0</v>
      </c>
    </row>
    <row r="27" spans="5:71">
      <c r="J27" s="2" t="s">
        <v>5</v>
      </c>
      <c r="K27" s="1">
        <v>1000</v>
      </c>
      <c r="L27" s="7">
        <f>C11</f>
        <v>1000</v>
      </c>
      <c r="M27" s="7">
        <f>L27*5</f>
        <v>5000</v>
      </c>
      <c r="P27" s="2" t="s">
        <v>4</v>
      </c>
      <c r="Q27" s="1" t="s">
        <v>49</v>
      </c>
      <c r="R27" s="1">
        <v>0.55000000000000004</v>
      </c>
      <c r="S27" s="1">
        <v>0.64</v>
      </c>
      <c r="U27" s="2" t="s">
        <v>4</v>
      </c>
      <c r="V27" s="1" t="s">
        <v>49</v>
      </c>
      <c r="W27" s="1">
        <v>0.35</v>
      </c>
      <c r="X27" s="1">
        <v>0.35</v>
      </c>
      <c r="Z27" s="2" t="s">
        <v>4</v>
      </c>
      <c r="AA27" s="1" t="s">
        <v>49</v>
      </c>
      <c r="AB27" s="1">
        <v>1.41</v>
      </c>
      <c r="AC27" s="1">
        <v>1.41</v>
      </c>
      <c r="AE27" s="2" t="s">
        <v>4</v>
      </c>
      <c r="AF27" s="1" t="s">
        <v>49</v>
      </c>
      <c r="AG27" s="1">
        <v>0.57999999999999996</v>
      </c>
      <c r="AH27" s="1">
        <v>0.67</v>
      </c>
      <c r="AJ27" s="2" t="s">
        <v>4</v>
      </c>
      <c r="AK27" s="1" t="s">
        <v>49</v>
      </c>
      <c r="AL27" s="1">
        <v>0.28999999999999998</v>
      </c>
      <c r="AM27" s="1">
        <v>0.28999999999999998</v>
      </c>
      <c r="AO27" s="2" t="s">
        <v>4</v>
      </c>
      <c r="AP27" s="1" t="s">
        <v>49</v>
      </c>
      <c r="AQ27" s="1">
        <v>1.1000000000000001</v>
      </c>
      <c r="AR27" s="1">
        <v>1.1000000000000001</v>
      </c>
      <c r="AT27" s="2" t="s">
        <v>4</v>
      </c>
      <c r="AU27" s="1" t="s">
        <v>49</v>
      </c>
      <c r="AV27" s="1">
        <v>0.6</v>
      </c>
      <c r="AW27" s="1">
        <v>0.69</v>
      </c>
      <c r="AY27" s="2" t="s">
        <v>4</v>
      </c>
      <c r="AZ27" s="1" t="s">
        <v>49</v>
      </c>
      <c r="BA27" s="1">
        <v>0.24</v>
      </c>
      <c r="BB27" s="1">
        <v>0.24</v>
      </c>
      <c r="BD27" s="2" t="s">
        <v>4</v>
      </c>
      <c r="BE27" s="1" t="s">
        <v>49</v>
      </c>
      <c r="BF27" s="1">
        <v>0.79</v>
      </c>
      <c r="BG27" s="1">
        <v>0.79</v>
      </c>
      <c r="BJ27" s="16" t="s">
        <v>44</v>
      </c>
      <c r="BK27" s="27">
        <f>AA29</f>
        <v>1.41</v>
      </c>
      <c r="BL27" s="6">
        <f>AB29</f>
        <v>1.41</v>
      </c>
      <c r="BM27" s="28">
        <f>AC29</f>
        <v>1.41</v>
      </c>
      <c r="BN27" s="27">
        <f>AP29</f>
        <v>1.1000000000000001</v>
      </c>
      <c r="BO27" s="6">
        <f>AQ29</f>
        <v>1.1000000000000001</v>
      </c>
      <c r="BP27" s="28">
        <f>AR29</f>
        <v>1.1000000000000001</v>
      </c>
      <c r="BQ27" s="27">
        <f>BE29</f>
        <v>0.79</v>
      </c>
      <c r="BR27" s="6">
        <f>BF29</f>
        <v>0.79</v>
      </c>
      <c r="BS27" s="28">
        <f>BG29</f>
        <v>0.79</v>
      </c>
    </row>
    <row r="28" spans="5:71">
      <c r="P28" s="2" t="s">
        <v>5</v>
      </c>
      <c r="Q28" s="1" t="s">
        <v>49</v>
      </c>
      <c r="R28" s="1" t="s">
        <v>49</v>
      </c>
      <c r="S28" s="1">
        <v>0.56999999999999995</v>
      </c>
      <c r="U28" s="2" t="s">
        <v>5</v>
      </c>
      <c r="V28" s="1" t="s">
        <v>49</v>
      </c>
      <c r="W28" s="1" t="s">
        <v>49</v>
      </c>
      <c r="X28" s="1">
        <v>0.34</v>
      </c>
      <c r="Z28" s="2" t="s">
        <v>5</v>
      </c>
      <c r="AA28" s="1" t="s">
        <v>49</v>
      </c>
      <c r="AB28" s="1" t="s">
        <v>49</v>
      </c>
      <c r="AC28" s="1">
        <v>1.41</v>
      </c>
      <c r="AE28" s="2" t="s">
        <v>5</v>
      </c>
      <c r="AF28" s="1" t="s">
        <v>49</v>
      </c>
      <c r="AG28" s="1" t="s">
        <v>49</v>
      </c>
      <c r="AH28" s="1">
        <v>0.61</v>
      </c>
      <c r="AJ28" s="2" t="s">
        <v>5</v>
      </c>
      <c r="AK28" s="1" t="s">
        <v>49</v>
      </c>
      <c r="AL28" s="1" t="s">
        <v>49</v>
      </c>
      <c r="AM28" s="1">
        <v>0.28999999999999998</v>
      </c>
      <c r="AO28" s="2" t="s">
        <v>5</v>
      </c>
      <c r="AP28" s="1" t="s">
        <v>49</v>
      </c>
      <c r="AQ28" s="1" t="s">
        <v>49</v>
      </c>
      <c r="AR28" s="1">
        <v>1.1000000000000001</v>
      </c>
      <c r="AT28" s="2" t="s">
        <v>5</v>
      </c>
      <c r="AU28" s="1" t="s">
        <v>49</v>
      </c>
      <c r="AV28" s="1" t="s">
        <v>49</v>
      </c>
      <c r="AW28" s="1">
        <v>0.63</v>
      </c>
      <c r="AY28" s="2" t="s">
        <v>5</v>
      </c>
      <c r="AZ28" s="1" t="s">
        <v>49</v>
      </c>
      <c r="BA28" s="1" t="s">
        <v>49</v>
      </c>
      <c r="BB28" s="1">
        <v>0.27</v>
      </c>
      <c r="BD28" s="2" t="s">
        <v>5</v>
      </c>
      <c r="BE28" s="1" t="s">
        <v>49</v>
      </c>
      <c r="BF28" s="1" t="s">
        <v>49</v>
      </c>
      <c r="BG28" s="1">
        <v>0.79</v>
      </c>
      <c r="BJ28" s="16" t="s">
        <v>45</v>
      </c>
      <c r="BK28" s="9">
        <f>AA37</f>
        <v>0.01</v>
      </c>
      <c r="BL28" s="1">
        <f>AB37</f>
        <v>0.01</v>
      </c>
      <c r="BM28" s="10">
        <f>AC37</f>
        <v>0.01</v>
      </c>
      <c r="BN28" s="9">
        <f>AP37</f>
        <v>0.01</v>
      </c>
      <c r="BO28" s="1">
        <f>AQ37</f>
        <v>0.01</v>
      </c>
      <c r="BP28" s="10">
        <f>AR37</f>
        <v>0.01</v>
      </c>
      <c r="BQ28" s="9">
        <f>BE37</f>
        <v>0.01</v>
      </c>
      <c r="BR28" s="1">
        <f>BF37</f>
        <v>0.01</v>
      </c>
      <c r="BS28" s="10">
        <f>BG37</f>
        <v>0.01</v>
      </c>
    </row>
    <row r="29" spans="5:71">
      <c r="P29" s="3" t="s">
        <v>137</v>
      </c>
      <c r="Q29" s="6">
        <f>AVERAGE(Q25:Q28)</f>
        <v>1.4900000000000002</v>
      </c>
      <c r="R29" s="6">
        <f>AVERAGE(R25:R28)</f>
        <v>1.22</v>
      </c>
      <c r="S29" s="6">
        <f>AVERAGE(S25:S28)</f>
        <v>0.71666666666666667</v>
      </c>
      <c r="U29" s="3" t="s">
        <v>137</v>
      </c>
      <c r="V29" s="6">
        <f>AVERAGE(V25:V28)</f>
        <v>0.85000000000000009</v>
      </c>
      <c r="W29" s="6">
        <f>AVERAGE(W25:W28)</f>
        <v>0.68</v>
      </c>
      <c r="X29" s="6">
        <f>AVERAGE(X25:X28)</f>
        <v>0.4366666666666667</v>
      </c>
      <c r="Z29" s="3" t="s">
        <v>137</v>
      </c>
      <c r="AA29" s="6">
        <f>AVERAGE(AA25:AA28)</f>
        <v>1.41</v>
      </c>
      <c r="AB29" s="6">
        <f>AVERAGE(AB25:AB28)</f>
        <v>1.41</v>
      </c>
      <c r="AC29" s="6">
        <f>AVERAGE(AC25:AC28)</f>
        <v>1.41</v>
      </c>
      <c r="AE29" s="3" t="s">
        <v>137</v>
      </c>
      <c r="AF29" s="6">
        <f>AVERAGE(AF25:AF28)</f>
        <v>1.5449999999999999</v>
      </c>
      <c r="AG29" s="6">
        <f>AVERAGE(AG25:AG28)</f>
        <v>1.2666666666666668</v>
      </c>
      <c r="AH29" s="6">
        <f>AVERAGE(AH25:AH28)</f>
        <v>0.74666666666666659</v>
      </c>
      <c r="AJ29" s="3" t="s">
        <v>137</v>
      </c>
      <c r="AK29" s="6">
        <f>AVERAGE(AK25:AK28)</f>
        <v>0.77500000000000002</v>
      </c>
      <c r="AL29" s="6">
        <f>AVERAGE(AL25:AL28)</f>
        <v>0.61</v>
      </c>
      <c r="AM29" s="6">
        <f>AVERAGE(AM25:AM28)</f>
        <v>0.37666666666666671</v>
      </c>
      <c r="AO29" s="3" t="s">
        <v>137</v>
      </c>
      <c r="AP29" s="6">
        <f>AVERAGE(AP25:AP28)</f>
        <v>1.1000000000000001</v>
      </c>
      <c r="AQ29" s="6">
        <f>AVERAGE(AQ25:AQ28)</f>
        <v>1.1000000000000001</v>
      </c>
      <c r="AR29" s="6">
        <f>AVERAGE(AR25:AR28)</f>
        <v>1.1000000000000001</v>
      </c>
      <c r="AT29" s="3" t="s">
        <v>137</v>
      </c>
      <c r="AU29" s="6">
        <f>AVERAGE(AU25:AU28)</f>
        <v>1.605</v>
      </c>
      <c r="AV29" s="6">
        <f>AVERAGE(AV25:AV28)</f>
        <v>1.3166666666666667</v>
      </c>
      <c r="AW29" s="6">
        <f>AVERAGE(AW25:AW28)</f>
        <v>0.76666666666666661</v>
      </c>
      <c r="AY29" s="3" t="s">
        <v>137</v>
      </c>
      <c r="AZ29" s="6">
        <f>AVERAGE(AZ25:AZ28)</f>
        <v>0.72</v>
      </c>
      <c r="BA29" s="6">
        <f>AVERAGE(BA25:BA28)</f>
        <v>0.55000000000000004</v>
      </c>
      <c r="BB29" s="6">
        <f>AVERAGE(BB25:BB28)</f>
        <v>0.33666666666666667</v>
      </c>
      <c r="BD29" s="3" t="s">
        <v>137</v>
      </c>
      <c r="BE29" s="6">
        <f>AVERAGE(BE25:BE28)</f>
        <v>0.79</v>
      </c>
      <c r="BF29" s="6">
        <f>AVERAGE(BF25:BF28)</f>
        <v>0.79</v>
      </c>
      <c r="BG29" s="6">
        <f>AVERAGE(BG25:BG28)</f>
        <v>0.79</v>
      </c>
      <c r="BJ29" s="16" t="s">
        <v>46</v>
      </c>
      <c r="BK29" s="9">
        <f>AA45</f>
        <v>0</v>
      </c>
      <c r="BL29" s="1">
        <f>AB45</f>
        <v>0</v>
      </c>
      <c r="BM29" s="10">
        <f>AC45</f>
        <v>0</v>
      </c>
      <c r="BN29" s="9">
        <f>AP45</f>
        <v>0</v>
      </c>
      <c r="BO29" s="1">
        <f>AQ45</f>
        <v>0</v>
      </c>
      <c r="BP29" s="10">
        <f>AR45</f>
        <v>0</v>
      </c>
      <c r="BQ29" s="9">
        <f>BE45</f>
        <v>0</v>
      </c>
      <c r="BR29" s="1">
        <f>BF45</f>
        <v>0</v>
      </c>
      <c r="BS29" s="10">
        <f>BG45</f>
        <v>0</v>
      </c>
    </row>
    <row r="30" spans="5:71" ht="15" thickBot="1">
      <c r="BJ30" s="17" t="s">
        <v>47</v>
      </c>
      <c r="BK30" s="36">
        <f>AA53</f>
        <v>1.1099999999999999</v>
      </c>
      <c r="BL30" s="37">
        <f>AB53</f>
        <v>1.0833333333333333</v>
      </c>
      <c r="BM30" s="38">
        <f>AC53</f>
        <v>1.0433333333333332</v>
      </c>
      <c r="BN30" s="36">
        <f>AP53</f>
        <v>0.97</v>
      </c>
      <c r="BO30" s="37">
        <f>AQ53</f>
        <v>0.94</v>
      </c>
      <c r="BP30" s="38">
        <f>AR53</f>
        <v>0.9</v>
      </c>
      <c r="BQ30" s="36">
        <f>BE53</f>
        <v>0.82499999999999996</v>
      </c>
      <c r="BR30" s="37">
        <f>BF53</f>
        <v>0.79333333333333333</v>
      </c>
      <c r="BS30" s="38">
        <f>BG53</f>
        <v>0.7533333333333333</v>
      </c>
    </row>
    <row r="31" spans="5:71">
      <c r="P31" s="47" t="s">
        <v>65</v>
      </c>
      <c r="Q31" s="47"/>
      <c r="R31" s="47"/>
      <c r="S31" s="47"/>
      <c r="U31" s="47" t="s">
        <v>73</v>
      </c>
      <c r="V31" s="47"/>
      <c r="W31" s="47"/>
      <c r="X31" s="47"/>
      <c r="Z31" s="47" t="s">
        <v>55</v>
      </c>
      <c r="AA31" s="47"/>
      <c r="AB31" s="47"/>
      <c r="AC31" s="47"/>
      <c r="AE31" s="47" t="s">
        <v>65</v>
      </c>
      <c r="AF31" s="47"/>
      <c r="AG31" s="47"/>
      <c r="AH31" s="47"/>
      <c r="AJ31" s="47" t="s">
        <v>73</v>
      </c>
      <c r="AK31" s="47"/>
      <c r="AL31" s="47"/>
      <c r="AM31" s="47"/>
      <c r="AO31" s="47" t="s">
        <v>55</v>
      </c>
      <c r="AP31" s="47"/>
      <c r="AQ31" s="47"/>
      <c r="AR31" s="47"/>
      <c r="AT31" s="47" t="s">
        <v>65</v>
      </c>
      <c r="AU31" s="47"/>
      <c r="AV31" s="47"/>
      <c r="AW31" s="47"/>
      <c r="AY31" s="47" t="s">
        <v>73</v>
      </c>
      <c r="AZ31" s="47"/>
      <c r="BA31" s="47"/>
      <c r="BB31" s="47"/>
      <c r="BD31" s="47" t="s">
        <v>55</v>
      </c>
      <c r="BE31" s="47"/>
      <c r="BF31" s="47"/>
      <c r="BG31" s="47"/>
    </row>
    <row r="32" spans="5:71">
      <c r="P32" s="2"/>
      <c r="Q32" s="2">
        <v>2000</v>
      </c>
      <c r="R32" s="2">
        <v>2007</v>
      </c>
      <c r="S32" s="2">
        <v>2015</v>
      </c>
      <c r="U32" s="2"/>
      <c r="V32" s="2">
        <v>2000</v>
      </c>
      <c r="W32" s="2">
        <v>2007</v>
      </c>
      <c r="X32" s="2">
        <v>2015</v>
      </c>
      <c r="Z32" s="2"/>
      <c r="AA32" s="2">
        <v>2000</v>
      </c>
      <c r="AB32" s="2">
        <v>2007</v>
      </c>
      <c r="AC32" s="2">
        <v>2015</v>
      </c>
      <c r="AE32" s="2"/>
      <c r="AF32" s="2">
        <v>2000</v>
      </c>
      <c r="AG32" s="2">
        <v>2007</v>
      </c>
      <c r="AH32" s="2">
        <v>2015</v>
      </c>
      <c r="AJ32" s="2"/>
      <c r="AK32" s="2">
        <v>2000</v>
      </c>
      <c r="AL32" s="2">
        <v>2007</v>
      </c>
      <c r="AM32" s="2">
        <v>2015</v>
      </c>
      <c r="AO32" s="2"/>
      <c r="AP32" s="2">
        <v>2000</v>
      </c>
      <c r="AQ32" s="2">
        <v>2007</v>
      </c>
      <c r="AR32" s="2">
        <v>2015</v>
      </c>
      <c r="AT32" s="2"/>
      <c r="AU32" s="2">
        <v>2000</v>
      </c>
      <c r="AV32" s="2">
        <v>2007</v>
      </c>
      <c r="AW32" s="2">
        <v>2015</v>
      </c>
      <c r="AY32" s="2"/>
      <c r="AZ32" s="2">
        <v>2000</v>
      </c>
      <c r="BA32" s="2">
        <v>2007</v>
      </c>
      <c r="BB32" s="2">
        <v>2015</v>
      </c>
      <c r="BD32" s="2"/>
      <c r="BE32" s="2">
        <v>2000</v>
      </c>
      <c r="BF32" s="2">
        <v>2007</v>
      </c>
      <c r="BG32" s="2">
        <v>2015</v>
      </c>
    </row>
    <row r="33" spans="16:59">
      <c r="P33" s="2" t="s">
        <v>6</v>
      </c>
      <c r="Q33" s="1">
        <v>0.18</v>
      </c>
      <c r="R33" s="1">
        <v>0.18</v>
      </c>
      <c r="S33" s="1" t="s">
        <v>49</v>
      </c>
      <c r="U33" s="2" t="s">
        <v>6</v>
      </c>
      <c r="V33" s="1">
        <v>0.99</v>
      </c>
      <c r="W33" s="1">
        <v>0.98</v>
      </c>
      <c r="X33" s="1" t="s">
        <v>49</v>
      </c>
      <c r="Z33" s="2" t="s">
        <v>6</v>
      </c>
      <c r="AA33" s="1">
        <v>0.01</v>
      </c>
      <c r="AB33" s="1">
        <v>0.01</v>
      </c>
      <c r="AC33" s="1" t="s">
        <v>49</v>
      </c>
      <c r="AE33" s="2" t="s">
        <v>6</v>
      </c>
      <c r="AF33" s="1">
        <v>0.18</v>
      </c>
      <c r="AG33" s="1">
        <v>0.18</v>
      </c>
      <c r="AH33" s="1" t="s">
        <v>49</v>
      </c>
      <c r="AJ33" s="2" t="s">
        <v>6</v>
      </c>
      <c r="AK33" s="1">
        <v>0.93</v>
      </c>
      <c r="AL33" s="1">
        <v>0.92</v>
      </c>
      <c r="AM33" s="1" t="s">
        <v>49</v>
      </c>
      <c r="AO33" s="2" t="s">
        <v>6</v>
      </c>
      <c r="AP33" s="1">
        <v>0.01</v>
      </c>
      <c r="AQ33" s="1">
        <v>0.01</v>
      </c>
      <c r="AR33" s="1" t="s">
        <v>49</v>
      </c>
      <c r="AT33" s="2" t="s">
        <v>6</v>
      </c>
      <c r="AU33" s="1">
        <v>0.18</v>
      </c>
      <c r="AV33" s="1">
        <v>0.18</v>
      </c>
      <c r="AW33" s="1" t="s">
        <v>49</v>
      </c>
      <c r="AY33" s="2" t="s">
        <v>6</v>
      </c>
      <c r="AZ33" s="1">
        <v>0.87</v>
      </c>
      <c r="BA33" s="1">
        <v>0.86</v>
      </c>
      <c r="BB33" s="1" t="s">
        <v>49</v>
      </c>
      <c r="BD33" s="2" t="s">
        <v>6</v>
      </c>
      <c r="BE33" s="1">
        <v>0.01</v>
      </c>
      <c r="BF33" s="1">
        <v>0.01</v>
      </c>
      <c r="BG33" s="1" t="s">
        <v>49</v>
      </c>
    </row>
    <row r="34" spans="16:59">
      <c r="P34" s="2" t="s">
        <v>3</v>
      </c>
      <c r="Q34" s="1">
        <v>0.18</v>
      </c>
      <c r="R34" s="1">
        <v>0.18</v>
      </c>
      <c r="S34" s="1">
        <v>0.18</v>
      </c>
      <c r="U34" s="2" t="s">
        <v>3</v>
      </c>
      <c r="V34" s="1">
        <v>0.53</v>
      </c>
      <c r="W34" s="1">
        <v>0.52</v>
      </c>
      <c r="X34" s="1">
        <v>0.52</v>
      </c>
      <c r="Z34" s="2" t="s">
        <v>3</v>
      </c>
      <c r="AA34" s="1">
        <v>0.01</v>
      </c>
      <c r="AB34" s="1">
        <v>0.01</v>
      </c>
      <c r="AC34" s="1">
        <v>0.01</v>
      </c>
      <c r="AE34" s="2" t="s">
        <v>3</v>
      </c>
      <c r="AF34" s="1">
        <v>0.18</v>
      </c>
      <c r="AG34" s="1">
        <v>0.18</v>
      </c>
      <c r="AH34" s="1">
        <v>0.18</v>
      </c>
      <c r="AJ34" s="2" t="s">
        <v>3</v>
      </c>
      <c r="AK34" s="1">
        <v>0.48</v>
      </c>
      <c r="AL34" s="1">
        <v>0.48</v>
      </c>
      <c r="AM34" s="1">
        <v>0.48</v>
      </c>
      <c r="AO34" s="2" t="s">
        <v>3</v>
      </c>
      <c r="AP34" s="1">
        <v>0.01</v>
      </c>
      <c r="AQ34" s="1">
        <v>0.01</v>
      </c>
      <c r="AR34" s="1">
        <v>0.01</v>
      </c>
      <c r="AT34" s="2" t="s">
        <v>3</v>
      </c>
      <c r="AU34" s="1">
        <v>0.18</v>
      </c>
      <c r="AV34" s="1">
        <v>0.18</v>
      </c>
      <c r="AW34" s="1">
        <v>0.18</v>
      </c>
      <c r="AY34" s="2" t="s">
        <v>3</v>
      </c>
      <c r="AZ34" s="1">
        <v>0.45</v>
      </c>
      <c r="BA34" s="1">
        <v>0.45</v>
      </c>
      <c r="BB34" s="1">
        <v>0.45</v>
      </c>
      <c r="BD34" s="2" t="s">
        <v>3</v>
      </c>
      <c r="BE34" s="1">
        <v>0.01</v>
      </c>
      <c r="BF34" s="1">
        <v>0.01</v>
      </c>
      <c r="BG34" s="1">
        <v>0.01</v>
      </c>
    </row>
    <row r="35" spans="16:59">
      <c r="P35" s="2" t="s">
        <v>4</v>
      </c>
      <c r="Q35" s="1" t="s">
        <v>49</v>
      </c>
      <c r="R35" s="1">
        <v>0.11</v>
      </c>
      <c r="S35" s="1">
        <v>0.11</v>
      </c>
      <c r="U35" s="2" t="s">
        <v>4</v>
      </c>
      <c r="V35" s="1" t="s">
        <v>49</v>
      </c>
      <c r="W35" s="1">
        <v>0.26</v>
      </c>
      <c r="X35" s="1">
        <v>0.26</v>
      </c>
      <c r="Z35" s="2" t="s">
        <v>4</v>
      </c>
      <c r="AA35" s="1" t="s">
        <v>49</v>
      </c>
      <c r="AB35" s="1">
        <v>0.01</v>
      </c>
      <c r="AC35" s="1">
        <v>0.01</v>
      </c>
      <c r="AE35" s="2" t="s">
        <v>4</v>
      </c>
      <c r="AF35" s="1" t="s">
        <v>49</v>
      </c>
      <c r="AG35" s="1">
        <v>0.11</v>
      </c>
      <c r="AH35" s="1">
        <v>0.11</v>
      </c>
      <c r="AJ35" s="2" t="s">
        <v>4</v>
      </c>
      <c r="AK35" s="1" t="s">
        <v>49</v>
      </c>
      <c r="AL35" s="1">
        <v>0.22</v>
      </c>
      <c r="AM35" s="1">
        <v>0.22</v>
      </c>
      <c r="AO35" s="2" t="s">
        <v>4</v>
      </c>
      <c r="AP35" s="1" t="s">
        <v>49</v>
      </c>
      <c r="AQ35" s="1">
        <v>0.01</v>
      </c>
      <c r="AR35" s="1">
        <v>0.01</v>
      </c>
      <c r="AT35" s="2" t="s">
        <v>4</v>
      </c>
      <c r="AU35" s="1" t="s">
        <v>49</v>
      </c>
      <c r="AV35" s="1">
        <v>0.11</v>
      </c>
      <c r="AW35" s="1">
        <v>0.11</v>
      </c>
      <c r="AY35" s="2" t="s">
        <v>4</v>
      </c>
      <c r="AZ35" s="1" t="s">
        <v>49</v>
      </c>
      <c r="BA35" s="1">
        <v>0.19</v>
      </c>
      <c r="BB35" s="1">
        <v>0.19</v>
      </c>
      <c r="BD35" s="2" t="s">
        <v>4</v>
      </c>
      <c r="BE35" s="1" t="s">
        <v>49</v>
      </c>
      <c r="BF35" s="1">
        <v>0.01</v>
      </c>
      <c r="BG35" s="1">
        <v>0.01</v>
      </c>
    </row>
    <row r="36" spans="16:59">
      <c r="P36" s="2" t="s">
        <v>5</v>
      </c>
      <c r="Q36" s="1" t="s">
        <v>49</v>
      </c>
      <c r="R36" s="1" t="s">
        <v>49</v>
      </c>
      <c r="S36" s="1">
        <v>0.1</v>
      </c>
      <c r="U36" s="2" t="s">
        <v>5</v>
      </c>
      <c r="V36" s="1" t="s">
        <v>49</v>
      </c>
      <c r="W36" s="1" t="s">
        <v>49</v>
      </c>
      <c r="X36" s="1">
        <v>0.24</v>
      </c>
      <c r="Z36" s="2" t="s">
        <v>5</v>
      </c>
      <c r="AA36" s="1" t="s">
        <v>49</v>
      </c>
      <c r="AB36" s="1" t="s">
        <v>49</v>
      </c>
      <c r="AC36" s="1">
        <v>0.01</v>
      </c>
      <c r="AE36" s="2" t="s">
        <v>5</v>
      </c>
      <c r="AF36" s="1" t="s">
        <v>49</v>
      </c>
      <c r="AG36" s="1" t="s">
        <v>49</v>
      </c>
      <c r="AH36" s="1">
        <v>0.1</v>
      </c>
      <c r="AJ36" s="2" t="s">
        <v>5</v>
      </c>
      <c r="AK36" s="1" t="s">
        <v>49</v>
      </c>
      <c r="AL36" s="1" t="s">
        <v>49</v>
      </c>
      <c r="AM36" s="1">
        <v>0.22</v>
      </c>
      <c r="AO36" s="2" t="s">
        <v>5</v>
      </c>
      <c r="AP36" s="1" t="s">
        <v>49</v>
      </c>
      <c r="AQ36" s="1" t="s">
        <v>49</v>
      </c>
      <c r="AR36" s="1">
        <v>0.01</v>
      </c>
      <c r="AT36" s="2" t="s">
        <v>5</v>
      </c>
      <c r="AU36" s="1" t="s">
        <v>49</v>
      </c>
      <c r="AV36" s="1" t="s">
        <v>49</v>
      </c>
      <c r="AW36" s="1">
        <v>0.1</v>
      </c>
      <c r="AY36" s="2" t="s">
        <v>5</v>
      </c>
      <c r="AZ36" s="1" t="s">
        <v>49</v>
      </c>
      <c r="BA36" s="1" t="s">
        <v>49</v>
      </c>
      <c r="BB36" s="1">
        <v>0.22</v>
      </c>
      <c r="BD36" s="2" t="s">
        <v>5</v>
      </c>
      <c r="BE36" s="1" t="s">
        <v>49</v>
      </c>
      <c r="BF36" s="1" t="s">
        <v>49</v>
      </c>
      <c r="BG36" s="1">
        <v>0.01</v>
      </c>
    </row>
    <row r="37" spans="16:59">
      <c r="P37" s="3" t="s">
        <v>137</v>
      </c>
      <c r="Q37" s="6">
        <f>AVERAGE(Q33:Q36)</f>
        <v>0.18</v>
      </c>
      <c r="R37" s="6">
        <f>AVERAGE(R33:R36)</f>
        <v>0.15666666666666665</v>
      </c>
      <c r="S37" s="6">
        <f>AVERAGE(S33:S36)</f>
        <v>0.13</v>
      </c>
      <c r="U37" s="3" t="s">
        <v>137</v>
      </c>
      <c r="V37" s="6">
        <f>AVERAGE(V33:V36)</f>
        <v>0.76</v>
      </c>
      <c r="W37" s="6">
        <f>AVERAGE(W33:W36)</f>
        <v>0.58666666666666667</v>
      </c>
      <c r="X37" s="6">
        <f>AVERAGE(X33:X36)</f>
        <v>0.34</v>
      </c>
      <c r="Z37" s="3" t="s">
        <v>137</v>
      </c>
      <c r="AA37" s="6">
        <f>AVERAGE(AA33:AA36)</f>
        <v>0.01</v>
      </c>
      <c r="AB37" s="6">
        <f>AVERAGE(AB33:AB36)</f>
        <v>0.01</v>
      </c>
      <c r="AC37" s="6">
        <f>AVERAGE(AC33:AC36)</f>
        <v>0.01</v>
      </c>
      <c r="AE37" s="3" t="s">
        <v>137</v>
      </c>
      <c r="AF37" s="6">
        <f>AVERAGE(AF33:AF36)</f>
        <v>0.18</v>
      </c>
      <c r="AG37" s="6">
        <f>AVERAGE(AG33:AG36)</f>
        <v>0.15666666666666665</v>
      </c>
      <c r="AH37" s="6">
        <f>AVERAGE(AH33:AH36)</f>
        <v>0.13</v>
      </c>
      <c r="AJ37" s="3" t="s">
        <v>137</v>
      </c>
      <c r="AK37" s="6">
        <f>AVERAGE(AK33:AK36)</f>
        <v>0.70500000000000007</v>
      </c>
      <c r="AL37" s="6">
        <f>AVERAGE(AL33:AL36)</f>
        <v>0.53999999999999992</v>
      </c>
      <c r="AM37" s="6">
        <f>AVERAGE(AM33:AM36)</f>
        <v>0.30666666666666664</v>
      </c>
      <c r="AO37" s="3" t="s">
        <v>137</v>
      </c>
      <c r="AP37" s="6">
        <f>AVERAGE(AP33:AP36)</f>
        <v>0.01</v>
      </c>
      <c r="AQ37" s="6">
        <f>AVERAGE(AQ33:AQ36)</f>
        <v>0.01</v>
      </c>
      <c r="AR37" s="6">
        <f>AVERAGE(AR33:AR36)</f>
        <v>0.01</v>
      </c>
      <c r="AT37" s="3" t="s">
        <v>137</v>
      </c>
      <c r="AU37" s="6">
        <f>AVERAGE(AU33:AU36)</f>
        <v>0.18</v>
      </c>
      <c r="AV37" s="6">
        <f>AVERAGE(AV33:AV36)</f>
        <v>0.15666666666666665</v>
      </c>
      <c r="AW37" s="6">
        <f>AVERAGE(AW33:AW36)</f>
        <v>0.13</v>
      </c>
      <c r="AY37" s="3" t="s">
        <v>137</v>
      </c>
      <c r="AZ37" s="6">
        <f>AVERAGE(AZ33:AZ36)</f>
        <v>0.66</v>
      </c>
      <c r="BA37" s="6">
        <f>AVERAGE(BA33:BA36)</f>
        <v>0.5</v>
      </c>
      <c r="BB37" s="6">
        <f>AVERAGE(BB33:BB36)</f>
        <v>0.28666666666666668</v>
      </c>
      <c r="BD37" s="3" t="s">
        <v>137</v>
      </c>
      <c r="BE37" s="6">
        <f>AVERAGE(BE33:BE36)</f>
        <v>0.01</v>
      </c>
      <c r="BF37" s="6">
        <f>AVERAGE(BF33:BF36)</f>
        <v>0.01</v>
      </c>
      <c r="BG37" s="6">
        <f>AVERAGE(BG33:BG36)</f>
        <v>0.01</v>
      </c>
    </row>
    <row r="39" spans="16:59">
      <c r="P39" s="47" t="s">
        <v>66</v>
      </c>
      <c r="Q39" s="47"/>
      <c r="R39" s="47"/>
      <c r="S39" s="47"/>
      <c r="U39" s="47" t="s">
        <v>72</v>
      </c>
      <c r="V39" s="47"/>
      <c r="W39" s="47"/>
      <c r="X39" s="47"/>
      <c r="Z39" s="47" t="s">
        <v>56</v>
      </c>
      <c r="AA39" s="47"/>
      <c r="AB39" s="47"/>
      <c r="AC39" s="47"/>
      <c r="AE39" s="47" t="s">
        <v>66</v>
      </c>
      <c r="AF39" s="47"/>
      <c r="AG39" s="47"/>
      <c r="AH39" s="47"/>
      <c r="AJ39" s="47" t="s">
        <v>72</v>
      </c>
      <c r="AK39" s="47"/>
      <c r="AL39" s="47"/>
      <c r="AM39" s="47"/>
      <c r="AO39" s="47" t="s">
        <v>56</v>
      </c>
      <c r="AP39" s="47"/>
      <c r="AQ39" s="47"/>
      <c r="AR39" s="47"/>
      <c r="AT39" s="47" t="s">
        <v>66</v>
      </c>
      <c r="AU39" s="47"/>
      <c r="AV39" s="47"/>
      <c r="AW39" s="47"/>
      <c r="AY39" s="47" t="s">
        <v>72</v>
      </c>
      <c r="AZ39" s="47"/>
      <c r="BA39" s="47"/>
      <c r="BB39" s="47"/>
      <c r="BD39" s="47" t="s">
        <v>56</v>
      </c>
      <c r="BE39" s="47"/>
      <c r="BF39" s="47"/>
      <c r="BG39" s="47"/>
    </row>
    <row r="40" spans="16:59">
      <c r="P40" s="2"/>
      <c r="Q40" s="2">
        <v>2000</v>
      </c>
      <c r="R40" s="2">
        <v>2007</v>
      </c>
      <c r="S40" s="2">
        <v>2015</v>
      </c>
      <c r="U40" s="2"/>
      <c r="V40" s="2">
        <v>2000</v>
      </c>
      <c r="W40" s="2">
        <v>2007</v>
      </c>
      <c r="X40" s="2">
        <v>2015</v>
      </c>
      <c r="Z40" s="2"/>
      <c r="AA40" s="2">
        <v>2000</v>
      </c>
      <c r="AB40" s="2">
        <v>2007</v>
      </c>
      <c r="AC40" s="2">
        <v>2015</v>
      </c>
      <c r="AE40" s="2"/>
      <c r="AF40" s="2">
        <v>2000</v>
      </c>
      <c r="AG40" s="2">
        <v>2007</v>
      </c>
      <c r="AH40" s="2">
        <v>2015</v>
      </c>
      <c r="AJ40" s="2"/>
      <c r="AK40" s="2">
        <v>2000</v>
      </c>
      <c r="AL40" s="2">
        <v>2007</v>
      </c>
      <c r="AM40" s="2">
        <v>2015</v>
      </c>
      <c r="AO40" s="2"/>
      <c r="AP40" s="2">
        <v>2000</v>
      </c>
      <c r="AQ40" s="2">
        <v>2007</v>
      </c>
      <c r="AR40" s="2">
        <v>2015</v>
      </c>
      <c r="AT40" s="2"/>
      <c r="AU40" s="2">
        <v>2000</v>
      </c>
      <c r="AV40" s="2">
        <v>2007</v>
      </c>
      <c r="AW40" s="2">
        <v>2015</v>
      </c>
      <c r="AY40" s="2"/>
      <c r="AZ40" s="2">
        <v>2000</v>
      </c>
      <c r="BA40" s="2">
        <v>2007</v>
      </c>
      <c r="BB40" s="2">
        <v>2015</v>
      </c>
      <c r="BD40" s="2"/>
      <c r="BE40" s="2">
        <v>2000</v>
      </c>
      <c r="BF40" s="2">
        <v>2007</v>
      </c>
      <c r="BG40" s="2">
        <v>2015</v>
      </c>
    </row>
    <row r="41" spans="16:59">
      <c r="P41" s="2" t="s">
        <v>6</v>
      </c>
      <c r="Q41" s="1">
        <v>20.05</v>
      </c>
      <c r="R41" s="1">
        <v>19.940000000000001</v>
      </c>
      <c r="S41" s="1" t="s">
        <v>49</v>
      </c>
      <c r="U41" s="2" t="s">
        <v>6</v>
      </c>
      <c r="V41" s="1">
        <v>0.5</v>
      </c>
      <c r="W41" s="1">
        <v>0.49</v>
      </c>
      <c r="X41" s="1" t="s">
        <v>49</v>
      </c>
      <c r="Z41" s="2" t="s">
        <v>6</v>
      </c>
      <c r="AA41" s="1">
        <v>0</v>
      </c>
      <c r="AB41" s="1">
        <v>0</v>
      </c>
      <c r="AC41" s="1" t="s">
        <v>49</v>
      </c>
      <c r="AE41" s="2" t="s">
        <v>6</v>
      </c>
      <c r="AF41" s="1">
        <v>18.37</v>
      </c>
      <c r="AG41" s="1">
        <v>18.27</v>
      </c>
      <c r="AH41" s="1" t="s">
        <v>49</v>
      </c>
      <c r="AJ41" s="2" t="s">
        <v>6</v>
      </c>
      <c r="AK41" s="1">
        <v>0.46</v>
      </c>
      <c r="AL41" s="1">
        <v>0.46</v>
      </c>
      <c r="AM41" s="1" t="s">
        <v>49</v>
      </c>
      <c r="AO41" s="2" t="s">
        <v>6</v>
      </c>
      <c r="AP41" s="1">
        <v>0</v>
      </c>
      <c r="AQ41" s="1">
        <v>0</v>
      </c>
      <c r="AR41" s="1" t="s">
        <v>49</v>
      </c>
      <c r="AT41" s="2" t="s">
        <v>6</v>
      </c>
      <c r="AU41" s="1">
        <v>16.649999999999999</v>
      </c>
      <c r="AV41" s="1">
        <v>16.559999999999999</v>
      </c>
      <c r="AW41" s="1" t="s">
        <v>49</v>
      </c>
      <c r="AY41" s="2" t="s">
        <v>6</v>
      </c>
      <c r="AZ41" s="1">
        <v>0.44</v>
      </c>
      <c r="BA41" s="1">
        <v>0.43</v>
      </c>
      <c r="BB41" s="1" t="s">
        <v>49</v>
      </c>
      <c r="BD41" s="2" t="s">
        <v>6</v>
      </c>
      <c r="BE41" s="1">
        <v>0</v>
      </c>
      <c r="BF41" s="1">
        <v>0</v>
      </c>
      <c r="BG41" s="1" t="s">
        <v>49</v>
      </c>
    </row>
    <row r="42" spans="16:59">
      <c r="P42" s="2" t="s">
        <v>3</v>
      </c>
      <c r="Q42" s="1">
        <v>12.47</v>
      </c>
      <c r="R42" s="1">
        <v>12.4</v>
      </c>
      <c r="S42" s="1">
        <v>12.17</v>
      </c>
      <c r="U42" s="2" t="s">
        <v>3</v>
      </c>
      <c r="V42" s="1">
        <v>0.34</v>
      </c>
      <c r="W42" s="1">
        <v>0.34</v>
      </c>
      <c r="X42" s="1">
        <v>0.34</v>
      </c>
      <c r="Z42" s="2" t="s">
        <v>3</v>
      </c>
      <c r="AA42" s="1">
        <v>0</v>
      </c>
      <c r="AB42" s="1">
        <v>0</v>
      </c>
      <c r="AC42" s="1">
        <v>0</v>
      </c>
      <c r="AE42" s="2" t="s">
        <v>3</v>
      </c>
      <c r="AF42" s="1">
        <v>11.35</v>
      </c>
      <c r="AG42" s="1">
        <v>11.29</v>
      </c>
      <c r="AH42" s="1">
        <v>11.08</v>
      </c>
      <c r="AJ42" s="2" t="s">
        <v>3</v>
      </c>
      <c r="AK42" s="1">
        <v>0.31</v>
      </c>
      <c r="AL42" s="1">
        <v>0.31</v>
      </c>
      <c r="AM42" s="1">
        <v>0.31</v>
      </c>
      <c r="AO42" s="2" t="s">
        <v>3</v>
      </c>
      <c r="AP42" s="1">
        <v>0</v>
      </c>
      <c r="AQ42" s="1">
        <v>0</v>
      </c>
      <c r="AR42" s="1">
        <v>0</v>
      </c>
      <c r="AT42" s="2" t="s">
        <v>3</v>
      </c>
      <c r="AU42" s="1">
        <v>10.26</v>
      </c>
      <c r="AV42" s="1">
        <v>10.199999999999999</v>
      </c>
      <c r="AW42" s="1">
        <v>10.02</v>
      </c>
      <c r="AY42" s="2" t="s">
        <v>3</v>
      </c>
      <c r="AZ42" s="1">
        <v>0.3</v>
      </c>
      <c r="BA42" s="1">
        <v>0.28999999999999998</v>
      </c>
      <c r="BB42" s="1">
        <v>0.28999999999999998</v>
      </c>
      <c r="BD42" s="2" t="s">
        <v>3</v>
      </c>
      <c r="BE42" s="1">
        <v>0</v>
      </c>
      <c r="BF42" s="1">
        <v>0</v>
      </c>
      <c r="BG42" s="1">
        <v>0</v>
      </c>
    </row>
    <row r="43" spans="16:59">
      <c r="P43" s="2" t="s">
        <v>4</v>
      </c>
      <c r="Q43" s="1" t="s">
        <v>49</v>
      </c>
      <c r="R43" s="1">
        <v>13.32</v>
      </c>
      <c r="S43" s="1">
        <v>13.08</v>
      </c>
      <c r="U43" s="2" t="s">
        <v>4</v>
      </c>
      <c r="V43" s="1" t="s">
        <v>49</v>
      </c>
      <c r="W43" s="1">
        <v>0.17</v>
      </c>
      <c r="X43" s="1">
        <v>0.17</v>
      </c>
      <c r="Z43" s="2" t="s">
        <v>4</v>
      </c>
      <c r="AA43" s="1" t="s">
        <v>49</v>
      </c>
      <c r="AB43" s="1">
        <v>0</v>
      </c>
      <c r="AC43" s="1">
        <v>0</v>
      </c>
      <c r="AE43" s="2" t="s">
        <v>4</v>
      </c>
      <c r="AF43" s="1" t="s">
        <v>49</v>
      </c>
      <c r="AG43" s="1">
        <v>12.36</v>
      </c>
      <c r="AH43" s="1">
        <v>12.14</v>
      </c>
      <c r="AJ43" s="2" t="s">
        <v>4</v>
      </c>
      <c r="AK43" s="1" t="s">
        <v>49</v>
      </c>
      <c r="AL43" s="1">
        <v>0.14000000000000001</v>
      </c>
      <c r="AM43" s="1">
        <v>0.14000000000000001</v>
      </c>
      <c r="AO43" s="2" t="s">
        <v>4</v>
      </c>
      <c r="AP43" s="1" t="s">
        <v>49</v>
      </c>
      <c r="AQ43" s="1">
        <v>0</v>
      </c>
      <c r="AR43" s="1">
        <v>0</v>
      </c>
      <c r="AT43" s="2" t="s">
        <v>4</v>
      </c>
      <c r="AU43" s="1" t="s">
        <v>49</v>
      </c>
      <c r="AV43" s="1">
        <v>11.27</v>
      </c>
      <c r="AW43" s="1">
        <v>11.06</v>
      </c>
      <c r="AY43" s="2" t="s">
        <v>4</v>
      </c>
      <c r="AZ43" s="1" t="s">
        <v>49</v>
      </c>
      <c r="BA43" s="1">
        <v>0.13</v>
      </c>
      <c r="BB43" s="1">
        <v>0.13</v>
      </c>
      <c r="BD43" s="2" t="s">
        <v>4</v>
      </c>
      <c r="BE43" s="1" t="s">
        <v>49</v>
      </c>
      <c r="BF43" s="1">
        <v>0</v>
      </c>
      <c r="BG43" s="1">
        <v>0</v>
      </c>
    </row>
    <row r="44" spans="16:59">
      <c r="P44" s="2" t="s">
        <v>5</v>
      </c>
      <c r="Q44" s="1" t="s">
        <v>49</v>
      </c>
      <c r="R44" s="1" t="s">
        <v>49</v>
      </c>
      <c r="S44" s="1">
        <v>11.91</v>
      </c>
      <c r="U44" s="2" t="s">
        <v>5</v>
      </c>
      <c r="V44" s="1" t="s">
        <v>49</v>
      </c>
      <c r="W44" s="1" t="s">
        <v>49</v>
      </c>
      <c r="X44" s="1">
        <v>0.17</v>
      </c>
      <c r="Z44" s="2" t="s">
        <v>5</v>
      </c>
      <c r="AA44" s="1" t="s">
        <v>49</v>
      </c>
      <c r="AB44" s="1" t="s">
        <v>49</v>
      </c>
      <c r="AC44" s="1">
        <v>0</v>
      </c>
      <c r="AE44" s="2" t="s">
        <v>5</v>
      </c>
      <c r="AF44" s="1" t="s">
        <v>49</v>
      </c>
      <c r="AG44" s="1" t="s">
        <v>49</v>
      </c>
      <c r="AH44" s="1">
        <v>11.02</v>
      </c>
      <c r="AJ44" s="2" t="s">
        <v>5</v>
      </c>
      <c r="AK44" s="1" t="s">
        <v>49</v>
      </c>
      <c r="AL44" s="1" t="s">
        <v>49</v>
      </c>
      <c r="AM44" s="1">
        <v>0.16</v>
      </c>
      <c r="AO44" s="2" t="s">
        <v>5</v>
      </c>
      <c r="AP44" s="1" t="s">
        <v>49</v>
      </c>
      <c r="AQ44" s="1" t="s">
        <v>49</v>
      </c>
      <c r="AR44" s="1">
        <v>0</v>
      </c>
      <c r="AT44" s="2" t="s">
        <v>5</v>
      </c>
      <c r="AU44" s="1" t="s">
        <v>49</v>
      </c>
      <c r="AV44" s="1" t="s">
        <v>49</v>
      </c>
      <c r="AW44" s="1">
        <v>10.15</v>
      </c>
      <c r="AY44" s="2" t="s">
        <v>5</v>
      </c>
      <c r="AZ44" s="1" t="s">
        <v>49</v>
      </c>
      <c r="BA44" s="1" t="s">
        <v>49</v>
      </c>
      <c r="BB44" s="1">
        <v>0.15</v>
      </c>
      <c r="BD44" s="2" t="s">
        <v>5</v>
      </c>
      <c r="BE44" s="1" t="s">
        <v>49</v>
      </c>
      <c r="BF44" s="1" t="s">
        <v>49</v>
      </c>
      <c r="BG44" s="1">
        <v>0</v>
      </c>
    </row>
    <row r="45" spans="16:59">
      <c r="P45" s="3" t="s">
        <v>137</v>
      </c>
      <c r="Q45" s="6">
        <f>AVERAGE(Q41:Q44)</f>
        <v>16.260000000000002</v>
      </c>
      <c r="R45" s="6">
        <f>AVERAGE(R41:R44)</f>
        <v>15.22</v>
      </c>
      <c r="S45" s="6">
        <f>AVERAGE(S41:S44)</f>
        <v>12.386666666666665</v>
      </c>
      <c r="U45" s="3" t="s">
        <v>137</v>
      </c>
      <c r="V45" s="6">
        <f>AVERAGE(V41:V44)</f>
        <v>0.42000000000000004</v>
      </c>
      <c r="W45" s="6">
        <f>AVERAGE(W41:W44)</f>
        <v>0.33333333333333331</v>
      </c>
      <c r="X45" s="6">
        <f>AVERAGE(X41:X44)</f>
        <v>0.22666666666666668</v>
      </c>
      <c r="Z45" s="3" t="s">
        <v>137</v>
      </c>
      <c r="AA45" s="6">
        <f>AVERAGE(AA41:AA44)</f>
        <v>0</v>
      </c>
      <c r="AB45" s="6">
        <f>AVERAGE(AB41:AB44)</f>
        <v>0</v>
      </c>
      <c r="AC45" s="6">
        <f>AVERAGE(AC41:AC44)</f>
        <v>0</v>
      </c>
      <c r="AE45" s="3" t="s">
        <v>137</v>
      </c>
      <c r="AF45" s="6">
        <f>AVERAGE(AF41:AF44)</f>
        <v>14.86</v>
      </c>
      <c r="AG45" s="6">
        <f>AVERAGE(AG41:AG44)</f>
        <v>13.973333333333334</v>
      </c>
      <c r="AH45" s="6">
        <f>AVERAGE(AH41:AH44)</f>
        <v>11.413333333333332</v>
      </c>
      <c r="AJ45" s="3" t="s">
        <v>137</v>
      </c>
      <c r="AK45" s="6">
        <f>AVERAGE(AK41:AK44)</f>
        <v>0.38500000000000001</v>
      </c>
      <c r="AL45" s="6">
        <f>AVERAGE(AL41:AL44)</f>
        <v>0.30333333333333334</v>
      </c>
      <c r="AM45" s="6">
        <f>AVERAGE(AM41:AM44)</f>
        <v>0.20333333333333334</v>
      </c>
      <c r="AO45" s="3" t="s">
        <v>137</v>
      </c>
      <c r="AP45" s="6">
        <f>AVERAGE(AP41:AP44)</f>
        <v>0</v>
      </c>
      <c r="AQ45" s="6">
        <f>AVERAGE(AQ41:AQ44)</f>
        <v>0</v>
      </c>
      <c r="AR45" s="6">
        <f>AVERAGE(AR41:AR44)</f>
        <v>0</v>
      </c>
      <c r="AT45" s="3" t="s">
        <v>137</v>
      </c>
      <c r="AU45" s="6">
        <f>AVERAGE(AU41:AU44)</f>
        <v>13.454999999999998</v>
      </c>
      <c r="AV45" s="6">
        <f>AVERAGE(AV41:AV44)</f>
        <v>12.676666666666668</v>
      </c>
      <c r="AW45" s="6">
        <f>AVERAGE(AW41:AW44)</f>
        <v>10.409999999999998</v>
      </c>
      <c r="AY45" s="3" t="s">
        <v>137</v>
      </c>
      <c r="AZ45" s="6">
        <f>AVERAGE(AZ41:AZ44)</f>
        <v>0.37</v>
      </c>
      <c r="BA45" s="6">
        <f>AVERAGE(BA41:BA44)</f>
        <v>0.28333333333333333</v>
      </c>
      <c r="BB45" s="6">
        <f>AVERAGE(BB41:BB44)</f>
        <v>0.18999999999999997</v>
      </c>
      <c r="BD45" s="3" t="s">
        <v>137</v>
      </c>
      <c r="BE45" s="6">
        <f>AVERAGE(BE41:BE44)</f>
        <v>0</v>
      </c>
      <c r="BF45" s="6">
        <f>AVERAGE(BF41:BF44)</f>
        <v>0</v>
      </c>
      <c r="BG45" s="6">
        <f>AVERAGE(BG41:BG44)</f>
        <v>0</v>
      </c>
    </row>
    <row r="47" spans="16:59">
      <c r="P47" s="47" t="s">
        <v>67</v>
      </c>
      <c r="Q47" s="47"/>
      <c r="R47" s="47"/>
      <c r="S47" s="47"/>
      <c r="U47" s="47" t="s">
        <v>71</v>
      </c>
      <c r="V47" s="47"/>
      <c r="W47" s="47"/>
      <c r="X47" s="47"/>
      <c r="Z47" s="47" t="s">
        <v>57</v>
      </c>
      <c r="AA47" s="47"/>
      <c r="AB47" s="47"/>
      <c r="AC47" s="47"/>
      <c r="AE47" s="47" t="s">
        <v>67</v>
      </c>
      <c r="AF47" s="47"/>
      <c r="AG47" s="47"/>
      <c r="AH47" s="47"/>
      <c r="AJ47" s="47" t="s">
        <v>71</v>
      </c>
      <c r="AK47" s="47"/>
      <c r="AL47" s="47"/>
      <c r="AM47" s="47"/>
      <c r="AO47" s="47" t="s">
        <v>57</v>
      </c>
      <c r="AP47" s="47"/>
      <c r="AQ47" s="47"/>
      <c r="AR47" s="47"/>
      <c r="AT47" s="47" t="s">
        <v>67</v>
      </c>
      <c r="AU47" s="47"/>
      <c r="AV47" s="47"/>
      <c r="AW47" s="47"/>
      <c r="AY47" s="47" t="s">
        <v>71</v>
      </c>
      <c r="AZ47" s="47"/>
      <c r="BA47" s="47"/>
      <c r="BB47" s="47"/>
      <c r="BD47" s="47" t="s">
        <v>57</v>
      </c>
      <c r="BE47" s="47"/>
      <c r="BF47" s="47"/>
      <c r="BG47" s="47"/>
    </row>
    <row r="48" spans="16:59">
      <c r="P48" s="2"/>
      <c r="Q48" s="2">
        <v>2000</v>
      </c>
      <c r="R48" s="2">
        <v>2007</v>
      </c>
      <c r="S48" s="2">
        <v>2015</v>
      </c>
      <c r="U48" s="2"/>
      <c r="V48" s="2">
        <v>2000</v>
      </c>
      <c r="W48" s="2">
        <v>2007</v>
      </c>
      <c r="X48" s="2">
        <v>2015</v>
      </c>
      <c r="Z48" s="2"/>
      <c r="AA48" s="2">
        <v>2000</v>
      </c>
      <c r="AB48" s="2">
        <v>2007</v>
      </c>
      <c r="AC48" s="2">
        <v>2015</v>
      </c>
      <c r="AE48" s="2"/>
      <c r="AF48" s="2">
        <v>2000</v>
      </c>
      <c r="AG48" s="2">
        <v>2007</v>
      </c>
      <c r="AH48" s="2">
        <v>2015</v>
      </c>
      <c r="AJ48" s="2"/>
      <c r="AK48" s="2">
        <v>2000</v>
      </c>
      <c r="AL48" s="2">
        <v>2007</v>
      </c>
      <c r="AM48" s="2">
        <v>2015</v>
      </c>
      <c r="AO48" s="2"/>
      <c r="AP48" s="2">
        <v>2000</v>
      </c>
      <c r="AQ48" s="2">
        <v>2007</v>
      </c>
      <c r="AR48" s="2">
        <v>2015</v>
      </c>
      <c r="AT48" s="2"/>
      <c r="AU48" s="2">
        <v>2000</v>
      </c>
      <c r="AV48" s="2">
        <v>2007</v>
      </c>
      <c r="AW48" s="2">
        <v>2015</v>
      </c>
      <c r="AY48" s="2"/>
      <c r="AZ48" s="2">
        <v>2000</v>
      </c>
      <c r="BA48" s="2">
        <v>2007</v>
      </c>
      <c r="BB48" s="2">
        <v>2015</v>
      </c>
      <c r="BD48" s="2"/>
      <c r="BE48" s="2">
        <v>2000</v>
      </c>
      <c r="BF48" s="2">
        <v>2007</v>
      </c>
      <c r="BG48" s="2">
        <v>2015</v>
      </c>
    </row>
    <row r="49" spans="16:59">
      <c r="P49" s="2" t="s">
        <v>6</v>
      </c>
      <c r="Q49" s="1">
        <v>17.850000000000001</v>
      </c>
      <c r="R49" s="1">
        <v>17.75</v>
      </c>
      <c r="S49" s="1" t="s">
        <v>49</v>
      </c>
      <c r="U49" s="2" t="s">
        <v>6</v>
      </c>
      <c r="V49" s="1">
        <v>0.4</v>
      </c>
      <c r="W49" s="1">
        <v>0.39</v>
      </c>
      <c r="X49" s="1" t="s">
        <v>49</v>
      </c>
      <c r="Z49" s="2" t="s">
        <v>6</v>
      </c>
      <c r="AA49" s="1">
        <v>1.17</v>
      </c>
      <c r="AB49" s="1">
        <v>1.17</v>
      </c>
      <c r="AC49" s="1" t="s">
        <v>49</v>
      </c>
      <c r="AE49" s="2" t="s">
        <v>6</v>
      </c>
      <c r="AF49" s="1">
        <v>16.350000000000001</v>
      </c>
      <c r="AG49" s="1">
        <v>16.260000000000002</v>
      </c>
      <c r="AH49" s="1" t="s">
        <v>49</v>
      </c>
      <c r="AJ49" s="2" t="s">
        <v>6</v>
      </c>
      <c r="AK49" s="1">
        <v>0.37</v>
      </c>
      <c r="AL49" s="1">
        <v>0.37</v>
      </c>
      <c r="AM49" s="1" t="s">
        <v>49</v>
      </c>
      <c r="AO49" s="2" t="s">
        <v>6</v>
      </c>
      <c r="AP49" s="1">
        <v>1.03</v>
      </c>
      <c r="AQ49" s="1">
        <v>1.03</v>
      </c>
      <c r="AR49" s="1" t="s">
        <v>49</v>
      </c>
      <c r="AT49" s="2" t="s">
        <v>6</v>
      </c>
      <c r="AU49" s="1">
        <v>14.82</v>
      </c>
      <c r="AV49" s="1">
        <v>14.74</v>
      </c>
      <c r="AW49" s="1" t="s">
        <v>49</v>
      </c>
      <c r="AY49" s="2" t="s">
        <v>6</v>
      </c>
      <c r="AZ49" s="1">
        <v>0.35</v>
      </c>
      <c r="BA49" s="1">
        <v>0.35</v>
      </c>
      <c r="BB49" s="1" t="s">
        <v>49</v>
      </c>
      <c r="BD49" s="2" t="s">
        <v>6</v>
      </c>
      <c r="BE49" s="1">
        <v>0.89</v>
      </c>
      <c r="BF49" s="1">
        <v>0.89</v>
      </c>
      <c r="BG49" s="1" t="s">
        <v>49</v>
      </c>
    </row>
    <row r="50" spans="16:59">
      <c r="P50" s="2" t="s">
        <v>3</v>
      </c>
      <c r="Q50" s="1">
        <v>11.1</v>
      </c>
      <c r="R50" s="1">
        <v>11.03</v>
      </c>
      <c r="S50" s="1">
        <v>10.83</v>
      </c>
      <c r="U50" s="2" t="s">
        <v>3</v>
      </c>
      <c r="V50" s="1">
        <v>0.14000000000000001</v>
      </c>
      <c r="W50" s="1">
        <v>0.14000000000000001</v>
      </c>
      <c r="X50" s="1">
        <v>0.14000000000000001</v>
      </c>
      <c r="Z50" s="2" t="s">
        <v>3</v>
      </c>
      <c r="AA50" s="1">
        <v>1.05</v>
      </c>
      <c r="AB50" s="1">
        <v>1.05</v>
      </c>
      <c r="AC50" s="1">
        <v>1.05</v>
      </c>
      <c r="AE50" s="2" t="s">
        <v>3</v>
      </c>
      <c r="AF50" s="1">
        <v>10.1</v>
      </c>
      <c r="AG50" s="1">
        <v>10.050000000000001</v>
      </c>
      <c r="AH50" s="1">
        <v>9.86</v>
      </c>
      <c r="AJ50" s="2" t="s">
        <v>3</v>
      </c>
      <c r="AK50" s="1">
        <v>0.13</v>
      </c>
      <c r="AL50" s="1">
        <v>0.12</v>
      </c>
      <c r="AM50" s="1">
        <v>0.12</v>
      </c>
      <c r="AO50" s="2" t="s">
        <v>3</v>
      </c>
      <c r="AP50" s="1">
        <v>0.91</v>
      </c>
      <c r="AQ50" s="1">
        <v>0.91</v>
      </c>
      <c r="AR50" s="1">
        <v>0.91</v>
      </c>
      <c r="AT50" s="2" t="s">
        <v>3</v>
      </c>
      <c r="AU50" s="1">
        <v>9.1300000000000008</v>
      </c>
      <c r="AV50" s="1">
        <v>9.08</v>
      </c>
      <c r="AW50" s="1">
        <v>8.91</v>
      </c>
      <c r="AY50" s="2" t="s">
        <v>3</v>
      </c>
      <c r="AZ50" s="1">
        <v>0.12</v>
      </c>
      <c r="BA50" s="1">
        <v>0.12</v>
      </c>
      <c r="BB50" s="1">
        <v>0.12</v>
      </c>
      <c r="BD50" s="2" t="s">
        <v>3</v>
      </c>
      <c r="BE50" s="1">
        <v>0.76</v>
      </c>
      <c r="BF50" s="1">
        <v>0.76</v>
      </c>
      <c r="BG50" s="1">
        <v>0.76</v>
      </c>
    </row>
    <row r="51" spans="16:59">
      <c r="P51" s="2" t="s">
        <v>4</v>
      </c>
      <c r="Q51" s="1" t="s">
        <v>49</v>
      </c>
      <c r="R51" s="1">
        <v>11.86</v>
      </c>
      <c r="S51" s="1">
        <v>11.64</v>
      </c>
      <c r="U51" s="2" t="s">
        <v>4</v>
      </c>
      <c r="V51" s="1" t="s">
        <v>49</v>
      </c>
      <c r="W51" s="1">
        <v>7.0000000000000007E-2</v>
      </c>
      <c r="X51" s="1">
        <v>7.0000000000000007E-2</v>
      </c>
      <c r="Z51" s="2" t="s">
        <v>4</v>
      </c>
      <c r="AA51" s="1" t="s">
        <v>49</v>
      </c>
      <c r="AB51" s="1">
        <v>1.03</v>
      </c>
      <c r="AC51" s="1">
        <v>1.03</v>
      </c>
      <c r="AE51" s="2" t="s">
        <v>4</v>
      </c>
      <c r="AF51" s="1" t="s">
        <v>49</v>
      </c>
      <c r="AG51" s="1">
        <v>11</v>
      </c>
      <c r="AH51" s="1">
        <v>10.8</v>
      </c>
      <c r="AJ51" s="2" t="s">
        <v>4</v>
      </c>
      <c r="AK51" s="1" t="s">
        <v>49</v>
      </c>
      <c r="AL51" s="1">
        <v>0.06</v>
      </c>
      <c r="AM51" s="1">
        <v>0.06</v>
      </c>
      <c r="AO51" s="2" t="s">
        <v>4</v>
      </c>
      <c r="AP51" s="1" t="s">
        <v>49</v>
      </c>
      <c r="AQ51" s="1">
        <v>0.88</v>
      </c>
      <c r="AR51" s="1">
        <v>0.88</v>
      </c>
      <c r="AT51" s="2" t="s">
        <v>4</v>
      </c>
      <c r="AU51" s="1" t="s">
        <v>49</v>
      </c>
      <c r="AV51" s="1">
        <v>10.029999999999999</v>
      </c>
      <c r="AW51" s="1">
        <v>9.85</v>
      </c>
      <c r="AY51" s="2" t="s">
        <v>4</v>
      </c>
      <c r="AZ51" s="1" t="s">
        <v>49</v>
      </c>
      <c r="BA51" s="1">
        <v>0.05</v>
      </c>
      <c r="BB51" s="1">
        <v>0.05</v>
      </c>
      <c r="BD51" s="2" t="s">
        <v>4</v>
      </c>
      <c r="BE51" s="1" t="s">
        <v>49</v>
      </c>
      <c r="BF51" s="1">
        <v>0.73</v>
      </c>
      <c r="BG51" s="1">
        <v>0.73</v>
      </c>
    </row>
    <row r="52" spans="16:59">
      <c r="P52" s="2" t="s">
        <v>5</v>
      </c>
      <c r="Q52" s="1" t="s">
        <v>49</v>
      </c>
      <c r="R52" s="1" t="s">
        <v>49</v>
      </c>
      <c r="S52" s="1">
        <v>10.24</v>
      </c>
      <c r="U52" s="2" t="s">
        <v>5</v>
      </c>
      <c r="V52" s="1" t="s">
        <v>49</v>
      </c>
      <c r="W52" s="1" t="s">
        <v>49</v>
      </c>
      <c r="X52" s="1">
        <v>0.05</v>
      </c>
      <c r="Z52" s="2" t="s">
        <v>5</v>
      </c>
      <c r="AA52" s="1" t="s">
        <v>49</v>
      </c>
      <c r="AB52" s="1" t="s">
        <v>49</v>
      </c>
      <c r="AC52" s="1">
        <v>1.05</v>
      </c>
      <c r="AE52" s="2" t="s">
        <v>5</v>
      </c>
      <c r="AF52" s="1" t="s">
        <v>49</v>
      </c>
      <c r="AG52" s="1" t="s">
        <v>49</v>
      </c>
      <c r="AH52" s="1">
        <v>9.4700000000000006</v>
      </c>
      <c r="AJ52" s="2" t="s">
        <v>5</v>
      </c>
      <c r="AK52" s="1" t="s">
        <v>49</v>
      </c>
      <c r="AL52" s="1" t="s">
        <v>49</v>
      </c>
      <c r="AM52" s="1">
        <v>0.05</v>
      </c>
      <c r="AO52" s="2" t="s">
        <v>5</v>
      </c>
      <c r="AP52" s="1" t="s">
        <v>49</v>
      </c>
      <c r="AQ52" s="1" t="s">
        <v>49</v>
      </c>
      <c r="AR52" s="1">
        <v>0.91</v>
      </c>
      <c r="AT52" s="2" t="s">
        <v>5</v>
      </c>
      <c r="AU52" s="1" t="s">
        <v>49</v>
      </c>
      <c r="AV52" s="1" t="s">
        <v>49</v>
      </c>
      <c r="AW52" s="1">
        <v>8.73</v>
      </c>
      <c r="AY52" s="2" t="s">
        <v>5</v>
      </c>
      <c r="AZ52" s="1" t="s">
        <v>49</v>
      </c>
      <c r="BA52" s="1" t="s">
        <v>49</v>
      </c>
      <c r="BB52" s="1">
        <v>0.05</v>
      </c>
      <c r="BD52" s="2" t="s">
        <v>5</v>
      </c>
      <c r="BE52" s="1" t="s">
        <v>49</v>
      </c>
      <c r="BF52" s="1" t="s">
        <v>49</v>
      </c>
      <c r="BG52" s="1">
        <v>0.77</v>
      </c>
    </row>
    <row r="53" spans="16:59">
      <c r="P53" s="3" t="s">
        <v>137</v>
      </c>
      <c r="Q53" s="6">
        <f>AVERAGE(Q49:Q52)</f>
        <v>14.475000000000001</v>
      </c>
      <c r="R53" s="6">
        <f>AVERAGE(R49:R52)</f>
        <v>13.546666666666667</v>
      </c>
      <c r="S53" s="6">
        <f>AVERAGE(S49:S52)</f>
        <v>10.903333333333334</v>
      </c>
      <c r="U53" s="3" t="s">
        <v>137</v>
      </c>
      <c r="V53" s="6">
        <f>AVERAGE(V49:V52)</f>
        <v>0.27</v>
      </c>
      <c r="W53" s="6">
        <f>AVERAGE(W49:W52)</f>
        <v>0.20000000000000004</v>
      </c>
      <c r="X53" s="6">
        <f>AVERAGE(X49:X52)</f>
        <v>8.666666666666667E-2</v>
      </c>
      <c r="Z53" s="3" t="s">
        <v>137</v>
      </c>
      <c r="AA53" s="6">
        <f>AVERAGE(AA49:AA52)</f>
        <v>1.1099999999999999</v>
      </c>
      <c r="AB53" s="6">
        <f>AVERAGE(AB49:AB52)</f>
        <v>1.0833333333333333</v>
      </c>
      <c r="AC53" s="6">
        <f>AVERAGE(AC49:AC52)</f>
        <v>1.0433333333333332</v>
      </c>
      <c r="AE53" s="3" t="s">
        <v>137</v>
      </c>
      <c r="AF53" s="6">
        <f>AVERAGE(AF49:AF52)</f>
        <v>13.225000000000001</v>
      </c>
      <c r="AG53" s="6">
        <f>AVERAGE(AG49:AG52)</f>
        <v>12.436666666666667</v>
      </c>
      <c r="AH53" s="6">
        <f>AVERAGE(AH49:AH52)</f>
        <v>10.043333333333335</v>
      </c>
      <c r="AJ53" s="3" t="s">
        <v>137</v>
      </c>
      <c r="AK53" s="6">
        <f>AVERAGE(AK49:AK52)</f>
        <v>0.25</v>
      </c>
      <c r="AL53" s="6">
        <f>AVERAGE(AL49:AL52)</f>
        <v>0.18333333333333335</v>
      </c>
      <c r="AM53" s="6">
        <f>AVERAGE(AM49:AM52)</f>
        <v>7.6666666666666661E-2</v>
      </c>
      <c r="AO53" s="3" t="s">
        <v>137</v>
      </c>
      <c r="AP53" s="6">
        <f>AVERAGE(AP49:AP52)</f>
        <v>0.97</v>
      </c>
      <c r="AQ53" s="6">
        <f>AVERAGE(AQ49:AQ52)</f>
        <v>0.94</v>
      </c>
      <c r="AR53" s="6">
        <f>AVERAGE(AR49:AR52)</f>
        <v>0.9</v>
      </c>
      <c r="AT53" s="3" t="s">
        <v>137</v>
      </c>
      <c r="AU53" s="6">
        <f>AVERAGE(AU49:AU52)</f>
        <v>11.975000000000001</v>
      </c>
      <c r="AV53" s="6">
        <f>AVERAGE(AV49:AV52)</f>
        <v>11.283333333333333</v>
      </c>
      <c r="AW53" s="6">
        <f>AVERAGE(AW49:AW52)</f>
        <v>9.1633333333333322</v>
      </c>
      <c r="AY53" s="3" t="s">
        <v>137</v>
      </c>
      <c r="AZ53" s="6">
        <f>AVERAGE(AZ49:AZ52)</f>
        <v>0.23499999999999999</v>
      </c>
      <c r="BA53" s="6">
        <f>AVERAGE(BA49:BA52)</f>
        <v>0.17333333333333334</v>
      </c>
      <c r="BB53" s="6">
        <f>AVERAGE(BB49:BB52)</f>
        <v>7.333333333333332E-2</v>
      </c>
      <c r="BD53" s="3" t="s">
        <v>137</v>
      </c>
      <c r="BE53" s="6">
        <f>AVERAGE(BE49:BE52)</f>
        <v>0.82499999999999996</v>
      </c>
      <c r="BF53" s="6">
        <f>AVERAGE(BF49:BF52)</f>
        <v>0.79333333333333333</v>
      </c>
      <c r="BG53" s="6">
        <f>AVERAGE(BG49:BG52)</f>
        <v>0.7533333333333333</v>
      </c>
    </row>
    <row r="55" spans="16:59">
      <c r="P55" s="47" t="s">
        <v>68</v>
      </c>
      <c r="Q55" s="47"/>
      <c r="R55" s="47"/>
      <c r="S55" s="47"/>
      <c r="U55" s="47" t="s">
        <v>60</v>
      </c>
      <c r="V55" s="47"/>
      <c r="W55" s="47"/>
      <c r="X55" s="47"/>
      <c r="AE55" s="47" t="s">
        <v>68</v>
      </c>
      <c r="AF55" s="47"/>
      <c r="AG55" s="47"/>
      <c r="AH55" s="47"/>
      <c r="AJ55" s="47" t="s">
        <v>60</v>
      </c>
      <c r="AK55" s="47"/>
      <c r="AL55" s="47"/>
      <c r="AM55" s="47"/>
      <c r="AT55" s="47" t="s">
        <v>68</v>
      </c>
      <c r="AU55" s="47"/>
      <c r="AV55" s="47"/>
      <c r="AW55" s="47"/>
      <c r="AY55" s="47" t="s">
        <v>60</v>
      </c>
      <c r="AZ55" s="47"/>
      <c r="BA55" s="47"/>
      <c r="BB55" s="47"/>
    </row>
    <row r="56" spans="16:59">
      <c r="P56" s="2"/>
      <c r="Q56" s="2">
        <v>2000</v>
      </c>
      <c r="R56" s="2">
        <v>2007</v>
      </c>
      <c r="S56" s="2">
        <v>2015</v>
      </c>
      <c r="U56" s="2"/>
      <c r="V56" s="2">
        <v>2000</v>
      </c>
      <c r="W56" s="2">
        <v>2007</v>
      </c>
      <c r="X56" s="2">
        <v>2015</v>
      </c>
      <c r="Z56" s="52" t="s">
        <v>61</v>
      </c>
      <c r="AA56" s="52"/>
      <c r="AB56" s="52"/>
      <c r="AC56" s="52"/>
      <c r="AE56" s="2"/>
      <c r="AF56" s="2">
        <v>2000</v>
      </c>
      <c r="AG56" s="2">
        <v>2007</v>
      </c>
      <c r="AH56" s="2">
        <v>2015</v>
      </c>
      <c r="AJ56" s="2"/>
      <c r="AK56" s="2">
        <v>2000</v>
      </c>
      <c r="AL56" s="2">
        <v>2007</v>
      </c>
      <c r="AM56" s="2">
        <v>2015</v>
      </c>
      <c r="AO56" s="52" t="s">
        <v>61</v>
      </c>
      <c r="AP56" s="52"/>
      <c r="AQ56" s="52"/>
      <c r="AR56" s="52"/>
      <c r="AT56" s="2"/>
      <c r="AU56" s="2">
        <v>2000</v>
      </c>
      <c r="AV56" s="2">
        <v>2007</v>
      </c>
      <c r="AW56" s="2">
        <v>2015</v>
      </c>
      <c r="AY56" s="2"/>
      <c r="AZ56" s="2">
        <v>2000</v>
      </c>
      <c r="BA56" s="2">
        <v>2007</v>
      </c>
      <c r="BB56" s="2">
        <v>2015</v>
      </c>
      <c r="BD56" s="52" t="s">
        <v>61</v>
      </c>
      <c r="BE56" s="52"/>
      <c r="BF56" s="52"/>
      <c r="BG56" s="52"/>
    </row>
    <row r="57" spans="16:59">
      <c r="P57" s="2" t="s">
        <v>6</v>
      </c>
      <c r="Q57" s="1">
        <v>2.21</v>
      </c>
      <c r="R57" s="1">
        <v>2.19</v>
      </c>
      <c r="S57" s="1" t="s">
        <v>49</v>
      </c>
      <c r="U57" s="2" t="s">
        <v>6</v>
      </c>
      <c r="V57" s="24">
        <f>(460.77/835)*100</f>
        <v>55.182035928143712</v>
      </c>
      <c r="W57" s="24">
        <f>(460.77/835)*100</f>
        <v>55.182035928143712</v>
      </c>
      <c r="X57" s="24" t="s">
        <v>49</v>
      </c>
      <c r="Z57" s="2" t="s">
        <v>6</v>
      </c>
      <c r="AA57" s="24">
        <f>V65*1000/(V57*8.35)</f>
        <v>3.1555873863315753</v>
      </c>
      <c r="AB57" s="24">
        <f t="shared" ref="AB57:AC60" si="2">W65*1000/(W57*8.35)</f>
        <v>3.1555873863315753</v>
      </c>
      <c r="AC57" s="24"/>
      <c r="AE57" s="2" t="s">
        <v>6</v>
      </c>
      <c r="AF57" s="1">
        <v>2.02</v>
      </c>
      <c r="AG57" s="1">
        <v>2.0099999999999998</v>
      </c>
      <c r="AH57" s="1" t="s">
        <v>49</v>
      </c>
      <c r="AJ57" s="2" t="s">
        <v>6</v>
      </c>
      <c r="AK57" s="24">
        <f>(428.62/835)*100</f>
        <v>51.331736526946102</v>
      </c>
      <c r="AL57" s="24">
        <f>(428.62/835)*100</f>
        <v>51.331736526946102</v>
      </c>
      <c r="AM57" s="24" t="s">
        <v>49</v>
      </c>
      <c r="AO57" s="2" t="s">
        <v>6</v>
      </c>
      <c r="AP57" s="24">
        <f>AK65*1000/(AK57*8.35)</f>
        <v>3.1566422472119831</v>
      </c>
      <c r="AQ57" s="24">
        <f t="shared" ref="AQ57:AR60" si="3">AL65*1000/(AL57*8.35)</f>
        <v>3.1566422472119831</v>
      </c>
      <c r="AR57" s="24"/>
      <c r="AT57" s="2" t="s">
        <v>6</v>
      </c>
      <c r="AU57" s="1">
        <v>1.83</v>
      </c>
      <c r="AV57" s="1">
        <v>1.82</v>
      </c>
      <c r="AW57" s="1" t="s">
        <v>49</v>
      </c>
      <c r="AY57" s="2" t="s">
        <v>6</v>
      </c>
      <c r="AZ57" s="24">
        <f>(399.84/835)*100</f>
        <v>47.885029940119757</v>
      </c>
      <c r="BA57" s="24">
        <f>(399.84/835)*100</f>
        <v>47.885029940119757</v>
      </c>
      <c r="BB57" s="24" t="s">
        <v>49</v>
      </c>
      <c r="BD57" s="2" t="s">
        <v>6</v>
      </c>
      <c r="BE57" s="24">
        <f>AZ65*1000/(AZ57*8.35)</f>
        <v>3.158763505402161</v>
      </c>
      <c r="BF57" s="24">
        <f t="shared" ref="BF57:BG60" si="4">BA65*1000/(BA57*8.35)</f>
        <v>3.158763505402161</v>
      </c>
      <c r="BG57" s="24"/>
    </row>
    <row r="58" spans="16:59">
      <c r="P58" s="2" t="s">
        <v>3</v>
      </c>
      <c r="Q58" s="1">
        <v>1.37</v>
      </c>
      <c r="R58" s="1">
        <v>1.36</v>
      </c>
      <c r="S58" s="1">
        <v>1.34</v>
      </c>
      <c r="U58" s="2" t="s">
        <v>3</v>
      </c>
      <c r="V58" s="24">
        <f>(393.85/835)*100</f>
        <v>47.167664670658688</v>
      </c>
      <c r="W58" s="24">
        <f>(393.85/835)*100</f>
        <v>47.167664670658688</v>
      </c>
      <c r="X58" s="24">
        <f>(393.85/835)*100</f>
        <v>47.167664670658688</v>
      </c>
      <c r="Z58" s="2" t="s">
        <v>3</v>
      </c>
      <c r="AA58" s="24">
        <f t="shared" ref="AA58" si="5">V66*1000/(V58*8.35)</f>
        <v>3.1560238669544241</v>
      </c>
      <c r="AB58" s="24">
        <f t="shared" si="2"/>
        <v>3.1565484067538403</v>
      </c>
      <c r="AC58" s="24">
        <f t="shared" si="2"/>
        <v>3.1565484067538403</v>
      </c>
      <c r="AE58" s="2" t="s">
        <v>3</v>
      </c>
      <c r="AF58" s="1">
        <v>1.25</v>
      </c>
      <c r="AG58" s="1">
        <v>1.24</v>
      </c>
      <c r="AH58" s="1">
        <v>1.22</v>
      </c>
      <c r="AJ58" s="2" t="s">
        <v>3</v>
      </c>
      <c r="AK58" s="24">
        <f>(358.15/835)*100</f>
        <v>42.892215568862277</v>
      </c>
      <c r="AL58" s="24">
        <f>(358.15/835)*100</f>
        <v>42.892215568862277</v>
      </c>
      <c r="AM58" s="24">
        <f>(358.15/835)*100</f>
        <v>42.892215568862277</v>
      </c>
      <c r="AO58" s="2" t="s">
        <v>3</v>
      </c>
      <c r="AP58" s="24">
        <f t="shared" ref="AP58" si="6">AK66*1000/(AK58*8.35)</f>
        <v>3.1578947368421053</v>
      </c>
      <c r="AQ58" s="24">
        <f t="shared" si="3"/>
        <v>3.1578947368421053</v>
      </c>
      <c r="AR58" s="24">
        <f t="shared" si="3"/>
        <v>3.1578947368421053</v>
      </c>
      <c r="AT58" s="2" t="s">
        <v>3</v>
      </c>
      <c r="AU58" s="1">
        <v>1.1299999999999999</v>
      </c>
      <c r="AV58" s="1">
        <v>1.1200000000000001</v>
      </c>
      <c r="AW58" s="1">
        <v>1.1000000000000001</v>
      </c>
      <c r="AY58" s="2" t="s">
        <v>3</v>
      </c>
      <c r="AZ58" s="24">
        <f>(323.73/835)*100</f>
        <v>38.770059880239522</v>
      </c>
      <c r="BA58" s="24">
        <f>(323.73/835)*100</f>
        <v>38.770059880239522</v>
      </c>
      <c r="BB58" s="24">
        <f>(323.73/835)*100</f>
        <v>38.770059880239522</v>
      </c>
      <c r="BD58" s="2" t="s">
        <v>3</v>
      </c>
      <c r="BE58" s="24">
        <f t="shared" ref="BE58" si="7">AZ66*1000/(AZ58*8.35)</f>
        <v>3.1569517808049916</v>
      </c>
      <c r="BF58" s="24">
        <f t="shared" si="4"/>
        <v>3.1569517808049916</v>
      </c>
      <c r="BG58" s="24">
        <f t="shared" si="4"/>
        <v>3.1569517808049916</v>
      </c>
    </row>
    <row r="59" spans="16:59">
      <c r="P59" s="2" t="s">
        <v>4</v>
      </c>
      <c r="Q59" s="1" t="s">
        <v>49</v>
      </c>
      <c r="R59" s="1">
        <v>1.47</v>
      </c>
      <c r="S59" s="1">
        <v>1.44</v>
      </c>
      <c r="U59" s="2" t="s">
        <v>4</v>
      </c>
      <c r="V59" s="25" t="s">
        <v>49</v>
      </c>
      <c r="W59" s="24">
        <f>(379.26/835)*100</f>
        <v>45.420359281437122</v>
      </c>
      <c r="X59" s="24">
        <f>(379.26/835)*100</f>
        <v>45.420359281437122</v>
      </c>
      <c r="Z59" s="2" t="s">
        <v>4</v>
      </c>
      <c r="AA59" s="24"/>
      <c r="AB59" s="24">
        <f t="shared" si="2"/>
        <v>3.1551598903127145</v>
      </c>
      <c r="AC59" s="24">
        <f t="shared" si="2"/>
        <v>3.1551598903127145</v>
      </c>
      <c r="AE59" s="2" t="s">
        <v>4</v>
      </c>
      <c r="AF59" s="1" t="s">
        <v>49</v>
      </c>
      <c r="AG59" s="1">
        <v>1.36</v>
      </c>
      <c r="AH59" s="1">
        <v>1.34</v>
      </c>
      <c r="AJ59" s="2" t="s">
        <v>4</v>
      </c>
      <c r="AK59" s="25" t="s">
        <v>49</v>
      </c>
      <c r="AL59" s="24">
        <f>(343.34/835)*100</f>
        <v>41.118562874251495</v>
      </c>
      <c r="AM59" s="24">
        <f>(343.34/835)*100</f>
        <v>41.118562874251495</v>
      </c>
      <c r="AO59" s="2" t="s">
        <v>4</v>
      </c>
      <c r="AP59" s="24"/>
      <c r="AQ59" s="24">
        <f t="shared" si="3"/>
        <v>3.1543076833459547</v>
      </c>
      <c r="AR59" s="24">
        <f t="shared" si="3"/>
        <v>3.1543076833459547</v>
      </c>
      <c r="AT59" s="2" t="s">
        <v>4</v>
      </c>
      <c r="AU59" s="1" t="s">
        <v>49</v>
      </c>
      <c r="AV59" s="1">
        <v>1.24</v>
      </c>
      <c r="AW59" s="1">
        <v>1.22</v>
      </c>
      <c r="AY59" s="2" t="s">
        <v>4</v>
      </c>
      <c r="AZ59" s="25" t="s">
        <v>49</v>
      </c>
      <c r="BA59" s="24">
        <f>(308.09/835)*100</f>
        <v>36.897005988023949</v>
      </c>
      <c r="BB59" s="24">
        <f>(308.09/835)*100</f>
        <v>36.897005988023949</v>
      </c>
      <c r="BD59" s="2" t="s">
        <v>4</v>
      </c>
      <c r="BE59" s="24"/>
      <c r="BF59" s="24">
        <f t="shared" si="4"/>
        <v>3.1549222629751048</v>
      </c>
      <c r="BG59" s="24">
        <f t="shared" si="4"/>
        <v>3.1549222629751048</v>
      </c>
    </row>
    <row r="60" spans="16:59">
      <c r="P60" s="2" t="s">
        <v>5</v>
      </c>
      <c r="Q60" s="1" t="s">
        <v>49</v>
      </c>
      <c r="R60" s="1" t="s">
        <v>49</v>
      </c>
      <c r="S60" s="1">
        <v>1.67</v>
      </c>
      <c r="U60" s="2" t="s">
        <v>5</v>
      </c>
      <c r="V60" s="24" t="s">
        <v>49</v>
      </c>
      <c r="W60" s="24" t="s">
        <v>49</v>
      </c>
      <c r="X60" s="24">
        <f>(395.14/835)*100</f>
        <v>47.32215568862275</v>
      </c>
      <c r="Z60" s="2" t="s">
        <v>5</v>
      </c>
      <c r="AA60" s="24"/>
      <c r="AB60" s="24"/>
      <c r="AC60" s="24">
        <f t="shared" si="2"/>
        <v>3.1534687199473601</v>
      </c>
      <c r="AE60" s="2" t="s">
        <v>5</v>
      </c>
      <c r="AF60" s="1" t="s">
        <v>49</v>
      </c>
      <c r="AG60" s="1" t="s">
        <v>49</v>
      </c>
      <c r="AH60" s="1">
        <v>1.54</v>
      </c>
      <c r="AJ60" s="2" t="s">
        <v>5</v>
      </c>
      <c r="AK60" s="24" t="s">
        <v>49</v>
      </c>
      <c r="AL60" s="24" t="s">
        <v>49</v>
      </c>
      <c r="AM60" s="24">
        <f>(360.61/835)*100</f>
        <v>43.186826347305391</v>
      </c>
      <c r="AO60" s="2" t="s">
        <v>5</v>
      </c>
      <c r="AP60" s="24"/>
      <c r="AQ60" s="24"/>
      <c r="AR60" s="24">
        <f t="shared" si="3"/>
        <v>3.1529907656470977</v>
      </c>
      <c r="AT60" s="2" t="s">
        <v>5</v>
      </c>
      <c r="AU60" s="1" t="s">
        <v>49</v>
      </c>
      <c r="AV60" s="1" t="s">
        <v>49</v>
      </c>
      <c r="AW60" s="1">
        <v>1.42</v>
      </c>
      <c r="AY60" s="2" t="s">
        <v>5</v>
      </c>
      <c r="AZ60" s="24" t="s">
        <v>49</v>
      </c>
      <c r="BA60" s="24" t="s">
        <v>49</v>
      </c>
      <c r="BB60" s="24">
        <f>(326.54/835)*100</f>
        <v>39.106586826347304</v>
      </c>
      <c r="BD60" s="2" t="s">
        <v>5</v>
      </c>
      <c r="BE60" s="24"/>
      <c r="BF60" s="24"/>
      <c r="BG60" s="24">
        <f t="shared" si="4"/>
        <v>3.1542843143259636</v>
      </c>
    </row>
    <row r="61" spans="16:59">
      <c r="P61" s="3" t="s">
        <v>137</v>
      </c>
      <c r="Q61" s="6">
        <f>AVERAGE(Q57:Q60)</f>
        <v>1.79</v>
      </c>
      <c r="R61" s="6">
        <f>AVERAGE(R57:R60)</f>
        <v>1.6733333333333331</v>
      </c>
      <c r="S61" s="6">
        <f>AVERAGE(S57:S60)</f>
        <v>1.4833333333333334</v>
      </c>
      <c r="U61" s="3" t="s">
        <v>137</v>
      </c>
      <c r="V61" s="24">
        <f>AVERAGE(V57:V60)</f>
        <v>51.1748502994012</v>
      </c>
      <c r="W61" s="24">
        <f t="shared" ref="W61:X61" si="8">AVERAGE(W57:W60)</f>
        <v>49.256686626746507</v>
      </c>
      <c r="X61" s="24">
        <f t="shared" si="8"/>
        <v>46.636726546906182</v>
      </c>
      <c r="Z61" s="26"/>
      <c r="AE61" s="3" t="s">
        <v>137</v>
      </c>
      <c r="AF61" s="6">
        <f>AVERAGE(AF57:AF60)</f>
        <v>1.635</v>
      </c>
      <c r="AG61" s="6">
        <f>AVERAGE(AG57:AG60)</f>
        <v>1.5366666666666668</v>
      </c>
      <c r="AH61" s="6">
        <f>AVERAGE(AH57:AH60)</f>
        <v>1.3666666666666665</v>
      </c>
      <c r="AJ61" s="3" t="s">
        <v>137</v>
      </c>
      <c r="AK61" s="24">
        <f>AVERAGE(AK57:AK60)</f>
        <v>47.111976047904193</v>
      </c>
      <c r="AL61" s="24">
        <f t="shared" ref="AL61:AM61" si="9">AVERAGE(AL57:AL60)</f>
        <v>45.114171656686629</v>
      </c>
      <c r="AM61" s="24">
        <f t="shared" si="9"/>
        <v>42.399201596806385</v>
      </c>
      <c r="AO61" s="26"/>
      <c r="AT61" s="3" t="s">
        <v>137</v>
      </c>
      <c r="AU61" s="6">
        <f>AVERAGE(AU57:AU60)</f>
        <v>1.48</v>
      </c>
      <c r="AV61" s="6">
        <f>AVERAGE(AV57:AV60)</f>
        <v>1.3933333333333335</v>
      </c>
      <c r="AW61" s="6">
        <f>AVERAGE(AW57:AW60)</f>
        <v>1.2466666666666668</v>
      </c>
      <c r="AY61" s="3" t="s">
        <v>137</v>
      </c>
      <c r="AZ61" s="24">
        <f>AVERAGE(AZ57:AZ60)</f>
        <v>43.32754491017964</v>
      </c>
      <c r="BA61" s="24">
        <f t="shared" ref="BA61:BB61" si="10">AVERAGE(BA57:BA60)</f>
        <v>41.184031936127745</v>
      </c>
      <c r="BB61" s="24">
        <f t="shared" si="10"/>
        <v>38.257884231536927</v>
      </c>
      <c r="BD61" s="26"/>
    </row>
    <row r="63" spans="16:59">
      <c r="P63" s="47" t="s">
        <v>69</v>
      </c>
      <c r="Q63" s="47"/>
      <c r="R63" s="47"/>
      <c r="S63" s="47"/>
      <c r="U63" s="47" t="s">
        <v>59</v>
      </c>
      <c r="V63" s="47"/>
      <c r="W63" s="47"/>
      <c r="X63" s="47"/>
      <c r="Z63" s="53" t="s">
        <v>77</v>
      </c>
      <c r="AA63" s="53"/>
      <c r="AB63" s="53"/>
      <c r="AC63" s="53"/>
      <c r="AE63" s="47" t="s">
        <v>69</v>
      </c>
      <c r="AF63" s="47"/>
      <c r="AG63" s="47"/>
      <c r="AH63" s="47"/>
      <c r="AJ63" s="47" t="s">
        <v>59</v>
      </c>
      <c r="AK63" s="47"/>
      <c r="AL63" s="47"/>
      <c r="AM63" s="47"/>
      <c r="AO63" s="53" t="s">
        <v>77</v>
      </c>
      <c r="AP63" s="53"/>
      <c r="AQ63" s="53"/>
      <c r="AR63" s="53"/>
      <c r="AT63" s="47" t="s">
        <v>69</v>
      </c>
      <c r="AU63" s="47"/>
      <c r="AV63" s="47"/>
      <c r="AW63" s="47"/>
      <c r="AY63" s="47" t="s">
        <v>59</v>
      </c>
      <c r="AZ63" s="47"/>
      <c r="BA63" s="47"/>
      <c r="BB63" s="47"/>
      <c r="BD63" s="53" t="s">
        <v>77</v>
      </c>
      <c r="BE63" s="53"/>
      <c r="BF63" s="53"/>
      <c r="BG63" s="53"/>
    </row>
    <row r="64" spans="16:59">
      <c r="P64" s="2"/>
      <c r="Q64" s="2">
        <v>2000</v>
      </c>
      <c r="R64" s="2">
        <v>2007</v>
      </c>
      <c r="S64" s="2">
        <v>2015</v>
      </c>
      <c r="U64" s="2"/>
      <c r="V64" s="2">
        <v>2000</v>
      </c>
      <c r="W64" s="2">
        <v>2007</v>
      </c>
      <c r="X64" s="2">
        <v>2015</v>
      </c>
      <c r="Z64" s="2" t="s">
        <v>6</v>
      </c>
      <c r="AA64" s="6">
        <f>(V65/V57)*100</f>
        <v>2.6349154675868656</v>
      </c>
      <c r="AB64" s="6">
        <f t="shared" ref="AB64:AC67" si="11">(W65/W57)*100</f>
        <v>2.6349154675868656</v>
      </c>
      <c r="AC64" s="6"/>
      <c r="AE64" s="2"/>
      <c r="AF64" s="2">
        <v>2000</v>
      </c>
      <c r="AG64" s="2">
        <v>2007</v>
      </c>
      <c r="AH64" s="2">
        <v>2015</v>
      </c>
      <c r="AJ64" s="2"/>
      <c r="AK64" s="2">
        <v>2000</v>
      </c>
      <c r="AL64" s="2">
        <v>2007</v>
      </c>
      <c r="AM64" s="2">
        <v>2015</v>
      </c>
      <c r="AO64" s="2" t="s">
        <v>6</v>
      </c>
      <c r="AP64" s="6">
        <f>(AK65/AK57)*100</f>
        <v>2.6357962764220058</v>
      </c>
      <c r="AQ64" s="6">
        <f t="shared" ref="AQ64:AR67" si="12">(AL65/AL57)*100</f>
        <v>2.6357962764220058</v>
      </c>
      <c r="AR64" s="6"/>
      <c r="AT64" s="2"/>
      <c r="AU64" s="2">
        <v>2000</v>
      </c>
      <c r="AV64" s="2">
        <v>2007</v>
      </c>
      <c r="AW64" s="2">
        <v>2015</v>
      </c>
      <c r="AY64" s="2"/>
      <c r="AZ64" s="2">
        <v>2000</v>
      </c>
      <c r="BA64" s="2">
        <v>2007</v>
      </c>
      <c r="BB64" s="2">
        <v>2015</v>
      </c>
      <c r="BD64" s="2" t="s">
        <v>6</v>
      </c>
      <c r="BE64" s="6">
        <f>(AZ65/AZ57)*100</f>
        <v>2.6375675270108041</v>
      </c>
      <c r="BF64" s="6">
        <f t="shared" ref="BF64:BG67" si="13">(BA65/BA57)*100</f>
        <v>2.6375675270108041</v>
      </c>
      <c r="BG64" s="6"/>
    </row>
    <row r="65" spans="16:59">
      <c r="P65" s="2" t="s">
        <v>6</v>
      </c>
      <c r="Q65" s="1">
        <v>0.03</v>
      </c>
      <c r="R65" s="1">
        <v>0.03</v>
      </c>
      <c r="S65" s="1" t="s">
        <v>49</v>
      </c>
      <c r="U65" s="2" t="s">
        <v>6</v>
      </c>
      <c r="V65" s="24">
        <v>1.454</v>
      </c>
      <c r="W65" s="24">
        <v>1.454</v>
      </c>
      <c r="X65" s="1" t="s">
        <v>49</v>
      </c>
      <c r="Z65" s="2" t="s">
        <v>3</v>
      </c>
      <c r="AA65" s="6">
        <f t="shared" ref="AA65" si="14">(V66/V58)*100</f>
        <v>2.635279928906944</v>
      </c>
      <c r="AB65" s="6">
        <f t="shared" si="11"/>
        <v>2.6357179196394567</v>
      </c>
      <c r="AC65" s="6">
        <f t="shared" si="11"/>
        <v>2.6357179196394567</v>
      </c>
      <c r="AE65" s="2" t="s">
        <v>6</v>
      </c>
      <c r="AF65" s="1">
        <v>0.03</v>
      </c>
      <c r="AG65" s="1">
        <v>0.03</v>
      </c>
      <c r="AH65" s="1" t="s">
        <v>49</v>
      </c>
      <c r="AJ65" s="2" t="s">
        <v>6</v>
      </c>
      <c r="AK65" s="24">
        <v>1.353</v>
      </c>
      <c r="AL65" s="24">
        <v>1.353</v>
      </c>
      <c r="AM65" s="1" t="s">
        <v>49</v>
      </c>
      <c r="AO65" s="2" t="s">
        <v>3</v>
      </c>
      <c r="AP65" s="6">
        <f t="shared" ref="AP65" si="15">(AK66/AK58)*100</f>
        <v>2.6368421052631579</v>
      </c>
      <c r="AQ65" s="6">
        <f t="shared" si="12"/>
        <v>2.6368421052631579</v>
      </c>
      <c r="AR65" s="6">
        <f t="shared" si="12"/>
        <v>2.6368421052631579</v>
      </c>
      <c r="AT65" s="2" t="s">
        <v>6</v>
      </c>
      <c r="AU65" s="1">
        <v>0.03</v>
      </c>
      <c r="AV65" s="1">
        <v>0.03</v>
      </c>
      <c r="AW65" s="1" t="s">
        <v>49</v>
      </c>
      <c r="AY65" s="2" t="s">
        <v>6</v>
      </c>
      <c r="AZ65" s="24">
        <v>1.2629999999999999</v>
      </c>
      <c r="BA65" s="24">
        <v>1.2629999999999999</v>
      </c>
      <c r="BB65" s="1" t="s">
        <v>49</v>
      </c>
      <c r="BD65" s="2" t="s">
        <v>3</v>
      </c>
      <c r="BE65" s="6">
        <f t="shared" ref="BE65" si="16">(AZ66/AZ58)*100</f>
        <v>2.6360547369721683</v>
      </c>
      <c r="BF65" s="6">
        <f t="shared" si="13"/>
        <v>2.6360547369721683</v>
      </c>
      <c r="BG65" s="6">
        <f t="shared" si="13"/>
        <v>2.6360547369721683</v>
      </c>
    </row>
    <row r="66" spans="16:59">
      <c r="P66" s="2" t="s">
        <v>3</v>
      </c>
      <c r="Q66" s="1">
        <v>0.01</v>
      </c>
      <c r="R66" s="1">
        <v>0.01</v>
      </c>
      <c r="S66" s="1">
        <v>0.01</v>
      </c>
      <c r="U66" s="2" t="s">
        <v>3</v>
      </c>
      <c r="V66" s="24">
        <v>1.2430000000000001</v>
      </c>
      <c r="W66" s="24">
        <f>1243206.59/1000000</f>
        <v>1.24320659</v>
      </c>
      <c r="X66" s="24">
        <f>1243206.59/1000000</f>
        <v>1.24320659</v>
      </c>
      <c r="Z66" s="2" t="s">
        <v>4</v>
      </c>
      <c r="AA66" s="6"/>
      <c r="AB66" s="6">
        <f t="shared" si="11"/>
        <v>2.6345585084111165</v>
      </c>
      <c r="AC66" s="6">
        <f t="shared" si="11"/>
        <v>2.6345585084111165</v>
      </c>
      <c r="AE66" s="2" t="s">
        <v>3</v>
      </c>
      <c r="AF66" s="1">
        <v>0.01</v>
      </c>
      <c r="AG66" s="1">
        <v>0.01</v>
      </c>
      <c r="AH66" s="1">
        <v>0.01</v>
      </c>
      <c r="AJ66" s="2" t="s">
        <v>3</v>
      </c>
      <c r="AK66" s="24">
        <v>1.131</v>
      </c>
      <c r="AL66" s="24">
        <v>1.131</v>
      </c>
      <c r="AM66" s="24">
        <v>1.131</v>
      </c>
      <c r="AO66" s="2" t="s">
        <v>4</v>
      </c>
      <c r="AP66" s="6"/>
      <c r="AQ66" s="6">
        <f t="shared" si="12"/>
        <v>2.633846915593872</v>
      </c>
      <c r="AR66" s="6">
        <f t="shared" si="12"/>
        <v>2.633846915593872</v>
      </c>
      <c r="AT66" s="2" t="s">
        <v>3</v>
      </c>
      <c r="AU66" s="1">
        <v>0.01</v>
      </c>
      <c r="AV66" s="1">
        <v>0.01</v>
      </c>
      <c r="AW66" s="1">
        <v>0.01</v>
      </c>
      <c r="AY66" s="2" t="s">
        <v>3</v>
      </c>
      <c r="AZ66" s="24">
        <v>1.022</v>
      </c>
      <c r="BA66" s="24">
        <v>1.022</v>
      </c>
      <c r="BB66" s="24">
        <v>1.022</v>
      </c>
      <c r="BD66" s="2" t="s">
        <v>4</v>
      </c>
      <c r="BE66" s="6"/>
      <c r="BF66" s="6">
        <f t="shared" si="13"/>
        <v>2.6343600895842125</v>
      </c>
      <c r="BG66" s="6">
        <f t="shared" si="13"/>
        <v>2.6343600895842125</v>
      </c>
    </row>
    <row r="67" spans="16:59">
      <c r="P67" s="2" t="s">
        <v>4</v>
      </c>
      <c r="Q67" s="1" t="s">
        <v>49</v>
      </c>
      <c r="R67" s="1">
        <v>0.01</v>
      </c>
      <c r="S67" s="1">
        <v>0.01</v>
      </c>
      <c r="U67" s="2" t="s">
        <v>4</v>
      </c>
      <c r="V67" s="1" t="s">
        <v>49</v>
      </c>
      <c r="W67" s="24">
        <f>1196625.94/1000000</f>
        <v>1.1966259399999999</v>
      </c>
      <c r="X67" s="24">
        <f>1196625.94/1000000</f>
        <v>1.1966259399999999</v>
      </c>
      <c r="Z67" s="2" t="s">
        <v>5</v>
      </c>
      <c r="AA67" s="1"/>
      <c r="AB67" s="1"/>
      <c r="AC67" s="6">
        <f t="shared" si="11"/>
        <v>2.6331463811560458</v>
      </c>
      <c r="AE67" s="2" t="s">
        <v>4</v>
      </c>
      <c r="AF67" s="1" t="s">
        <v>49</v>
      </c>
      <c r="AG67" s="1">
        <v>0.01</v>
      </c>
      <c r="AH67" s="1">
        <v>0.01</v>
      </c>
      <c r="AJ67" s="2" t="s">
        <v>4</v>
      </c>
      <c r="AK67" s="1" t="s">
        <v>49</v>
      </c>
      <c r="AL67" s="24">
        <v>1.083</v>
      </c>
      <c r="AM67" s="24">
        <v>1.083</v>
      </c>
      <c r="AO67" s="2" t="s">
        <v>5</v>
      </c>
      <c r="AP67" s="1"/>
      <c r="AQ67" s="1"/>
      <c r="AR67" s="6">
        <f t="shared" si="12"/>
        <v>2.632747289315327</v>
      </c>
      <c r="AT67" s="2" t="s">
        <v>4</v>
      </c>
      <c r="AU67" s="1" t="s">
        <v>49</v>
      </c>
      <c r="AV67" s="1">
        <v>0.01</v>
      </c>
      <c r="AW67" s="1">
        <v>0.01</v>
      </c>
      <c r="AY67" s="2" t="s">
        <v>4</v>
      </c>
      <c r="AZ67" s="1" t="s">
        <v>49</v>
      </c>
      <c r="BA67" s="24">
        <v>0.97199999999999998</v>
      </c>
      <c r="BB67" s="24">
        <v>0.97199999999999998</v>
      </c>
      <c r="BD67" s="2" t="s">
        <v>5</v>
      </c>
      <c r="BE67" s="1"/>
      <c r="BF67" s="1"/>
      <c r="BG67" s="6">
        <f t="shared" si="13"/>
        <v>2.6338274024621793</v>
      </c>
    </row>
    <row r="68" spans="16:59">
      <c r="P68" s="2" t="s">
        <v>5</v>
      </c>
      <c r="Q68" s="1" t="s">
        <v>49</v>
      </c>
      <c r="R68" s="1" t="s">
        <v>49</v>
      </c>
      <c r="S68" s="1">
        <v>0.01</v>
      </c>
      <c r="U68" s="2" t="s">
        <v>5</v>
      </c>
      <c r="V68" s="1" t="s">
        <v>49</v>
      </c>
      <c r="W68" s="1" t="s">
        <v>49</v>
      </c>
      <c r="X68" s="24">
        <f>1246061.63/1000000</f>
        <v>1.2460616299999998</v>
      </c>
      <c r="AE68" s="2" t="s">
        <v>5</v>
      </c>
      <c r="AF68" s="1" t="s">
        <v>49</v>
      </c>
      <c r="AG68" s="1" t="s">
        <v>49</v>
      </c>
      <c r="AH68" s="1">
        <v>0.01</v>
      </c>
      <c r="AJ68" s="2" t="s">
        <v>5</v>
      </c>
      <c r="AK68" s="1" t="s">
        <v>49</v>
      </c>
      <c r="AL68" s="1" t="s">
        <v>49</v>
      </c>
      <c r="AM68" s="24">
        <v>1.137</v>
      </c>
      <c r="AT68" s="2" t="s">
        <v>5</v>
      </c>
      <c r="AU68" s="1" t="s">
        <v>49</v>
      </c>
      <c r="AV68" s="1" t="s">
        <v>49</v>
      </c>
      <c r="AW68" s="1">
        <v>0</v>
      </c>
      <c r="AY68" s="2" t="s">
        <v>5</v>
      </c>
      <c r="AZ68" s="1" t="s">
        <v>49</v>
      </c>
      <c r="BA68" s="1" t="s">
        <v>49</v>
      </c>
      <c r="BB68" s="24">
        <v>1.03</v>
      </c>
    </row>
    <row r="69" spans="16:59">
      <c r="P69" s="3" t="s">
        <v>137</v>
      </c>
      <c r="Q69" s="6">
        <f>AVERAGE(Q65:Q68)</f>
        <v>0.02</v>
      </c>
      <c r="R69" s="6">
        <f>AVERAGE(R65:R68)</f>
        <v>1.6666666666666666E-2</v>
      </c>
      <c r="S69" s="6">
        <f>AVERAGE(S65:S68)</f>
        <v>0.01</v>
      </c>
      <c r="U69" s="3" t="s">
        <v>137</v>
      </c>
      <c r="V69" s="24">
        <f>AVERAGE(V65:V68)</f>
        <v>1.3485</v>
      </c>
      <c r="W69" s="24">
        <f t="shared" ref="W69:X69" si="17">AVERAGE(W65:W68)</f>
        <v>1.2979441766666666</v>
      </c>
      <c r="X69" s="24">
        <f t="shared" si="17"/>
        <v>1.2286313866666665</v>
      </c>
      <c r="AE69" s="3" t="s">
        <v>137</v>
      </c>
      <c r="AF69" s="6">
        <f>AVERAGE(AF65:AF68)</f>
        <v>0.02</v>
      </c>
      <c r="AG69" s="6">
        <f>AVERAGE(AG65:AG68)</f>
        <v>1.6666666666666666E-2</v>
      </c>
      <c r="AH69" s="6">
        <f>AVERAGE(AH65:AH68)</f>
        <v>0.01</v>
      </c>
      <c r="AJ69" s="3" t="s">
        <v>137</v>
      </c>
      <c r="AK69" s="24">
        <f>AVERAGE(AK65:AK68)</f>
        <v>1.242</v>
      </c>
      <c r="AL69" s="24">
        <f t="shared" ref="AL69:AM69" si="18">AVERAGE(AL65:AL68)</f>
        <v>1.1890000000000001</v>
      </c>
      <c r="AM69" s="24">
        <f t="shared" si="18"/>
        <v>1.117</v>
      </c>
      <c r="AT69" s="3" t="s">
        <v>137</v>
      </c>
      <c r="AU69" s="6">
        <f>AVERAGE(AU65:AU68)</f>
        <v>0.02</v>
      </c>
      <c r="AV69" s="6">
        <f>AVERAGE(AV65:AV68)</f>
        <v>1.6666666666666666E-2</v>
      </c>
      <c r="AW69" s="6">
        <f>AVERAGE(AW65:AW68)</f>
        <v>6.6666666666666671E-3</v>
      </c>
      <c r="AY69" s="3" t="s">
        <v>137</v>
      </c>
      <c r="AZ69" s="24">
        <f>AVERAGE(AZ65:AZ68)</f>
        <v>1.1425000000000001</v>
      </c>
      <c r="BA69" s="24">
        <f t="shared" ref="BA69:BB69" si="19">AVERAGE(BA65:BA68)</f>
        <v>1.0856666666666668</v>
      </c>
      <c r="BB69" s="24">
        <f t="shared" si="19"/>
        <v>1.008</v>
      </c>
    </row>
    <row r="72" spans="16:59">
      <c r="S72" s="47" t="s">
        <v>70</v>
      </c>
      <c r="T72" s="47"/>
      <c r="U72" s="47"/>
      <c r="V72" s="47"/>
      <c r="AH72" s="47" t="s">
        <v>70</v>
      </c>
      <c r="AI72" s="47"/>
      <c r="AJ72" s="47"/>
      <c r="AK72" s="47"/>
      <c r="AW72" s="47" t="s">
        <v>70</v>
      </c>
      <c r="AX72" s="47"/>
      <c r="AY72" s="47"/>
      <c r="AZ72" s="47"/>
    </row>
    <row r="73" spans="16:59">
      <c r="S73" s="2"/>
      <c r="T73" s="2">
        <v>2000</v>
      </c>
      <c r="U73" s="2">
        <v>2007</v>
      </c>
      <c r="V73" s="2">
        <v>2015</v>
      </c>
      <c r="AH73" s="2"/>
      <c r="AI73" s="2">
        <v>2000</v>
      </c>
      <c r="AJ73" s="2">
        <v>2007</v>
      </c>
      <c r="AK73" s="2">
        <v>2015</v>
      </c>
      <c r="AW73" s="2"/>
      <c r="AX73" s="2">
        <v>2000</v>
      </c>
      <c r="AY73" s="2">
        <v>2007</v>
      </c>
      <c r="AZ73" s="2">
        <v>2015</v>
      </c>
    </row>
    <row r="74" spans="16:59">
      <c r="S74" s="2" t="s">
        <v>6</v>
      </c>
      <c r="T74" s="1">
        <v>0.41</v>
      </c>
      <c r="U74" s="1">
        <v>0.41</v>
      </c>
      <c r="V74" s="1" t="s">
        <v>49</v>
      </c>
      <c r="AH74" s="2" t="s">
        <v>6</v>
      </c>
      <c r="AI74" s="1">
        <v>0.39</v>
      </c>
      <c r="AJ74" s="1">
        <v>0.39</v>
      </c>
      <c r="AK74" s="1" t="s">
        <v>49</v>
      </c>
      <c r="AW74" s="2" t="s">
        <v>6</v>
      </c>
      <c r="AX74" s="1">
        <v>0.36</v>
      </c>
      <c r="AY74" s="1">
        <v>0.36</v>
      </c>
      <c r="AZ74" s="1" t="s">
        <v>49</v>
      </c>
    </row>
    <row r="75" spans="16:59">
      <c r="S75" s="2" t="s">
        <v>3</v>
      </c>
      <c r="T75" s="1">
        <v>0.35</v>
      </c>
      <c r="U75" s="1">
        <v>0.35</v>
      </c>
      <c r="V75" s="1">
        <v>0.36</v>
      </c>
      <c r="AH75" s="2" t="s">
        <v>3</v>
      </c>
      <c r="AI75" s="1">
        <v>0.32</v>
      </c>
      <c r="AJ75" s="1">
        <v>0.32</v>
      </c>
      <c r="AK75" s="1">
        <v>0.33</v>
      </c>
      <c r="AW75" s="2" t="s">
        <v>3</v>
      </c>
      <c r="AX75" s="1">
        <v>0.28999999999999998</v>
      </c>
      <c r="AY75" s="1">
        <v>0.28999999999999998</v>
      </c>
      <c r="AZ75" s="1">
        <v>0.3</v>
      </c>
    </row>
    <row r="76" spans="16:59">
      <c r="S76" s="2" t="s">
        <v>4</v>
      </c>
      <c r="T76" s="1" t="s">
        <v>49</v>
      </c>
      <c r="U76" s="1">
        <v>0.34</v>
      </c>
      <c r="V76" s="1">
        <v>0.35</v>
      </c>
      <c r="AH76" s="2" t="s">
        <v>4</v>
      </c>
      <c r="AI76" s="1" t="s">
        <v>49</v>
      </c>
      <c r="AJ76" s="1">
        <v>0.31</v>
      </c>
      <c r="AK76" s="1">
        <v>0.32</v>
      </c>
      <c r="AW76" s="2" t="s">
        <v>4</v>
      </c>
      <c r="AX76" s="1" t="s">
        <v>49</v>
      </c>
      <c r="AY76" s="1">
        <v>0.28000000000000003</v>
      </c>
      <c r="AZ76" s="1">
        <v>0.28000000000000003</v>
      </c>
    </row>
    <row r="77" spans="16:59">
      <c r="S77" s="2" t="s">
        <v>5</v>
      </c>
      <c r="T77" s="1" t="s">
        <v>49</v>
      </c>
      <c r="U77" s="1" t="s">
        <v>49</v>
      </c>
      <c r="V77" s="1">
        <v>0.37</v>
      </c>
      <c r="AH77" s="2" t="s">
        <v>5</v>
      </c>
      <c r="AI77" s="1" t="s">
        <v>49</v>
      </c>
      <c r="AJ77" s="1" t="s">
        <v>49</v>
      </c>
      <c r="AK77" s="1">
        <v>0.33</v>
      </c>
      <c r="AW77" s="2" t="s">
        <v>5</v>
      </c>
      <c r="AX77" s="1" t="s">
        <v>49</v>
      </c>
      <c r="AY77" s="1" t="s">
        <v>49</v>
      </c>
      <c r="AZ77" s="1">
        <v>0.3</v>
      </c>
    </row>
    <row r="78" spans="16:59">
      <c r="S78" s="3" t="s">
        <v>137</v>
      </c>
      <c r="T78" s="6">
        <f>AVERAGE(T74:T77)</f>
        <v>0.38</v>
      </c>
      <c r="U78" s="6">
        <f>AVERAGE(U74:U77)</f>
        <v>0.3666666666666667</v>
      </c>
      <c r="V78" s="6">
        <f>AVERAGE(V74:V77)</f>
        <v>0.36000000000000004</v>
      </c>
      <c r="AH78" s="3" t="s">
        <v>137</v>
      </c>
      <c r="AI78" s="6">
        <f>AVERAGE(AI74:AI77)</f>
        <v>0.35499999999999998</v>
      </c>
      <c r="AJ78" s="6">
        <f>AVERAGE(AJ74:AJ77)</f>
        <v>0.34</v>
      </c>
      <c r="AK78" s="6">
        <f>AVERAGE(AK74:AK77)</f>
        <v>0.32666666666666666</v>
      </c>
      <c r="AW78" s="3" t="s">
        <v>137</v>
      </c>
      <c r="AX78" s="6">
        <f>AVERAGE(AX74:AX77)</f>
        <v>0.32499999999999996</v>
      </c>
      <c r="AY78" s="6">
        <f>AVERAGE(AY74:AY77)</f>
        <v>0.31</v>
      </c>
      <c r="AZ78" s="6">
        <f>AVERAGE(AZ74:AZ77)</f>
        <v>0.29333333333333339</v>
      </c>
    </row>
  </sheetData>
  <mergeCells count="98">
    <mergeCell ref="B3:C3"/>
    <mergeCell ref="E3:H3"/>
    <mergeCell ref="J3:M3"/>
    <mergeCell ref="Q3:AB3"/>
    <mergeCell ref="AF3:AQ3"/>
    <mergeCell ref="AT5:BB5"/>
    <mergeCell ref="BD5:BG5"/>
    <mergeCell ref="AU3:BF3"/>
    <mergeCell ref="BK3:BS4"/>
    <mergeCell ref="E2:H2"/>
    <mergeCell ref="AY7:BB7"/>
    <mergeCell ref="BD7:BG7"/>
    <mergeCell ref="BN5:BP5"/>
    <mergeCell ref="BQ5:BS5"/>
    <mergeCell ref="P7:S7"/>
    <mergeCell ref="U7:X7"/>
    <mergeCell ref="Z7:AC7"/>
    <mergeCell ref="AE7:AH7"/>
    <mergeCell ref="AJ7:AM7"/>
    <mergeCell ref="AO7:AR7"/>
    <mergeCell ref="AT7:AW7"/>
    <mergeCell ref="BK5:BM5"/>
    <mergeCell ref="P5:X5"/>
    <mergeCell ref="Z5:AC5"/>
    <mergeCell ref="AE5:AM5"/>
    <mergeCell ref="AO5:AR5"/>
    <mergeCell ref="BD15:BG15"/>
    <mergeCell ref="E10:H10"/>
    <mergeCell ref="J11:M11"/>
    <mergeCell ref="J12:M12"/>
    <mergeCell ref="P15:S15"/>
    <mergeCell ref="U15:X15"/>
    <mergeCell ref="Z15:AC15"/>
    <mergeCell ref="AE15:AH15"/>
    <mergeCell ref="AJ15:AM15"/>
    <mergeCell ref="E17:H17"/>
    <mergeCell ref="J17:M17"/>
    <mergeCell ref="AO15:AR15"/>
    <mergeCell ref="AT15:AW15"/>
    <mergeCell ref="AY15:BB15"/>
    <mergeCell ref="AO23:AR23"/>
    <mergeCell ref="AT23:AW23"/>
    <mergeCell ref="AY23:BB23"/>
    <mergeCell ref="BD23:BG23"/>
    <mergeCell ref="J23:M23"/>
    <mergeCell ref="P23:S23"/>
    <mergeCell ref="U23:X23"/>
    <mergeCell ref="Z23:AC23"/>
    <mergeCell ref="AE23:AH23"/>
    <mergeCell ref="AJ23:AM23"/>
    <mergeCell ref="AT31:AW31"/>
    <mergeCell ref="AY31:BB31"/>
    <mergeCell ref="BD31:BG31"/>
    <mergeCell ref="P31:S31"/>
    <mergeCell ref="U31:X31"/>
    <mergeCell ref="Z31:AC31"/>
    <mergeCell ref="AE31:AH31"/>
    <mergeCell ref="AJ31:AM31"/>
    <mergeCell ref="AO31:AR31"/>
    <mergeCell ref="AY39:BB39"/>
    <mergeCell ref="BD39:BG39"/>
    <mergeCell ref="P39:S39"/>
    <mergeCell ref="U39:X39"/>
    <mergeCell ref="Z39:AC39"/>
    <mergeCell ref="AE39:AH39"/>
    <mergeCell ref="AJ39:AM39"/>
    <mergeCell ref="AO39:AR39"/>
    <mergeCell ref="AT39:AW39"/>
    <mergeCell ref="BD47:BG47"/>
    <mergeCell ref="P47:S47"/>
    <mergeCell ref="U47:X47"/>
    <mergeCell ref="Z47:AC47"/>
    <mergeCell ref="AE47:AH47"/>
    <mergeCell ref="AJ47:AM47"/>
    <mergeCell ref="AO47:AR47"/>
    <mergeCell ref="AT47:AW47"/>
    <mergeCell ref="AY47:BB47"/>
    <mergeCell ref="Z56:AC56"/>
    <mergeCell ref="AO56:AR56"/>
    <mergeCell ref="BD56:BG56"/>
    <mergeCell ref="P55:S55"/>
    <mergeCell ref="U55:X55"/>
    <mergeCell ref="AE55:AH55"/>
    <mergeCell ref="AJ55:AM55"/>
    <mergeCell ref="AT55:AW55"/>
    <mergeCell ref="AY55:BB55"/>
    <mergeCell ref="S72:V72"/>
    <mergeCell ref="AH72:AK72"/>
    <mergeCell ref="AW72:AZ72"/>
    <mergeCell ref="BD63:BG63"/>
    <mergeCell ref="P63:S63"/>
    <mergeCell ref="U63:X63"/>
    <mergeCell ref="Z63:AC63"/>
    <mergeCell ref="AE63:AH63"/>
    <mergeCell ref="AJ63:AM63"/>
    <mergeCell ref="AO63:AR63"/>
    <mergeCell ref="AT63:AW63"/>
    <mergeCell ref="AY63:BB6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Y78"/>
  <sheetViews>
    <sheetView topLeftCell="AA1" workbookViewId="0">
      <selection activeCell="BV6" sqref="BV6"/>
    </sheetView>
  </sheetViews>
  <sheetFormatPr baseColWidth="10" defaultRowHeight="14" x14ac:dyDescent="0"/>
  <cols>
    <col min="2" max="2" width="29.6640625" bestFit="1" customWidth="1"/>
    <col min="5" max="5" width="13" bestFit="1" customWidth="1"/>
    <col min="6" max="8" width="5" bestFit="1" customWidth="1"/>
    <col min="13" max="13" width="23.6640625" bestFit="1" customWidth="1"/>
    <col min="29" max="29" width="12" bestFit="1" customWidth="1"/>
    <col min="44" max="44" width="12" bestFit="1" customWidth="1"/>
    <col min="63" max="64" width="18.5" customWidth="1"/>
    <col min="65" max="65" width="18.6640625" customWidth="1"/>
    <col min="66" max="66" width="18.5" customWidth="1"/>
    <col min="67" max="67" width="20.1640625" customWidth="1"/>
    <col min="68" max="68" width="21.1640625" customWidth="1"/>
    <col min="69" max="69" width="19.1640625" customWidth="1"/>
    <col min="70" max="70" width="17.83203125" customWidth="1"/>
    <col min="71" max="71" width="23.5" customWidth="1"/>
    <col min="72" max="72" width="20" customWidth="1"/>
    <col min="73" max="73" width="8.6640625" bestFit="1" customWidth="1"/>
    <col min="74" max="74" width="10.5" bestFit="1" customWidth="1"/>
    <col min="75" max="75" width="9.5" bestFit="1" customWidth="1"/>
    <col min="76" max="76" width="8.5" bestFit="1" customWidth="1"/>
    <col min="77" max="77" width="20.5" customWidth="1"/>
  </cols>
  <sheetData>
    <row r="2" spans="2:77" ht="15" thickBot="1">
      <c r="E2" s="51" t="s">
        <v>25</v>
      </c>
      <c r="F2" s="51"/>
      <c r="G2" s="51"/>
      <c r="H2" s="51"/>
    </row>
    <row r="3" spans="2:77">
      <c r="B3" s="47" t="s">
        <v>11</v>
      </c>
      <c r="C3" s="47"/>
      <c r="E3" s="47" t="s">
        <v>7</v>
      </c>
      <c r="F3" s="47"/>
      <c r="G3" s="47"/>
      <c r="H3" s="47"/>
      <c r="J3" s="47" t="s">
        <v>50</v>
      </c>
      <c r="K3" s="47"/>
      <c r="L3" s="47"/>
      <c r="M3" s="47"/>
      <c r="Q3" s="47" t="s">
        <v>58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F3" s="47" t="s">
        <v>98</v>
      </c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U3" s="47" t="s">
        <v>99</v>
      </c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J3" s="14"/>
      <c r="BK3" s="54"/>
      <c r="BL3" s="55"/>
      <c r="BM3" s="55"/>
      <c r="BN3" s="55"/>
      <c r="BO3" s="55"/>
      <c r="BP3" s="55"/>
      <c r="BQ3" s="55"/>
      <c r="BR3" s="55"/>
      <c r="BS3" s="56"/>
      <c r="BT3" s="29"/>
      <c r="BU3" s="29"/>
      <c r="BV3" s="29"/>
      <c r="BW3" s="29"/>
      <c r="BX3" s="29"/>
      <c r="BY3" s="29"/>
    </row>
    <row r="4" spans="2:77" ht="15" thickBot="1">
      <c r="B4" s="2" t="s">
        <v>10</v>
      </c>
      <c r="C4" s="1">
        <v>0.5</v>
      </c>
      <c r="E4" s="2"/>
      <c r="F4" s="2">
        <v>2000</v>
      </c>
      <c r="G4" s="2">
        <v>2007</v>
      </c>
      <c r="H4" s="2">
        <v>2015</v>
      </c>
      <c r="J4" s="2"/>
      <c r="K4" s="2">
        <v>2000</v>
      </c>
      <c r="L4" s="2">
        <v>2007</v>
      </c>
      <c r="M4" s="2">
        <v>2015</v>
      </c>
      <c r="BJ4" s="15"/>
      <c r="BK4" s="57"/>
      <c r="BL4" s="58"/>
      <c r="BM4" s="58"/>
      <c r="BN4" s="58"/>
      <c r="BO4" s="58"/>
      <c r="BP4" s="58"/>
      <c r="BQ4" s="58"/>
      <c r="BR4" s="58"/>
      <c r="BS4" s="59"/>
      <c r="BT4" s="30"/>
      <c r="BU4" s="30"/>
      <c r="BV4" s="30"/>
      <c r="BW4" s="30"/>
      <c r="BX4" s="30"/>
      <c r="BY4" s="30"/>
    </row>
    <row r="5" spans="2:77">
      <c r="B5" s="2" t="s">
        <v>12</v>
      </c>
      <c r="C5" s="1">
        <f>C4*2</f>
        <v>1</v>
      </c>
      <c r="E5" s="2" t="s">
        <v>6</v>
      </c>
      <c r="F5" s="1">
        <v>0</v>
      </c>
      <c r="G5" s="1">
        <v>0</v>
      </c>
      <c r="H5" s="1">
        <v>0</v>
      </c>
      <c r="J5" s="2" t="s">
        <v>6</v>
      </c>
      <c r="K5" s="1">
        <f>F5+F12+F19</f>
        <v>115</v>
      </c>
      <c r="L5" s="1">
        <f t="shared" ref="L5:M8" si="0">G5+G12+G19</f>
        <v>125</v>
      </c>
      <c r="M5" s="1">
        <f t="shared" si="0"/>
        <v>0</v>
      </c>
      <c r="P5" s="47" t="s">
        <v>78</v>
      </c>
      <c r="Q5" s="47"/>
      <c r="R5" s="47"/>
      <c r="S5" s="47"/>
      <c r="T5" s="47"/>
      <c r="U5" s="47"/>
      <c r="V5" s="47"/>
      <c r="W5" s="47"/>
      <c r="X5" s="47"/>
      <c r="Z5" s="47" t="s">
        <v>23</v>
      </c>
      <c r="AA5" s="47"/>
      <c r="AB5" s="47"/>
      <c r="AC5" s="47"/>
      <c r="AE5" s="47" t="s">
        <v>78</v>
      </c>
      <c r="AF5" s="47"/>
      <c r="AG5" s="47"/>
      <c r="AH5" s="47"/>
      <c r="AI5" s="47"/>
      <c r="AJ5" s="47"/>
      <c r="AK5" s="47"/>
      <c r="AL5" s="47"/>
      <c r="AM5" s="47"/>
      <c r="AO5" s="47" t="s">
        <v>23</v>
      </c>
      <c r="AP5" s="47"/>
      <c r="AQ5" s="47"/>
      <c r="AR5" s="47"/>
      <c r="AT5" s="47" t="s">
        <v>81</v>
      </c>
      <c r="AU5" s="47"/>
      <c r="AV5" s="47"/>
      <c r="AW5" s="47"/>
      <c r="AX5" s="47"/>
      <c r="AY5" s="47"/>
      <c r="AZ5" s="47"/>
      <c r="BA5" s="47"/>
      <c r="BB5" s="47"/>
      <c r="BD5" s="47" t="s">
        <v>23</v>
      </c>
      <c r="BE5" s="47"/>
      <c r="BF5" s="47"/>
      <c r="BG5" s="47"/>
      <c r="BJ5" s="15"/>
      <c r="BK5" s="60" t="s">
        <v>95</v>
      </c>
      <c r="BL5" s="61"/>
      <c r="BM5" s="62"/>
      <c r="BN5" s="60" t="s">
        <v>100</v>
      </c>
      <c r="BO5" s="61"/>
      <c r="BP5" s="62"/>
      <c r="BQ5" s="60" t="s">
        <v>101</v>
      </c>
      <c r="BR5" s="61"/>
      <c r="BS5" s="62"/>
    </row>
    <row r="6" spans="2:77" ht="15" thickBot="1">
      <c r="B6" s="2" t="s">
        <v>14</v>
      </c>
      <c r="C6" s="1">
        <v>2.5000000000000001E-2</v>
      </c>
      <c r="E6" s="2" t="s">
        <v>3</v>
      </c>
      <c r="F6" s="1">
        <v>35</v>
      </c>
      <c r="G6" s="1">
        <v>35</v>
      </c>
      <c r="H6" s="1">
        <v>0</v>
      </c>
      <c r="J6" s="2" t="s">
        <v>3</v>
      </c>
      <c r="K6" s="1">
        <f t="shared" ref="K6:K8" si="1">F6+F13+F20</f>
        <v>82</v>
      </c>
      <c r="L6" s="1">
        <f t="shared" si="0"/>
        <v>65</v>
      </c>
      <c r="M6" s="1">
        <f t="shared" si="0"/>
        <v>31</v>
      </c>
      <c r="BJ6" s="18"/>
      <c r="BK6" s="12">
        <v>2000</v>
      </c>
      <c r="BL6" s="8">
        <v>2007</v>
      </c>
      <c r="BM6" s="13">
        <v>2015</v>
      </c>
      <c r="BN6" s="12">
        <v>2000</v>
      </c>
      <c r="BO6" s="8">
        <v>2007</v>
      </c>
      <c r="BP6" s="13">
        <v>2015</v>
      </c>
      <c r="BQ6" s="12">
        <v>2000</v>
      </c>
      <c r="BR6" s="8">
        <v>2007</v>
      </c>
      <c r="BS6" s="13">
        <v>2015</v>
      </c>
      <c r="BU6" s="32"/>
      <c r="BV6" s="32" t="s">
        <v>142</v>
      </c>
      <c r="BW6" s="32" t="s">
        <v>141</v>
      </c>
      <c r="BX6" s="32" t="s">
        <v>143</v>
      </c>
    </row>
    <row r="7" spans="2:77">
      <c r="B7" s="2" t="s">
        <v>15</v>
      </c>
      <c r="C7" s="1">
        <f>C6*2</f>
        <v>0.05</v>
      </c>
      <c r="E7" s="2" t="s">
        <v>4</v>
      </c>
      <c r="F7" s="1">
        <v>0</v>
      </c>
      <c r="G7" s="1">
        <v>12</v>
      </c>
      <c r="H7" s="1">
        <v>16</v>
      </c>
      <c r="J7" s="2" t="s">
        <v>4</v>
      </c>
      <c r="K7" s="1">
        <f t="shared" si="1"/>
        <v>0</v>
      </c>
      <c r="L7" s="1">
        <f t="shared" si="0"/>
        <v>49</v>
      </c>
      <c r="M7" s="1">
        <f t="shared" si="0"/>
        <v>136</v>
      </c>
      <c r="P7" s="47" t="s">
        <v>62</v>
      </c>
      <c r="Q7" s="47"/>
      <c r="R7" s="47"/>
      <c r="S7" s="47"/>
      <c r="U7" s="47" t="s">
        <v>76</v>
      </c>
      <c r="V7" s="47"/>
      <c r="W7" s="47"/>
      <c r="X7" s="47"/>
      <c r="Z7" s="47" t="s">
        <v>52</v>
      </c>
      <c r="AA7" s="47"/>
      <c r="AB7" s="47"/>
      <c r="AC7" s="47"/>
      <c r="AE7" s="47" t="s">
        <v>62</v>
      </c>
      <c r="AF7" s="47"/>
      <c r="AG7" s="47"/>
      <c r="AH7" s="47"/>
      <c r="AJ7" s="47" t="s">
        <v>76</v>
      </c>
      <c r="AK7" s="47"/>
      <c r="AL7" s="47"/>
      <c r="AM7" s="47"/>
      <c r="AO7" s="47" t="s">
        <v>52</v>
      </c>
      <c r="AP7" s="47"/>
      <c r="AQ7" s="47"/>
      <c r="AR7" s="47"/>
      <c r="AT7" s="47" t="s">
        <v>62</v>
      </c>
      <c r="AU7" s="47"/>
      <c r="AV7" s="47"/>
      <c r="AW7" s="47"/>
      <c r="AY7" s="47" t="s">
        <v>76</v>
      </c>
      <c r="AZ7" s="47"/>
      <c r="BA7" s="47"/>
      <c r="BB7" s="47"/>
      <c r="BD7" s="47" t="s">
        <v>52</v>
      </c>
      <c r="BE7" s="47"/>
      <c r="BF7" s="47"/>
      <c r="BG7" s="47"/>
      <c r="BJ7" s="19" t="s">
        <v>26</v>
      </c>
      <c r="BK7" s="39">
        <f>Q13</f>
        <v>5.2700000000000005</v>
      </c>
      <c r="BL7" s="40">
        <f>R13</f>
        <v>4.6866666666666665</v>
      </c>
      <c r="BM7" s="41">
        <f>S13</f>
        <v>3.89</v>
      </c>
      <c r="BN7" s="39">
        <f>AF13</f>
        <v>4.46</v>
      </c>
      <c r="BO7" s="40">
        <f>AG13</f>
        <v>3.9333333333333336</v>
      </c>
      <c r="BP7" s="41">
        <f>AH13</f>
        <v>3.2166666666666668</v>
      </c>
      <c r="BQ7" s="39">
        <f>AU13</f>
        <v>3.4799999999999995</v>
      </c>
      <c r="BR7" s="40">
        <f>AV13</f>
        <v>3.0066666666666664</v>
      </c>
      <c r="BS7" s="41">
        <f>AW13</f>
        <v>2.3466666666666662</v>
      </c>
      <c r="BU7" s="32" t="s">
        <v>127</v>
      </c>
      <c r="BV7" s="31">
        <f>BK21</f>
        <v>51.1748502994012</v>
      </c>
      <c r="BW7" s="31">
        <f>BN21</f>
        <v>45.419760479041912</v>
      </c>
      <c r="BX7" s="31">
        <f>BQ21</f>
        <v>38.23473053892215</v>
      </c>
    </row>
    <row r="8" spans="2:77">
      <c r="B8" s="2" t="s">
        <v>13</v>
      </c>
      <c r="C8" s="6"/>
      <c r="E8" s="2" t="s">
        <v>5</v>
      </c>
      <c r="F8" s="1">
        <v>0</v>
      </c>
      <c r="G8" s="1">
        <v>0</v>
      </c>
      <c r="H8" s="1">
        <v>35</v>
      </c>
      <c r="J8" s="2" t="s">
        <v>5</v>
      </c>
      <c r="K8" s="1">
        <f t="shared" si="1"/>
        <v>0</v>
      </c>
      <c r="L8" s="1">
        <f t="shared" si="0"/>
        <v>0</v>
      </c>
      <c r="M8" s="1">
        <f t="shared" si="0"/>
        <v>97</v>
      </c>
      <c r="P8" s="2"/>
      <c r="Q8" s="2">
        <v>2000</v>
      </c>
      <c r="R8" s="2">
        <v>2007</v>
      </c>
      <c r="S8" s="2">
        <v>2015</v>
      </c>
      <c r="U8" s="2"/>
      <c r="V8" s="2">
        <v>2000</v>
      </c>
      <c r="W8" s="2">
        <v>2007</v>
      </c>
      <c r="X8" s="2">
        <v>2015</v>
      </c>
      <c r="Z8" s="2"/>
      <c r="AA8" s="2">
        <v>2000</v>
      </c>
      <c r="AB8" s="2">
        <v>2007</v>
      </c>
      <c r="AC8" s="2">
        <v>2015</v>
      </c>
      <c r="AE8" s="2"/>
      <c r="AF8" s="2">
        <v>2000</v>
      </c>
      <c r="AG8" s="2">
        <v>2007</v>
      </c>
      <c r="AH8" s="2">
        <v>2015</v>
      </c>
      <c r="AJ8" s="2"/>
      <c r="AK8" s="2">
        <v>2000</v>
      </c>
      <c r="AL8" s="2">
        <v>2007</v>
      </c>
      <c r="AM8" s="2">
        <v>2015</v>
      </c>
      <c r="AO8" s="2"/>
      <c r="AP8" s="2">
        <v>2000</v>
      </c>
      <c r="AQ8" s="2">
        <v>2007</v>
      </c>
      <c r="AR8" s="2">
        <v>2015</v>
      </c>
      <c r="AT8" s="2"/>
      <c r="AU8" s="2">
        <v>2000</v>
      </c>
      <c r="AV8" s="2">
        <v>2007</v>
      </c>
      <c r="AW8" s="2">
        <v>2015</v>
      </c>
      <c r="AY8" s="2"/>
      <c r="AZ8" s="2">
        <v>2000</v>
      </c>
      <c r="BA8" s="2">
        <v>2007</v>
      </c>
      <c r="BB8" s="2">
        <v>2015</v>
      </c>
      <c r="BD8" s="2"/>
      <c r="BE8" s="2">
        <v>2000</v>
      </c>
      <c r="BF8" s="2">
        <v>2007</v>
      </c>
      <c r="BG8" s="2">
        <v>2015</v>
      </c>
      <c r="BJ8" s="16" t="s">
        <v>27</v>
      </c>
      <c r="BK8" s="42">
        <f>Q21</f>
        <v>1.665</v>
      </c>
      <c r="BL8" s="24">
        <f>R21</f>
        <v>1.3766666666666667</v>
      </c>
      <c r="BM8" s="43">
        <f>S21</f>
        <v>0.84666666666666668</v>
      </c>
      <c r="BN8" s="42">
        <f>AF21</f>
        <v>1.345</v>
      </c>
      <c r="BO8" s="24">
        <f>AG21</f>
        <v>1.1133333333333333</v>
      </c>
      <c r="BP8" s="43">
        <f>AH21</f>
        <v>0.70333333333333348</v>
      </c>
      <c r="BQ8" s="42">
        <f>AU21</f>
        <v>0.97</v>
      </c>
      <c r="BR8" s="24">
        <f>AV21</f>
        <v>0.80999999999999994</v>
      </c>
      <c r="BS8" s="43">
        <f>AW21</f>
        <v>0.52999999999999992</v>
      </c>
      <c r="BU8" s="32" t="s">
        <v>128</v>
      </c>
      <c r="BV8" s="31">
        <f>BL21</f>
        <v>49.256686626746507</v>
      </c>
      <c r="BW8" s="31">
        <f>BO21</f>
        <v>43.86986027944112</v>
      </c>
      <c r="BX8" s="31">
        <f>BR21</f>
        <v>37.118962075848302</v>
      </c>
    </row>
    <row r="9" spans="2:77">
      <c r="B9" s="2" t="s">
        <v>1</v>
      </c>
      <c r="C9" s="6"/>
      <c r="J9" s="3" t="s">
        <v>24</v>
      </c>
      <c r="K9" s="3">
        <f>K5+K6+K7+K8</f>
        <v>197</v>
      </c>
      <c r="L9" s="3">
        <f>L5+L6+L7+L8</f>
        <v>239</v>
      </c>
      <c r="M9" s="3">
        <f>M5+M6+M7+M8</f>
        <v>264</v>
      </c>
      <c r="P9" s="2" t="s">
        <v>6</v>
      </c>
      <c r="Q9" s="1">
        <v>7.11</v>
      </c>
      <c r="R9" s="1">
        <v>7.27</v>
      </c>
      <c r="S9" s="1" t="s">
        <v>49</v>
      </c>
      <c r="U9" s="2" t="s">
        <v>6</v>
      </c>
      <c r="V9" s="1">
        <v>0</v>
      </c>
      <c r="W9" s="1">
        <v>0</v>
      </c>
      <c r="X9" s="1" t="s">
        <v>49</v>
      </c>
      <c r="Z9" s="2" t="s">
        <v>6</v>
      </c>
      <c r="AA9" s="1">
        <v>0.19</v>
      </c>
      <c r="AB9" s="1">
        <v>0.19</v>
      </c>
      <c r="AC9" s="1" t="s">
        <v>49</v>
      </c>
      <c r="AE9" s="2" t="s">
        <v>6</v>
      </c>
      <c r="AF9" s="1">
        <v>6.04</v>
      </c>
      <c r="AG9" s="1">
        <v>6.17</v>
      </c>
      <c r="AH9" s="1" t="s">
        <v>49</v>
      </c>
      <c r="AJ9" s="2" t="s">
        <v>6</v>
      </c>
      <c r="AK9" s="1">
        <v>0</v>
      </c>
      <c r="AL9" s="1">
        <v>0</v>
      </c>
      <c r="AM9" s="1" t="s">
        <v>49</v>
      </c>
      <c r="AO9" s="2" t="s">
        <v>6</v>
      </c>
      <c r="AP9" s="1">
        <v>0.19</v>
      </c>
      <c r="AQ9" s="1">
        <v>0.19</v>
      </c>
      <c r="AR9" s="1" t="s">
        <v>49</v>
      </c>
      <c r="AT9" s="2" t="s">
        <v>6</v>
      </c>
      <c r="AU9" s="1">
        <v>4.7699999999999996</v>
      </c>
      <c r="AV9" s="1">
        <v>4.87</v>
      </c>
      <c r="AW9" s="1" t="s">
        <v>49</v>
      </c>
      <c r="AY9" s="2" t="s">
        <v>6</v>
      </c>
      <c r="AZ9" s="1">
        <v>0</v>
      </c>
      <c r="BA9" s="1">
        <v>0</v>
      </c>
      <c r="BB9" s="1" t="s">
        <v>49</v>
      </c>
      <c r="BD9" s="2" t="s">
        <v>6</v>
      </c>
      <c r="BE9" s="1">
        <v>0.19</v>
      </c>
      <c r="BF9" s="1">
        <v>0.19</v>
      </c>
      <c r="BG9" s="1" t="s">
        <v>49</v>
      </c>
      <c r="BJ9" s="16" t="s">
        <v>28</v>
      </c>
      <c r="BK9" s="42">
        <f>Q29</f>
        <v>1.4900000000000002</v>
      </c>
      <c r="BL9" s="24">
        <f>R29</f>
        <v>1.22</v>
      </c>
      <c r="BM9" s="43">
        <f>S29</f>
        <v>0.71666666666666667</v>
      </c>
      <c r="BN9" s="42">
        <f>AF29</f>
        <v>1.17</v>
      </c>
      <c r="BO9" s="24">
        <f>AG29</f>
        <v>0.96</v>
      </c>
      <c r="BP9" s="43">
        <f>AH29</f>
        <v>0.56999999999999995</v>
      </c>
      <c r="BQ9" s="42">
        <f>AU29</f>
        <v>0.79499999999999993</v>
      </c>
      <c r="BR9" s="24">
        <f>AV29</f>
        <v>0.66</v>
      </c>
      <c r="BS9" s="43">
        <f>AW29</f>
        <v>0.39999999999999997</v>
      </c>
      <c r="BU9" s="32" t="s">
        <v>129</v>
      </c>
      <c r="BV9" s="31">
        <f>BM21</f>
        <v>46.636726546906182</v>
      </c>
      <c r="BW9" s="31">
        <f>BP21</f>
        <v>41.750499001996012</v>
      </c>
      <c r="BX9" s="31">
        <f>BS21</f>
        <v>35.590019960079843</v>
      </c>
    </row>
    <row r="10" spans="2:77">
      <c r="B10" s="2" t="s">
        <v>2</v>
      </c>
      <c r="C10" s="6"/>
      <c r="E10" s="47" t="s">
        <v>8</v>
      </c>
      <c r="F10" s="47"/>
      <c r="G10" s="47"/>
      <c r="H10" s="47"/>
      <c r="P10" s="2" t="s">
        <v>3</v>
      </c>
      <c r="Q10" s="1">
        <v>3.43</v>
      </c>
      <c r="R10" s="1">
        <v>3.51</v>
      </c>
      <c r="S10" s="1">
        <v>4</v>
      </c>
      <c r="U10" s="2" t="s">
        <v>3</v>
      </c>
      <c r="V10" s="1">
        <v>0</v>
      </c>
      <c r="W10" s="1">
        <v>0</v>
      </c>
      <c r="X10" s="1">
        <v>0</v>
      </c>
      <c r="Z10" s="2" t="s">
        <v>3</v>
      </c>
      <c r="AA10" s="1">
        <v>0.19</v>
      </c>
      <c r="AB10" s="1">
        <v>0.19</v>
      </c>
      <c r="AC10" s="1">
        <v>0.19</v>
      </c>
      <c r="AE10" s="2" t="s">
        <v>3</v>
      </c>
      <c r="AF10" s="1">
        <v>2.88</v>
      </c>
      <c r="AG10" s="1">
        <v>2.95</v>
      </c>
      <c r="AH10" s="1">
        <v>3.36</v>
      </c>
      <c r="AJ10" s="2" t="s">
        <v>3</v>
      </c>
      <c r="AK10" s="1">
        <v>0</v>
      </c>
      <c r="AL10" s="1">
        <v>0</v>
      </c>
      <c r="AM10" s="1">
        <v>0</v>
      </c>
      <c r="AO10" s="2" t="s">
        <v>3</v>
      </c>
      <c r="AP10" s="1">
        <v>0.19</v>
      </c>
      <c r="AQ10" s="1">
        <v>0.19</v>
      </c>
      <c r="AR10" s="1">
        <v>0.19</v>
      </c>
      <c r="AT10" s="2" t="s">
        <v>3</v>
      </c>
      <c r="AU10" s="1">
        <v>2.19</v>
      </c>
      <c r="AV10" s="1">
        <v>2.2400000000000002</v>
      </c>
      <c r="AW10" s="1">
        <v>2.5499999999999998</v>
      </c>
      <c r="AY10" s="2" t="s">
        <v>3</v>
      </c>
      <c r="AZ10" s="1">
        <v>0</v>
      </c>
      <c r="BA10" s="1">
        <v>0</v>
      </c>
      <c r="BB10" s="1">
        <v>0</v>
      </c>
      <c r="BD10" s="2" t="s">
        <v>3</v>
      </c>
      <c r="BE10" s="1">
        <v>0.18</v>
      </c>
      <c r="BF10" s="1">
        <v>0.18</v>
      </c>
      <c r="BG10" s="1">
        <v>0.18</v>
      </c>
      <c r="BJ10" s="16" t="s">
        <v>29</v>
      </c>
      <c r="BK10" s="42">
        <f>Q37</f>
        <v>0.18</v>
      </c>
      <c r="BL10" s="24">
        <f>R37</f>
        <v>0.15666666666666665</v>
      </c>
      <c r="BM10" s="43">
        <f>S37</f>
        <v>0.13</v>
      </c>
      <c r="BN10" s="42">
        <f>AF37</f>
        <v>0.18</v>
      </c>
      <c r="BO10" s="24">
        <f>AG37</f>
        <v>0.15666666666666665</v>
      </c>
      <c r="BP10" s="43">
        <f>AH37</f>
        <v>0.13</v>
      </c>
      <c r="BQ10" s="42">
        <f>AU37</f>
        <v>0.18</v>
      </c>
      <c r="BR10" s="24">
        <f>AV37</f>
        <v>0.15666666666666665</v>
      </c>
      <c r="BS10" s="43">
        <f>AW37</f>
        <v>0.13</v>
      </c>
    </row>
    <row r="11" spans="2:77">
      <c r="B11" s="2" t="s">
        <v>0</v>
      </c>
      <c r="C11" s="6">
        <v>1000</v>
      </c>
      <c r="E11" s="2"/>
      <c r="F11" s="2">
        <v>2000</v>
      </c>
      <c r="G11" s="2">
        <v>2007</v>
      </c>
      <c r="H11" s="2">
        <v>2015</v>
      </c>
      <c r="J11" s="47" t="s">
        <v>51</v>
      </c>
      <c r="K11" s="47"/>
      <c r="L11" s="47"/>
      <c r="M11" s="47"/>
      <c r="P11" s="2" t="s">
        <v>4</v>
      </c>
      <c r="Q11" s="1" t="s">
        <v>49</v>
      </c>
      <c r="R11" s="1">
        <v>3.28</v>
      </c>
      <c r="S11" s="1">
        <v>3.73</v>
      </c>
      <c r="U11" s="2" t="s">
        <v>4</v>
      </c>
      <c r="V11" s="1" t="s">
        <v>49</v>
      </c>
      <c r="W11" s="1">
        <v>0</v>
      </c>
      <c r="X11" s="1">
        <v>0</v>
      </c>
      <c r="Z11" s="2" t="s">
        <v>4</v>
      </c>
      <c r="AA11" s="1" t="s">
        <v>49</v>
      </c>
      <c r="AB11" s="1">
        <v>0.19</v>
      </c>
      <c r="AC11" s="1">
        <v>0.19</v>
      </c>
      <c r="AE11" s="2" t="s">
        <v>4</v>
      </c>
      <c r="AF11" s="1" t="s">
        <v>49</v>
      </c>
      <c r="AG11" s="1">
        <v>2.68</v>
      </c>
      <c r="AH11" s="1">
        <v>3.05</v>
      </c>
      <c r="AJ11" s="2" t="s">
        <v>4</v>
      </c>
      <c r="AK11" s="1" t="s">
        <v>49</v>
      </c>
      <c r="AL11" s="1">
        <v>0</v>
      </c>
      <c r="AM11" s="1">
        <v>0</v>
      </c>
      <c r="AO11" s="2" t="s">
        <v>4</v>
      </c>
      <c r="AP11" s="1" t="s">
        <v>49</v>
      </c>
      <c r="AQ11" s="1">
        <v>0.19</v>
      </c>
      <c r="AR11" s="1">
        <v>0.19</v>
      </c>
      <c r="AT11" s="2" t="s">
        <v>4</v>
      </c>
      <c r="AU11" s="1" t="s">
        <v>49</v>
      </c>
      <c r="AV11" s="1">
        <v>1.91</v>
      </c>
      <c r="AW11" s="1">
        <v>2.17</v>
      </c>
      <c r="AY11" s="2" t="s">
        <v>4</v>
      </c>
      <c r="AZ11" s="1" t="s">
        <v>49</v>
      </c>
      <c r="BA11" s="1">
        <v>0</v>
      </c>
      <c r="BB11" s="1">
        <v>0</v>
      </c>
      <c r="BD11" s="2" t="s">
        <v>4</v>
      </c>
      <c r="BE11" s="1" t="s">
        <v>49</v>
      </c>
      <c r="BF11" s="1">
        <v>0.18</v>
      </c>
      <c r="BG11" s="1">
        <v>0.18</v>
      </c>
      <c r="BJ11" s="16" t="s">
        <v>30</v>
      </c>
      <c r="BK11" s="42">
        <f>Q45</f>
        <v>16.260000000000002</v>
      </c>
      <c r="BL11" s="24">
        <f>R45</f>
        <v>15.22</v>
      </c>
      <c r="BM11" s="43">
        <f>S45</f>
        <v>12.386666666666665</v>
      </c>
      <c r="BN11" s="42">
        <f>AF45</f>
        <v>14.63</v>
      </c>
      <c r="BO11" s="24">
        <f>AG45</f>
        <v>13.646666666666667</v>
      </c>
      <c r="BP11" s="43">
        <f>AH45</f>
        <v>10.9</v>
      </c>
      <c r="BQ11" s="42">
        <f>AU45</f>
        <v>12.54</v>
      </c>
      <c r="BR11" s="24">
        <f>AV45</f>
        <v>11.643333333333333</v>
      </c>
      <c r="BS11" s="43">
        <f>AW45</f>
        <v>9.0733333333333324</v>
      </c>
    </row>
    <row r="12" spans="2:77">
      <c r="E12" s="2" t="s">
        <v>6</v>
      </c>
      <c r="F12" s="1">
        <v>74</v>
      </c>
      <c r="G12" s="1">
        <v>84</v>
      </c>
      <c r="H12" s="1">
        <v>0</v>
      </c>
      <c r="J12" s="47" t="s">
        <v>19</v>
      </c>
      <c r="K12" s="47"/>
      <c r="L12" s="47"/>
      <c r="M12" s="47"/>
      <c r="P12" s="2" t="s">
        <v>5</v>
      </c>
      <c r="Q12" s="1" t="s">
        <v>49</v>
      </c>
      <c r="R12" s="1" t="s">
        <v>49</v>
      </c>
      <c r="S12" s="1">
        <v>3.94</v>
      </c>
      <c r="U12" s="2" t="s">
        <v>5</v>
      </c>
      <c r="V12" s="1" t="s">
        <v>49</v>
      </c>
      <c r="W12" s="1" t="s">
        <v>49</v>
      </c>
      <c r="X12" s="1">
        <v>0</v>
      </c>
      <c r="Z12" s="2" t="s">
        <v>5</v>
      </c>
      <c r="AA12" s="1" t="s">
        <v>49</v>
      </c>
      <c r="AB12" s="1" t="s">
        <v>49</v>
      </c>
      <c r="AC12" s="1">
        <v>0.19</v>
      </c>
      <c r="AE12" s="2" t="s">
        <v>5</v>
      </c>
      <c r="AF12" s="1" t="s">
        <v>49</v>
      </c>
      <c r="AG12" s="1" t="s">
        <v>49</v>
      </c>
      <c r="AH12" s="1">
        <v>3.24</v>
      </c>
      <c r="AJ12" s="2" t="s">
        <v>5</v>
      </c>
      <c r="AK12" s="1" t="s">
        <v>49</v>
      </c>
      <c r="AL12" s="1" t="s">
        <v>49</v>
      </c>
      <c r="AM12" s="1">
        <v>0</v>
      </c>
      <c r="AO12" s="2" t="s">
        <v>5</v>
      </c>
      <c r="AP12" s="1" t="s">
        <v>49</v>
      </c>
      <c r="AQ12" s="1" t="s">
        <v>49</v>
      </c>
      <c r="AR12" s="1">
        <v>0.19</v>
      </c>
      <c r="AT12" s="2" t="s">
        <v>5</v>
      </c>
      <c r="AU12" s="1" t="s">
        <v>49</v>
      </c>
      <c r="AV12" s="1" t="s">
        <v>49</v>
      </c>
      <c r="AW12" s="1">
        <v>2.3199999999999998</v>
      </c>
      <c r="AY12" s="2" t="s">
        <v>5</v>
      </c>
      <c r="AZ12" s="1" t="s">
        <v>49</v>
      </c>
      <c r="BA12" s="1" t="s">
        <v>49</v>
      </c>
      <c r="BB12" s="1">
        <v>0</v>
      </c>
      <c r="BD12" s="2" t="s">
        <v>5</v>
      </c>
      <c r="BE12" s="1" t="s">
        <v>49</v>
      </c>
      <c r="BF12" s="1" t="s">
        <v>49</v>
      </c>
      <c r="BG12" s="1">
        <v>0.18</v>
      </c>
      <c r="BJ12" s="16" t="s">
        <v>31</v>
      </c>
      <c r="BK12" s="42">
        <f>Q53</f>
        <v>14.475000000000001</v>
      </c>
      <c r="BL12" s="24">
        <f>R53</f>
        <v>13.546666666666667</v>
      </c>
      <c r="BM12" s="43">
        <f>S53</f>
        <v>10.903333333333334</v>
      </c>
      <c r="BN12" s="42">
        <f>AF53</f>
        <v>13.024999999999999</v>
      </c>
      <c r="BO12" s="24">
        <f>AG53</f>
        <v>12.143333333333333</v>
      </c>
      <c r="BP12" s="43">
        <f>AH53</f>
        <v>9.6</v>
      </c>
      <c r="BQ12" s="42">
        <f>AU53</f>
        <v>11.16</v>
      </c>
      <c r="BR12" s="24">
        <f>AV53</f>
        <v>10.363333333333332</v>
      </c>
      <c r="BS12" s="43">
        <f>AW53</f>
        <v>7.9933333333333332</v>
      </c>
    </row>
    <row r="13" spans="2:77">
      <c r="E13" s="2" t="s">
        <v>3</v>
      </c>
      <c r="F13" s="1">
        <v>38</v>
      </c>
      <c r="G13" s="1">
        <v>21</v>
      </c>
      <c r="H13" s="1">
        <v>0</v>
      </c>
      <c r="J13" s="2"/>
      <c r="K13" s="2" t="s">
        <v>16</v>
      </c>
      <c r="L13" s="2" t="s">
        <v>17</v>
      </c>
      <c r="M13" s="2" t="s">
        <v>18</v>
      </c>
      <c r="P13" s="3" t="s">
        <v>137</v>
      </c>
      <c r="Q13" s="6">
        <f>AVERAGE(Q9:Q12)</f>
        <v>5.2700000000000005</v>
      </c>
      <c r="R13" s="6">
        <f>AVERAGE(R9:R12)</f>
        <v>4.6866666666666665</v>
      </c>
      <c r="S13" s="6">
        <f>AVERAGE(S9:S12)</f>
        <v>3.89</v>
      </c>
      <c r="U13" s="3" t="s">
        <v>137</v>
      </c>
      <c r="V13" s="6">
        <f>AVERAGE(V9:V12)</f>
        <v>0</v>
      </c>
      <c r="W13" s="6">
        <f>AVERAGE(W9:W12)</f>
        <v>0</v>
      </c>
      <c r="X13" s="6">
        <f>AVERAGE(X9:X12)</f>
        <v>0</v>
      </c>
      <c r="Z13" s="3" t="s">
        <v>137</v>
      </c>
      <c r="AA13" s="6">
        <f>AVERAGE(AA9:AA12)</f>
        <v>0.19</v>
      </c>
      <c r="AB13" s="6">
        <f>AVERAGE(AB9:AB12)</f>
        <v>0.19000000000000003</v>
      </c>
      <c r="AC13" s="6">
        <f>AVERAGE(AC9:AC12)</f>
        <v>0.19000000000000003</v>
      </c>
      <c r="AE13" s="3" t="s">
        <v>137</v>
      </c>
      <c r="AF13" s="6">
        <f>AVERAGE(AF9:AF12)</f>
        <v>4.46</v>
      </c>
      <c r="AG13" s="6">
        <f>AVERAGE(AG9:AG12)</f>
        <v>3.9333333333333336</v>
      </c>
      <c r="AH13" s="6">
        <f>AVERAGE(AH9:AH12)</f>
        <v>3.2166666666666668</v>
      </c>
      <c r="AJ13" s="3" t="s">
        <v>137</v>
      </c>
      <c r="AK13" s="6">
        <f>AVERAGE(AK9:AK12)</f>
        <v>0</v>
      </c>
      <c r="AL13" s="6">
        <f>AVERAGE(AL9:AL12)</f>
        <v>0</v>
      </c>
      <c r="AM13" s="6">
        <f>AVERAGE(AM9:AM12)</f>
        <v>0</v>
      </c>
      <c r="AO13" s="3" t="s">
        <v>137</v>
      </c>
      <c r="AP13" s="6">
        <f>AVERAGE(AP9:AP12)</f>
        <v>0.19</v>
      </c>
      <c r="AQ13" s="6">
        <f>AVERAGE(AQ9:AQ12)</f>
        <v>0.19000000000000003</v>
      </c>
      <c r="AR13" s="6">
        <f>AVERAGE(AR9:AR12)</f>
        <v>0.19000000000000003</v>
      </c>
      <c r="AT13" s="3" t="s">
        <v>137</v>
      </c>
      <c r="AU13" s="6">
        <f>AVERAGE(AU9:AU12)</f>
        <v>3.4799999999999995</v>
      </c>
      <c r="AV13" s="6">
        <f>AVERAGE(AV9:AV12)</f>
        <v>3.0066666666666664</v>
      </c>
      <c r="AW13" s="6">
        <f>AVERAGE(AW9:AW12)</f>
        <v>2.3466666666666662</v>
      </c>
      <c r="AY13" s="3" t="s">
        <v>137</v>
      </c>
      <c r="AZ13" s="6">
        <f>AVERAGE(AZ9:AZ12)</f>
        <v>0</v>
      </c>
      <c r="BA13" s="6">
        <f>AVERAGE(BA9:BA12)</f>
        <v>0</v>
      </c>
      <c r="BB13" s="6">
        <f>AVERAGE(BB9:BB12)</f>
        <v>0</v>
      </c>
      <c r="BD13" s="3" t="s">
        <v>137</v>
      </c>
      <c r="BE13" s="6">
        <f>AVERAGE(BE9:BE12)</f>
        <v>0.185</v>
      </c>
      <c r="BF13" s="6">
        <f>AVERAGE(BF9:BF12)</f>
        <v>0.18333333333333335</v>
      </c>
      <c r="BG13" s="6">
        <f>AVERAGE(BG9:BG12)</f>
        <v>0.18000000000000002</v>
      </c>
      <c r="BJ13" s="16" t="s">
        <v>32</v>
      </c>
      <c r="BK13" s="42">
        <f>Q61</f>
        <v>1.79</v>
      </c>
      <c r="BL13" s="24">
        <f>R61</f>
        <v>1.6733333333333331</v>
      </c>
      <c r="BM13" s="43">
        <f>S61</f>
        <v>1.4833333333333334</v>
      </c>
      <c r="BN13" s="42">
        <f>AF61</f>
        <v>1.6099999999999999</v>
      </c>
      <c r="BO13" s="24">
        <f>AG61</f>
        <v>1.5</v>
      </c>
      <c r="BP13" s="43">
        <f>AH61</f>
        <v>1.3</v>
      </c>
      <c r="BQ13" s="42">
        <f>AU61</f>
        <v>1.38</v>
      </c>
      <c r="BR13" s="24">
        <f>AV61</f>
        <v>1.28</v>
      </c>
      <c r="BS13" s="43">
        <f>AW61</f>
        <v>1.08</v>
      </c>
    </row>
    <row r="14" spans="2:77">
      <c r="E14" s="2" t="s">
        <v>4</v>
      </c>
      <c r="F14" s="1">
        <v>0</v>
      </c>
      <c r="G14" s="1">
        <v>29</v>
      </c>
      <c r="H14" s="1">
        <v>97</v>
      </c>
      <c r="J14" s="2" t="s">
        <v>6</v>
      </c>
      <c r="K14" s="1">
        <v>1000</v>
      </c>
      <c r="L14" s="7">
        <f>C11</f>
        <v>1000</v>
      </c>
      <c r="M14" s="7">
        <f>L14*10</f>
        <v>10000</v>
      </c>
      <c r="BJ14" s="16" t="s">
        <v>48</v>
      </c>
      <c r="BK14" s="42">
        <f>Q69</f>
        <v>0.02</v>
      </c>
      <c r="BL14" s="24">
        <f>R69</f>
        <v>1.6666666666666666E-2</v>
      </c>
      <c r="BM14" s="43">
        <f>S69</f>
        <v>0.01</v>
      </c>
      <c r="BN14" s="42">
        <f>AF69</f>
        <v>0.02</v>
      </c>
      <c r="BO14" s="24">
        <f>AG69</f>
        <v>1.6666666666666666E-2</v>
      </c>
      <c r="BP14" s="43">
        <f>AH69</f>
        <v>0.01</v>
      </c>
      <c r="BQ14" s="42">
        <f>AU69</f>
        <v>0.02</v>
      </c>
      <c r="BR14" s="24">
        <f>AV69</f>
        <v>1.6666666666666666E-2</v>
      </c>
      <c r="BS14" s="43">
        <f>AW69</f>
        <v>6.6666666666666671E-3</v>
      </c>
    </row>
    <row r="15" spans="2:77">
      <c r="E15" s="2" t="s">
        <v>5</v>
      </c>
      <c r="F15" s="1">
        <v>0</v>
      </c>
      <c r="G15" s="1">
        <v>0</v>
      </c>
      <c r="H15" s="1">
        <v>51</v>
      </c>
      <c r="J15" s="2" t="s">
        <v>3</v>
      </c>
      <c r="K15" s="1">
        <v>1000</v>
      </c>
      <c r="L15" s="7">
        <f>C11</f>
        <v>1000</v>
      </c>
      <c r="M15" s="7">
        <f>L15*1</f>
        <v>1000</v>
      </c>
      <c r="P15" s="47" t="s">
        <v>63</v>
      </c>
      <c r="Q15" s="47"/>
      <c r="R15" s="47"/>
      <c r="S15" s="47"/>
      <c r="U15" s="47" t="s">
        <v>75</v>
      </c>
      <c r="V15" s="47"/>
      <c r="W15" s="47"/>
      <c r="X15" s="47"/>
      <c r="Z15" s="47" t="s">
        <v>53</v>
      </c>
      <c r="AA15" s="47"/>
      <c r="AB15" s="47"/>
      <c r="AC15" s="47"/>
      <c r="AE15" s="47" t="s">
        <v>63</v>
      </c>
      <c r="AF15" s="47"/>
      <c r="AG15" s="47"/>
      <c r="AH15" s="47"/>
      <c r="AJ15" s="47" t="s">
        <v>75</v>
      </c>
      <c r="AK15" s="47"/>
      <c r="AL15" s="47"/>
      <c r="AM15" s="47"/>
      <c r="AO15" s="47" t="s">
        <v>53</v>
      </c>
      <c r="AP15" s="47"/>
      <c r="AQ15" s="47"/>
      <c r="AR15" s="47"/>
      <c r="AT15" s="47" t="s">
        <v>63</v>
      </c>
      <c r="AU15" s="47"/>
      <c r="AV15" s="47"/>
      <c r="AW15" s="47"/>
      <c r="AY15" s="47" t="s">
        <v>75</v>
      </c>
      <c r="AZ15" s="47"/>
      <c r="BA15" s="47"/>
      <c r="BB15" s="47"/>
      <c r="BD15" s="47" t="s">
        <v>53</v>
      </c>
      <c r="BE15" s="47"/>
      <c r="BF15" s="47"/>
      <c r="BG15" s="47"/>
      <c r="BJ15" s="16" t="s">
        <v>33</v>
      </c>
      <c r="BK15" s="42">
        <f>V13</f>
        <v>0</v>
      </c>
      <c r="BL15" s="24">
        <f>W13</f>
        <v>0</v>
      </c>
      <c r="BM15" s="43">
        <f>X13</f>
        <v>0</v>
      </c>
      <c r="BN15" s="42">
        <f>AK13</f>
        <v>0</v>
      </c>
      <c r="BO15" s="24">
        <f>AL13</f>
        <v>0</v>
      </c>
      <c r="BP15" s="43">
        <f>AM13</f>
        <v>0</v>
      </c>
      <c r="BQ15" s="42">
        <f>AZ13</f>
        <v>0</v>
      </c>
      <c r="BR15" s="24">
        <f>BA13</f>
        <v>0</v>
      </c>
      <c r="BS15" s="43">
        <f>BB13</f>
        <v>0</v>
      </c>
    </row>
    <row r="16" spans="2:77">
      <c r="H16" s="5"/>
      <c r="J16" s="4"/>
      <c r="K16" s="4"/>
      <c r="L16" s="4"/>
      <c r="M16" s="4"/>
      <c r="P16" s="2"/>
      <c r="Q16" s="2">
        <v>2000</v>
      </c>
      <c r="R16" s="2">
        <v>2007</v>
      </c>
      <c r="S16" s="2">
        <v>2015</v>
      </c>
      <c r="U16" s="2"/>
      <c r="V16" s="2">
        <v>2000</v>
      </c>
      <c r="W16" s="2">
        <v>2007</v>
      </c>
      <c r="X16" s="2">
        <v>2015</v>
      </c>
      <c r="Z16" s="2"/>
      <c r="AA16" s="2">
        <v>2000</v>
      </c>
      <c r="AB16" s="2">
        <v>2007</v>
      </c>
      <c r="AC16" s="2">
        <v>2015</v>
      </c>
      <c r="AE16" s="2"/>
      <c r="AF16" s="2">
        <v>2000</v>
      </c>
      <c r="AG16" s="2">
        <v>2007</v>
      </c>
      <c r="AH16" s="2">
        <v>2015</v>
      </c>
      <c r="AJ16" s="2"/>
      <c r="AK16" s="2">
        <v>2000</v>
      </c>
      <c r="AL16" s="2">
        <v>2007</v>
      </c>
      <c r="AM16" s="2">
        <v>2015</v>
      </c>
      <c r="AO16" s="2"/>
      <c r="AP16" s="2">
        <v>2000</v>
      </c>
      <c r="AQ16" s="2">
        <v>2007</v>
      </c>
      <c r="AR16" s="2">
        <v>2015</v>
      </c>
      <c r="AT16" s="2"/>
      <c r="AU16" s="2">
        <v>2000</v>
      </c>
      <c r="AV16" s="2">
        <v>2007</v>
      </c>
      <c r="AW16" s="2">
        <v>2015</v>
      </c>
      <c r="AY16" s="2"/>
      <c r="AZ16" s="2">
        <v>2000</v>
      </c>
      <c r="BA16" s="2">
        <v>2007</v>
      </c>
      <c r="BB16" s="2">
        <v>2015</v>
      </c>
      <c r="BD16" s="2"/>
      <c r="BE16" s="2">
        <v>2000</v>
      </c>
      <c r="BF16" s="2">
        <v>2007</v>
      </c>
      <c r="BG16" s="2">
        <v>2015</v>
      </c>
      <c r="BJ16" s="16" t="s">
        <v>34</v>
      </c>
      <c r="BK16" s="42">
        <f>V21</f>
        <v>0.80499999999999994</v>
      </c>
      <c r="BL16" s="24">
        <f>W21</f>
        <v>0.63</v>
      </c>
      <c r="BM16" s="43">
        <f>X21</f>
        <v>0.38666666666666666</v>
      </c>
      <c r="BN16" s="42">
        <f>AK21</f>
        <v>0.68500000000000005</v>
      </c>
      <c r="BO16" s="24">
        <f>AL21</f>
        <v>0.54</v>
      </c>
      <c r="BP16" s="43">
        <f>AM21</f>
        <v>0.33666666666666667</v>
      </c>
      <c r="BQ16" s="42">
        <f>AZ21</f>
        <v>0.54</v>
      </c>
      <c r="BR16" s="24">
        <f>BA21</f>
        <v>0.43333333333333335</v>
      </c>
      <c r="BS16" s="43">
        <f>BB21</f>
        <v>0.27666666666666667</v>
      </c>
    </row>
    <row r="17" spans="5:71">
      <c r="E17" s="47" t="s">
        <v>9</v>
      </c>
      <c r="F17" s="47"/>
      <c r="G17" s="47"/>
      <c r="H17" s="47"/>
      <c r="J17" s="48" t="s">
        <v>20</v>
      </c>
      <c r="K17" s="49"/>
      <c r="L17" s="49"/>
      <c r="M17" s="50"/>
      <c r="P17" s="2" t="s">
        <v>6</v>
      </c>
      <c r="Q17" s="1">
        <v>2.38</v>
      </c>
      <c r="R17" s="1">
        <v>2.4700000000000002</v>
      </c>
      <c r="S17" s="1" t="s">
        <v>49</v>
      </c>
      <c r="U17" s="2" t="s">
        <v>6</v>
      </c>
      <c r="V17" s="1">
        <v>1.04</v>
      </c>
      <c r="W17" s="1">
        <v>1.02</v>
      </c>
      <c r="X17" s="1" t="s">
        <v>49</v>
      </c>
      <c r="Z17" s="2" t="s">
        <v>6</v>
      </c>
      <c r="AA17" s="1">
        <v>0</v>
      </c>
      <c r="AB17" s="1">
        <v>0</v>
      </c>
      <c r="AC17" s="1" t="s">
        <v>49</v>
      </c>
      <c r="AE17" s="2" t="s">
        <v>6</v>
      </c>
      <c r="AF17" s="1">
        <v>1.9</v>
      </c>
      <c r="AG17" s="1">
        <v>1.97</v>
      </c>
      <c r="AH17" s="1" t="s">
        <v>49</v>
      </c>
      <c r="AJ17" s="2" t="s">
        <v>6</v>
      </c>
      <c r="AK17" s="1">
        <v>0.87</v>
      </c>
      <c r="AL17" s="1">
        <v>0.86</v>
      </c>
      <c r="AM17" s="1" t="s">
        <v>49</v>
      </c>
      <c r="AO17" s="2" t="s">
        <v>6</v>
      </c>
      <c r="AP17" s="1">
        <v>0</v>
      </c>
      <c r="AQ17" s="1">
        <v>0</v>
      </c>
      <c r="AR17" s="1" t="s">
        <v>49</v>
      </c>
      <c r="AT17" s="2" t="s">
        <v>6</v>
      </c>
      <c r="AU17" s="1">
        <v>1.35</v>
      </c>
      <c r="AV17" s="1">
        <v>1.4</v>
      </c>
      <c r="AW17" s="1" t="s">
        <v>49</v>
      </c>
      <c r="AY17" s="2" t="s">
        <v>6</v>
      </c>
      <c r="AZ17" s="1">
        <v>0.69</v>
      </c>
      <c r="BA17" s="1">
        <v>0.68</v>
      </c>
      <c r="BB17" s="1" t="s">
        <v>49</v>
      </c>
      <c r="BD17" s="2" t="s">
        <v>6</v>
      </c>
      <c r="BE17" s="1">
        <v>0</v>
      </c>
      <c r="BF17" s="1">
        <v>0</v>
      </c>
      <c r="BG17" s="1" t="s">
        <v>49</v>
      </c>
      <c r="BJ17" s="16" t="s">
        <v>35</v>
      </c>
      <c r="BK17" s="42">
        <f>V29</f>
        <v>0.85000000000000009</v>
      </c>
      <c r="BL17" s="24">
        <f>W29</f>
        <v>0.68</v>
      </c>
      <c r="BM17" s="43">
        <f>X29</f>
        <v>0.4366666666666667</v>
      </c>
      <c r="BN17" s="42">
        <f>AK29</f>
        <v>0.73</v>
      </c>
      <c r="BO17" s="24">
        <f>AL29</f>
        <v>0.59000000000000008</v>
      </c>
      <c r="BP17" s="43">
        <f>AM29</f>
        <v>0.38666666666666671</v>
      </c>
      <c r="BQ17" s="42">
        <f>AZ29</f>
        <v>0.58499999999999996</v>
      </c>
      <c r="BR17" s="24">
        <f>BA29</f>
        <v>0.48333333333333334</v>
      </c>
      <c r="BS17" s="43">
        <f>BB29</f>
        <v>0.32333333333333331</v>
      </c>
    </row>
    <row r="18" spans="5:71">
      <c r="E18" s="2"/>
      <c r="F18" s="2">
        <v>2000</v>
      </c>
      <c r="G18" s="2">
        <v>2007</v>
      </c>
      <c r="H18" s="2">
        <v>2015</v>
      </c>
      <c r="J18" s="2"/>
      <c r="K18" s="2" t="s">
        <v>16</v>
      </c>
      <c r="L18" s="2" t="s">
        <v>17</v>
      </c>
      <c r="M18" s="2" t="s">
        <v>18</v>
      </c>
      <c r="P18" s="2" t="s">
        <v>3</v>
      </c>
      <c r="Q18" s="1">
        <v>0.95</v>
      </c>
      <c r="R18" s="1">
        <v>0.99</v>
      </c>
      <c r="S18" s="1">
        <v>1.1200000000000001</v>
      </c>
      <c r="U18" s="2" t="s">
        <v>3</v>
      </c>
      <c r="V18" s="1">
        <v>0.56999999999999995</v>
      </c>
      <c r="W18" s="1">
        <v>0.56999999999999995</v>
      </c>
      <c r="X18" s="1">
        <v>0.56999999999999995</v>
      </c>
      <c r="Z18" s="2" t="s">
        <v>3</v>
      </c>
      <c r="AA18" s="1">
        <v>0</v>
      </c>
      <c r="AB18" s="1">
        <v>0</v>
      </c>
      <c r="AC18" s="1">
        <v>0</v>
      </c>
      <c r="AE18" s="2" t="s">
        <v>3</v>
      </c>
      <c r="AF18" s="1">
        <v>0.79</v>
      </c>
      <c r="AG18" s="1">
        <v>0.82</v>
      </c>
      <c r="AH18" s="1">
        <v>0.92</v>
      </c>
      <c r="AJ18" s="2" t="s">
        <v>3</v>
      </c>
      <c r="AK18" s="1">
        <v>0.5</v>
      </c>
      <c r="AL18" s="1">
        <v>0.49</v>
      </c>
      <c r="AM18" s="1">
        <v>0.49</v>
      </c>
      <c r="AO18" s="2" t="s">
        <v>3</v>
      </c>
      <c r="AP18" s="1">
        <v>0</v>
      </c>
      <c r="AQ18" s="1">
        <v>0</v>
      </c>
      <c r="AR18" s="1">
        <v>0</v>
      </c>
      <c r="AT18" s="2" t="s">
        <v>3</v>
      </c>
      <c r="AU18" s="1">
        <v>0.59</v>
      </c>
      <c r="AV18" s="1">
        <v>0.61</v>
      </c>
      <c r="AW18" s="1">
        <v>0.69</v>
      </c>
      <c r="AY18" s="2" t="s">
        <v>3</v>
      </c>
      <c r="AZ18" s="1">
        <v>0.39</v>
      </c>
      <c r="BA18" s="1">
        <v>0.39</v>
      </c>
      <c r="BB18" s="1">
        <v>0.39</v>
      </c>
      <c r="BD18" s="2" t="s">
        <v>3</v>
      </c>
      <c r="BE18" s="1">
        <v>0</v>
      </c>
      <c r="BF18" s="1">
        <v>0</v>
      </c>
      <c r="BG18" s="1">
        <v>0</v>
      </c>
      <c r="BJ18" s="16" t="s">
        <v>36</v>
      </c>
      <c r="BK18" s="42">
        <f>V37</f>
        <v>0.76</v>
      </c>
      <c r="BL18" s="24">
        <f>W37</f>
        <v>0.58666666666666667</v>
      </c>
      <c r="BM18" s="43">
        <f>X37</f>
        <v>0.34</v>
      </c>
      <c r="BN18" s="42">
        <f>AK37</f>
        <v>0.64</v>
      </c>
      <c r="BO18" s="24">
        <f>AL37</f>
        <v>0.5</v>
      </c>
      <c r="BP18" s="43">
        <f>AM37</f>
        <v>0.29666666666666669</v>
      </c>
      <c r="BQ18" s="42">
        <f>AZ37</f>
        <v>0.495</v>
      </c>
      <c r="BR18" s="24">
        <f>BA37</f>
        <v>0.38666666666666666</v>
      </c>
      <c r="BS18" s="43">
        <f>BB37</f>
        <v>0.23</v>
      </c>
    </row>
    <row r="19" spans="5:71">
      <c r="E19" s="2" t="s">
        <v>6</v>
      </c>
      <c r="F19" s="1">
        <v>41</v>
      </c>
      <c r="G19" s="1">
        <v>41</v>
      </c>
      <c r="H19" s="1">
        <v>0</v>
      </c>
      <c r="J19" s="2" t="s">
        <v>6</v>
      </c>
      <c r="K19" s="1">
        <v>1000</v>
      </c>
      <c r="L19" s="7">
        <f>C11</f>
        <v>1000</v>
      </c>
      <c r="M19" s="7">
        <f>L19*17</f>
        <v>17000</v>
      </c>
      <c r="P19" s="2" t="s">
        <v>4</v>
      </c>
      <c r="Q19" s="1" t="s">
        <v>49</v>
      </c>
      <c r="R19" s="1">
        <v>0.67</v>
      </c>
      <c r="S19" s="1">
        <v>0.75</v>
      </c>
      <c r="U19" s="2" t="s">
        <v>4</v>
      </c>
      <c r="V19" s="1" t="s">
        <v>49</v>
      </c>
      <c r="W19" s="1">
        <v>0.3</v>
      </c>
      <c r="X19" s="1">
        <v>0.3</v>
      </c>
      <c r="Z19" s="2" t="s">
        <v>4</v>
      </c>
      <c r="AA19" s="1" t="s">
        <v>49</v>
      </c>
      <c r="AB19" s="1">
        <v>0</v>
      </c>
      <c r="AC19" s="1">
        <v>0</v>
      </c>
      <c r="AE19" s="2" t="s">
        <v>4</v>
      </c>
      <c r="AF19" s="1" t="s">
        <v>49</v>
      </c>
      <c r="AG19" s="1">
        <v>0.55000000000000004</v>
      </c>
      <c r="AH19" s="1">
        <v>0.63</v>
      </c>
      <c r="AJ19" s="2" t="s">
        <v>4</v>
      </c>
      <c r="AK19" s="1" t="s">
        <v>49</v>
      </c>
      <c r="AL19" s="1">
        <v>0.27</v>
      </c>
      <c r="AM19" s="1">
        <v>0.27</v>
      </c>
      <c r="AO19" s="2" t="s">
        <v>4</v>
      </c>
      <c r="AP19" s="1" t="s">
        <v>49</v>
      </c>
      <c r="AQ19" s="1">
        <v>0</v>
      </c>
      <c r="AR19" s="1">
        <v>0</v>
      </c>
      <c r="AT19" s="2" t="s">
        <v>4</v>
      </c>
      <c r="AU19" s="1" t="s">
        <v>49</v>
      </c>
      <c r="AV19" s="1">
        <v>0.42</v>
      </c>
      <c r="AW19" s="1">
        <v>0.48</v>
      </c>
      <c r="AY19" s="2" t="s">
        <v>4</v>
      </c>
      <c r="AZ19" s="1" t="s">
        <v>49</v>
      </c>
      <c r="BA19" s="1">
        <v>0.23</v>
      </c>
      <c r="BB19" s="1">
        <v>0.23</v>
      </c>
      <c r="BD19" s="2" t="s">
        <v>4</v>
      </c>
      <c r="BE19" s="1" t="s">
        <v>49</v>
      </c>
      <c r="BF19" s="1">
        <v>0</v>
      </c>
      <c r="BG19" s="1">
        <v>0</v>
      </c>
      <c r="BJ19" s="16" t="s">
        <v>37</v>
      </c>
      <c r="BK19" s="42">
        <f>V45</f>
        <v>0.42000000000000004</v>
      </c>
      <c r="BL19" s="24">
        <f>W45</f>
        <v>0.33333333333333331</v>
      </c>
      <c r="BM19" s="43">
        <f>X45</f>
        <v>0.22666666666666668</v>
      </c>
      <c r="BN19" s="42">
        <f>AK45</f>
        <v>0.35</v>
      </c>
      <c r="BO19" s="24">
        <f>AL45</f>
        <v>0.28333333333333333</v>
      </c>
      <c r="BP19" s="43">
        <f>AM45</f>
        <v>0.19666666666666666</v>
      </c>
      <c r="BQ19" s="42">
        <f>AZ45</f>
        <v>0.27500000000000002</v>
      </c>
      <c r="BR19" s="24">
        <f>BA45</f>
        <v>0.22</v>
      </c>
      <c r="BS19" s="43">
        <f>BB45</f>
        <v>0.15</v>
      </c>
    </row>
    <row r="20" spans="5:71">
      <c r="E20" s="2" t="s">
        <v>3</v>
      </c>
      <c r="F20" s="1">
        <v>9</v>
      </c>
      <c r="G20" s="1">
        <v>9</v>
      </c>
      <c r="H20" s="1">
        <v>31</v>
      </c>
      <c r="J20" s="2" t="s">
        <v>3</v>
      </c>
      <c r="K20" s="1">
        <v>1000</v>
      </c>
      <c r="L20" s="7">
        <f>C11</f>
        <v>1000</v>
      </c>
      <c r="M20" s="7">
        <f>L20*7</f>
        <v>7000</v>
      </c>
      <c r="P20" s="2" t="s">
        <v>5</v>
      </c>
      <c r="Q20" s="1" t="s">
        <v>49</v>
      </c>
      <c r="R20" s="1" t="s">
        <v>49</v>
      </c>
      <c r="S20" s="1">
        <v>0.67</v>
      </c>
      <c r="U20" s="2" t="s">
        <v>5</v>
      </c>
      <c r="V20" s="1" t="s">
        <v>49</v>
      </c>
      <c r="W20" s="1" t="s">
        <v>49</v>
      </c>
      <c r="X20" s="1">
        <v>0.28999999999999998</v>
      </c>
      <c r="Z20" s="2" t="s">
        <v>5</v>
      </c>
      <c r="AA20" s="1" t="s">
        <v>49</v>
      </c>
      <c r="AB20" s="1" t="s">
        <v>49</v>
      </c>
      <c r="AC20" s="1">
        <v>0</v>
      </c>
      <c r="AE20" s="2" t="s">
        <v>5</v>
      </c>
      <c r="AF20" s="1" t="s">
        <v>49</v>
      </c>
      <c r="AG20" s="1" t="s">
        <v>49</v>
      </c>
      <c r="AH20" s="1">
        <v>0.56000000000000005</v>
      </c>
      <c r="AJ20" s="2" t="s">
        <v>5</v>
      </c>
      <c r="AK20" s="1" t="s">
        <v>49</v>
      </c>
      <c r="AL20" s="1" t="s">
        <v>49</v>
      </c>
      <c r="AM20" s="1">
        <v>0.25</v>
      </c>
      <c r="AO20" s="2" t="s">
        <v>5</v>
      </c>
      <c r="AP20" s="1" t="s">
        <v>49</v>
      </c>
      <c r="AQ20" s="1" t="s">
        <v>49</v>
      </c>
      <c r="AR20" s="1">
        <v>0</v>
      </c>
      <c r="AT20" s="2" t="s">
        <v>5</v>
      </c>
      <c r="AU20" s="1" t="s">
        <v>49</v>
      </c>
      <c r="AV20" s="1" t="s">
        <v>49</v>
      </c>
      <c r="AW20" s="1">
        <v>0.42</v>
      </c>
      <c r="AY20" s="2" t="s">
        <v>5</v>
      </c>
      <c r="AZ20" s="1" t="s">
        <v>49</v>
      </c>
      <c r="BA20" s="1" t="s">
        <v>49</v>
      </c>
      <c r="BB20" s="1">
        <v>0.21</v>
      </c>
      <c r="BD20" s="2" t="s">
        <v>5</v>
      </c>
      <c r="BE20" s="1" t="s">
        <v>49</v>
      </c>
      <c r="BF20" s="1" t="s">
        <v>49</v>
      </c>
      <c r="BG20" s="1">
        <v>0</v>
      </c>
      <c r="BJ20" s="16" t="s">
        <v>38</v>
      </c>
      <c r="BK20" s="42">
        <f>V53</f>
        <v>0.27</v>
      </c>
      <c r="BL20" s="24">
        <f>W53</f>
        <v>0.20000000000000004</v>
      </c>
      <c r="BM20" s="43">
        <f>X53</f>
        <v>8.666666666666667E-2</v>
      </c>
      <c r="BN20" s="42">
        <f>AK53</f>
        <v>0.22500000000000001</v>
      </c>
      <c r="BO20" s="24">
        <f>AL53</f>
        <v>0.17</v>
      </c>
      <c r="BP20" s="43">
        <f>AM53</f>
        <v>7.3333333333333334E-2</v>
      </c>
      <c r="BQ20" s="42">
        <f>AZ53</f>
        <v>0.17499999999999999</v>
      </c>
      <c r="BR20" s="24">
        <f>BA53</f>
        <v>0.12999999999999998</v>
      </c>
      <c r="BS20" s="43">
        <f>BB53</f>
        <v>5.6666666666666671E-2</v>
      </c>
    </row>
    <row r="21" spans="5:71">
      <c r="E21" s="2" t="s">
        <v>4</v>
      </c>
      <c r="F21" s="1">
        <v>0</v>
      </c>
      <c r="G21" s="1">
        <v>8</v>
      </c>
      <c r="H21" s="1">
        <v>23</v>
      </c>
      <c r="J21" s="2" t="s">
        <v>4</v>
      </c>
      <c r="K21" s="1">
        <v>1000</v>
      </c>
      <c r="L21" s="7">
        <f>C11</f>
        <v>1000</v>
      </c>
      <c r="M21" s="7">
        <f>L21*1</f>
        <v>1000</v>
      </c>
      <c r="P21" s="3" t="s">
        <v>137</v>
      </c>
      <c r="Q21" s="6">
        <f>AVERAGE(Q17:Q20)</f>
        <v>1.665</v>
      </c>
      <c r="R21" s="6">
        <f>AVERAGE(R17:R20)</f>
        <v>1.3766666666666667</v>
      </c>
      <c r="S21" s="6">
        <f>AVERAGE(S17:S20)</f>
        <v>0.84666666666666668</v>
      </c>
      <c r="U21" s="3" t="s">
        <v>137</v>
      </c>
      <c r="V21" s="6">
        <f>AVERAGE(V17:V20)</f>
        <v>0.80499999999999994</v>
      </c>
      <c r="W21" s="6">
        <f>AVERAGE(W17:W20)</f>
        <v>0.63</v>
      </c>
      <c r="X21" s="6">
        <f>AVERAGE(X17:X20)</f>
        <v>0.38666666666666666</v>
      </c>
      <c r="Z21" s="3" t="s">
        <v>137</v>
      </c>
      <c r="AA21" s="6">
        <f>AVERAGE(AA17:AA20)</f>
        <v>0</v>
      </c>
      <c r="AB21" s="6">
        <f>AVERAGE(AB17:AB20)</f>
        <v>0</v>
      </c>
      <c r="AC21" s="6">
        <f>AVERAGE(AC17:AC20)</f>
        <v>0</v>
      </c>
      <c r="AE21" s="3" t="s">
        <v>137</v>
      </c>
      <c r="AF21" s="6">
        <f>AVERAGE(AF17:AF20)</f>
        <v>1.345</v>
      </c>
      <c r="AG21" s="6">
        <f>AVERAGE(AG17:AG20)</f>
        <v>1.1133333333333333</v>
      </c>
      <c r="AH21" s="6">
        <f>AVERAGE(AH17:AH20)</f>
        <v>0.70333333333333348</v>
      </c>
      <c r="AJ21" s="3" t="s">
        <v>137</v>
      </c>
      <c r="AK21" s="6">
        <f>AVERAGE(AK17:AK20)</f>
        <v>0.68500000000000005</v>
      </c>
      <c r="AL21" s="6">
        <f>AVERAGE(AL17:AL20)</f>
        <v>0.54</v>
      </c>
      <c r="AM21" s="6">
        <f>AVERAGE(AM17:AM20)</f>
        <v>0.33666666666666667</v>
      </c>
      <c r="AO21" s="3" t="s">
        <v>137</v>
      </c>
      <c r="AP21" s="6">
        <f>AVERAGE(AP17:AP20)</f>
        <v>0</v>
      </c>
      <c r="AQ21" s="6">
        <f>AVERAGE(AQ17:AQ20)</f>
        <v>0</v>
      </c>
      <c r="AR21" s="6">
        <f>AVERAGE(AR17:AR20)</f>
        <v>0</v>
      </c>
      <c r="AT21" s="3" t="s">
        <v>137</v>
      </c>
      <c r="AU21" s="6">
        <f>AVERAGE(AU17:AU20)</f>
        <v>0.97</v>
      </c>
      <c r="AV21" s="6">
        <f>AVERAGE(AV17:AV20)</f>
        <v>0.80999999999999994</v>
      </c>
      <c r="AW21" s="6">
        <f>AVERAGE(AW17:AW20)</f>
        <v>0.52999999999999992</v>
      </c>
      <c r="AY21" s="3" t="s">
        <v>137</v>
      </c>
      <c r="AZ21" s="6">
        <f>AVERAGE(AZ17:AZ20)</f>
        <v>0.54</v>
      </c>
      <c r="BA21" s="6">
        <f>AVERAGE(BA17:BA20)</f>
        <v>0.43333333333333335</v>
      </c>
      <c r="BB21" s="6">
        <f>AVERAGE(BB17:BB20)</f>
        <v>0.27666666666666667</v>
      </c>
      <c r="BD21" s="3" t="s">
        <v>137</v>
      </c>
      <c r="BE21" s="6">
        <f>AVERAGE(BE17:BE20)</f>
        <v>0</v>
      </c>
      <c r="BF21" s="6">
        <f>AVERAGE(BF17:BF20)</f>
        <v>0</v>
      </c>
      <c r="BG21" s="6">
        <f>AVERAGE(BG17:BG20)</f>
        <v>0</v>
      </c>
      <c r="BJ21" s="16" t="s">
        <v>39</v>
      </c>
      <c r="BK21" s="42">
        <f>V61</f>
        <v>51.1748502994012</v>
      </c>
      <c r="BL21" s="24">
        <f>W61</f>
        <v>49.256686626746507</v>
      </c>
      <c r="BM21" s="43">
        <f>X61</f>
        <v>46.636726546906182</v>
      </c>
      <c r="BN21" s="42">
        <f>AK61</f>
        <v>45.419760479041912</v>
      </c>
      <c r="BO21" s="24">
        <f>AL61</f>
        <v>43.86986027944112</v>
      </c>
      <c r="BP21" s="43">
        <f>AM61</f>
        <v>41.750499001996012</v>
      </c>
      <c r="BQ21" s="42">
        <f>AZ61</f>
        <v>38.23473053892215</v>
      </c>
      <c r="BR21" s="24">
        <f>BA61</f>
        <v>37.118962075848302</v>
      </c>
      <c r="BS21" s="43">
        <f>BB61</f>
        <v>35.590019960079843</v>
      </c>
    </row>
    <row r="22" spans="5:71">
      <c r="E22" s="2" t="s">
        <v>5</v>
      </c>
      <c r="F22" s="1">
        <v>0</v>
      </c>
      <c r="G22" s="1">
        <v>0</v>
      </c>
      <c r="H22" s="1">
        <v>11</v>
      </c>
      <c r="BJ22" s="16" t="s">
        <v>40</v>
      </c>
      <c r="BK22" s="42">
        <f>V69</f>
        <v>1.3485</v>
      </c>
      <c r="BL22" s="24">
        <f>W69</f>
        <v>1.2979441766666666</v>
      </c>
      <c r="BM22" s="43">
        <f>X69</f>
        <v>1.2286313866666665</v>
      </c>
      <c r="BN22" s="42">
        <f>AK69</f>
        <v>1.1975</v>
      </c>
      <c r="BO22" s="24">
        <f>AL69</f>
        <v>1.1563333333333334</v>
      </c>
      <c r="BP22" s="43">
        <f>AM69</f>
        <v>1.1000000000000001</v>
      </c>
      <c r="BQ22" s="42">
        <f>AZ69</f>
        <v>1.0085</v>
      </c>
      <c r="BR22" s="24">
        <f>BA69</f>
        <v>0.97866666666666668</v>
      </c>
      <c r="BS22" s="43">
        <f>BB69</f>
        <v>0.93800000000000006</v>
      </c>
    </row>
    <row r="23" spans="5:71" ht="15" thickBot="1">
      <c r="J23" s="48" t="s">
        <v>21</v>
      </c>
      <c r="K23" s="49"/>
      <c r="L23" s="49"/>
      <c r="M23" s="50"/>
      <c r="P23" s="47" t="s">
        <v>64</v>
      </c>
      <c r="Q23" s="47"/>
      <c r="R23" s="47"/>
      <c r="S23" s="47"/>
      <c r="U23" s="47" t="s">
        <v>74</v>
      </c>
      <c r="V23" s="47"/>
      <c r="W23" s="47"/>
      <c r="X23" s="47"/>
      <c r="Z23" s="47" t="s">
        <v>54</v>
      </c>
      <c r="AA23" s="47"/>
      <c r="AB23" s="47"/>
      <c r="AC23" s="47"/>
      <c r="AE23" s="47" t="s">
        <v>64</v>
      </c>
      <c r="AF23" s="47"/>
      <c r="AG23" s="47"/>
      <c r="AH23" s="47"/>
      <c r="AJ23" s="47" t="s">
        <v>74</v>
      </c>
      <c r="AK23" s="47"/>
      <c r="AL23" s="47"/>
      <c r="AM23" s="47"/>
      <c r="AO23" s="47" t="s">
        <v>54</v>
      </c>
      <c r="AP23" s="47"/>
      <c r="AQ23" s="47"/>
      <c r="AR23" s="47"/>
      <c r="AT23" s="47" t="s">
        <v>64</v>
      </c>
      <c r="AU23" s="47"/>
      <c r="AV23" s="47"/>
      <c r="AW23" s="47"/>
      <c r="AY23" s="47" t="s">
        <v>74</v>
      </c>
      <c r="AZ23" s="47"/>
      <c r="BA23" s="47"/>
      <c r="BB23" s="47"/>
      <c r="BD23" s="47" t="s">
        <v>54</v>
      </c>
      <c r="BE23" s="47"/>
      <c r="BF23" s="47"/>
      <c r="BG23" s="47"/>
      <c r="BJ23" s="17" t="s">
        <v>41</v>
      </c>
      <c r="BK23" s="44">
        <f>T78</f>
        <v>0.38</v>
      </c>
      <c r="BL23" s="45">
        <f>U78</f>
        <v>0.3666666666666667</v>
      </c>
      <c r="BM23" s="46">
        <f>V78</f>
        <v>0.36000000000000004</v>
      </c>
      <c r="BN23" s="44">
        <f>AI78</f>
        <v>0.34499999999999997</v>
      </c>
      <c r="BO23" s="45">
        <f>AJ78</f>
        <v>0.33333333333333331</v>
      </c>
      <c r="BP23" s="46">
        <f>AK78</f>
        <v>0.32</v>
      </c>
      <c r="BQ23" s="44">
        <f>AX78</f>
        <v>0.29000000000000004</v>
      </c>
      <c r="BR23" s="45">
        <f>AY78</f>
        <v>0.28000000000000003</v>
      </c>
      <c r="BS23" s="46">
        <f>AZ78</f>
        <v>0.27666666666666667</v>
      </c>
    </row>
    <row r="24" spans="5:71" ht="15" thickBot="1">
      <c r="J24" s="2"/>
      <c r="K24" s="2" t="s">
        <v>16</v>
      </c>
      <c r="L24" s="2" t="s">
        <v>17</v>
      </c>
      <c r="M24" s="2" t="s">
        <v>18</v>
      </c>
      <c r="P24" s="2"/>
      <c r="Q24" s="2">
        <v>2000</v>
      </c>
      <c r="R24" s="2">
        <v>2007</v>
      </c>
      <c r="S24" s="2">
        <v>2015</v>
      </c>
      <c r="U24" s="2"/>
      <c r="V24" s="2">
        <v>2000</v>
      </c>
      <c r="W24" s="2">
        <v>2007</v>
      </c>
      <c r="X24" s="2">
        <v>2015</v>
      </c>
      <c r="Z24" s="2"/>
      <c r="AA24" s="2">
        <v>2000</v>
      </c>
      <c r="AB24" s="2">
        <v>2007</v>
      </c>
      <c r="AC24" s="2">
        <v>2015</v>
      </c>
      <c r="AE24" s="2"/>
      <c r="AF24" s="2">
        <v>2000</v>
      </c>
      <c r="AG24" s="2">
        <v>2007</v>
      </c>
      <c r="AH24" s="2">
        <v>2015</v>
      </c>
      <c r="AJ24" s="2"/>
      <c r="AK24" s="2">
        <v>2000</v>
      </c>
      <c r="AL24" s="2">
        <v>2007</v>
      </c>
      <c r="AM24" s="2">
        <v>2015</v>
      </c>
      <c r="AO24" s="2"/>
      <c r="AP24" s="2">
        <v>2000</v>
      </c>
      <c r="AQ24" s="2">
        <v>2007</v>
      </c>
      <c r="AR24" s="2">
        <v>2015</v>
      </c>
      <c r="AT24" s="2"/>
      <c r="AU24" s="2">
        <v>2000</v>
      </c>
      <c r="AV24" s="2">
        <v>2007</v>
      </c>
      <c r="AW24" s="2">
        <v>2015</v>
      </c>
      <c r="AY24" s="2"/>
      <c r="AZ24" s="2">
        <v>2000</v>
      </c>
      <c r="BA24" s="2">
        <v>2007</v>
      </c>
      <c r="BB24" s="2">
        <v>2015</v>
      </c>
      <c r="BD24" s="2"/>
      <c r="BE24" s="2">
        <v>2000</v>
      </c>
      <c r="BF24" s="2">
        <v>2007</v>
      </c>
      <c r="BG24" s="2">
        <v>2015</v>
      </c>
      <c r="BJ24" s="20"/>
      <c r="BK24" s="21"/>
      <c r="BL24" s="22"/>
      <c r="BM24" s="23"/>
      <c r="BN24" s="21"/>
      <c r="BO24" s="22"/>
      <c r="BP24" s="23"/>
      <c r="BQ24" s="21"/>
      <c r="BR24" s="22"/>
      <c r="BS24" s="23"/>
    </row>
    <row r="25" spans="5:71">
      <c r="J25" s="2" t="s">
        <v>3</v>
      </c>
      <c r="K25" s="1">
        <v>1000</v>
      </c>
      <c r="L25" s="7">
        <f>C11</f>
        <v>1000</v>
      </c>
      <c r="M25" s="7">
        <f>L25*15</f>
        <v>15000</v>
      </c>
      <c r="P25" s="2" t="s">
        <v>6</v>
      </c>
      <c r="Q25" s="1">
        <v>2.2000000000000002</v>
      </c>
      <c r="R25" s="1">
        <v>2.29</v>
      </c>
      <c r="S25" s="1" t="s">
        <v>49</v>
      </c>
      <c r="U25" s="2" t="s">
        <v>6</v>
      </c>
      <c r="V25" s="1">
        <v>1.08</v>
      </c>
      <c r="W25" s="1">
        <v>1.07</v>
      </c>
      <c r="X25" s="1" t="s">
        <v>49</v>
      </c>
      <c r="Z25" s="2" t="s">
        <v>6</v>
      </c>
      <c r="AA25" s="1">
        <v>1.41</v>
      </c>
      <c r="AB25" s="1">
        <v>1.41</v>
      </c>
      <c r="AC25" s="1" t="s">
        <v>49</v>
      </c>
      <c r="AE25" s="2" t="s">
        <v>6</v>
      </c>
      <c r="AF25" s="1">
        <v>1.73</v>
      </c>
      <c r="AG25" s="1">
        <v>1.8</v>
      </c>
      <c r="AH25" s="1" t="s">
        <v>49</v>
      </c>
      <c r="AJ25" s="2" t="s">
        <v>6</v>
      </c>
      <c r="AK25" s="1">
        <v>0.92</v>
      </c>
      <c r="AL25" s="1">
        <v>0.91</v>
      </c>
      <c r="AM25" s="1" t="s">
        <v>49</v>
      </c>
      <c r="AO25" s="2" t="s">
        <v>6</v>
      </c>
      <c r="AP25" s="1">
        <v>1.41</v>
      </c>
      <c r="AQ25" s="1">
        <v>1.41</v>
      </c>
      <c r="AR25" s="1" t="s">
        <v>49</v>
      </c>
      <c r="AT25" s="2" t="s">
        <v>6</v>
      </c>
      <c r="AU25" s="1">
        <v>1.18</v>
      </c>
      <c r="AV25" s="1">
        <v>1.23</v>
      </c>
      <c r="AW25" s="1" t="s">
        <v>49</v>
      </c>
      <c r="AY25" s="2" t="s">
        <v>6</v>
      </c>
      <c r="AZ25" s="1">
        <v>0.73</v>
      </c>
      <c r="BA25" s="1">
        <v>0.73</v>
      </c>
      <c r="BB25" s="1" t="s">
        <v>49</v>
      </c>
      <c r="BD25" s="2" t="s">
        <v>6</v>
      </c>
      <c r="BE25" s="1">
        <v>1.41</v>
      </c>
      <c r="BF25" s="1">
        <v>1.41</v>
      </c>
      <c r="BG25" s="1" t="s">
        <v>49</v>
      </c>
      <c r="BJ25" s="19" t="s">
        <v>42</v>
      </c>
      <c r="BK25" s="33">
        <f>AA13</f>
        <v>0.19</v>
      </c>
      <c r="BL25" s="34">
        <f>AB13</f>
        <v>0.19000000000000003</v>
      </c>
      <c r="BM25" s="35">
        <f>AC13</f>
        <v>0.19000000000000003</v>
      </c>
      <c r="BN25" s="33">
        <f>AP13</f>
        <v>0.19</v>
      </c>
      <c r="BO25" s="34">
        <f>AQ13</f>
        <v>0.19000000000000003</v>
      </c>
      <c r="BP25" s="35">
        <f>AR13</f>
        <v>0.19000000000000003</v>
      </c>
      <c r="BQ25" s="33">
        <f>BE13</f>
        <v>0.185</v>
      </c>
      <c r="BR25" s="34">
        <f>BF13</f>
        <v>0.18333333333333335</v>
      </c>
      <c r="BS25" s="35">
        <f>BG13</f>
        <v>0.18000000000000002</v>
      </c>
    </row>
    <row r="26" spans="5:71">
      <c r="J26" s="2" t="s">
        <v>4</v>
      </c>
      <c r="K26" s="1">
        <v>1000</v>
      </c>
      <c r="L26" s="7">
        <f>C11</f>
        <v>1000</v>
      </c>
      <c r="M26" s="7">
        <f>L26*8</f>
        <v>8000</v>
      </c>
      <c r="P26" s="2" t="s">
        <v>3</v>
      </c>
      <c r="Q26" s="1">
        <v>0.78</v>
      </c>
      <c r="R26" s="1">
        <v>0.82</v>
      </c>
      <c r="S26" s="1">
        <v>0.94</v>
      </c>
      <c r="U26" s="2" t="s">
        <v>3</v>
      </c>
      <c r="V26" s="1">
        <v>0.62</v>
      </c>
      <c r="W26" s="1">
        <v>0.62</v>
      </c>
      <c r="X26" s="1">
        <v>0.62</v>
      </c>
      <c r="Z26" s="2" t="s">
        <v>3</v>
      </c>
      <c r="AA26" s="1">
        <v>1.41</v>
      </c>
      <c r="AB26" s="1">
        <v>1.41</v>
      </c>
      <c r="AC26" s="1">
        <v>1.41</v>
      </c>
      <c r="AE26" s="2" t="s">
        <v>3</v>
      </c>
      <c r="AF26" s="1">
        <v>0.61</v>
      </c>
      <c r="AG26" s="1">
        <v>0.64</v>
      </c>
      <c r="AH26" s="1">
        <v>0.75</v>
      </c>
      <c r="AJ26" s="2" t="s">
        <v>3</v>
      </c>
      <c r="AK26" s="1">
        <v>0.54</v>
      </c>
      <c r="AL26" s="1">
        <v>0.54</v>
      </c>
      <c r="AM26" s="1">
        <v>0.54</v>
      </c>
      <c r="AO26" s="2" t="s">
        <v>3</v>
      </c>
      <c r="AP26" s="1">
        <v>1.41</v>
      </c>
      <c r="AQ26" s="1">
        <v>1.41</v>
      </c>
      <c r="AR26" s="1">
        <v>1.41</v>
      </c>
      <c r="AT26" s="2" t="s">
        <v>3</v>
      </c>
      <c r="AU26" s="1">
        <v>0.41</v>
      </c>
      <c r="AV26" s="1">
        <v>0.44</v>
      </c>
      <c r="AW26" s="1">
        <v>0.52</v>
      </c>
      <c r="AY26" s="2" t="s">
        <v>3</v>
      </c>
      <c r="AZ26" s="1">
        <v>0.44</v>
      </c>
      <c r="BA26" s="1">
        <v>0.44</v>
      </c>
      <c r="BB26" s="1">
        <v>0.44</v>
      </c>
      <c r="BD26" s="2" t="s">
        <v>3</v>
      </c>
      <c r="BE26" s="1">
        <v>1.41</v>
      </c>
      <c r="BF26" s="1">
        <v>1.41</v>
      </c>
      <c r="BG26" s="1">
        <v>1.41</v>
      </c>
      <c r="BJ26" s="16" t="s">
        <v>43</v>
      </c>
      <c r="BK26" s="9">
        <f>AA21</f>
        <v>0</v>
      </c>
      <c r="BL26" s="1">
        <f>AB21</f>
        <v>0</v>
      </c>
      <c r="BM26" s="10">
        <f>AC21</f>
        <v>0</v>
      </c>
      <c r="BN26" s="9">
        <f>AP21</f>
        <v>0</v>
      </c>
      <c r="BO26" s="1">
        <f>AQ21</f>
        <v>0</v>
      </c>
      <c r="BP26" s="10">
        <f>AR21</f>
        <v>0</v>
      </c>
      <c r="BQ26" s="9">
        <f>BE21</f>
        <v>0</v>
      </c>
      <c r="BR26" s="1">
        <f>BF21</f>
        <v>0</v>
      </c>
      <c r="BS26" s="10">
        <f>BG21</f>
        <v>0</v>
      </c>
    </row>
    <row r="27" spans="5:71">
      <c r="J27" s="2" t="s">
        <v>5</v>
      </c>
      <c r="K27" s="1">
        <v>1000</v>
      </c>
      <c r="L27" s="7">
        <f>C11</f>
        <v>1000</v>
      </c>
      <c r="M27" s="7">
        <f>L27*5</f>
        <v>5000</v>
      </c>
      <c r="P27" s="2" t="s">
        <v>4</v>
      </c>
      <c r="Q27" s="1" t="s">
        <v>49</v>
      </c>
      <c r="R27" s="1">
        <v>0.55000000000000004</v>
      </c>
      <c r="S27" s="1">
        <v>0.64</v>
      </c>
      <c r="U27" s="2" t="s">
        <v>4</v>
      </c>
      <c r="V27" s="1" t="s">
        <v>49</v>
      </c>
      <c r="W27" s="1">
        <v>0.35</v>
      </c>
      <c r="X27" s="1">
        <v>0.35</v>
      </c>
      <c r="Z27" s="2" t="s">
        <v>4</v>
      </c>
      <c r="AA27" s="1" t="s">
        <v>49</v>
      </c>
      <c r="AB27" s="1">
        <v>1.41</v>
      </c>
      <c r="AC27" s="1">
        <v>1.41</v>
      </c>
      <c r="AE27" s="2" t="s">
        <v>4</v>
      </c>
      <c r="AF27" s="1" t="s">
        <v>49</v>
      </c>
      <c r="AG27" s="1">
        <v>0.44</v>
      </c>
      <c r="AH27" s="1">
        <v>0.51</v>
      </c>
      <c r="AJ27" s="2" t="s">
        <v>4</v>
      </c>
      <c r="AK27" s="1" t="s">
        <v>49</v>
      </c>
      <c r="AL27" s="1">
        <v>0.32</v>
      </c>
      <c r="AM27" s="1">
        <v>0.32</v>
      </c>
      <c r="AO27" s="2" t="s">
        <v>4</v>
      </c>
      <c r="AP27" s="1" t="s">
        <v>49</v>
      </c>
      <c r="AQ27" s="1">
        <v>1.41</v>
      </c>
      <c r="AR27" s="1">
        <v>1.41</v>
      </c>
      <c r="AT27" s="2" t="s">
        <v>4</v>
      </c>
      <c r="AU27" s="1" t="s">
        <v>49</v>
      </c>
      <c r="AV27" s="1">
        <v>0.31</v>
      </c>
      <c r="AW27" s="1">
        <v>0.36</v>
      </c>
      <c r="AY27" s="2" t="s">
        <v>4</v>
      </c>
      <c r="AZ27" s="1" t="s">
        <v>49</v>
      </c>
      <c r="BA27" s="1">
        <v>0.28000000000000003</v>
      </c>
      <c r="BB27" s="1">
        <v>0.28000000000000003</v>
      </c>
      <c r="BD27" s="2" t="s">
        <v>4</v>
      </c>
      <c r="BE27" s="1" t="s">
        <v>49</v>
      </c>
      <c r="BF27" s="1">
        <v>1.41</v>
      </c>
      <c r="BG27" s="1">
        <v>1.41</v>
      </c>
      <c r="BJ27" s="16" t="s">
        <v>44</v>
      </c>
      <c r="BK27" s="27">
        <f>AA29</f>
        <v>1.41</v>
      </c>
      <c r="BL27" s="6">
        <f>AB29</f>
        <v>1.41</v>
      </c>
      <c r="BM27" s="28">
        <f>AC29</f>
        <v>1.41</v>
      </c>
      <c r="BN27" s="27">
        <f>AP29</f>
        <v>1.41</v>
      </c>
      <c r="BO27" s="6">
        <f>AQ29</f>
        <v>1.41</v>
      </c>
      <c r="BP27" s="28">
        <f>AR29</f>
        <v>1.41</v>
      </c>
      <c r="BQ27" s="27">
        <f>BE29</f>
        <v>1.41</v>
      </c>
      <c r="BR27" s="6">
        <f>BF29</f>
        <v>1.41</v>
      </c>
      <c r="BS27" s="28">
        <f>BG29</f>
        <v>1.41</v>
      </c>
    </row>
    <row r="28" spans="5:71">
      <c r="P28" s="2" t="s">
        <v>5</v>
      </c>
      <c r="Q28" s="1" t="s">
        <v>49</v>
      </c>
      <c r="R28" s="1" t="s">
        <v>49</v>
      </c>
      <c r="S28" s="1">
        <v>0.56999999999999995</v>
      </c>
      <c r="U28" s="2" t="s">
        <v>5</v>
      </c>
      <c r="V28" s="1" t="s">
        <v>49</v>
      </c>
      <c r="W28" s="1" t="s">
        <v>49</v>
      </c>
      <c r="X28" s="1">
        <v>0.34</v>
      </c>
      <c r="Z28" s="2" t="s">
        <v>5</v>
      </c>
      <c r="AA28" s="1" t="s">
        <v>49</v>
      </c>
      <c r="AB28" s="1" t="s">
        <v>49</v>
      </c>
      <c r="AC28" s="1">
        <v>1.41</v>
      </c>
      <c r="AE28" s="2" t="s">
        <v>5</v>
      </c>
      <c r="AF28" s="1" t="s">
        <v>49</v>
      </c>
      <c r="AG28" s="1" t="s">
        <v>49</v>
      </c>
      <c r="AH28" s="1">
        <v>0.45</v>
      </c>
      <c r="AJ28" s="2" t="s">
        <v>5</v>
      </c>
      <c r="AK28" s="1" t="s">
        <v>49</v>
      </c>
      <c r="AL28" s="1" t="s">
        <v>49</v>
      </c>
      <c r="AM28" s="1">
        <v>0.3</v>
      </c>
      <c r="AO28" s="2" t="s">
        <v>5</v>
      </c>
      <c r="AP28" s="1" t="s">
        <v>49</v>
      </c>
      <c r="AQ28" s="1" t="s">
        <v>49</v>
      </c>
      <c r="AR28" s="1">
        <v>1.41</v>
      </c>
      <c r="AT28" s="2" t="s">
        <v>5</v>
      </c>
      <c r="AU28" s="1" t="s">
        <v>49</v>
      </c>
      <c r="AV28" s="1" t="s">
        <v>49</v>
      </c>
      <c r="AW28" s="1">
        <v>0.32</v>
      </c>
      <c r="AY28" s="2" t="s">
        <v>5</v>
      </c>
      <c r="AZ28" s="1" t="s">
        <v>49</v>
      </c>
      <c r="BA28" s="1" t="s">
        <v>49</v>
      </c>
      <c r="BB28" s="1">
        <v>0.25</v>
      </c>
      <c r="BD28" s="2" t="s">
        <v>5</v>
      </c>
      <c r="BE28" s="1" t="s">
        <v>49</v>
      </c>
      <c r="BF28" s="1" t="s">
        <v>49</v>
      </c>
      <c r="BG28" s="1">
        <v>1.41</v>
      </c>
      <c r="BJ28" s="16" t="s">
        <v>45</v>
      </c>
      <c r="BK28" s="9">
        <f>AA37</f>
        <v>0.01</v>
      </c>
      <c r="BL28" s="1">
        <f>AB37</f>
        <v>0.01</v>
      </c>
      <c r="BM28" s="10">
        <f>AC37</f>
        <v>0.01</v>
      </c>
      <c r="BN28" s="9">
        <f>AP37</f>
        <v>0.01</v>
      </c>
      <c r="BO28" s="1">
        <f>AQ37</f>
        <v>0.01</v>
      </c>
      <c r="BP28" s="10">
        <f>AR37</f>
        <v>0.01</v>
      </c>
      <c r="BQ28" s="9">
        <f>BE37</f>
        <v>0.01</v>
      </c>
      <c r="BR28" s="1">
        <f>BF37</f>
        <v>0.01</v>
      </c>
      <c r="BS28" s="10">
        <f>BG37</f>
        <v>0.01</v>
      </c>
    </row>
    <row r="29" spans="5:71">
      <c r="P29" s="3" t="s">
        <v>137</v>
      </c>
      <c r="Q29" s="6">
        <f>AVERAGE(Q25:Q28)</f>
        <v>1.4900000000000002</v>
      </c>
      <c r="R29" s="6">
        <f>AVERAGE(R25:R28)</f>
        <v>1.22</v>
      </c>
      <c r="S29" s="6">
        <f>AVERAGE(S25:S28)</f>
        <v>0.71666666666666667</v>
      </c>
      <c r="U29" s="3" t="s">
        <v>137</v>
      </c>
      <c r="V29" s="6">
        <f>AVERAGE(V25:V28)</f>
        <v>0.85000000000000009</v>
      </c>
      <c r="W29" s="6">
        <f>AVERAGE(W25:W28)</f>
        <v>0.68</v>
      </c>
      <c r="X29" s="6">
        <f>AVERAGE(X25:X28)</f>
        <v>0.4366666666666667</v>
      </c>
      <c r="Z29" s="3" t="s">
        <v>137</v>
      </c>
      <c r="AA29" s="6">
        <f>AVERAGE(AA25:AA28)</f>
        <v>1.41</v>
      </c>
      <c r="AB29" s="6">
        <f>AVERAGE(AB25:AB28)</f>
        <v>1.41</v>
      </c>
      <c r="AC29" s="6">
        <f>AVERAGE(AC25:AC28)</f>
        <v>1.41</v>
      </c>
      <c r="AE29" s="3" t="s">
        <v>137</v>
      </c>
      <c r="AF29" s="6">
        <f>AVERAGE(AF25:AF28)</f>
        <v>1.17</v>
      </c>
      <c r="AG29" s="6">
        <f>AVERAGE(AG25:AG28)</f>
        <v>0.96</v>
      </c>
      <c r="AH29" s="6">
        <f>AVERAGE(AH25:AH28)</f>
        <v>0.56999999999999995</v>
      </c>
      <c r="AJ29" s="3" t="s">
        <v>137</v>
      </c>
      <c r="AK29" s="6">
        <f>AVERAGE(AK25:AK28)</f>
        <v>0.73</v>
      </c>
      <c r="AL29" s="6">
        <f>AVERAGE(AL25:AL28)</f>
        <v>0.59000000000000008</v>
      </c>
      <c r="AM29" s="6">
        <f>AVERAGE(AM25:AM28)</f>
        <v>0.38666666666666671</v>
      </c>
      <c r="AO29" s="3" t="s">
        <v>137</v>
      </c>
      <c r="AP29" s="6">
        <f>AVERAGE(AP25:AP28)</f>
        <v>1.41</v>
      </c>
      <c r="AQ29" s="6">
        <f>AVERAGE(AQ25:AQ28)</f>
        <v>1.41</v>
      </c>
      <c r="AR29" s="6">
        <f>AVERAGE(AR25:AR28)</f>
        <v>1.41</v>
      </c>
      <c r="AT29" s="3" t="s">
        <v>137</v>
      </c>
      <c r="AU29" s="6">
        <f>AVERAGE(AU25:AU28)</f>
        <v>0.79499999999999993</v>
      </c>
      <c r="AV29" s="6">
        <f>AVERAGE(AV25:AV28)</f>
        <v>0.66</v>
      </c>
      <c r="AW29" s="6">
        <f>AVERAGE(AW25:AW28)</f>
        <v>0.39999999999999997</v>
      </c>
      <c r="AY29" s="3" t="s">
        <v>137</v>
      </c>
      <c r="AZ29" s="6">
        <f>AVERAGE(AZ25:AZ28)</f>
        <v>0.58499999999999996</v>
      </c>
      <c r="BA29" s="6">
        <f>AVERAGE(BA25:BA28)</f>
        <v>0.48333333333333334</v>
      </c>
      <c r="BB29" s="6">
        <f>AVERAGE(BB25:BB28)</f>
        <v>0.32333333333333331</v>
      </c>
      <c r="BD29" s="3" t="s">
        <v>137</v>
      </c>
      <c r="BE29" s="6">
        <f>AVERAGE(BE25:BE28)</f>
        <v>1.41</v>
      </c>
      <c r="BF29" s="6">
        <f>AVERAGE(BF25:BF28)</f>
        <v>1.41</v>
      </c>
      <c r="BG29" s="6">
        <f>AVERAGE(BG25:BG28)</f>
        <v>1.41</v>
      </c>
      <c r="BJ29" s="16" t="s">
        <v>46</v>
      </c>
      <c r="BK29" s="9">
        <f>AA45</f>
        <v>0</v>
      </c>
      <c r="BL29" s="1">
        <f>AB45</f>
        <v>0</v>
      </c>
      <c r="BM29" s="10">
        <f>AC45</f>
        <v>0</v>
      </c>
      <c r="BN29" s="9">
        <f>AP45</f>
        <v>0</v>
      </c>
      <c r="BO29" s="1">
        <f>AQ45</f>
        <v>0</v>
      </c>
      <c r="BP29" s="10">
        <f>AR45</f>
        <v>0</v>
      </c>
      <c r="BQ29" s="9">
        <f>BE45</f>
        <v>0</v>
      </c>
      <c r="BR29" s="1">
        <f>BF45</f>
        <v>0</v>
      </c>
      <c r="BS29" s="10">
        <f>BG45</f>
        <v>0</v>
      </c>
    </row>
    <row r="30" spans="5:71" ht="15" thickBot="1">
      <c r="BJ30" s="17" t="s">
        <v>47</v>
      </c>
      <c r="BK30" s="36">
        <f>AA53</f>
        <v>1.1099999999999999</v>
      </c>
      <c r="BL30" s="37">
        <f>AB53</f>
        <v>1.0833333333333333</v>
      </c>
      <c r="BM30" s="38">
        <f>AC53</f>
        <v>1.0433333333333332</v>
      </c>
      <c r="BN30" s="36">
        <f>AP53</f>
        <v>1.0249999999999999</v>
      </c>
      <c r="BO30" s="37">
        <f>AQ53</f>
        <v>1.0033333333333332</v>
      </c>
      <c r="BP30" s="38">
        <f>AR53</f>
        <v>0.97333333333333327</v>
      </c>
      <c r="BQ30" s="36">
        <f>BE53</f>
        <v>0.92500000000000004</v>
      </c>
      <c r="BR30" s="37">
        <f>BF53</f>
        <v>0.90666666666666673</v>
      </c>
      <c r="BS30" s="38">
        <f>BG53</f>
        <v>0.8833333333333333</v>
      </c>
    </row>
    <row r="31" spans="5:71">
      <c r="P31" s="47" t="s">
        <v>65</v>
      </c>
      <c r="Q31" s="47"/>
      <c r="R31" s="47"/>
      <c r="S31" s="47"/>
      <c r="U31" s="47" t="s">
        <v>73</v>
      </c>
      <c r="V31" s="47"/>
      <c r="W31" s="47"/>
      <c r="X31" s="47"/>
      <c r="Z31" s="47" t="s">
        <v>55</v>
      </c>
      <c r="AA31" s="47"/>
      <c r="AB31" s="47"/>
      <c r="AC31" s="47"/>
      <c r="AE31" s="47" t="s">
        <v>65</v>
      </c>
      <c r="AF31" s="47"/>
      <c r="AG31" s="47"/>
      <c r="AH31" s="47"/>
      <c r="AJ31" s="47" t="s">
        <v>73</v>
      </c>
      <c r="AK31" s="47"/>
      <c r="AL31" s="47"/>
      <c r="AM31" s="47"/>
      <c r="AO31" s="47" t="s">
        <v>55</v>
      </c>
      <c r="AP31" s="47"/>
      <c r="AQ31" s="47"/>
      <c r="AR31" s="47"/>
      <c r="AT31" s="47" t="s">
        <v>65</v>
      </c>
      <c r="AU31" s="47"/>
      <c r="AV31" s="47"/>
      <c r="AW31" s="47"/>
      <c r="AY31" s="47" t="s">
        <v>73</v>
      </c>
      <c r="AZ31" s="47"/>
      <c r="BA31" s="47"/>
      <c r="BB31" s="47"/>
      <c r="BD31" s="47" t="s">
        <v>55</v>
      </c>
      <c r="BE31" s="47"/>
      <c r="BF31" s="47"/>
      <c r="BG31" s="47"/>
    </row>
    <row r="32" spans="5:71">
      <c r="P32" s="2"/>
      <c r="Q32" s="2">
        <v>2000</v>
      </c>
      <c r="R32" s="2">
        <v>2007</v>
      </c>
      <c r="S32" s="2">
        <v>2015</v>
      </c>
      <c r="U32" s="2"/>
      <c r="V32" s="2">
        <v>2000</v>
      </c>
      <c r="W32" s="2">
        <v>2007</v>
      </c>
      <c r="X32" s="2">
        <v>2015</v>
      </c>
      <c r="Z32" s="2"/>
      <c r="AA32" s="2">
        <v>2000</v>
      </c>
      <c r="AB32" s="2">
        <v>2007</v>
      </c>
      <c r="AC32" s="2">
        <v>2015</v>
      </c>
      <c r="AE32" s="2"/>
      <c r="AF32" s="2">
        <v>2000</v>
      </c>
      <c r="AG32" s="2">
        <v>2007</v>
      </c>
      <c r="AH32" s="2">
        <v>2015</v>
      </c>
      <c r="AJ32" s="2"/>
      <c r="AK32" s="2">
        <v>2000</v>
      </c>
      <c r="AL32" s="2">
        <v>2007</v>
      </c>
      <c r="AM32" s="2">
        <v>2015</v>
      </c>
      <c r="AO32" s="2"/>
      <c r="AP32" s="2">
        <v>2000</v>
      </c>
      <c r="AQ32" s="2">
        <v>2007</v>
      </c>
      <c r="AR32" s="2">
        <v>2015</v>
      </c>
      <c r="AT32" s="2"/>
      <c r="AU32" s="2">
        <v>2000</v>
      </c>
      <c r="AV32" s="2">
        <v>2007</v>
      </c>
      <c r="AW32" s="2">
        <v>2015</v>
      </c>
      <c r="AY32" s="2"/>
      <c r="AZ32" s="2">
        <v>2000</v>
      </c>
      <c r="BA32" s="2">
        <v>2007</v>
      </c>
      <c r="BB32" s="2">
        <v>2015</v>
      </c>
      <c r="BD32" s="2"/>
      <c r="BE32" s="2">
        <v>2000</v>
      </c>
      <c r="BF32" s="2">
        <v>2007</v>
      </c>
      <c r="BG32" s="2">
        <v>2015</v>
      </c>
    </row>
    <row r="33" spans="16:59">
      <c r="P33" s="2" t="s">
        <v>6</v>
      </c>
      <c r="Q33" s="1">
        <v>0.18</v>
      </c>
      <c r="R33" s="1">
        <v>0.18</v>
      </c>
      <c r="S33" s="1" t="s">
        <v>49</v>
      </c>
      <c r="U33" s="2" t="s">
        <v>6</v>
      </c>
      <c r="V33" s="1">
        <v>0.99</v>
      </c>
      <c r="W33" s="1">
        <v>0.98</v>
      </c>
      <c r="X33" s="1" t="s">
        <v>49</v>
      </c>
      <c r="Z33" s="2" t="s">
        <v>6</v>
      </c>
      <c r="AA33" s="1">
        <v>0.01</v>
      </c>
      <c r="AB33" s="1">
        <v>0.01</v>
      </c>
      <c r="AC33" s="1" t="s">
        <v>49</v>
      </c>
      <c r="AE33" s="2" t="s">
        <v>6</v>
      </c>
      <c r="AF33" s="1">
        <v>0.18</v>
      </c>
      <c r="AG33" s="1">
        <v>0.18</v>
      </c>
      <c r="AH33" s="1" t="s">
        <v>49</v>
      </c>
      <c r="AJ33" s="2" t="s">
        <v>6</v>
      </c>
      <c r="AK33" s="1">
        <v>0.83</v>
      </c>
      <c r="AL33" s="1">
        <v>0.82</v>
      </c>
      <c r="AM33" s="1" t="s">
        <v>49</v>
      </c>
      <c r="AO33" s="2" t="s">
        <v>6</v>
      </c>
      <c r="AP33" s="1">
        <v>0.01</v>
      </c>
      <c r="AQ33" s="1">
        <v>0.01</v>
      </c>
      <c r="AR33" s="1" t="s">
        <v>49</v>
      </c>
      <c r="AT33" s="2" t="s">
        <v>6</v>
      </c>
      <c r="AU33" s="1">
        <v>0.18</v>
      </c>
      <c r="AV33" s="1">
        <v>0.18</v>
      </c>
      <c r="AW33" s="1" t="s">
        <v>49</v>
      </c>
      <c r="AY33" s="2" t="s">
        <v>6</v>
      </c>
      <c r="AZ33" s="1">
        <v>0.64</v>
      </c>
      <c r="BA33" s="1">
        <v>0.63</v>
      </c>
      <c r="BB33" s="1" t="s">
        <v>49</v>
      </c>
      <c r="BD33" s="2" t="s">
        <v>6</v>
      </c>
      <c r="BE33" s="1">
        <v>0.01</v>
      </c>
      <c r="BF33" s="1">
        <v>0.01</v>
      </c>
      <c r="BG33" s="1" t="s">
        <v>49</v>
      </c>
    </row>
    <row r="34" spans="16:59">
      <c r="P34" s="2" t="s">
        <v>3</v>
      </c>
      <c r="Q34" s="1">
        <v>0.18</v>
      </c>
      <c r="R34" s="1">
        <v>0.18</v>
      </c>
      <c r="S34" s="1">
        <v>0.18</v>
      </c>
      <c r="U34" s="2" t="s">
        <v>3</v>
      </c>
      <c r="V34" s="1">
        <v>0.53</v>
      </c>
      <c r="W34" s="1">
        <v>0.52</v>
      </c>
      <c r="X34" s="1">
        <v>0.52</v>
      </c>
      <c r="Z34" s="2" t="s">
        <v>3</v>
      </c>
      <c r="AA34" s="1">
        <v>0.01</v>
      </c>
      <c r="AB34" s="1">
        <v>0.01</v>
      </c>
      <c r="AC34" s="1">
        <v>0.01</v>
      </c>
      <c r="AE34" s="2" t="s">
        <v>3</v>
      </c>
      <c r="AF34" s="1">
        <v>0.18</v>
      </c>
      <c r="AG34" s="1">
        <v>0.18</v>
      </c>
      <c r="AH34" s="1">
        <v>0.18</v>
      </c>
      <c r="AJ34" s="2" t="s">
        <v>3</v>
      </c>
      <c r="AK34" s="1">
        <v>0.45</v>
      </c>
      <c r="AL34" s="1">
        <v>0.45</v>
      </c>
      <c r="AM34" s="1">
        <v>0.45</v>
      </c>
      <c r="AO34" s="2" t="s">
        <v>3</v>
      </c>
      <c r="AP34" s="1">
        <v>0.01</v>
      </c>
      <c r="AQ34" s="1">
        <v>0.01</v>
      </c>
      <c r="AR34" s="1">
        <v>0.01</v>
      </c>
      <c r="AT34" s="2" t="s">
        <v>3</v>
      </c>
      <c r="AU34" s="1">
        <v>0.18</v>
      </c>
      <c r="AV34" s="1">
        <v>0.18</v>
      </c>
      <c r="AW34" s="1">
        <v>0.18</v>
      </c>
      <c r="AY34" s="2" t="s">
        <v>3</v>
      </c>
      <c r="AZ34" s="1">
        <v>0.35</v>
      </c>
      <c r="BA34" s="1">
        <v>0.34</v>
      </c>
      <c r="BB34" s="1">
        <v>0.34</v>
      </c>
      <c r="BD34" s="2" t="s">
        <v>3</v>
      </c>
      <c r="BE34" s="1">
        <v>0.01</v>
      </c>
      <c r="BF34" s="1">
        <v>0.01</v>
      </c>
      <c r="BG34" s="1">
        <v>0.01</v>
      </c>
    </row>
    <row r="35" spans="16:59">
      <c r="P35" s="2" t="s">
        <v>4</v>
      </c>
      <c r="Q35" s="1" t="s">
        <v>49</v>
      </c>
      <c r="R35" s="1">
        <v>0.11</v>
      </c>
      <c r="S35" s="1">
        <v>0.11</v>
      </c>
      <c r="U35" s="2" t="s">
        <v>4</v>
      </c>
      <c r="V35" s="1" t="s">
        <v>49</v>
      </c>
      <c r="W35" s="1">
        <v>0.26</v>
      </c>
      <c r="X35" s="1">
        <v>0.26</v>
      </c>
      <c r="Z35" s="2" t="s">
        <v>4</v>
      </c>
      <c r="AA35" s="1" t="s">
        <v>49</v>
      </c>
      <c r="AB35" s="1">
        <v>0.01</v>
      </c>
      <c r="AC35" s="1">
        <v>0.01</v>
      </c>
      <c r="AE35" s="2" t="s">
        <v>4</v>
      </c>
      <c r="AF35" s="1" t="s">
        <v>49</v>
      </c>
      <c r="AG35" s="1">
        <v>0.11</v>
      </c>
      <c r="AH35" s="1">
        <v>0.11</v>
      </c>
      <c r="AJ35" s="2" t="s">
        <v>4</v>
      </c>
      <c r="AK35" s="1" t="s">
        <v>49</v>
      </c>
      <c r="AL35" s="1">
        <v>0.23</v>
      </c>
      <c r="AM35" s="1">
        <v>0.23</v>
      </c>
      <c r="AO35" s="2" t="s">
        <v>4</v>
      </c>
      <c r="AP35" s="1" t="s">
        <v>49</v>
      </c>
      <c r="AQ35" s="1">
        <v>0.01</v>
      </c>
      <c r="AR35" s="1">
        <v>0.01</v>
      </c>
      <c r="AT35" s="2" t="s">
        <v>4</v>
      </c>
      <c r="AU35" s="1" t="s">
        <v>49</v>
      </c>
      <c r="AV35" s="1">
        <v>0.11</v>
      </c>
      <c r="AW35" s="1">
        <v>0.11</v>
      </c>
      <c r="AY35" s="2" t="s">
        <v>4</v>
      </c>
      <c r="AZ35" s="1" t="s">
        <v>49</v>
      </c>
      <c r="BA35" s="1">
        <v>0.19</v>
      </c>
      <c r="BB35" s="1">
        <v>0.19</v>
      </c>
      <c r="BD35" s="2" t="s">
        <v>4</v>
      </c>
      <c r="BE35" s="1" t="s">
        <v>49</v>
      </c>
      <c r="BF35" s="1">
        <v>0.01</v>
      </c>
      <c r="BG35" s="1">
        <v>0.01</v>
      </c>
    </row>
    <row r="36" spans="16:59">
      <c r="P36" s="2" t="s">
        <v>5</v>
      </c>
      <c r="Q36" s="1" t="s">
        <v>49</v>
      </c>
      <c r="R36" s="1" t="s">
        <v>49</v>
      </c>
      <c r="S36" s="1">
        <v>0.1</v>
      </c>
      <c r="U36" s="2" t="s">
        <v>5</v>
      </c>
      <c r="V36" s="1" t="s">
        <v>49</v>
      </c>
      <c r="W36" s="1" t="s">
        <v>49</v>
      </c>
      <c r="X36" s="1">
        <v>0.24</v>
      </c>
      <c r="Z36" s="2" t="s">
        <v>5</v>
      </c>
      <c r="AA36" s="1" t="s">
        <v>49</v>
      </c>
      <c r="AB36" s="1" t="s">
        <v>49</v>
      </c>
      <c r="AC36" s="1">
        <v>0.01</v>
      </c>
      <c r="AE36" s="2" t="s">
        <v>5</v>
      </c>
      <c r="AF36" s="1" t="s">
        <v>49</v>
      </c>
      <c r="AG36" s="1" t="s">
        <v>49</v>
      </c>
      <c r="AH36" s="1">
        <v>0.1</v>
      </c>
      <c r="AJ36" s="2" t="s">
        <v>5</v>
      </c>
      <c r="AK36" s="1" t="s">
        <v>49</v>
      </c>
      <c r="AL36" s="1" t="s">
        <v>49</v>
      </c>
      <c r="AM36" s="1">
        <v>0.21</v>
      </c>
      <c r="AO36" s="2" t="s">
        <v>5</v>
      </c>
      <c r="AP36" s="1" t="s">
        <v>49</v>
      </c>
      <c r="AQ36" s="1" t="s">
        <v>49</v>
      </c>
      <c r="AR36" s="1">
        <v>0.01</v>
      </c>
      <c r="AT36" s="2" t="s">
        <v>5</v>
      </c>
      <c r="AU36" s="1" t="s">
        <v>49</v>
      </c>
      <c r="AV36" s="1" t="s">
        <v>49</v>
      </c>
      <c r="AW36" s="1">
        <v>0.1</v>
      </c>
      <c r="AY36" s="2" t="s">
        <v>5</v>
      </c>
      <c r="AZ36" s="1" t="s">
        <v>49</v>
      </c>
      <c r="BA36" s="1" t="s">
        <v>49</v>
      </c>
      <c r="BB36" s="1">
        <v>0.16</v>
      </c>
      <c r="BD36" s="2" t="s">
        <v>5</v>
      </c>
      <c r="BE36" s="1" t="s">
        <v>49</v>
      </c>
      <c r="BF36" s="1" t="s">
        <v>49</v>
      </c>
      <c r="BG36" s="1">
        <v>0.01</v>
      </c>
    </row>
    <row r="37" spans="16:59">
      <c r="P37" s="3" t="s">
        <v>137</v>
      </c>
      <c r="Q37" s="6">
        <f>AVERAGE(Q33:Q36)</f>
        <v>0.18</v>
      </c>
      <c r="R37" s="6">
        <f>AVERAGE(R33:R36)</f>
        <v>0.15666666666666665</v>
      </c>
      <c r="S37" s="6">
        <f>AVERAGE(S33:S36)</f>
        <v>0.13</v>
      </c>
      <c r="U37" s="3" t="s">
        <v>137</v>
      </c>
      <c r="V37" s="6">
        <f>AVERAGE(V33:V36)</f>
        <v>0.76</v>
      </c>
      <c r="W37" s="6">
        <f>AVERAGE(W33:W36)</f>
        <v>0.58666666666666667</v>
      </c>
      <c r="X37" s="6">
        <f>AVERAGE(X33:X36)</f>
        <v>0.34</v>
      </c>
      <c r="Z37" s="3" t="s">
        <v>137</v>
      </c>
      <c r="AA37" s="6">
        <f>AVERAGE(AA33:AA36)</f>
        <v>0.01</v>
      </c>
      <c r="AB37" s="6">
        <f>AVERAGE(AB33:AB36)</f>
        <v>0.01</v>
      </c>
      <c r="AC37" s="6">
        <f>AVERAGE(AC33:AC36)</f>
        <v>0.01</v>
      </c>
      <c r="AE37" s="3" t="s">
        <v>137</v>
      </c>
      <c r="AF37" s="6">
        <f>AVERAGE(AF33:AF36)</f>
        <v>0.18</v>
      </c>
      <c r="AG37" s="6">
        <f>AVERAGE(AG33:AG36)</f>
        <v>0.15666666666666665</v>
      </c>
      <c r="AH37" s="6">
        <f>AVERAGE(AH33:AH36)</f>
        <v>0.13</v>
      </c>
      <c r="AJ37" s="3" t="s">
        <v>137</v>
      </c>
      <c r="AK37" s="6">
        <f>AVERAGE(AK33:AK36)</f>
        <v>0.64</v>
      </c>
      <c r="AL37" s="6">
        <f>AVERAGE(AL33:AL36)</f>
        <v>0.5</v>
      </c>
      <c r="AM37" s="6">
        <f>AVERAGE(AM33:AM36)</f>
        <v>0.29666666666666669</v>
      </c>
      <c r="AO37" s="3" t="s">
        <v>137</v>
      </c>
      <c r="AP37" s="6">
        <f>AVERAGE(AP33:AP36)</f>
        <v>0.01</v>
      </c>
      <c r="AQ37" s="6">
        <f>AVERAGE(AQ33:AQ36)</f>
        <v>0.01</v>
      </c>
      <c r="AR37" s="6">
        <f>AVERAGE(AR33:AR36)</f>
        <v>0.01</v>
      </c>
      <c r="AT37" s="3" t="s">
        <v>137</v>
      </c>
      <c r="AU37" s="6">
        <f>AVERAGE(AU33:AU36)</f>
        <v>0.18</v>
      </c>
      <c r="AV37" s="6">
        <f>AVERAGE(AV33:AV36)</f>
        <v>0.15666666666666665</v>
      </c>
      <c r="AW37" s="6">
        <f>AVERAGE(AW33:AW36)</f>
        <v>0.13</v>
      </c>
      <c r="AY37" s="3" t="s">
        <v>137</v>
      </c>
      <c r="AZ37" s="6">
        <f>AVERAGE(AZ33:AZ36)</f>
        <v>0.495</v>
      </c>
      <c r="BA37" s="6">
        <f>AVERAGE(BA33:BA36)</f>
        <v>0.38666666666666666</v>
      </c>
      <c r="BB37" s="6">
        <f>AVERAGE(BB33:BB36)</f>
        <v>0.23</v>
      </c>
      <c r="BD37" s="3" t="s">
        <v>137</v>
      </c>
      <c r="BE37" s="6">
        <f>AVERAGE(BE33:BE36)</f>
        <v>0.01</v>
      </c>
      <c r="BF37" s="6">
        <f>AVERAGE(BF33:BF36)</f>
        <v>0.01</v>
      </c>
      <c r="BG37" s="6">
        <f>AVERAGE(BG33:BG36)</f>
        <v>0.01</v>
      </c>
    </row>
    <row r="39" spans="16:59">
      <c r="P39" s="47" t="s">
        <v>66</v>
      </c>
      <c r="Q39" s="47"/>
      <c r="R39" s="47"/>
      <c r="S39" s="47"/>
      <c r="U39" s="47" t="s">
        <v>72</v>
      </c>
      <c r="V39" s="47"/>
      <c r="W39" s="47"/>
      <c r="X39" s="47"/>
      <c r="Z39" s="47" t="s">
        <v>56</v>
      </c>
      <c r="AA39" s="47"/>
      <c r="AB39" s="47"/>
      <c r="AC39" s="47"/>
      <c r="AE39" s="47" t="s">
        <v>66</v>
      </c>
      <c r="AF39" s="47"/>
      <c r="AG39" s="47"/>
      <c r="AH39" s="47"/>
      <c r="AJ39" s="47" t="s">
        <v>72</v>
      </c>
      <c r="AK39" s="47"/>
      <c r="AL39" s="47"/>
      <c r="AM39" s="47"/>
      <c r="AO39" s="47" t="s">
        <v>56</v>
      </c>
      <c r="AP39" s="47"/>
      <c r="AQ39" s="47"/>
      <c r="AR39" s="47"/>
      <c r="AT39" s="47" t="s">
        <v>66</v>
      </c>
      <c r="AU39" s="47"/>
      <c r="AV39" s="47"/>
      <c r="AW39" s="47"/>
      <c r="AY39" s="47" t="s">
        <v>72</v>
      </c>
      <c r="AZ39" s="47"/>
      <c r="BA39" s="47"/>
      <c r="BB39" s="47"/>
      <c r="BD39" s="47" t="s">
        <v>56</v>
      </c>
      <c r="BE39" s="47"/>
      <c r="BF39" s="47"/>
      <c r="BG39" s="47"/>
    </row>
    <row r="40" spans="16:59">
      <c r="P40" s="2"/>
      <c r="Q40" s="2">
        <v>2000</v>
      </c>
      <c r="R40" s="2">
        <v>2007</v>
      </c>
      <c r="S40" s="2">
        <v>2015</v>
      </c>
      <c r="U40" s="2"/>
      <c r="V40" s="2">
        <v>2000</v>
      </c>
      <c r="W40" s="2">
        <v>2007</v>
      </c>
      <c r="X40" s="2">
        <v>2015</v>
      </c>
      <c r="Z40" s="2"/>
      <c r="AA40" s="2">
        <v>2000</v>
      </c>
      <c r="AB40" s="2">
        <v>2007</v>
      </c>
      <c r="AC40" s="2">
        <v>2015</v>
      </c>
      <c r="AE40" s="2"/>
      <c r="AF40" s="2">
        <v>2000</v>
      </c>
      <c r="AG40" s="2">
        <v>2007</v>
      </c>
      <c r="AH40" s="2">
        <v>2015</v>
      </c>
      <c r="AJ40" s="2"/>
      <c r="AK40" s="2">
        <v>2000</v>
      </c>
      <c r="AL40" s="2">
        <v>2007</v>
      </c>
      <c r="AM40" s="2">
        <v>2015</v>
      </c>
      <c r="AO40" s="2"/>
      <c r="AP40" s="2">
        <v>2000</v>
      </c>
      <c r="AQ40" s="2">
        <v>2007</v>
      </c>
      <c r="AR40" s="2">
        <v>2015</v>
      </c>
      <c r="AT40" s="2"/>
      <c r="AU40" s="2">
        <v>2000</v>
      </c>
      <c r="AV40" s="2">
        <v>2007</v>
      </c>
      <c r="AW40" s="2">
        <v>2015</v>
      </c>
      <c r="AY40" s="2"/>
      <c r="AZ40" s="2">
        <v>2000</v>
      </c>
      <c r="BA40" s="2">
        <v>2007</v>
      </c>
      <c r="BB40" s="2">
        <v>2015</v>
      </c>
      <c r="BD40" s="2"/>
      <c r="BE40" s="2">
        <v>2000</v>
      </c>
      <c r="BF40" s="2">
        <v>2007</v>
      </c>
      <c r="BG40" s="2">
        <v>2015</v>
      </c>
    </row>
    <row r="41" spans="16:59">
      <c r="P41" s="2" t="s">
        <v>6</v>
      </c>
      <c r="Q41" s="1">
        <v>20.05</v>
      </c>
      <c r="R41" s="1">
        <v>19.940000000000001</v>
      </c>
      <c r="S41" s="1" t="s">
        <v>49</v>
      </c>
      <c r="U41" s="2" t="s">
        <v>6</v>
      </c>
      <c r="V41" s="1">
        <v>0.5</v>
      </c>
      <c r="W41" s="1">
        <v>0.49</v>
      </c>
      <c r="X41" s="1" t="s">
        <v>49</v>
      </c>
      <c r="Z41" s="2" t="s">
        <v>6</v>
      </c>
      <c r="AA41" s="1">
        <v>0</v>
      </c>
      <c r="AB41" s="1">
        <v>0</v>
      </c>
      <c r="AC41" s="1" t="s">
        <v>49</v>
      </c>
      <c r="AE41" s="2" t="s">
        <v>6</v>
      </c>
      <c r="AF41" s="1">
        <v>18.100000000000001</v>
      </c>
      <c r="AG41" s="1">
        <v>17.989999999999998</v>
      </c>
      <c r="AH41" s="1" t="s">
        <v>49</v>
      </c>
      <c r="AJ41" s="2" t="s">
        <v>6</v>
      </c>
      <c r="AK41" s="1">
        <v>0.41</v>
      </c>
      <c r="AL41" s="1">
        <v>0.41</v>
      </c>
      <c r="AM41" s="1" t="s">
        <v>49</v>
      </c>
      <c r="AO41" s="2" t="s">
        <v>6</v>
      </c>
      <c r="AP41" s="1">
        <v>0</v>
      </c>
      <c r="AQ41" s="1">
        <v>0</v>
      </c>
      <c r="AR41" s="1" t="s">
        <v>49</v>
      </c>
      <c r="AT41" s="2" t="s">
        <v>6</v>
      </c>
      <c r="AU41" s="1">
        <v>15.57</v>
      </c>
      <c r="AV41" s="1">
        <v>15.48</v>
      </c>
      <c r="AW41" s="1" t="s">
        <v>49</v>
      </c>
      <c r="AY41" s="2" t="s">
        <v>6</v>
      </c>
      <c r="AZ41" s="1">
        <v>0.32</v>
      </c>
      <c r="BA41" s="1">
        <v>0.32</v>
      </c>
      <c r="BB41" s="1" t="s">
        <v>49</v>
      </c>
      <c r="BD41" s="2" t="s">
        <v>6</v>
      </c>
      <c r="BE41" s="1">
        <v>0</v>
      </c>
      <c r="BF41" s="1">
        <v>0</v>
      </c>
      <c r="BG41" s="1" t="s">
        <v>49</v>
      </c>
    </row>
    <row r="42" spans="16:59">
      <c r="P42" s="2" t="s">
        <v>3</v>
      </c>
      <c r="Q42" s="1">
        <v>12.47</v>
      </c>
      <c r="R42" s="1">
        <v>12.4</v>
      </c>
      <c r="S42" s="1">
        <v>12.17</v>
      </c>
      <c r="U42" s="2" t="s">
        <v>3</v>
      </c>
      <c r="V42" s="1">
        <v>0.34</v>
      </c>
      <c r="W42" s="1">
        <v>0.34</v>
      </c>
      <c r="X42" s="1">
        <v>0.34</v>
      </c>
      <c r="Z42" s="2" t="s">
        <v>3</v>
      </c>
      <c r="AA42" s="1">
        <v>0</v>
      </c>
      <c r="AB42" s="1">
        <v>0</v>
      </c>
      <c r="AC42" s="1">
        <v>0</v>
      </c>
      <c r="AE42" s="2" t="s">
        <v>3</v>
      </c>
      <c r="AF42" s="1">
        <v>11.16</v>
      </c>
      <c r="AG42" s="1">
        <v>11.1</v>
      </c>
      <c r="AH42" s="1">
        <v>10.9</v>
      </c>
      <c r="AJ42" s="2" t="s">
        <v>3</v>
      </c>
      <c r="AK42" s="1">
        <v>0.28999999999999998</v>
      </c>
      <c r="AL42" s="1">
        <v>0.28999999999999998</v>
      </c>
      <c r="AM42" s="1">
        <v>0.28999999999999998</v>
      </c>
      <c r="AO42" s="2" t="s">
        <v>3</v>
      </c>
      <c r="AP42" s="1">
        <v>0</v>
      </c>
      <c r="AQ42" s="1">
        <v>0</v>
      </c>
      <c r="AR42" s="1">
        <v>0</v>
      </c>
      <c r="AT42" s="2" t="s">
        <v>3</v>
      </c>
      <c r="AU42" s="1">
        <v>9.51</v>
      </c>
      <c r="AV42" s="1">
        <v>9.4499999999999993</v>
      </c>
      <c r="AW42" s="1">
        <v>9.2799999999999994</v>
      </c>
      <c r="AY42" s="2" t="s">
        <v>3</v>
      </c>
      <c r="AZ42" s="1">
        <v>0.23</v>
      </c>
      <c r="BA42" s="1">
        <v>0.22</v>
      </c>
      <c r="BB42" s="1">
        <v>0.22</v>
      </c>
      <c r="BD42" s="2" t="s">
        <v>3</v>
      </c>
      <c r="BE42" s="1">
        <v>0</v>
      </c>
      <c r="BF42" s="1">
        <v>0</v>
      </c>
      <c r="BG42" s="1">
        <v>0</v>
      </c>
    </row>
    <row r="43" spans="16:59">
      <c r="P43" s="2" t="s">
        <v>4</v>
      </c>
      <c r="Q43" s="1" t="s">
        <v>49</v>
      </c>
      <c r="R43" s="1">
        <v>13.32</v>
      </c>
      <c r="S43" s="1">
        <v>13.08</v>
      </c>
      <c r="U43" s="2" t="s">
        <v>4</v>
      </c>
      <c r="V43" s="1" t="s">
        <v>49</v>
      </c>
      <c r="W43" s="1">
        <v>0.17</v>
      </c>
      <c r="X43" s="1">
        <v>0.17</v>
      </c>
      <c r="Z43" s="2" t="s">
        <v>4</v>
      </c>
      <c r="AA43" s="1" t="s">
        <v>49</v>
      </c>
      <c r="AB43" s="1">
        <v>0</v>
      </c>
      <c r="AC43" s="1">
        <v>0</v>
      </c>
      <c r="AE43" s="2" t="s">
        <v>4</v>
      </c>
      <c r="AF43" s="1" t="s">
        <v>49</v>
      </c>
      <c r="AG43" s="1">
        <v>11.85</v>
      </c>
      <c r="AH43" s="1">
        <v>11.63</v>
      </c>
      <c r="AJ43" s="2" t="s">
        <v>4</v>
      </c>
      <c r="AK43" s="1" t="s">
        <v>49</v>
      </c>
      <c r="AL43" s="1">
        <v>0.15</v>
      </c>
      <c r="AM43" s="1">
        <v>0.15</v>
      </c>
      <c r="AO43" s="2" t="s">
        <v>4</v>
      </c>
      <c r="AP43" s="1" t="s">
        <v>49</v>
      </c>
      <c r="AQ43" s="1">
        <v>0</v>
      </c>
      <c r="AR43" s="1">
        <v>0</v>
      </c>
      <c r="AT43" s="2" t="s">
        <v>4</v>
      </c>
      <c r="AU43" s="1" t="s">
        <v>49</v>
      </c>
      <c r="AV43" s="1">
        <v>10</v>
      </c>
      <c r="AW43" s="1">
        <v>9.82</v>
      </c>
      <c r="AY43" s="2" t="s">
        <v>4</v>
      </c>
      <c r="AZ43" s="1" t="s">
        <v>49</v>
      </c>
      <c r="BA43" s="1">
        <v>0.12</v>
      </c>
      <c r="BB43" s="1">
        <v>0.12</v>
      </c>
      <c r="BD43" s="2" t="s">
        <v>4</v>
      </c>
      <c r="BE43" s="1" t="s">
        <v>49</v>
      </c>
      <c r="BF43" s="1">
        <v>0</v>
      </c>
      <c r="BG43" s="1">
        <v>0</v>
      </c>
    </row>
    <row r="44" spans="16:59">
      <c r="P44" s="2" t="s">
        <v>5</v>
      </c>
      <c r="Q44" s="1" t="s">
        <v>49</v>
      </c>
      <c r="R44" s="1" t="s">
        <v>49</v>
      </c>
      <c r="S44" s="1">
        <v>11.91</v>
      </c>
      <c r="U44" s="2" t="s">
        <v>5</v>
      </c>
      <c r="V44" s="1" t="s">
        <v>49</v>
      </c>
      <c r="W44" s="1" t="s">
        <v>49</v>
      </c>
      <c r="X44" s="1">
        <v>0.17</v>
      </c>
      <c r="Z44" s="2" t="s">
        <v>5</v>
      </c>
      <c r="AA44" s="1" t="s">
        <v>49</v>
      </c>
      <c r="AB44" s="1" t="s">
        <v>49</v>
      </c>
      <c r="AC44" s="1">
        <v>0</v>
      </c>
      <c r="AE44" s="2" t="s">
        <v>5</v>
      </c>
      <c r="AF44" s="1" t="s">
        <v>49</v>
      </c>
      <c r="AG44" s="1" t="s">
        <v>49</v>
      </c>
      <c r="AH44" s="1">
        <v>10.17</v>
      </c>
      <c r="AJ44" s="2" t="s">
        <v>5</v>
      </c>
      <c r="AK44" s="1" t="s">
        <v>49</v>
      </c>
      <c r="AL44" s="1" t="s">
        <v>49</v>
      </c>
      <c r="AM44" s="1">
        <v>0.15</v>
      </c>
      <c r="AO44" s="2" t="s">
        <v>5</v>
      </c>
      <c r="AP44" s="1" t="s">
        <v>49</v>
      </c>
      <c r="AQ44" s="1" t="s">
        <v>49</v>
      </c>
      <c r="AR44" s="1">
        <v>0</v>
      </c>
      <c r="AT44" s="2" t="s">
        <v>5</v>
      </c>
      <c r="AU44" s="1" t="s">
        <v>49</v>
      </c>
      <c r="AV44" s="1" t="s">
        <v>49</v>
      </c>
      <c r="AW44" s="1">
        <v>8.1199999999999992</v>
      </c>
      <c r="AY44" s="2" t="s">
        <v>5</v>
      </c>
      <c r="AZ44" s="1" t="s">
        <v>49</v>
      </c>
      <c r="BA44" s="1" t="s">
        <v>49</v>
      </c>
      <c r="BB44" s="1">
        <v>0.11</v>
      </c>
      <c r="BD44" s="2" t="s">
        <v>5</v>
      </c>
      <c r="BE44" s="1" t="s">
        <v>49</v>
      </c>
      <c r="BF44" s="1" t="s">
        <v>49</v>
      </c>
      <c r="BG44" s="1">
        <v>0</v>
      </c>
    </row>
    <row r="45" spans="16:59">
      <c r="P45" s="3" t="s">
        <v>137</v>
      </c>
      <c r="Q45" s="6">
        <f>AVERAGE(Q41:Q44)</f>
        <v>16.260000000000002</v>
      </c>
      <c r="R45" s="6">
        <f>AVERAGE(R41:R44)</f>
        <v>15.22</v>
      </c>
      <c r="S45" s="6">
        <f>AVERAGE(S41:S44)</f>
        <v>12.386666666666665</v>
      </c>
      <c r="U45" s="3" t="s">
        <v>137</v>
      </c>
      <c r="V45" s="6">
        <f>AVERAGE(V41:V44)</f>
        <v>0.42000000000000004</v>
      </c>
      <c r="W45" s="6">
        <f>AVERAGE(W41:W44)</f>
        <v>0.33333333333333331</v>
      </c>
      <c r="X45" s="6">
        <f>AVERAGE(X41:X44)</f>
        <v>0.22666666666666668</v>
      </c>
      <c r="Z45" s="3" t="s">
        <v>137</v>
      </c>
      <c r="AA45" s="6">
        <f>AVERAGE(AA41:AA44)</f>
        <v>0</v>
      </c>
      <c r="AB45" s="6">
        <f>AVERAGE(AB41:AB44)</f>
        <v>0</v>
      </c>
      <c r="AC45" s="6">
        <f>AVERAGE(AC41:AC44)</f>
        <v>0</v>
      </c>
      <c r="AE45" s="3" t="s">
        <v>137</v>
      </c>
      <c r="AF45" s="6">
        <f>AVERAGE(AF41:AF44)</f>
        <v>14.63</v>
      </c>
      <c r="AG45" s="6">
        <f>AVERAGE(AG41:AG44)</f>
        <v>13.646666666666667</v>
      </c>
      <c r="AH45" s="6">
        <f>AVERAGE(AH41:AH44)</f>
        <v>10.9</v>
      </c>
      <c r="AJ45" s="3" t="s">
        <v>137</v>
      </c>
      <c r="AK45" s="6">
        <f>AVERAGE(AK41:AK44)</f>
        <v>0.35</v>
      </c>
      <c r="AL45" s="6">
        <f>AVERAGE(AL41:AL44)</f>
        <v>0.28333333333333333</v>
      </c>
      <c r="AM45" s="6">
        <f>AVERAGE(AM41:AM44)</f>
        <v>0.19666666666666666</v>
      </c>
      <c r="AO45" s="3" t="s">
        <v>137</v>
      </c>
      <c r="AP45" s="6">
        <f>AVERAGE(AP41:AP44)</f>
        <v>0</v>
      </c>
      <c r="AQ45" s="6">
        <f>AVERAGE(AQ41:AQ44)</f>
        <v>0</v>
      </c>
      <c r="AR45" s="6">
        <f>AVERAGE(AR41:AR44)</f>
        <v>0</v>
      </c>
      <c r="AT45" s="3" t="s">
        <v>137</v>
      </c>
      <c r="AU45" s="6">
        <f>AVERAGE(AU41:AU44)</f>
        <v>12.54</v>
      </c>
      <c r="AV45" s="6">
        <f>AVERAGE(AV41:AV44)</f>
        <v>11.643333333333333</v>
      </c>
      <c r="AW45" s="6">
        <f>AVERAGE(AW41:AW44)</f>
        <v>9.0733333333333324</v>
      </c>
      <c r="AY45" s="3" t="s">
        <v>137</v>
      </c>
      <c r="AZ45" s="6">
        <f>AVERAGE(AZ41:AZ44)</f>
        <v>0.27500000000000002</v>
      </c>
      <c r="BA45" s="6">
        <f>AVERAGE(BA41:BA44)</f>
        <v>0.22</v>
      </c>
      <c r="BB45" s="6">
        <f>AVERAGE(BB41:BB44)</f>
        <v>0.15</v>
      </c>
      <c r="BD45" s="3" t="s">
        <v>137</v>
      </c>
      <c r="BE45" s="6">
        <f>AVERAGE(BE41:BE44)</f>
        <v>0</v>
      </c>
      <c r="BF45" s="6">
        <f>AVERAGE(BF41:BF44)</f>
        <v>0</v>
      </c>
      <c r="BG45" s="6">
        <f>AVERAGE(BG41:BG44)</f>
        <v>0</v>
      </c>
    </row>
    <row r="47" spans="16:59">
      <c r="P47" s="47" t="s">
        <v>67</v>
      </c>
      <c r="Q47" s="47"/>
      <c r="R47" s="47"/>
      <c r="S47" s="47"/>
      <c r="U47" s="47" t="s">
        <v>71</v>
      </c>
      <c r="V47" s="47"/>
      <c r="W47" s="47"/>
      <c r="X47" s="47"/>
      <c r="Z47" s="47" t="s">
        <v>57</v>
      </c>
      <c r="AA47" s="47"/>
      <c r="AB47" s="47"/>
      <c r="AC47" s="47"/>
      <c r="AE47" s="47" t="s">
        <v>67</v>
      </c>
      <c r="AF47" s="47"/>
      <c r="AG47" s="47"/>
      <c r="AH47" s="47"/>
      <c r="AJ47" s="47" t="s">
        <v>71</v>
      </c>
      <c r="AK47" s="47"/>
      <c r="AL47" s="47"/>
      <c r="AM47" s="47"/>
      <c r="AO47" s="47" t="s">
        <v>57</v>
      </c>
      <c r="AP47" s="47"/>
      <c r="AQ47" s="47"/>
      <c r="AR47" s="47"/>
      <c r="AT47" s="47" t="s">
        <v>67</v>
      </c>
      <c r="AU47" s="47"/>
      <c r="AV47" s="47"/>
      <c r="AW47" s="47"/>
      <c r="AY47" s="47" t="s">
        <v>71</v>
      </c>
      <c r="AZ47" s="47"/>
      <c r="BA47" s="47"/>
      <c r="BB47" s="47"/>
      <c r="BD47" s="47" t="s">
        <v>57</v>
      </c>
      <c r="BE47" s="47"/>
      <c r="BF47" s="47"/>
      <c r="BG47" s="47"/>
    </row>
    <row r="48" spans="16:59">
      <c r="P48" s="2"/>
      <c r="Q48" s="2">
        <v>2000</v>
      </c>
      <c r="R48" s="2">
        <v>2007</v>
      </c>
      <c r="S48" s="2">
        <v>2015</v>
      </c>
      <c r="U48" s="2"/>
      <c r="V48" s="2">
        <v>2000</v>
      </c>
      <c r="W48" s="2">
        <v>2007</v>
      </c>
      <c r="X48" s="2">
        <v>2015</v>
      </c>
      <c r="Z48" s="2"/>
      <c r="AA48" s="2">
        <v>2000</v>
      </c>
      <c r="AB48" s="2">
        <v>2007</v>
      </c>
      <c r="AC48" s="2">
        <v>2015</v>
      </c>
      <c r="AE48" s="2"/>
      <c r="AF48" s="2">
        <v>2000</v>
      </c>
      <c r="AG48" s="2">
        <v>2007</v>
      </c>
      <c r="AH48" s="2">
        <v>2015</v>
      </c>
      <c r="AJ48" s="2"/>
      <c r="AK48" s="2">
        <v>2000</v>
      </c>
      <c r="AL48" s="2">
        <v>2007</v>
      </c>
      <c r="AM48" s="2">
        <v>2015</v>
      </c>
      <c r="AO48" s="2"/>
      <c r="AP48" s="2">
        <v>2000</v>
      </c>
      <c r="AQ48" s="2">
        <v>2007</v>
      </c>
      <c r="AR48" s="2">
        <v>2015</v>
      </c>
      <c r="AT48" s="2"/>
      <c r="AU48" s="2">
        <v>2000</v>
      </c>
      <c r="AV48" s="2">
        <v>2007</v>
      </c>
      <c r="AW48" s="2">
        <v>2015</v>
      </c>
      <c r="AY48" s="2"/>
      <c r="AZ48" s="2">
        <v>2000</v>
      </c>
      <c r="BA48" s="2">
        <v>2007</v>
      </c>
      <c r="BB48" s="2">
        <v>2015</v>
      </c>
      <c r="BD48" s="2"/>
      <c r="BE48" s="2">
        <v>2000</v>
      </c>
      <c r="BF48" s="2">
        <v>2007</v>
      </c>
      <c r="BG48" s="2">
        <v>2015</v>
      </c>
    </row>
    <row r="49" spans="16:59">
      <c r="P49" s="2" t="s">
        <v>6</v>
      </c>
      <c r="Q49" s="1">
        <v>17.850000000000001</v>
      </c>
      <c r="R49" s="1">
        <v>17.75</v>
      </c>
      <c r="S49" s="1" t="s">
        <v>49</v>
      </c>
      <c r="U49" s="2" t="s">
        <v>6</v>
      </c>
      <c r="V49" s="1">
        <v>0.4</v>
      </c>
      <c r="W49" s="1">
        <v>0.39</v>
      </c>
      <c r="X49" s="1" t="s">
        <v>49</v>
      </c>
      <c r="Z49" s="2" t="s">
        <v>6</v>
      </c>
      <c r="AA49" s="1">
        <v>1.17</v>
      </c>
      <c r="AB49" s="1">
        <v>1.17</v>
      </c>
      <c r="AC49" s="1" t="s">
        <v>49</v>
      </c>
      <c r="AE49" s="2" t="s">
        <v>6</v>
      </c>
      <c r="AF49" s="1">
        <v>16.11</v>
      </c>
      <c r="AG49" s="1">
        <v>16.010000000000002</v>
      </c>
      <c r="AH49" s="1" t="s">
        <v>49</v>
      </c>
      <c r="AJ49" s="2" t="s">
        <v>6</v>
      </c>
      <c r="AK49" s="1">
        <v>0.33</v>
      </c>
      <c r="AL49" s="1">
        <v>0.33</v>
      </c>
      <c r="AM49" s="1" t="s">
        <v>49</v>
      </c>
      <c r="AO49" s="2" t="s">
        <v>6</v>
      </c>
      <c r="AP49" s="1">
        <v>1.07</v>
      </c>
      <c r="AQ49" s="1">
        <v>1.07</v>
      </c>
      <c r="AR49" s="1" t="s">
        <v>49</v>
      </c>
      <c r="AT49" s="2" t="s">
        <v>6</v>
      </c>
      <c r="AU49" s="1">
        <v>13.86</v>
      </c>
      <c r="AV49" s="1">
        <v>13.78</v>
      </c>
      <c r="AW49" s="1" t="s">
        <v>49</v>
      </c>
      <c r="AY49" s="2" t="s">
        <v>6</v>
      </c>
      <c r="AZ49" s="1">
        <v>0.26</v>
      </c>
      <c r="BA49" s="1">
        <v>0.25</v>
      </c>
      <c r="BB49" s="1" t="s">
        <v>49</v>
      </c>
      <c r="BD49" s="2" t="s">
        <v>6</v>
      </c>
      <c r="BE49" s="1">
        <v>0.96</v>
      </c>
      <c r="BF49" s="1">
        <v>0.96</v>
      </c>
      <c r="BG49" s="1" t="s">
        <v>49</v>
      </c>
    </row>
    <row r="50" spans="16:59">
      <c r="P50" s="2" t="s">
        <v>3</v>
      </c>
      <c r="Q50" s="1">
        <v>11.1</v>
      </c>
      <c r="R50" s="1">
        <v>11.03</v>
      </c>
      <c r="S50" s="1">
        <v>10.83</v>
      </c>
      <c r="U50" s="2" t="s">
        <v>3</v>
      </c>
      <c r="V50" s="1">
        <v>0.14000000000000001</v>
      </c>
      <c r="W50" s="1">
        <v>0.14000000000000001</v>
      </c>
      <c r="X50" s="1">
        <v>0.14000000000000001</v>
      </c>
      <c r="Z50" s="2" t="s">
        <v>3</v>
      </c>
      <c r="AA50" s="1">
        <v>1.05</v>
      </c>
      <c r="AB50" s="1">
        <v>1.05</v>
      </c>
      <c r="AC50" s="1">
        <v>1.05</v>
      </c>
      <c r="AE50" s="2" t="s">
        <v>3</v>
      </c>
      <c r="AF50" s="1">
        <v>9.94</v>
      </c>
      <c r="AG50" s="1">
        <v>9.8800000000000008</v>
      </c>
      <c r="AH50" s="1">
        <v>9.6999999999999993</v>
      </c>
      <c r="AJ50" s="2" t="s">
        <v>3</v>
      </c>
      <c r="AK50" s="1">
        <v>0.12</v>
      </c>
      <c r="AL50" s="1">
        <v>0.12</v>
      </c>
      <c r="AM50" s="1">
        <v>0.12</v>
      </c>
      <c r="AO50" s="2" t="s">
        <v>3</v>
      </c>
      <c r="AP50" s="1">
        <v>0.98</v>
      </c>
      <c r="AQ50" s="1">
        <v>0.98</v>
      </c>
      <c r="AR50" s="1">
        <v>0.98</v>
      </c>
      <c r="AT50" s="2" t="s">
        <v>3</v>
      </c>
      <c r="AU50" s="1">
        <v>8.4600000000000009</v>
      </c>
      <c r="AV50" s="1">
        <v>8.41</v>
      </c>
      <c r="AW50" s="1">
        <v>8.26</v>
      </c>
      <c r="AY50" s="2" t="s">
        <v>3</v>
      </c>
      <c r="AZ50" s="1">
        <v>0.09</v>
      </c>
      <c r="BA50" s="1">
        <v>0.09</v>
      </c>
      <c r="BB50" s="1">
        <v>0.09</v>
      </c>
      <c r="BD50" s="2" t="s">
        <v>3</v>
      </c>
      <c r="BE50" s="1">
        <v>0.89</v>
      </c>
      <c r="BF50" s="1">
        <v>0.89</v>
      </c>
      <c r="BG50" s="1">
        <v>0.89</v>
      </c>
    </row>
    <row r="51" spans="16:59">
      <c r="P51" s="2" t="s">
        <v>4</v>
      </c>
      <c r="Q51" s="1" t="s">
        <v>49</v>
      </c>
      <c r="R51" s="1">
        <v>11.86</v>
      </c>
      <c r="S51" s="1">
        <v>11.64</v>
      </c>
      <c r="U51" s="2" t="s">
        <v>4</v>
      </c>
      <c r="V51" s="1" t="s">
        <v>49</v>
      </c>
      <c r="W51" s="1">
        <v>7.0000000000000007E-2</v>
      </c>
      <c r="X51" s="1">
        <v>7.0000000000000007E-2</v>
      </c>
      <c r="Z51" s="2" t="s">
        <v>4</v>
      </c>
      <c r="AA51" s="1" t="s">
        <v>49</v>
      </c>
      <c r="AB51" s="1">
        <v>1.03</v>
      </c>
      <c r="AC51" s="1">
        <v>1.03</v>
      </c>
      <c r="AE51" s="2" t="s">
        <v>4</v>
      </c>
      <c r="AF51" s="1" t="s">
        <v>49</v>
      </c>
      <c r="AG51" s="1">
        <v>10.54</v>
      </c>
      <c r="AH51" s="1">
        <v>10.35</v>
      </c>
      <c r="AJ51" s="2" t="s">
        <v>4</v>
      </c>
      <c r="AK51" s="1" t="s">
        <v>49</v>
      </c>
      <c r="AL51" s="1">
        <v>0.06</v>
      </c>
      <c r="AM51" s="1">
        <v>0.06</v>
      </c>
      <c r="AO51" s="2" t="s">
        <v>4</v>
      </c>
      <c r="AP51" s="1" t="s">
        <v>49</v>
      </c>
      <c r="AQ51" s="1">
        <v>0.96</v>
      </c>
      <c r="AR51" s="1">
        <v>0.96</v>
      </c>
      <c r="AT51" s="2" t="s">
        <v>4</v>
      </c>
      <c r="AU51" s="1" t="s">
        <v>49</v>
      </c>
      <c r="AV51" s="1">
        <v>8.9</v>
      </c>
      <c r="AW51" s="1">
        <v>8.74</v>
      </c>
      <c r="AY51" s="2" t="s">
        <v>4</v>
      </c>
      <c r="AZ51" s="1" t="s">
        <v>49</v>
      </c>
      <c r="BA51" s="1">
        <v>0.05</v>
      </c>
      <c r="BB51" s="1">
        <v>0.05</v>
      </c>
      <c r="BD51" s="2" t="s">
        <v>4</v>
      </c>
      <c r="BE51" s="1" t="s">
        <v>49</v>
      </c>
      <c r="BF51" s="1">
        <v>0.87</v>
      </c>
      <c r="BG51" s="1">
        <v>0.87</v>
      </c>
    </row>
    <row r="52" spans="16:59">
      <c r="P52" s="2" t="s">
        <v>5</v>
      </c>
      <c r="Q52" s="1" t="s">
        <v>49</v>
      </c>
      <c r="R52" s="1" t="s">
        <v>49</v>
      </c>
      <c r="S52" s="1">
        <v>10.24</v>
      </c>
      <c r="U52" s="2" t="s">
        <v>5</v>
      </c>
      <c r="V52" s="1" t="s">
        <v>49</v>
      </c>
      <c r="W52" s="1" t="s">
        <v>49</v>
      </c>
      <c r="X52" s="1">
        <v>0.05</v>
      </c>
      <c r="Z52" s="2" t="s">
        <v>5</v>
      </c>
      <c r="AA52" s="1" t="s">
        <v>49</v>
      </c>
      <c r="AB52" s="1" t="s">
        <v>49</v>
      </c>
      <c r="AC52" s="1">
        <v>1.05</v>
      </c>
      <c r="AE52" s="2" t="s">
        <v>5</v>
      </c>
      <c r="AF52" s="1" t="s">
        <v>49</v>
      </c>
      <c r="AG52" s="1" t="s">
        <v>49</v>
      </c>
      <c r="AH52" s="1">
        <v>8.75</v>
      </c>
      <c r="AJ52" s="2" t="s">
        <v>5</v>
      </c>
      <c r="AK52" s="1" t="s">
        <v>49</v>
      </c>
      <c r="AL52" s="1" t="s">
        <v>49</v>
      </c>
      <c r="AM52" s="1">
        <v>0.04</v>
      </c>
      <c r="AO52" s="2" t="s">
        <v>5</v>
      </c>
      <c r="AP52" s="1" t="s">
        <v>49</v>
      </c>
      <c r="AQ52" s="1" t="s">
        <v>49</v>
      </c>
      <c r="AR52" s="1">
        <v>0.98</v>
      </c>
      <c r="AT52" s="2" t="s">
        <v>5</v>
      </c>
      <c r="AU52" s="1" t="s">
        <v>49</v>
      </c>
      <c r="AV52" s="1" t="s">
        <v>49</v>
      </c>
      <c r="AW52" s="1">
        <v>6.98</v>
      </c>
      <c r="AY52" s="2" t="s">
        <v>5</v>
      </c>
      <c r="AZ52" s="1" t="s">
        <v>49</v>
      </c>
      <c r="BA52" s="1" t="s">
        <v>49</v>
      </c>
      <c r="BB52" s="1">
        <v>0.03</v>
      </c>
      <c r="BD52" s="2" t="s">
        <v>5</v>
      </c>
      <c r="BE52" s="1" t="s">
        <v>49</v>
      </c>
      <c r="BF52" s="1" t="s">
        <v>49</v>
      </c>
      <c r="BG52" s="1">
        <v>0.89</v>
      </c>
    </row>
    <row r="53" spans="16:59">
      <c r="P53" s="3" t="s">
        <v>137</v>
      </c>
      <c r="Q53" s="6">
        <f>AVERAGE(Q49:Q52)</f>
        <v>14.475000000000001</v>
      </c>
      <c r="R53" s="6">
        <f>AVERAGE(R49:R52)</f>
        <v>13.546666666666667</v>
      </c>
      <c r="S53" s="6">
        <f>AVERAGE(S49:S52)</f>
        <v>10.903333333333334</v>
      </c>
      <c r="U53" s="3" t="s">
        <v>137</v>
      </c>
      <c r="V53" s="6">
        <f>AVERAGE(V49:V52)</f>
        <v>0.27</v>
      </c>
      <c r="W53" s="6">
        <f>AVERAGE(W49:W52)</f>
        <v>0.20000000000000004</v>
      </c>
      <c r="X53" s="6">
        <f>AVERAGE(X49:X52)</f>
        <v>8.666666666666667E-2</v>
      </c>
      <c r="Z53" s="3" t="s">
        <v>137</v>
      </c>
      <c r="AA53" s="6">
        <f>AVERAGE(AA49:AA52)</f>
        <v>1.1099999999999999</v>
      </c>
      <c r="AB53" s="6">
        <f>AVERAGE(AB49:AB52)</f>
        <v>1.0833333333333333</v>
      </c>
      <c r="AC53" s="6">
        <f>AVERAGE(AC49:AC52)</f>
        <v>1.0433333333333332</v>
      </c>
      <c r="AE53" s="3" t="s">
        <v>137</v>
      </c>
      <c r="AF53" s="6">
        <f>AVERAGE(AF49:AF52)</f>
        <v>13.024999999999999</v>
      </c>
      <c r="AG53" s="6">
        <f>AVERAGE(AG49:AG52)</f>
        <v>12.143333333333333</v>
      </c>
      <c r="AH53" s="6">
        <f>AVERAGE(AH49:AH52)</f>
        <v>9.6</v>
      </c>
      <c r="AJ53" s="3" t="s">
        <v>137</v>
      </c>
      <c r="AK53" s="6">
        <f>AVERAGE(AK49:AK52)</f>
        <v>0.22500000000000001</v>
      </c>
      <c r="AL53" s="6">
        <f>AVERAGE(AL49:AL52)</f>
        <v>0.17</v>
      </c>
      <c r="AM53" s="6">
        <f>AVERAGE(AM49:AM52)</f>
        <v>7.3333333333333334E-2</v>
      </c>
      <c r="AO53" s="3" t="s">
        <v>137</v>
      </c>
      <c r="AP53" s="6">
        <f>AVERAGE(AP49:AP52)</f>
        <v>1.0249999999999999</v>
      </c>
      <c r="AQ53" s="6">
        <f>AVERAGE(AQ49:AQ52)</f>
        <v>1.0033333333333332</v>
      </c>
      <c r="AR53" s="6">
        <f>AVERAGE(AR49:AR52)</f>
        <v>0.97333333333333327</v>
      </c>
      <c r="AT53" s="3" t="s">
        <v>137</v>
      </c>
      <c r="AU53" s="6">
        <f>AVERAGE(AU49:AU52)</f>
        <v>11.16</v>
      </c>
      <c r="AV53" s="6">
        <f>AVERAGE(AV49:AV52)</f>
        <v>10.363333333333332</v>
      </c>
      <c r="AW53" s="6">
        <f>AVERAGE(AW49:AW52)</f>
        <v>7.9933333333333332</v>
      </c>
      <c r="AY53" s="3" t="s">
        <v>137</v>
      </c>
      <c r="AZ53" s="6">
        <f>AVERAGE(AZ49:AZ52)</f>
        <v>0.17499999999999999</v>
      </c>
      <c r="BA53" s="6">
        <f>AVERAGE(BA49:BA52)</f>
        <v>0.12999999999999998</v>
      </c>
      <c r="BB53" s="6">
        <f>AVERAGE(BB49:BB52)</f>
        <v>5.6666666666666671E-2</v>
      </c>
      <c r="BD53" s="3" t="s">
        <v>137</v>
      </c>
      <c r="BE53" s="6">
        <f>AVERAGE(BE49:BE52)</f>
        <v>0.92500000000000004</v>
      </c>
      <c r="BF53" s="6">
        <f>AVERAGE(BF49:BF52)</f>
        <v>0.90666666666666673</v>
      </c>
      <c r="BG53" s="6">
        <f>AVERAGE(BG49:BG52)</f>
        <v>0.8833333333333333</v>
      </c>
    </row>
    <row r="55" spans="16:59">
      <c r="P55" s="47" t="s">
        <v>68</v>
      </c>
      <c r="Q55" s="47"/>
      <c r="R55" s="47"/>
      <c r="S55" s="47"/>
      <c r="U55" s="47" t="s">
        <v>60</v>
      </c>
      <c r="V55" s="47"/>
      <c r="W55" s="47"/>
      <c r="X55" s="47"/>
      <c r="AE55" s="47" t="s">
        <v>68</v>
      </c>
      <c r="AF55" s="47"/>
      <c r="AG55" s="47"/>
      <c r="AH55" s="47"/>
      <c r="AJ55" s="47" t="s">
        <v>60</v>
      </c>
      <c r="AK55" s="47"/>
      <c r="AL55" s="47"/>
      <c r="AM55" s="47"/>
      <c r="AT55" s="47" t="s">
        <v>68</v>
      </c>
      <c r="AU55" s="47"/>
      <c r="AV55" s="47"/>
      <c r="AW55" s="47"/>
      <c r="AY55" s="47" t="s">
        <v>60</v>
      </c>
      <c r="AZ55" s="47"/>
      <c r="BA55" s="47"/>
      <c r="BB55" s="47"/>
    </row>
    <row r="56" spans="16:59">
      <c r="P56" s="2"/>
      <c r="Q56" s="2">
        <v>2000</v>
      </c>
      <c r="R56" s="2">
        <v>2007</v>
      </c>
      <c r="S56" s="2">
        <v>2015</v>
      </c>
      <c r="U56" s="2"/>
      <c r="V56" s="2">
        <v>2000</v>
      </c>
      <c r="W56" s="2">
        <v>2007</v>
      </c>
      <c r="X56" s="2">
        <v>2015</v>
      </c>
      <c r="Z56" s="52" t="s">
        <v>61</v>
      </c>
      <c r="AA56" s="52"/>
      <c r="AB56" s="52"/>
      <c r="AC56" s="52"/>
      <c r="AE56" s="2"/>
      <c r="AF56" s="2">
        <v>2000</v>
      </c>
      <c r="AG56" s="2">
        <v>2007</v>
      </c>
      <c r="AH56" s="2">
        <v>2015</v>
      </c>
      <c r="AJ56" s="2"/>
      <c r="AK56" s="2">
        <v>2000</v>
      </c>
      <c r="AL56" s="2">
        <v>2007</v>
      </c>
      <c r="AM56" s="2">
        <v>2015</v>
      </c>
      <c r="AO56" s="52" t="s">
        <v>61</v>
      </c>
      <c r="AP56" s="52"/>
      <c r="AQ56" s="52"/>
      <c r="AR56" s="52"/>
      <c r="AT56" s="2"/>
      <c r="AU56" s="2">
        <v>2000</v>
      </c>
      <c r="AV56" s="2">
        <v>2007</v>
      </c>
      <c r="AW56" s="2">
        <v>2015</v>
      </c>
      <c r="AY56" s="2"/>
      <c r="AZ56" s="2">
        <v>2000</v>
      </c>
      <c r="BA56" s="2">
        <v>2007</v>
      </c>
      <c r="BB56" s="2">
        <v>2015</v>
      </c>
      <c r="BD56" s="52" t="s">
        <v>61</v>
      </c>
      <c r="BE56" s="52"/>
      <c r="BF56" s="52"/>
      <c r="BG56" s="52"/>
    </row>
    <row r="57" spans="16:59">
      <c r="P57" s="2" t="s">
        <v>6</v>
      </c>
      <c r="Q57" s="1">
        <v>2.21</v>
      </c>
      <c r="R57" s="1">
        <v>2.19</v>
      </c>
      <c r="S57" s="1" t="s">
        <v>49</v>
      </c>
      <c r="U57" s="2" t="s">
        <v>6</v>
      </c>
      <c r="V57" s="24">
        <f>(460.77/835)*100</f>
        <v>55.182035928143712</v>
      </c>
      <c r="W57" s="24">
        <f>(460.77/835)*100</f>
        <v>55.182035928143712</v>
      </c>
      <c r="X57" s="24" t="s">
        <v>49</v>
      </c>
      <c r="Z57" s="2" t="s">
        <v>6</v>
      </c>
      <c r="AA57" s="24">
        <f>V65*1000/(V57*8.35)</f>
        <v>3.1555873863315753</v>
      </c>
      <c r="AB57" s="24">
        <f t="shared" ref="AB57:AC60" si="2">W65*1000/(W57*8.35)</f>
        <v>3.1555873863315753</v>
      </c>
      <c r="AC57" s="24"/>
      <c r="AE57" s="2" t="s">
        <v>6</v>
      </c>
      <c r="AF57" s="1">
        <v>1.99</v>
      </c>
      <c r="AG57" s="1">
        <v>1.98</v>
      </c>
      <c r="AH57" s="1" t="s">
        <v>49</v>
      </c>
      <c r="AJ57" s="2" t="s">
        <v>6</v>
      </c>
      <c r="AK57" s="24">
        <f>(406.98/835)*100</f>
        <v>48.740119760479047</v>
      </c>
      <c r="AL57" s="24">
        <f>(406.98/835)*100</f>
        <v>48.740119760479047</v>
      </c>
      <c r="AM57" s="24" t="s">
        <v>49</v>
      </c>
      <c r="AO57" s="2" t="s">
        <v>6</v>
      </c>
      <c r="AP57" s="24">
        <f>AK65*1000/(AK57*8.35)</f>
        <v>3.1574033122020735</v>
      </c>
      <c r="AQ57" s="24">
        <f t="shared" ref="AQ57:AR60" si="3">AL65*1000/(AL57*8.35)</f>
        <v>3.1574033122020735</v>
      </c>
      <c r="AR57" s="24"/>
      <c r="AT57" s="2" t="s">
        <v>6</v>
      </c>
      <c r="AU57" s="1">
        <v>1.71</v>
      </c>
      <c r="AV57" s="1">
        <v>1.7</v>
      </c>
      <c r="AW57" s="1" t="s">
        <v>49</v>
      </c>
      <c r="AY57" s="2" t="s">
        <v>6</v>
      </c>
      <c r="AZ57" s="24">
        <f>(340.39/835)*100</f>
        <v>40.765269461077843</v>
      </c>
      <c r="BA57" s="24">
        <f>(340.39/835)*100</f>
        <v>40.765269461077843</v>
      </c>
      <c r="BB57" s="24" t="s">
        <v>49</v>
      </c>
      <c r="BD57" s="2" t="s">
        <v>6</v>
      </c>
      <c r="BE57" s="24">
        <f>AZ65*1000/(AZ57*8.35)</f>
        <v>3.158142131084932</v>
      </c>
      <c r="BF57" s="24">
        <f t="shared" ref="BF57:BG60" si="4">BA65*1000/(BA57*8.35)</f>
        <v>3.158142131084932</v>
      </c>
      <c r="BG57" s="24"/>
    </row>
    <row r="58" spans="16:59">
      <c r="P58" s="2" t="s">
        <v>3</v>
      </c>
      <c r="Q58" s="1">
        <v>1.37</v>
      </c>
      <c r="R58" s="1">
        <v>1.36</v>
      </c>
      <c r="S58" s="1">
        <v>1.34</v>
      </c>
      <c r="U58" s="2" t="s">
        <v>3</v>
      </c>
      <c r="V58" s="24">
        <f>(393.85/835)*100</f>
        <v>47.167664670658688</v>
      </c>
      <c r="W58" s="24">
        <f>(393.85/835)*100</f>
        <v>47.167664670658688</v>
      </c>
      <c r="X58" s="24">
        <f>(393.85/835)*100</f>
        <v>47.167664670658688</v>
      </c>
      <c r="Z58" s="2" t="s">
        <v>3</v>
      </c>
      <c r="AA58" s="24">
        <f t="shared" ref="AA58" si="5">V66*1000/(V58*8.35)</f>
        <v>3.1560238669544241</v>
      </c>
      <c r="AB58" s="24">
        <f t="shared" si="2"/>
        <v>3.1565484067538403</v>
      </c>
      <c r="AC58" s="24">
        <f t="shared" si="2"/>
        <v>3.1565484067538403</v>
      </c>
      <c r="AE58" s="2" t="s">
        <v>3</v>
      </c>
      <c r="AF58" s="1">
        <v>1.23</v>
      </c>
      <c r="AG58" s="1">
        <v>1.22</v>
      </c>
      <c r="AH58" s="1">
        <v>1.2</v>
      </c>
      <c r="AJ58" s="2" t="s">
        <v>3</v>
      </c>
      <c r="AK58" s="24">
        <f>(351.53/835)*100</f>
        <v>42.099401197604784</v>
      </c>
      <c r="AL58" s="24">
        <f>(351.53/835)*100</f>
        <v>42.099401197604784</v>
      </c>
      <c r="AM58" s="24">
        <f>(351.53/835)*100</f>
        <v>42.099401197604784</v>
      </c>
      <c r="AO58" s="2" t="s">
        <v>3</v>
      </c>
      <c r="AP58" s="24">
        <f t="shared" ref="AP58" si="6">AK66*1000/(AK58*8.35)</f>
        <v>3.1576252382442473</v>
      </c>
      <c r="AQ58" s="24">
        <f t="shared" si="3"/>
        <v>3.1576252382442473</v>
      </c>
      <c r="AR58" s="24">
        <f t="shared" si="3"/>
        <v>3.1576252382442473</v>
      </c>
      <c r="AT58" s="2" t="s">
        <v>3</v>
      </c>
      <c r="AU58" s="1">
        <v>1.05</v>
      </c>
      <c r="AV58" s="1">
        <v>1.04</v>
      </c>
      <c r="AW58" s="1">
        <v>1.02</v>
      </c>
      <c r="AY58" s="2" t="s">
        <v>3</v>
      </c>
      <c r="AZ58" s="24">
        <f>(298.13/835)*100</f>
        <v>35.704191616766465</v>
      </c>
      <c r="BA58" s="24">
        <f>(298.13/835)*100</f>
        <v>35.704191616766465</v>
      </c>
      <c r="BB58" s="24">
        <f>(298.13/835)*100</f>
        <v>35.704191616766465</v>
      </c>
      <c r="BD58" s="2" t="s">
        <v>3</v>
      </c>
      <c r="BE58" s="24">
        <f t="shared" ref="BE58" si="7">AZ66*1000/(AZ58*8.35)</f>
        <v>3.1596954348774027</v>
      </c>
      <c r="BF58" s="24">
        <f t="shared" si="4"/>
        <v>3.1596954348774027</v>
      </c>
      <c r="BG58" s="24">
        <f t="shared" si="4"/>
        <v>3.1596954348774027</v>
      </c>
    </row>
    <row r="59" spans="16:59">
      <c r="P59" s="2" t="s">
        <v>4</v>
      </c>
      <c r="Q59" s="1" t="s">
        <v>49</v>
      </c>
      <c r="R59" s="1">
        <v>1.47</v>
      </c>
      <c r="S59" s="1">
        <v>1.44</v>
      </c>
      <c r="U59" s="2" t="s">
        <v>4</v>
      </c>
      <c r="V59" s="25" t="s">
        <v>49</v>
      </c>
      <c r="W59" s="24">
        <f>(379.26/835)*100</f>
        <v>45.420359281437122</v>
      </c>
      <c r="X59" s="24">
        <f>(379.26/835)*100</f>
        <v>45.420359281437122</v>
      </c>
      <c r="Z59" s="2" t="s">
        <v>4</v>
      </c>
      <c r="AA59" s="24"/>
      <c r="AB59" s="24">
        <f t="shared" si="2"/>
        <v>3.1551598903127145</v>
      </c>
      <c r="AC59" s="24">
        <f t="shared" si="2"/>
        <v>3.1551598903127145</v>
      </c>
      <c r="AE59" s="2" t="s">
        <v>4</v>
      </c>
      <c r="AF59" s="1" t="s">
        <v>49</v>
      </c>
      <c r="AG59" s="1">
        <v>1.3</v>
      </c>
      <c r="AH59" s="1">
        <v>1.28</v>
      </c>
      <c r="AJ59" s="2" t="s">
        <v>4</v>
      </c>
      <c r="AK59" s="25" t="s">
        <v>49</v>
      </c>
      <c r="AL59" s="24">
        <f>(340.43/835)*100</f>
        <v>40.770059880239522</v>
      </c>
      <c r="AM59" s="24">
        <f>(340.43/835)*100</f>
        <v>40.770059880239522</v>
      </c>
      <c r="AO59" s="2" t="s">
        <v>4</v>
      </c>
      <c r="AP59" s="24"/>
      <c r="AQ59" s="24">
        <f t="shared" si="3"/>
        <v>3.1548335928090943</v>
      </c>
      <c r="AR59" s="24">
        <f t="shared" si="3"/>
        <v>3.1548335928090943</v>
      </c>
      <c r="AT59" s="2" t="s">
        <v>4</v>
      </c>
      <c r="AU59" s="1" t="s">
        <v>49</v>
      </c>
      <c r="AV59" s="1">
        <v>1.1000000000000001</v>
      </c>
      <c r="AW59" s="1">
        <v>1.08</v>
      </c>
      <c r="AY59" s="2" t="s">
        <v>4</v>
      </c>
      <c r="AZ59" s="25" t="s">
        <v>49</v>
      </c>
      <c r="BA59" s="24">
        <f>(291.31/835)*100</f>
        <v>34.887425149700604</v>
      </c>
      <c r="BB59" s="24">
        <f>(291.31/835)*100</f>
        <v>34.887425149700604</v>
      </c>
      <c r="BD59" s="2" t="s">
        <v>4</v>
      </c>
      <c r="BE59" s="24"/>
      <c r="BF59" s="24">
        <f t="shared" si="4"/>
        <v>3.1547149085166999</v>
      </c>
      <c r="BG59" s="24">
        <f t="shared" si="4"/>
        <v>3.1547149085166999</v>
      </c>
    </row>
    <row r="60" spans="16:59">
      <c r="P60" s="2" t="s">
        <v>5</v>
      </c>
      <c r="Q60" s="1" t="s">
        <v>49</v>
      </c>
      <c r="R60" s="1" t="s">
        <v>49</v>
      </c>
      <c r="S60" s="1">
        <v>1.67</v>
      </c>
      <c r="U60" s="2" t="s">
        <v>5</v>
      </c>
      <c r="V60" s="24" t="s">
        <v>49</v>
      </c>
      <c r="W60" s="24" t="s">
        <v>49</v>
      </c>
      <c r="X60" s="24">
        <f>(395.14/835)*100</f>
        <v>47.32215568862275</v>
      </c>
      <c r="Z60" s="2" t="s">
        <v>5</v>
      </c>
      <c r="AA60" s="24"/>
      <c r="AB60" s="24"/>
      <c r="AC60" s="24">
        <f t="shared" si="2"/>
        <v>3.1534687199473601</v>
      </c>
      <c r="AE60" s="2" t="s">
        <v>5</v>
      </c>
      <c r="AF60" s="1" t="s">
        <v>49</v>
      </c>
      <c r="AG60" s="1" t="s">
        <v>49</v>
      </c>
      <c r="AH60" s="1">
        <v>1.42</v>
      </c>
      <c r="AJ60" s="2" t="s">
        <v>5</v>
      </c>
      <c r="AK60" s="24" t="s">
        <v>49</v>
      </c>
      <c r="AL60" s="24" t="s">
        <v>49</v>
      </c>
      <c r="AM60" s="24">
        <f>(353.89/835)*100</f>
        <v>42.382035928143715</v>
      </c>
      <c r="AO60" s="2" t="s">
        <v>5</v>
      </c>
      <c r="AP60" s="24"/>
      <c r="AQ60" s="24"/>
      <c r="AR60" s="24">
        <f t="shared" si="3"/>
        <v>3.1535222809347538</v>
      </c>
      <c r="AT60" s="2" t="s">
        <v>5</v>
      </c>
      <c r="AU60" s="1" t="s">
        <v>49</v>
      </c>
      <c r="AV60" s="1" t="s">
        <v>49</v>
      </c>
      <c r="AW60" s="1">
        <v>1.1399999999999999</v>
      </c>
      <c r="AY60" s="2" t="s">
        <v>5</v>
      </c>
      <c r="AZ60" s="24" t="s">
        <v>49</v>
      </c>
      <c r="BA60" s="24" t="s">
        <v>49</v>
      </c>
      <c r="BB60" s="24">
        <f>(302.09/835)*100</f>
        <v>36.178443113772452</v>
      </c>
      <c r="BD60" s="2" t="s">
        <v>5</v>
      </c>
      <c r="BE60" s="24"/>
      <c r="BF60" s="24"/>
      <c r="BG60" s="24">
        <f t="shared" si="4"/>
        <v>3.1546889999668974</v>
      </c>
    </row>
    <row r="61" spans="16:59">
      <c r="P61" s="3" t="s">
        <v>137</v>
      </c>
      <c r="Q61" s="6">
        <f>AVERAGE(Q57:Q60)</f>
        <v>1.79</v>
      </c>
      <c r="R61" s="6">
        <f>AVERAGE(R57:R60)</f>
        <v>1.6733333333333331</v>
      </c>
      <c r="S61" s="6">
        <f>AVERAGE(S57:S60)</f>
        <v>1.4833333333333334</v>
      </c>
      <c r="U61" s="3" t="s">
        <v>137</v>
      </c>
      <c r="V61" s="24">
        <f>AVERAGE(V57:V60)</f>
        <v>51.1748502994012</v>
      </c>
      <c r="W61" s="24">
        <f t="shared" ref="W61:X61" si="8">AVERAGE(W57:W60)</f>
        <v>49.256686626746507</v>
      </c>
      <c r="X61" s="24">
        <f t="shared" si="8"/>
        <v>46.636726546906182</v>
      </c>
      <c r="Z61" s="26"/>
      <c r="AE61" s="3" t="s">
        <v>137</v>
      </c>
      <c r="AF61" s="6">
        <f>AVERAGE(AF57:AF60)</f>
        <v>1.6099999999999999</v>
      </c>
      <c r="AG61" s="6">
        <f>AVERAGE(AG57:AG60)</f>
        <v>1.5</v>
      </c>
      <c r="AH61" s="6">
        <f>AVERAGE(AH57:AH60)</f>
        <v>1.3</v>
      </c>
      <c r="AJ61" s="3" t="s">
        <v>137</v>
      </c>
      <c r="AK61" s="24">
        <f>AVERAGE(AK57:AK60)</f>
        <v>45.419760479041912</v>
      </c>
      <c r="AL61" s="24">
        <f t="shared" ref="AL61:AM61" si="9">AVERAGE(AL57:AL60)</f>
        <v>43.86986027944112</v>
      </c>
      <c r="AM61" s="24">
        <f t="shared" si="9"/>
        <v>41.750499001996012</v>
      </c>
      <c r="AO61" s="26"/>
      <c r="AT61" s="3" t="s">
        <v>137</v>
      </c>
      <c r="AU61" s="6">
        <f>AVERAGE(AU57:AU60)</f>
        <v>1.38</v>
      </c>
      <c r="AV61" s="6">
        <f>AVERAGE(AV57:AV60)</f>
        <v>1.28</v>
      </c>
      <c r="AW61" s="6">
        <f>AVERAGE(AW57:AW60)</f>
        <v>1.08</v>
      </c>
      <c r="AY61" s="3" t="s">
        <v>137</v>
      </c>
      <c r="AZ61" s="24">
        <f>AVERAGE(AZ57:AZ60)</f>
        <v>38.23473053892215</v>
      </c>
      <c r="BA61" s="24">
        <f t="shared" ref="BA61:BB61" si="10">AVERAGE(BA57:BA60)</f>
        <v>37.118962075848302</v>
      </c>
      <c r="BB61" s="24">
        <f t="shared" si="10"/>
        <v>35.590019960079843</v>
      </c>
      <c r="BD61" s="26"/>
    </row>
    <row r="63" spans="16:59">
      <c r="P63" s="47" t="s">
        <v>69</v>
      </c>
      <c r="Q63" s="47"/>
      <c r="R63" s="47"/>
      <c r="S63" s="47"/>
      <c r="U63" s="47" t="s">
        <v>59</v>
      </c>
      <c r="V63" s="47"/>
      <c r="W63" s="47"/>
      <c r="X63" s="47"/>
      <c r="Z63" s="53" t="s">
        <v>77</v>
      </c>
      <c r="AA63" s="53"/>
      <c r="AB63" s="53"/>
      <c r="AC63" s="53"/>
      <c r="AE63" s="47" t="s">
        <v>69</v>
      </c>
      <c r="AF63" s="47"/>
      <c r="AG63" s="47"/>
      <c r="AH63" s="47"/>
      <c r="AJ63" s="47" t="s">
        <v>59</v>
      </c>
      <c r="AK63" s="47"/>
      <c r="AL63" s="47"/>
      <c r="AM63" s="47"/>
      <c r="AO63" s="53" t="s">
        <v>77</v>
      </c>
      <c r="AP63" s="53"/>
      <c r="AQ63" s="53"/>
      <c r="AR63" s="53"/>
      <c r="AT63" s="47" t="s">
        <v>69</v>
      </c>
      <c r="AU63" s="47"/>
      <c r="AV63" s="47"/>
      <c r="AW63" s="47"/>
      <c r="AY63" s="47" t="s">
        <v>59</v>
      </c>
      <c r="AZ63" s="47"/>
      <c r="BA63" s="47"/>
      <c r="BB63" s="47"/>
      <c r="BD63" s="53" t="s">
        <v>77</v>
      </c>
      <c r="BE63" s="53"/>
      <c r="BF63" s="53"/>
      <c r="BG63" s="53"/>
    </row>
    <row r="64" spans="16:59">
      <c r="P64" s="2"/>
      <c r="Q64" s="2">
        <v>2000</v>
      </c>
      <c r="R64" s="2">
        <v>2007</v>
      </c>
      <c r="S64" s="2">
        <v>2015</v>
      </c>
      <c r="U64" s="2"/>
      <c r="V64" s="2">
        <v>2000</v>
      </c>
      <c r="W64" s="2">
        <v>2007</v>
      </c>
      <c r="X64" s="2">
        <v>2015</v>
      </c>
      <c r="Z64" s="2" t="s">
        <v>6</v>
      </c>
      <c r="AA64" s="6">
        <f>(V65/V57)*100</f>
        <v>2.6349154675868656</v>
      </c>
      <c r="AB64" s="6">
        <f t="shared" ref="AB64:AC67" si="11">(W65/W57)*100</f>
        <v>2.6349154675868656</v>
      </c>
      <c r="AC64" s="6"/>
      <c r="AE64" s="2"/>
      <c r="AF64" s="2">
        <v>2000</v>
      </c>
      <c r="AG64" s="2">
        <v>2007</v>
      </c>
      <c r="AH64" s="2">
        <v>2015</v>
      </c>
      <c r="AJ64" s="2"/>
      <c r="AK64" s="2">
        <v>2000</v>
      </c>
      <c r="AL64" s="2">
        <v>2007</v>
      </c>
      <c r="AM64" s="2">
        <v>2015</v>
      </c>
      <c r="AO64" s="2" t="s">
        <v>6</v>
      </c>
      <c r="AP64" s="6">
        <f>(AK65/AK57)*100</f>
        <v>2.6364317656887315</v>
      </c>
      <c r="AQ64" s="6">
        <f t="shared" ref="AQ64:AR67" si="12">(AL65/AL57)*100</f>
        <v>2.6364317656887315</v>
      </c>
      <c r="AR64" s="6"/>
      <c r="AT64" s="2"/>
      <c r="AU64" s="2">
        <v>2000</v>
      </c>
      <c r="AV64" s="2">
        <v>2007</v>
      </c>
      <c r="AW64" s="2">
        <v>2015</v>
      </c>
      <c r="AY64" s="2"/>
      <c r="AZ64" s="2">
        <v>2000</v>
      </c>
      <c r="BA64" s="2">
        <v>2007</v>
      </c>
      <c r="BB64" s="2">
        <v>2015</v>
      </c>
      <c r="BD64" s="2" t="s">
        <v>6</v>
      </c>
      <c r="BE64" s="6">
        <f>(AZ65/AZ57)*100</f>
        <v>2.6370486794559183</v>
      </c>
      <c r="BF64" s="6">
        <f t="shared" ref="BF64:BG67" si="13">(BA65/BA57)*100</f>
        <v>2.6370486794559183</v>
      </c>
      <c r="BG64" s="6"/>
    </row>
    <row r="65" spans="16:59">
      <c r="P65" s="2" t="s">
        <v>6</v>
      </c>
      <c r="Q65" s="1">
        <v>0.03</v>
      </c>
      <c r="R65" s="1">
        <v>0.03</v>
      </c>
      <c r="S65" s="1" t="s">
        <v>49</v>
      </c>
      <c r="U65" s="2" t="s">
        <v>6</v>
      </c>
      <c r="V65" s="24">
        <v>1.454</v>
      </c>
      <c r="W65" s="24">
        <v>1.454</v>
      </c>
      <c r="X65" s="1" t="s">
        <v>49</v>
      </c>
      <c r="Z65" s="2" t="s">
        <v>3</v>
      </c>
      <c r="AA65" s="6">
        <f t="shared" ref="AA65" si="14">(V66/V58)*100</f>
        <v>2.635279928906944</v>
      </c>
      <c r="AB65" s="6">
        <f t="shared" si="11"/>
        <v>2.6357179196394567</v>
      </c>
      <c r="AC65" s="6">
        <f t="shared" si="11"/>
        <v>2.6357179196394567</v>
      </c>
      <c r="AE65" s="2" t="s">
        <v>6</v>
      </c>
      <c r="AF65" s="1">
        <v>0.03</v>
      </c>
      <c r="AG65" s="1">
        <v>0.03</v>
      </c>
      <c r="AH65" s="1" t="s">
        <v>49</v>
      </c>
      <c r="AJ65" s="2" t="s">
        <v>6</v>
      </c>
      <c r="AK65" s="24">
        <v>1.2849999999999999</v>
      </c>
      <c r="AL65" s="24">
        <v>1.2849999999999999</v>
      </c>
      <c r="AM65" s="24" t="s">
        <v>49</v>
      </c>
      <c r="AO65" s="2" t="s">
        <v>3</v>
      </c>
      <c r="AP65" s="6">
        <f t="shared" ref="AP65" si="15">(AK66/AK58)*100</f>
        <v>2.6366170739339467</v>
      </c>
      <c r="AQ65" s="6">
        <f t="shared" si="12"/>
        <v>2.6366170739339467</v>
      </c>
      <c r="AR65" s="6">
        <f t="shared" si="12"/>
        <v>2.6366170739339467</v>
      </c>
      <c r="AT65" s="2" t="s">
        <v>6</v>
      </c>
      <c r="AU65" s="1">
        <v>0.03</v>
      </c>
      <c r="AV65" s="1">
        <v>0.03</v>
      </c>
      <c r="AW65" s="1" t="s">
        <v>49</v>
      </c>
      <c r="AY65" s="2" t="s">
        <v>6</v>
      </c>
      <c r="AZ65" s="24">
        <v>1.075</v>
      </c>
      <c r="BA65" s="24">
        <v>1.075</v>
      </c>
      <c r="BB65" s="24" t="s">
        <v>49</v>
      </c>
      <c r="BD65" s="2" t="s">
        <v>3</v>
      </c>
      <c r="BE65" s="6">
        <f t="shared" ref="BE65" si="16">(AZ66/AZ58)*100</f>
        <v>2.638345688122631</v>
      </c>
      <c r="BF65" s="6">
        <f t="shared" si="13"/>
        <v>2.638345688122631</v>
      </c>
      <c r="BG65" s="6">
        <f t="shared" si="13"/>
        <v>2.638345688122631</v>
      </c>
    </row>
    <row r="66" spans="16:59">
      <c r="P66" s="2" t="s">
        <v>3</v>
      </c>
      <c r="Q66" s="1">
        <v>0.01</v>
      </c>
      <c r="R66" s="1">
        <v>0.01</v>
      </c>
      <c r="S66" s="1">
        <v>0.01</v>
      </c>
      <c r="U66" s="2" t="s">
        <v>3</v>
      </c>
      <c r="V66" s="24">
        <v>1.2430000000000001</v>
      </c>
      <c r="W66" s="24">
        <f>1243206.59/1000000</f>
        <v>1.24320659</v>
      </c>
      <c r="X66" s="24">
        <f>1243206.59/1000000</f>
        <v>1.24320659</v>
      </c>
      <c r="Z66" s="2" t="s">
        <v>4</v>
      </c>
      <c r="AA66" s="6"/>
      <c r="AB66" s="6">
        <f t="shared" si="11"/>
        <v>2.6345585084111165</v>
      </c>
      <c r="AC66" s="6">
        <f t="shared" si="11"/>
        <v>2.6345585084111165</v>
      </c>
      <c r="AE66" s="2" t="s">
        <v>3</v>
      </c>
      <c r="AF66" s="1">
        <v>0.01</v>
      </c>
      <c r="AG66" s="1">
        <v>0.01</v>
      </c>
      <c r="AH66" s="1">
        <v>0.01</v>
      </c>
      <c r="AJ66" s="2" t="s">
        <v>3</v>
      </c>
      <c r="AK66" s="24">
        <v>1.1100000000000001</v>
      </c>
      <c r="AL66" s="24">
        <v>1.1100000000000001</v>
      </c>
      <c r="AM66" s="24">
        <v>1.1100000000000001</v>
      </c>
      <c r="AO66" s="2" t="s">
        <v>4</v>
      </c>
      <c r="AP66" s="6"/>
      <c r="AQ66" s="6">
        <f t="shared" si="12"/>
        <v>2.6342860499955942</v>
      </c>
      <c r="AR66" s="6">
        <f t="shared" si="12"/>
        <v>2.6342860499955942</v>
      </c>
      <c r="AT66" s="2" t="s">
        <v>3</v>
      </c>
      <c r="AU66" s="1">
        <v>0.01</v>
      </c>
      <c r="AV66" s="1">
        <v>0.01</v>
      </c>
      <c r="AW66" s="1">
        <v>0.01</v>
      </c>
      <c r="AY66" s="2" t="s">
        <v>3</v>
      </c>
      <c r="AZ66" s="24">
        <v>0.94199999999999995</v>
      </c>
      <c r="BA66" s="24">
        <v>0.94199999999999995</v>
      </c>
      <c r="BB66" s="24">
        <v>0.94199999999999995</v>
      </c>
      <c r="BD66" s="2" t="s">
        <v>4</v>
      </c>
      <c r="BE66" s="6"/>
      <c r="BF66" s="6">
        <f t="shared" si="13"/>
        <v>2.6341869486114442</v>
      </c>
      <c r="BG66" s="6">
        <f t="shared" si="13"/>
        <v>2.6341869486114442</v>
      </c>
    </row>
    <row r="67" spans="16:59">
      <c r="P67" s="2" t="s">
        <v>4</v>
      </c>
      <c r="Q67" s="1" t="s">
        <v>49</v>
      </c>
      <c r="R67" s="1">
        <v>0.01</v>
      </c>
      <c r="S67" s="1">
        <v>0.01</v>
      </c>
      <c r="U67" s="2" t="s">
        <v>4</v>
      </c>
      <c r="V67" s="1" t="s">
        <v>49</v>
      </c>
      <c r="W67" s="24">
        <f>1196625.94/1000000</f>
        <v>1.1966259399999999</v>
      </c>
      <c r="X67" s="24">
        <f>1196625.94/1000000</f>
        <v>1.1966259399999999</v>
      </c>
      <c r="Z67" s="2" t="s">
        <v>5</v>
      </c>
      <c r="AA67" s="1"/>
      <c r="AB67" s="1"/>
      <c r="AC67" s="6">
        <f t="shared" si="11"/>
        <v>2.6331463811560458</v>
      </c>
      <c r="AE67" s="2" t="s">
        <v>4</v>
      </c>
      <c r="AF67" s="1" t="s">
        <v>49</v>
      </c>
      <c r="AG67" s="1">
        <v>0.01</v>
      </c>
      <c r="AH67" s="1">
        <v>0.01</v>
      </c>
      <c r="AJ67" s="2" t="s">
        <v>4</v>
      </c>
      <c r="AK67" s="24" t="s">
        <v>49</v>
      </c>
      <c r="AL67" s="24">
        <v>1.0740000000000001</v>
      </c>
      <c r="AM67" s="24">
        <v>1.0740000000000001</v>
      </c>
      <c r="AO67" s="2" t="s">
        <v>5</v>
      </c>
      <c r="AP67" s="1"/>
      <c r="AQ67" s="1"/>
      <c r="AR67" s="6">
        <f t="shared" si="12"/>
        <v>2.6331911045805194</v>
      </c>
      <c r="AT67" s="2" t="s">
        <v>4</v>
      </c>
      <c r="AU67" s="1" t="s">
        <v>49</v>
      </c>
      <c r="AV67" s="1">
        <v>0.01</v>
      </c>
      <c r="AW67" s="1">
        <v>0.01</v>
      </c>
      <c r="AY67" s="2" t="s">
        <v>4</v>
      </c>
      <c r="AZ67" s="24" t="s">
        <v>49</v>
      </c>
      <c r="BA67" s="24">
        <v>0.91900000000000004</v>
      </c>
      <c r="BB67" s="24">
        <v>0.91900000000000004</v>
      </c>
      <c r="BD67" s="2" t="s">
        <v>5</v>
      </c>
      <c r="BE67" s="1"/>
      <c r="BF67" s="1"/>
      <c r="BG67" s="6">
        <f t="shared" si="13"/>
        <v>2.6341653149723596</v>
      </c>
    </row>
    <row r="68" spans="16:59">
      <c r="P68" s="2" t="s">
        <v>5</v>
      </c>
      <c r="Q68" s="1" t="s">
        <v>49</v>
      </c>
      <c r="R68" s="1" t="s">
        <v>49</v>
      </c>
      <c r="S68" s="1">
        <v>0.01</v>
      </c>
      <c r="U68" s="2" t="s">
        <v>5</v>
      </c>
      <c r="V68" s="1" t="s">
        <v>49</v>
      </c>
      <c r="W68" s="1" t="s">
        <v>49</v>
      </c>
      <c r="X68" s="24">
        <f>1246061.63/1000000</f>
        <v>1.2460616299999998</v>
      </c>
      <c r="AE68" s="2" t="s">
        <v>5</v>
      </c>
      <c r="AF68" s="1" t="s">
        <v>49</v>
      </c>
      <c r="AG68" s="1" t="s">
        <v>49</v>
      </c>
      <c r="AH68" s="1">
        <v>0.01</v>
      </c>
      <c r="AJ68" s="2" t="s">
        <v>5</v>
      </c>
      <c r="AK68" s="24" t="s">
        <v>49</v>
      </c>
      <c r="AL68" s="24" t="s">
        <v>49</v>
      </c>
      <c r="AM68" s="24">
        <v>1.1160000000000001</v>
      </c>
      <c r="AT68" s="2" t="s">
        <v>5</v>
      </c>
      <c r="AU68" s="1" t="s">
        <v>49</v>
      </c>
      <c r="AV68" s="1" t="s">
        <v>49</v>
      </c>
      <c r="AW68" s="1">
        <v>0</v>
      </c>
      <c r="AY68" s="2" t="s">
        <v>5</v>
      </c>
      <c r="AZ68" s="24" t="s">
        <v>49</v>
      </c>
      <c r="BA68" s="24" t="s">
        <v>49</v>
      </c>
      <c r="BB68" s="24">
        <v>0.95299999999999996</v>
      </c>
    </row>
    <row r="69" spans="16:59">
      <c r="P69" s="3" t="s">
        <v>137</v>
      </c>
      <c r="Q69" s="6">
        <f>AVERAGE(Q65:Q68)</f>
        <v>0.02</v>
      </c>
      <c r="R69" s="6">
        <f>AVERAGE(R65:R68)</f>
        <v>1.6666666666666666E-2</v>
      </c>
      <c r="S69" s="6">
        <f>AVERAGE(S65:S68)</f>
        <v>0.01</v>
      </c>
      <c r="U69" s="3" t="s">
        <v>137</v>
      </c>
      <c r="V69" s="24">
        <f>AVERAGE(V65:V68)</f>
        <v>1.3485</v>
      </c>
      <c r="W69" s="24">
        <f t="shared" ref="W69:X69" si="17">AVERAGE(W65:W68)</f>
        <v>1.2979441766666666</v>
      </c>
      <c r="X69" s="24">
        <f t="shared" si="17"/>
        <v>1.2286313866666665</v>
      </c>
      <c r="AE69" s="3" t="s">
        <v>137</v>
      </c>
      <c r="AF69" s="6">
        <f>AVERAGE(AF65:AF68)</f>
        <v>0.02</v>
      </c>
      <c r="AG69" s="6">
        <f>AVERAGE(AG65:AG68)</f>
        <v>1.6666666666666666E-2</v>
      </c>
      <c r="AH69" s="6">
        <f>AVERAGE(AH65:AH68)</f>
        <v>0.01</v>
      </c>
      <c r="AJ69" s="3" t="s">
        <v>137</v>
      </c>
      <c r="AK69" s="24">
        <f>AVERAGE(AK65:AK68)</f>
        <v>1.1975</v>
      </c>
      <c r="AL69" s="24">
        <f t="shared" ref="AL69:AM69" si="18">AVERAGE(AL65:AL68)</f>
        <v>1.1563333333333334</v>
      </c>
      <c r="AM69" s="24">
        <f t="shared" si="18"/>
        <v>1.1000000000000001</v>
      </c>
      <c r="AT69" s="3" t="s">
        <v>137</v>
      </c>
      <c r="AU69" s="6">
        <f>AVERAGE(AU65:AU68)</f>
        <v>0.02</v>
      </c>
      <c r="AV69" s="6">
        <f>AVERAGE(AV65:AV68)</f>
        <v>1.6666666666666666E-2</v>
      </c>
      <c r="AW69" s="6">
        <f>AVERAGE(AW65:AW68)</f>
        <v>6.6666666666666671E-3</v>
      </c>
      <c r="AY69" s="3" t="s">
        <v>137</v>
      </c>
      <c r="AZ69" s="24">
        <f>AVERAGE(AZ65:AZ68)</f>
        <v>1.0085</v>
      </c>
      <c r="BA69" s="24">
        <f t="shared" ref="BA69:BB69" si="19">AVERAGE(BA65:BA68)</f>
        <v>0.97866666666666668</v>
      </c>
      <c r="BB69" s="24">
        <f t="shared" si="19"/>
        <v>0.93800000000000006</v>
      </c>
    </row>
    <row r="72" spans="16:59">
      <c r="S72" s="47" t="s">
        <v>70</v>
      </c>
      <c r="T72" s="47"/>
      <c r="U72" s="47"/>
      <c r="V72" s="47"/>
      <c r="AH72" s="47" t="s">
        <v>70</v>
      </c>
      <c r="AI72" s="47"/>
      <c r="AJ72" s="47"/>
      <c r="AK72" s="47"/>
      <c r="AW72" s="47" t="s">
        <v>70</v>
      </c>
      <c r="AX72" s="47"/>
      <c r="AY72" s="47"/>
      <c r="AZ72" s="47"/>
    </row>
    <row r="73" spans="16:59">
      <c r="S73" s="2"/>
      <c r="T73" s="2">
        <v>2000</v>
      </c>
      <c r="U73" s="2">
        <v>2007</v>
      </c>
      <c r="V73" s="2">
        <v>2015</v>
      </c>
      <c r="AH73" s="2"/>
      <c r="AI73" s="2">
        <v>2000</v>
      </c>
      <c r="AJ73" s="2">
        <v>2007</v>
      </c>
      <c r="AK73" s="2">
        <v>2015</v>
      </c>
      <c r="AW73" s="2"/>
      <c r="AX73" s="2">
        <v>2000</v>
      </c>
      <c r="AY73" s="2">
        <v>2007</v>
      </c>
      <c r="AZ73" s="2">
        <v>2015</v>
      </c>
    </row>
    <row r="74" spans="16:59">
      <c r="S74" s="2" t="s">
        <v>6</v>
      </c>
      <c r="T74" s="1">
        <v>0.41</v>
      </c>
      <c r="U74" s="1">
        <v>0.41</v>
      </c>
      <c r="V74" s="1" t="s">
        <v>49</v>
      </c>
      <c r="AH74" s="2" t="s">
        <v>6</v>
      </c>
      <c r="AI74" s="1">
        <v>0.37</v>
      </c>
      <c r="AJ74" s="1">
        <v>0.37</v>
      </c>
      <c r="AK74" s="1" t="s">
        <v>49</v>
      </c>
      <c r="AW74" s="2" t="s">
        <v>6</v>
      </c>
      <c r="AX74" s="1">
        <v>0.31</v>
      </c>
      <c r="AY74" s="1">
        <v>0.31</v>
      </c>
      <c r="AZ74" s="1" t="s">
        <v>49</v>
      </c>
    </row>
    <row r="75" spans="16:59">
      <c r="S75" s="2" t="s">
        <v>3</v>
      </c>
      <c r="T75" s="1">
        <v>0.35</v>
      </c>
      <c r="U75" s="1">
        <v>0.35</v>
      </c>
      <c r="V75" s="1">
        <v>0.36</v>
      </c>
      <c r="AH75" s="2" t="s">
        <v>3</v>
      </c>
      <c r="AI75" s="1">
        <v>0.32</v>
      </c>
      <c r="AJ75" s="1">
        <v>0.32</v>
      </c>
      <c r="AK75" s="1">
        <v>0.32</v>
      </c>
      <c r="AW75" s="2" t="s">
        <v>3</v>
      </c>
      <c r="AX75" s="1">
        <v>0.27</v>
      </c>
      <c r="AY75" s="1">
        <v>0.27</v>
      </c>
      <c r="AZ75" s="1">
        <v>0.28000000000000003</v>
      </c>
    </row>
    <row r="76" spans="16:59">
      <c r="S76" s="2" t="s">
        <v>4</v>
      </c>
      <c r="T76" s="1" t="s">
        <v>49</v>
      </c>
      <c r="U76" s="1">
        <v>0.34</v>
      </c>
      <c r="V76" s="1">
        <v>0.35</v>
      </c>
      <c r="AH76" s="2" t="s">
        <v>4</v>
      </c>
      <c r="AI76" s="1" t="s">
        <v>49</v>
      </c>
      <c r="AJ76" s="1">
        <v>0.31</v>
      </c>
      <c r="AK76" s="1">
        <v>0.31</v>
      </c>
      <c r="AW76" s="2" t="s">
        <v>4</v>
      </c>
      <c r="AX76" s="1" t="s">
        <v>49</v>
      </c>
      <c r="AY76" s="1">
        <v>0.26</v>
      </c>
      <c r="AZ76" s="1">
        <v>0.27</v>
      </c>
    </row>
    <row r="77" spans="16:59">
      <c r="S77" s="2" t="s">
        <v>5</v>
      </c>
      <c r="T77" s="1" t="s">
        <v>49</v>
      </c>
      <c r="U77" s="1" t="s">
        <v>49</v>
      </c>
      <c r="V77" s="1">
        <v>0.37</v>
      </c>
      <c r="AH77" s="2" t="s">
        <v>5</v>
      </c>
      <c r="AI77" s="1" t="s">
        <v>49</v>
      </c>
      <c r="AJ77" s="1" t="s">
        <v>49</v>
      </c>
      <c r="AK77" s="1">
        <v>0.33</v>
      </c>
      <c r="AW77" s="2" t="s">
        <v>5</v>
      </c>
      <c r="AX77" s="1" t="s">
        <v>49</v>
      </c>
      <c r="AY77" s="1" t="s">
        <v>49</v>
      </c>
      <c r="AZ77" s="1">
        <v>0.28000000000000003</v>
      </c>
    </row>
    <row r="78" spans="16:59">
      <c r="S78" s="3" t="s">
        <v>137</v>
      </c>
      <c r="T78" s="6">
        <f>AVERAGE(T74:T77)</f>
        <v>0.38</v>
      </c>
      <c r="U78" s="6">
        <f>AVERAGE(U74:U77)</f>
        <v>0.3666666666666667</v>
      </c>
      <c r="V78" s="6">
        <f>AVERAGE(V74:V77)</f>
        <v>0.36000000000000004</v>
      </c>
      <c r="AH78" s="3" t="s">
        <v>137</v>
      </c>
      <c r="AI78" s="6">
        <f>AVERAGE(AI74:AI77)</f>
        <v>0.34499999999999997</v>
      </c>
      <c r="AJ78" s="6">
        <f>AVERAGE(AJ74:AJ77)</f>
        <v>0.33333333333333331</v>
      </c>
      <c r="AK78" s="6">
        <f>AVERAGE(AK74:AK77)</f>
        <v>0.32</v>
      </c>
      <c r="AW78" s="3" t="s">
        <v>137</v>
      </c>
      <c r="AX78" s="6">
        <f>AVERAGE(AX74:AX77)</f>
        <v>0.29000000000000004</v>
      </c>
      <c r="AY78" s="6">
        <f>AVERAGE(AY74:AY77)</f>
        <v>0.28000000000000003</v>
      </c>
      <c r="AZ78" s="6">
        <f>AVERAGE(AZ74:AZ77)</f>
        <v>0.27666666666666667</v>
      </c>
    </row>
  </sheetData>
  <mergeCells count="98">
    <mergeCell ref="E2:H2"/>
    <mergeCell ref="B3:C3"/>
    <mergeCell ref="E3:H3"/>
    <mergeCell ref="J3:M3"/>
    <mergeCell ref="Q3:AB3"/>
    <mergeCell ref="AU3:BF3"/>
    <mergeCell ref="BK3:BS4"/>
    <mergeCell ref="P5:X5"/>
    <mergeCell ref="Z5:AC5"/>
    <mergeCell ref="AE5:AM5"/>
    <mergeCell ref="AO5:AR5"/>
    <mergeCell ref="AT5:BB5"/>
    <mergeCell ref="BD5:BG5"/>
    <mergeCell ref="BK5:BM5"/>
    <mergeCell ref="BN5:BP5"/>
    <mergeCell ref="AF3:AQ3"/>
    <mergeCell ref="BQ5:BS5"/>
    <mergeCell ref="P7:S7"/>
    <mergeCell ref="U7:X7"/>
    <mergeCell ref="Z7:AC7"/>
    <mergeCell ref="AE7:AH7"/>
    <mergeCell ref="AJ7:AM7"/>
    <mergeCell ref="AO7:AR7"/>
    <mergeCell ref="AT7:AW7"/>
    <mergeCell ref="AY7:BB7"/>
    <mergeCell ref="BD7:BG7"/>
    <mergeCell ref="BD15:BG15"/>
    <mergeCell ref="AY15:BB15"/>
    <mergeCell ref="E10:H10"/>
    <mergeCell ref="J11:M11"/>
    <mergeCell ref="J12:M12"/>
    <mergeCell ref="P15:S15"/>
    <mergeCell ref="U15:X15"/>
    <mergeCell ref="Z15:AC15"/>
    <mergeCell ref="AE15:AH15"/>
    <mergeCell ref="AJ15:AM15"/>
    <mergeCell ref="AO15:AR15"/>
    <mergeCell ref="AT15:AW15"/>
    <mergeCell ref="BD23:BG23"/>
    <mergeCell ref="E17:H17"/>
    <mergeCell ref="J17:M17"/>
    <mergeCell ref="J23:M23"/>
    <mergeCell ref="P23:S23"/>
    <mergeCell ref="U23:X23"/>
    <mergeCell ref="Z23:AC23"/>
    <mergeCell ref="AE23:AH23"/>
    <mergeCell ref="AJ23:AM23"/>
    <mergeCell ref="AO23:AR23"/>
    <mergeCell ref="AT23:AW23"/>
    <mergeCell ref="AY23:BB23"/>
    <mergeCell ref="AT31:AW31"/>
    <mergeCell ref="AY31:BB31"/>
    <mergeCell ref="BD31:BG31"/>
    <mergeCell ref="P39:S39"/>
    <mergeCell ref="U39:X39"/>
    <mergeCell ref="Z39:AC39"/>
    <mergeCell ref="AE39:AH39"/>
    <mergeCell ref="AJ39:AM39"/>
    <mergeCell ref="AO39:AR39"/>
    <mergeCell ref="AT39:AW39"/>
    <mergeCell ref="P31:S31"/>
    <mergeCell ref="U31:X31"/>
    <mergeCell ref="Z31:AC31"/>
    <mergeCell ref="AE31:AH31"/>
    <mergeCell ref="AJ31:AM31"/>
    <mergeCell ref="AO31:AR31"/>
    <mergeCell ref="AY39:BB39"/>
    <mergeCell ref="BD39:BG39"/>
    <mergeCell ref="P47:S47"/>
    <mergeCell ref="U47:X47"/>
    <mergeCell ref="Z47:AC47"/>
    <mergeCell ref="AE47:AH47"/>
    <mergeCell ref="AJ47:AM47"/>
    <mergeCell ref="AO47:AR47"/>
    <mergeCell ref="AT47:AW47"/>
    <mergeCell ref="AY47:BB47"/>
    <mergeCell ref="BD47:BG47"/>
    <mergeCell ref="BD56:BG56"/>
    <mergeCell ref="P63:S63"/>
    <mergeCell ref="U63:X63"/>
    <mergeCell ref="Z63:AC63"/>
    <mergeCell ref="AE63:AH63"/>
    <mergeCell ref="AJ63:AM63"/>
    <mergeCell ref="AO63:AR63"/>
    <mergeCell ref="AT63:AW63"/>
    <mergeCell ref="AY63:BB63"/>
    <mergeCell ref="BD63:BG63"/>
    <mergeCell ref="S72:V72"/>
    <mergeCell ref="AH72:AK72"/>
    <mergeCell ref="AW72:AZ72"/>
    <mergeCell ref="AY55:BB55"/>
    <mergeCell ref="Z56:AC56"/>
    <mergeCell ref="AO56:AR56"/>
    <mergeCell ref="P55:S55"/>
    <mergeCell ref="U55:X55"/>
    <mergeCell ref="AE55:AH55"/>
    <mergeCell ref="AJ55:AM55"/>
    <mergeCell ref="AT55:AW55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41</vt:i4>
      </vt:variant>
    </vt:vector>
  </HeadingPairs>
  <TitlesOfParts>
    <vt:vector size="45" baseType="lpstr">
      <vt:lpstr>Caso modelo inicial</vt:lpstr>
      <vt:lpstr>Caso influencia pendiente</vt:lpstr>
      <vt:lpstr>Caso influencia carga</vt:lpstr>
      <vt:lpstr>Caso influencia velocidad</vt:lpstr>
      <vt:lpstr>Emisión de CO</vt:lpstr>
      <vt:lpstr>Emisión VOC</vt:lpstr>
      <vt:lpstr>Emisión NMVOC</vt:lpstr>
      <vt:lpstr>Emisión CH4</vt:lpstr>
      <vt:lpstr>Emisión NOX</vt:lpstr>
      <vt:lpstr>Emisión NO</vt:lpstr>
      <vt:lpstr>Emisión NO2</vt:lpstr>
      <vt:lpstr>Emisión N2O</vt:lpstr>
      <vt:lpstr>Emisión PM2.5</vt:lpstr>
      <vt:lpstr>Emisión PM10</vt:lpstr>
      <vt:lpstr>Emision PM(ex)</vt:lpstr>
      <vt:lpstr>Emisión EC</vt:lpstr>
      <vt:lpstr>Emisión OM</vt:lpstr>
      <vt:lpstr>Emisión CO2</vt:lpstr>
      <vt:lpstr>FC</vt:lpstr>
      <vt:lpstr>Emisión SO2</vt:lpstr>
      <vt:lpstr>Emisión Pb</vt:lpstr>
      <vt:lpstr>Emisión Cobre</vt:lpstr>
      <vt:lpstr>Emisión Niquel</vt:lpstr>
      <vt:lpstr>Emisión de Zinc</vt:lpstr>
      <vt:lpstr>FC CO2 PEND</vt:lpstr>
      <vt:lpstr>SO2 PEND</vt:lpstr>
      <vt:lpstr>CO, VOC, NMVOC, CH4 PEND</vt:lpstr>
      <vt:lpstr>NOX, NO, NO2, N2O PEND</vt:lpstr>
      <vt:lpstr>PM2.5, PM10, PMESCAP PEND</vt:lpstr>
      <vt:lpstr>EC, OM PEND</vt:lpstr>
      <vt:lpstr>Pb, Cu, Ni, Zn PEND</vt:lpstr>
      <vt:lpstr>FC CO2 CARGA</vt:lpstr>
      <vt:lpstr>SO2 CARGA</vt:lpstr>
      <vt:lpstr>CO, VOC, NMVOC, CH4 CARGA</vt:lpstr>
      <vt:lpstr>NOX, NO, NO2, N2O CARGA</vt:lpstr>
      <vt:lpstr>PM2.5, PM10, PMESCAP CARGA</vt:lpstr>
      <vt:lpstr>EC, OM CARGA</vt:lpstr>
      <vt:lpstr>Pb, Cu, Ni, Zn CARGA</vt:lpstr>
      <vt:lpstr>FC CO2 VEL</vt:lpstr>
      <vt:lpstr>SO2 VEL</vt:lpstr>
      <vt:lpstr>CO, VOC, NMVOC, CH4 VEL</vt:lpstr>
      <vt:lpstr>NOX, NO, NO2, N2O VEL</vt:lpstr>
      <vt:lpstr>PM2.5, PM10, PMESCAP VEL</vt:lpstr>
      <vt:lpstr>EC, OM VEL</vt:lpstr>
      <vt:lpstr>Pb, Cu, Ni, Zn VEL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Ceballos</dc:creator>
  <cp:lastModifiedBy>John Ceballos</cp:lastModifiedBy>
  <cp:lastPrinted>2015-11-26T00:00:21Z</cp:lastPrinted>
  <dcterms:created xsi:type="dcterms:W3CDTF">2015-11-25T14:09:16Z</dcterms:created>
  <dcterms:modified xsi:type="dcterms:W3CDTF">2016-02-02T09:49:44Z</dcterms:modified>
</cp:coreProperties>
</file>