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Álvaro\Desktop\Ing. Industrial\TFG - Arenas de moldeado\ENTREGAR\"/>
    </mc:Choice>
  </mc:AlternateContent>
  <bookViews>
    <workbookView xWindow="0" yWindow="0" windowWidth="20730" windowHeight="9210" activeTab="2"/>
  </bookViews>
  <sheets>
    <sheet name="Datos Primarios" sheetId="6" r:id="rId1"/>
    <sheet name="Transformación Ef Extrac" sheetId="8" r:id="rId2"/>
    <sheet name="Estudio ANOVA" sheetId="13" r:id="rId3"/>
  </sheets>
  <calcPr calcId="162913"/>
</workbook>
</file>

<file path=xl/calcChain.xml><?xml version="1.0" encoding="utf-8"?>
<calcChain xmlns="http://schemas.openxmlformats.org/spreadsheetml/2006/main">
  <c r="C7" i="8" l="1"/>
  <c r="C72" i="8" l="1"/>
  <c r="C73" i="8"/>
  <c r="C74" i="8"/>
  <c r="C71" i="8"/>
  <c r="G64" i="8"/>
  <c r="G65" i="8"/>
  <c r="G66" i="8"/>
  <c r="G63" i="8"/>
  <c r="C64" i="8"/>
  <c r="C65" i="8"/>
  <c r="C66" i="8"/>
  <c r="C63" i="8"/>
  <c r="G56" i="8"/>
  <c r="G57" i="8"/>
  <c r="G58" i="8"/>
  <c r="G55" i="8"/>
  <c r="C56" i="8"/>
  <c r="C57" i="8"/>
  <c r="C58" i="8"/>
  <c r="C55" i="8"/>
  <c r="G48" i="8"/>
  <c r="G49" i="8"/>
  <c r="G50" i="8"/>
  <c r="G47" i="8"/>
  <c r="C48" i="8"/>
  <c r="C49" i="8"/>
  <c r="C50" i="8"/>
  <c r="C47" i="8"/>
  <c r="G40" i="8"/>
  <c r="G41" i="8"/>
  <c r="G42" i="8"/>
  <c r="G39" i="8"/>
  <c r="C40" i="8"/>
  <c r="C41" i="8"/>
  <c r="C42" i="8"/>
  <c r="C39" i="8"/>
  <c r="G32" i="8"/>
  <c r="G33" i="8"/>
  <c r="G34" i="8"/>
  <c r="G31" i="8"/>
  <c r="C32" i="8"/>
  <c r="C33" i="8"/>
  <c r="C34" i="8"/>
  <c r="C31" i="8"/>
  <c r="G24" i="8"/>
  <c r="G25" i="8"/>
  <c r="G26" i="8"/>
  <c r="G23" i="8"/>
  <c r="C24" i="8"/>
  <c r="C25" i="8"/>
  <c r="C26" i="8"/>
  <c r="C23" i="8"/>
  <c r="G16" i="8"/>
  <c r="G17" i="8"/>
  <c r="G18" i="8"/>
  <c r="G15" i="8"/>
  <c r="G8" i="8"/>
  <c r="G9" i="8"/>
  <c r="G10" i="8"/>
  <c r="G7" i="8"/>
  <c r="C8" i="8"/>
  <c r="C9" i="8"/>
  <c r="C10" i="8"/>
  <c r="D9" i="8" l="1"/>
  <c r="D8" i="8"/>
  <c r="K67" i="13"/>
  <c r="K68" i="13" s="1"/>
  <c r="C29" i="13"/>
  <c r="C30" i="13" s="1"/>
  <c r="C19" i="13"/>
  <c r="C20" i="13" s="1"/>
  <c r="M8" i="8" l="1"/>
  <c r="H26" i="8"/>
  <c r="N13" i="8" s="1"/>
  <c r="H58" i="8"/>
  <c r="N21" i="8" s="1"/>
  <c r="H41" i="8"/>
  <c r="M17" i="8" s="1"/>
  <c r="D48" i="8"/>
  <c r="L18" i="8" s="1"/>
  <c r="H48" i="8"/>
  <c r="L19" i="8" s="1"/>
  <c r="H42" i="8"/>
  <c r="N17" i="8" s="1"/>
  <c r="H10" i="8"/>
  <c r="N9" i="8" s="1"/>
  <c r="H24" i="8"/>
  <c r="L13" i="8" s="1"/>
  <c r="H25" i="8"/>
  <c r="M13" i="8" s="1"/>
  <c r="D10" i="8"/>
  <c r="N8" i="8" s="1"/>
  <c r="H9" i="8"/>
  <c r="M9" i="8" s="1"/>
  <c r="L10" i="8"/>
  <c r="H16" i="8"/>
  <c r="L11" i="8" s="1"/>
  <c r="D24" i="8"/>
  <c r="L12" i="8" s="1"/>
  <c r="D40" i="8"/>
  <c r="L16" i="8" s="1"/>
  <c r="D26" i="8"/>
  <c r="N12" i="8" s="1"/>
  <c r="D42" i="8"/>
  <c r="N16" i="8" s="1"/>
  <c r="D58" i="8"/>
  <c r="N20" i="8" s="1"/>
  <c r="D74" i="8"/>
  <c r="H40" i="8"/>
  <c r="L17" i="8" s="1"/>
  <c r="H57" i="8"/>
  <c r="M21" i="8" s="1"/>
  <c r="H32" i="8"/>
  <c r="L15" i="8" s="1"/>
  <c r="D57" i="8"/>
  <c r="M20" i="8" s="1"/>
  <c r="D73" i="8"/>
  <c r="N10" i="8"/>
  <c r="D34" i="8"/>
  <c r="N14" i="8" s="1"/>
  <c r="D50" i="8"/>
  <c r="N18" i="8" s="1"/>
  <c r="D66" i="8"/>
  <c r="N22" i="8" s="1"/>
  <c r="H34" i="8"/>
  <c r="N15" i="8" s="1"/>
  <c r="H66" i="8"/>
  <c r="N23" i="8" s="1"/>
  <c r="L8" i="8"/>
  <c r="H33" i="8"/>
  <c r="M15" i="8" s="1"/>
  <c r="D49" i="8"/>
  <c r="M18" i="8" s="1"/>
  <c r="H50" i="8"/>
  <c r="N19" i="8" s="1"/>
  <c r="D65" i="8"/>
  <c r="M22" i="8" s="1"/>
  <c r="H65" i="8"/>
  <c r="M23" i="8" s="1"/>
  <c r="H8" i="8"/>
  <c r="L9" i="8" s="1"/>
  <c r="M10" i="8"/>
  <c r="H17" i="8"/>
  <c r="M11" i="8" s="1"/>
  <c r="D25" i="8"/>
  <c r="M12" i="8" s="1"/>
  <c r="D32" i="8"/>
  <c r="L14" i="8" s="1"/>
  <c r="D41" i="8"/>
  <c r="M16" i="8" s="1"/>
  <c r="H49" i="8"/>
  <c r="M19" i="8" s="1"/>
  <c r="D56" i="8"/>
  <c r="L20" i="8" s="1"/>
  <c r="H56" i="8"/>
  <c r="L21" i="8" s="1"/>
  <c r="D64" i="8"/>
  <c r="L22" i="8" s="1"/>
  <c r="H64" i="8"/>
  <c r="L23" i="8" s="1"/>
  <c r="D72" i="8"/>
  <c r="H18" i="8"/>
  <c r="N11" i="8" s="1"/>
  <c r="D33" i="8"/>
  <c r="M14" i="8" s="1"/>
  <c r="H9" i="13" l="1"/>
  <c r="O9" i="13" s="1"/>
  <c r="M24" i="8"/>
  <c r="M25" i="8"/>
  <c r="H10" i="13"/>
  <c r="O10" i="13" s="1"/>
  <c r="J14" i="13"/>
  <c r="Q14" i="13" s="1"/>
  <c r="K12" i="13"/>
  <c r="R12" i="13" s="1"/>
  <c r="K8" i="13"/>
  <c r="R8" i="13" s="1"/>
  <c r="H14" i="13"/>
  <c r="O14" i="13" s="1"/>
  <c r="G7" i="13"/>
  <c r="I12" i="13"/>
  <c r="P12" i="13" s="1"/>
  <c r="H13" i="13"/>
  <c r="O13" i="13" s="1"/>
  <c r="N24" i="8"/>
  <c r="N25" i="8"/>
  <c r="G11" i="13"/>
  <c r="K7" i="13"/>
  <c r="R7" i="13" s="1"/>
  <c r="J9" i="13"/>
  <c r="Q9" i="13" s="1"/>
  <c r="G12" i="13"/>
  <c r="H7" i="13"/>
  <c r="O7" i="13" s="1"/>
  <c r="L8" i="13"/>
  <c r="S8" i="13" s="1"/>
  <c r="G14" i="13"/>
  <c r="H11" i="13"/>
  <c r="O11" i="13" s="1"/>
  <c r="L12" i="13"/>
  <c r="S12" i="13" s="1"/>
  <c r="L14" i="13"/>
  <c r="S14" i="13" s="1"/>
  <c r="I10" i="13"/>
  <c r="P10" i="13" s="1"/>
  <c r="J10" i="13"/>
  <c r="Q10" i="13" s="1"/>
  <c r="I13" i="13"/>
  <c r="P13" i="13" s="1"/>
  <c r="G9" i="13"/>
  <c r="I7" i="13"/>
  <c r="P7" i="13" s="1"/>
  <c r="L7" i="13"/>
  <c r="S7" i="13" s="1"/>
  <c r="K11" i="13"/>
  <c r="R11" i="13" s="1"/>
  <c r="L24" i="8"/>
  <c r="L25" i="8"/>
  <c r="G13" i="13"/>
  <c r="K14" i="13"/>
  <c r="R14" i="13" s="1"/>
  <c r="K10" i="13"/>
  <c r="R10" i="13" s="1"/>
  <c r="I14" i="13"/>
  <c r="P14" i="13" s="1"/>
  <c r="J11" i="13"/>
  <c r="Q11" i="13" s="1"/>
  <c r="I9" i="13"/>
  <c r="P9" i="13" s="1"/>
  <c r="K9" i="13"/>
  <c r="R9" i="13" s="1"/>
  <c r="J12" i="13"/>
  <c r="Q12" i="13" s="1"/>
  <c r="L9" i="13"/>
  <c r="S9" i="13" s="1"/>
  <c r="J13" i="13"/>
  <c r="Q13" i="13" s="1"/>
  <c r="G10" i="13"/>
  <c r="J7" i="13"/>
  <c r="Q7" i="13" s="1"/>
  <c r="H12" i="13"/>
  <c r="O12" i="13" s="1"/>
  <c r="L10" i="13"/>
  <c r="S10" i="13" s="1"/>
  <c r="K13" i="13"/>
  <c r="R13" i="13" s="1"/>
  <c r="I11" i="13"/>
  <c r="P11" i="13" s="1"/>
  <c r="J8" i="13"/>
  <c r="L11" i="13"/>
  <c r="S11" i="13" s="1"/>
  <c r="L13" i="13"/>
  <c r="S13" i="13" s="1"/>
  <c r="O20" i="8"/>
  <c r="O17" i="8"/>
  <c r="O10" i="8"/>
  <c r="O19" i="8"/>
  <c r="O22" i="8"/>
  <c r="O23" i="8"/>
  <c r="O21" i="8"/>
  <c r="O14" i="8"/>
  <c r="O9" i="8"/>
  <c r="O11" i="8"/>
  <c r="O15" i="8"/>
  <c r="O12" i="8"/>
  <c r="O8" i="8"/>
  <c r="O16" i="8"/>
  <c r="O13" i="8"/>
  <c r="O18" i="8"/>
  <c r="L26" i="8" l="1"/>
  <c r="N26" i="8"/>
  <c r="O25" i="8"/>
  <c r="N13" i="13"/>
  <c r="T13" i="13" s="1"/>
  <c r="M13" i="13"/>
  <c r="M14" i="13"/>
  <c r="N14" i="13"/>
  <c r="T14" i="13" s="1"/>
  <c r="M11" i="13"/>
  <c r="N11" i="13"/>
  <c r="T11" i="13" s="1"/>
  <c r="N7" i="13"/>
  <c r="T7" i="13" s="1"/>
  <c r="M7" i="13"/>
  <c r="N12" i="13"/>
  <c r="T12" i="13" s="1"/>
  <c r="M12" i="13"/>
  <c r="I15" i="13"/>
  <c r="P15" i="13" s="1"/>
  <c r="H15" i="13"/>
  <c r="O15" i="13" s="1"/>
  <c r="M26" i="8"/>
  <c r="O24" i="8"/>
  <c r="Q8" i="13"/>
  <c r="T8" i="13" s="1"/>
  <c r="M8" i="13"/>
  <c r="N10" i="13"/>
  <c r="T10" i="13" s="1"/>
  <c r="M10" i="13"/>
  <c r="G15" i="13"/>
  <c r="N9" i="13"/>
  <c r="T9" i="13" s="1"/>
  <c r="M9" i="13"/>
  <c r="E55" i="13" l="1"/>
  <c r="S47" i="13" s="1"/>
  <c r="O26" i="8"/>
  <c r="G69" i="13"/>
  <c r="U8" i="13"/>
  <c r="H69" i="13" s="1"/>
  <c r="G55" i="13"/>
  <c r="U50" i="13" s="1"/>
  <c r="C55" i="13"/>
  <c r="Q44" i="13" s="1"/>
  <c r="G57" i="13"/>
  <c r="U52" i="13" s="1"/>
  <c r="I57" i="13"/>
  <c r="W55" i="13" s="1"/>
  <c r="E56" i="13"/>
  <c r="S48" i="13" s="1"/>
  <c r="I56" i="13"/>
  <c r="W54" i="13" s="1"/>
  <c r="U12" i="13"/>
  <c r="H73" i="13" s="1"/>
  <c r="G73" i="13"/>
  <c r="G68" i="13"/>
  <c r="U7" i="13"/>
  <c r="H68" i="13" s="1"/>
  <c r="U10" i="13"/>
  <c r="H71" i="13" s="1"/>
  <c r="G71" i="13"/>
  <c r="G70" i="13"/>
  <c r="U9" i="13"/>
  <c r="H70" i="13" s="1"/>
  <c r="M15" i="13"/>
  <c r="I55" i="13" s="1"/>
  <c r="W53" i="13" s="1"/>
  <c r="N15" i="13"/>
  <c r="G72" i="13"/>
  <c r="U11" i="13"/>
  <c r="H72" i="13" s="1"/>
  <c r="C57" i="13"/>
  <c r="Q46" i="13" s="1"/>
  <c r="C56" i="13"/>
  <c r="Q45" i="13" s="1"/>
  <c r="L16" i="13"/>
  <c r="L18" i="13" s="1"/>
  <c r="G75" i="13"/>
  <c r="U14" i="13"/>
  <c r="H75" i="13" s="1"/>
  <c r="G74" i="13"/>
  <c r="U13" i="13"/>
  <c r="H74" i="13" s="1"/>
  <c r="E61" i="13" l="1"/>
  <c r="T15" i="13"/>
  <c r="U15" i="13" s="1"/>
  <c r="H76" i="13" s="1"/>
  <c r="L17" i="13"/>
  <c r="G56" i="13"/>
  <c r="U51" i="13" s="1"/>
  <c r="E57" i="13"/>
  <c r="S49" i="13" s="1"/>
  <c r="T16" i="13" l="1"/>
  <c r="T17" i="13" s="1"/>
  <c r="G76" i="13"/>
  <c r="I82" i="13" s="1"/>
  <c r="I83" i="13" s="1"/>
  <c r="L34" i="13"/>
  <c r="C38" i="13"/>
  <c r="C34" i="13"/>
  <c r="F34" i="13"/>
  <c r="I34" i="13"/>
  <c r="F82" i="13" l="1"/>
  <c r="G77" i="13"/>
  <c r="G78" i="13" s="1"/>
  <c r="I92" i="13"/>
  <c r="I93" i="13" s="1"/>
  <c r="I102" i="13"/>
  <c r="L82" i="13"/>
  <c r="L92" i="13" s="1"/>
  <c r="L93" i="13" s="1"/>
  <c r="C82" i="13"/>
  <c r="C83" i="13" s="1"/>
  <c r="C86" i="13"/>
  <c r="C106" i="13" s="1"/>
  <c r="O34" i="13"/>
  <c r="D49" i="13"/>
  <c r="I35" i="13"/>
  <c r="D50" i="13"/>
  <c r="L35" i="13"/>
  <c r="E50" i="13" s="1"/>
  <c r="D48" i="13"/>
  <c r="F35" i="13"/>
  <c r="D47" i="13"/>
  <c r="C35" i="13"/>
  <c r="L83" i="13" l="1"/>
  <c r="I77" i="13"/>
  <c r="I103" i="13"/>
  <c r="D52" i="13"/>
  <c r="O82" i="13"/>
  <c r="O92" i="13" s="1"/>
  <c r="C87" i="13"/>
  <c r="C96" i="13"/>
  <c r="I97" i="13" s="1"/>
  <c r="L87" i="13"/>
  <c r="I87" i="13"/>
  <c r="O35" i="13"/>
  <c r="E52" i="13" s="1"/>
  <c r="E47" i="13"/>
  <c r="E48" i="13"/>
  <c r="E49" i="13"/>
  <c r="L97" i="13" l="1"/>
  <c r="O37" i="13"/>
  <c r="O39" i="13" s="1"/>
  <c r="H52" i="13" s="1"/>
  <c r="O87" i="13"/>
  <c r="O83" i="13"/>
  <c r="O85" i="13" s="1"/>
  <c r="I37" i="13"/>
  <c r="G49" i="13" s="1"/>
  <c r="L37" i="13"/>
  <c r="G50" i="13" s="1"/>
  <c r="C37" i="13"/>
  <c r="G47" i="13" s="1"/>
  <c r="L36" i="13"/>
  <c r="F50" i="13" s="1"/>
  <c r="I36" i="13"/>
  <c r="F49" i="13" s="1"/>
  <c r="F36" i="13"/>
  <c r="F48" i="13" s="1"/>
  <c r="C36" i="13"/>
  <c r="F47" i="13" s="1"/>
  <c r="F37" i="13"/>
  <c r="F39" i="13" s="1"/>
  <c r="H48" i="13" s="1"/>
  <c r="O93" i="13"/>
  <c r="O97" i="13"/>
  <c r="O102" i="13"/>
  <c r="I39" i="13" l="1"/>
  <c r="H49" i="13" s="1"/>
  <c r="C39" i="13"/>
  <c r="H47" i="13" s="1"/>
  <c r="G48" i="13"/>
  <c r="L39" i="13"/>
  <c r="H50" i="13" s="1"/>
  <c r="G52" i="13"/>
  <c r="O103" i="13"/>
  <c r="O95" i="13"/>
  <c r="L95" i="13"/>
  <c r="L94" i="13"/>
  <c r="I85" i="13"/>
  <c r="L85" i="13"/>
  <c r="C85" i="13"/>
  <c r="I84" i="13"/>
  <c r="C84" i="13"/>
  <c r="L84" i="13"/>
  <c r="I95" i="13"/>
  <c r="I94" i="13"/>
  <c r="O105" i="13" l="1"/>
  <c r="O107" i="13" s="1"/>
  <c r="I105" i="13"/>
  <c r="I107" i="13" s="1"/>
  <c r="I104" i="13"/>
</calcChain>
</file>

<file path=xl/sharedStrings.xml><?xml version="1.0" encoding="utf-8"?>
<sst xmlns="http://schemas.openxmlformats.org/spreadsheetml/2006/main" count="622" uniqueCount="166">
  <si>
    <t>Experimento</t>
  </si>
  <si>
    <t>Experimentación</t>
  </si>
  <si>
    <t>Blanco</t>
  </si>
  <si>
    <t>Lix Arena Lavada</t>
  </si>
  <si>
    <t>Lix Arena Sin lavar</t>
  </si>
  <si>
    <t>&lt;LD</t>
  </si>
  <si>
    <t>S/N</t>
  </si>
  <si>
    <t>pH</t>
  </si>
  <si>
    <t>Experimento 1</t>
  </si>
  <si>
    <t>Experimento 2</t>
  </si>
  <si>
    <t>Experimento 3</t>
  </si>
  <si>
    <t>Experimento 4</t>
  </si>
  <si>
    <t>Experimento 5</t>
  </si>
  <si>
    <t>Experimento 6</t>
  </si>
  <si>
    <t>Experimento 7</t>
  </si>
  <si>
    <t>Experimento 8</t>
  </si>
  <si>
    <t>Experimento 9</t>
  </si>
  <si>
    <t>Fluoruro Extraíble en Test de Lixiviación</t>
  </si>
  <si>
    <t>Σ</t>
  </si>
  <si>
    <t>Nº Exp</t>
  </si>
  <si>
    <t>AL</t>
  </si>
  <si>
    <t>NaNO3</t>
  </si>
  <si>
    <t>RESPUESTA</t>
  </si>
  <si>
    <t>(S/N)^2</t>
  </si>
  <si>
    <t>S/N MAYOR-MEJOR</t>
  </si>
  <si>
    <t>S'AL</t>
  </si>
  <si>
    <t>ST</t>
  </si>
  <si>
    <t>P(%) AL</t>
  </si>
  <si>
    <t>S'NaNO3</t>
  </si>
  <si>
    <t>P(%) NaNO3</t>
  </si>
  <si>
    <t>SS NaNO3</t>
  </si>
  <si>
    <t>V NaNO3</t>
  </si>
  <si>
    <t>F NaNO3</t>
  </si>
  <si>
    <t>SS AL</t>
  </si>
  <si>
    <t>V AL</t>
  </si>
  <si>
    <t>F AL</t>
  </si>
  <si>
    <t>SSpH</t>
  </si>
  <si>
    <t>VpH</t>
  </si>
  <si>
    <t>FpH</t>
  </si>
  <si>
    <t>S'pH</t>
  </si>
  <si>
    <t>P(%) pH</t>
  </si>
  <si>
    <t>T</t>
  </si>
  <si>
    <t>(%)</t>
  </si>
  <si>
    <t>CF</t>
  </si>
  <si>
    <t>Muestra1</t>
  </si>
  <si>
    <t>Muestra2</t>
  </si>
  <si>
    <t>Muestra3</t>
  </si>
  <si>
    <t>n</t>
  </si>
  <si>
    <t>FT</t>
  </si>
  <si>
    <t>f nano3</t>
  </si>
  <si>
    <t>f ph</t>
  </si>
  <si>
    <t>r</t>
  </si>
  <si>
    <t>V e</t>
  </si>
  <si>
    <t>f AL</t>
  </si>
  <si>
    <t>f error</t>
  </si>
  <si>
    <t>SS e</t>
  </si>
  <si>
    <t>S' e</t>
  </si>
  <si>
    <t>P(%) e</t>
  </si>
  <si>
    <t xml:space="preserve">DATOS </t>
  </si>
  <si>
    <t>V</t>
  </si>
  <si>
    <t>F</t>
  </si>
  <si>
    <t>FACTOR</t>
  </si>
  <si>
    <t>SS</t>
  </si>
  <si>
    <t>S'</t>
  </si>
  <si>
    <t>error</t>
  </si>
  <si>
    <t>ANOVA DE LOS FACTORES al 95%</t>
  </si>
  <si>
    <t>Promedio</t>
  </si>
  <si>
    <t>AL 1</t>
  </si>
  <si>
    <t>AL 2</t>
  </si>
  <si>
    <t>AL 3</t>
  </si>
  <si>
    <t>&lt;T&gt;</t>
  </si>
  <si>
    <t>FACTOR AL</t>
  </si>
  <si>
    <t>FACTOR NANO3</t>
  </si>
  <si>
    <t xml:space="preserve">1- ANOVA DE LOS FACTORES al 95% </t>
  </si>
  <si>
    <t>RESULTADO DEL ANALISIS AL 95% DE LA LIXIVIACIÓN</t>
  </si>
  <si>
    <t>Valor Óptimo</t>
  </si>
  <si>
    <t>EXPERIMENTO</t>
  </si>
  <si>
    <t>ÓPTIMO</t>
  </si>
  <si>
    <t>ANOVA DE LA S/N al 90%</t>
  </si>
  <si>
    <t>ANOVA DE LA RELACION S/N al 90%</t>
  </si>
  <si>
    <t>PH1</t>
  </si>
  <si>
    <t>PH2</t>
  </si>
  <si>
    <t>PH3</t>
  </si>
  <si>
    <t>NANO31</t>
  </si>
  <si>
    <t>NANO32</t>
  </si>
  <si>
    <t>NANO33</t>
  </si>
  <si>
    <t>Q1</t>
  </si>
  <si>
    <t>Q2</t>
  </si>
  <si>
    <t>Q3</t>
  </si>
  <si>
    <t>Efic. extracción (%)</t>
  </si>
  <si>
    <t>fT</t>
  </si>
  <si>
    <t>n=r·9=6*9=</t>
  </si>
  <si>
    <t>SS e pooled</t>
  </si>
  <si>
    <t>L9 (34)</t>
  </si>
  <si>
    <t>AL_1</t>
  </si>
  <si>
    <t>AL_2</t>
  </si>
  <si>
    <t>AL_3</t>
  </si>
  <si>
    <t>VF_3</t>
  </si>
  <si>
    <t>VF_2</t>
  </si>
  <si>
    <t>VF_1</t>
  </si>
  <si>
    <t>pH_3</t>
  </si>
  <si>
    <t>pH_2</t>
  </si>
  <si>
    <t>pH_1</t>
  </si>
  <si>
    <t>NaNO3_3</t>
  </si>
  <si>
    <t>NaNO3_2</t>
  </si>
  <si>
    <t>NaNO3_1</t>
  </si>
  <si>
    <t>VF</t>
  </si>
  <si>
    <t>FACTOR pH</t>
  </si>
  <si>
    <t>FACTOR VF</t>
  </si>
  <si>
    <t>SS VF</t>
  </si>
  <si>
    <t>V VF</t>
  </si>
  <si>
    <t>F VF</t>
  </si>
  <si>
    <t>S'VF</t>
  </si>
  <si>
    <t>P(%) VF</t>
  </si>
  <si>
    <t>f VF</t>
  </si>
  <si>
    <t>f NaNO3</t>
  </si>
  <si>
    <t>f pH</t>
  </si>
  <si>
    <t>FACTOR NaNO3</t>
  </si>
  <si>
    <t>Solución de Lavado</t>
  </si>
  <si>
    <t>DATOS PRIMARIOS</t>
  </si>
  <si>
    <t>Experimento 1
(Réplica 1)</t>
  </si>
  <si>
    <r>
      <t>[F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] (ppm)</t>
    </r>
  </si>
  <si>
    <t>Muestra</t>
  </si>
  <si>
    <t>Experimento 2
(Réplica 1)</t>
  </si>
  <si>
    <t>Experimento 3
(Réplica 1)</t>
  </si>
  <si>
    <t>Experimento 4
(Réplica 1)</t>
  </si>
  <si>
    <t>Experimento 7
(Réplica 1)</t>
  </si>
  <si>
    <t>Experimento 5
(Réplica 1)</t>
  </si>
  <si>
    <t>Experimento 6
(Réplica 1)</t>
  </si>
  <si>
    <t>Experimento 8
(Réplica 1)</t>
  </si>
  <si>
    <t>Experimento 9
(Réplica 1)</t>
  </si>
  <si>
    <t>Experimento 1
(Réplica 2)</t>
  </si>
  <si>
    <t>Experimento 2
(Réplica 2)</t>
  </si>
  <si>
    <t>Experimento 3
(Réplica 2)</t>
  </si>
  <si>
    <t>Experimento 4
(Réplica 2)</t>
  </si>
  <si>
    <t>Experimento 5
(Réplica 2)</t>
  </si>
  <si>
    <t>Experimento 6
(Réplica 2)</t>
  </si>
  <si>
    <t>Experimento 7
(Réplica 2)</t>
  </si>
  <si>
    <t>Experimento 8
(Réplica 2)</t>
  </si>
  <si>
    <t>Experimento 9
(Réplica 2)</t>
  </si>
  <si>
    <r>
      <t>[F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] (mg/L)</t>
    </r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</si>
  <si>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Extraído, CF,Ar 
(mg/kg arena)</t>
    </r>
  </si>
  <si>
    <t>Réplica 1</t>
  </si>
  <si>
    <t>Réplica 2</t>
  </si>
  <si>
    <t>DATOS TRANSFORMADOS</t>
  </si>
  <si>
    <t>Análisis estadístico. F de Fisher 3,23. fe=45; fFactores=2. 95%</t>
  </si>
  <si>
    <t>Valores promedio</t>
  </si>
  <si>
    <t>f</t>
  </si>
  <si>
    <t>P(%)</t>
  </si>
  <si>
    <t>RESULTADOS DE LA RELACION S/N al 90%</t>
  </si>
  <si>
    <r>
      <t xml:space="preserve">3º INTENTO. Pooled </t>
    </r>
    <r>
      <rPr>
        <b/>
        <sz val="11"/>
        <color rgb="FFFF0000"/>
        <rFont val="Calibri"/>
        <family val="2"/>
        <scheme val="minor"/>
      </rPr>
      <t>VF</t>
    </r>
    <r>
      <rPr>
        <b/>
        <sz val="11"/>
        <color theme="1"/>
        <rFont val="Calibri"/>
        <family val="2"/>
        <scheme val="minor"/>
      </rPr>
      <t>, AL y NaNO3. fe=6 y fAL=2. F de Fisher = 3,46</t>
    </r>
  </si>
  <si>
    <r>
      <t xml:space="preserve">2º INTENTO. Pooled </t>
    </r>
    <r>
      <rPr>
        <b/>
        <sz val="11"/>
        <color rgb="FFFF0000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 xml:space="preserve"> y NaNO3. fe=4 y fFactores=2. F de Fisher = 4,32</t>
    </r>
  </si>
  <si>
    <r>
      <t xml:space="preserve">1º INTENTO. Pooled </t>
    </r>
    <r>
      <rPr>
        <b/>
        <sz val="11"/>
        <color rgb="FFFF0000"/>
        <rFont val="Calibri"/>
        <family val="2"/>
        <scheme val="minor"/>
      </rPr>
      <t>NANO3</t>
    </r>
    <r>
      <rPr>
        <b/>
        <sz val="11"/>
        <color theme="1"/>
        <rFont val="Calibri"/>
        <family val="2"/>
        <scheme val="minor"/>
      </rPr>
      <t>. fe=2 y fFactores=2. F de Fisher = 9,00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</si>
  <si>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i1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</si>
  <si>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i2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</si>
  <si>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i3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</si>
  <si>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i4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</si>
  <si>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i5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</si>
  <si>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i6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</si>
  <si>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</si>
  <si>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i2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</si>
  <si>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i4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</si>
  <si>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</si>
  <si>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i5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</si>
  <si>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i6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</si>
  <si>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ANOVA FACTORES +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</si>
</sst>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</cellStyleXfs>
  <cellXfs count="276">
    <xf numFmtId="0" fontId="0" fillId="0" borderId="0" xfId="0"/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2" borderId="33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0" fontId="11" fillId="8" borderId="19" xfId="2" applyNumberFormat="1" applyBorder="1" applyAlignment="1">
      <alignment horizontal="center" vertical="center"/>
    </xf>
    <xf numFmtId="164" fontId="11" fillId="8" borderId="33" xfId="2" applyNumberFormat="1" applyBorder="1" applyAlignment="1">
      <alignment horizontal="center" vertical="center"/>
    </xf>
    <xf numFmtId="164" fontId="11" fillId="8" borderId="4" xfId="2" applyNumberFormat="1" applyBorder="1" applyAlignment="1">
      <alignment horizontal="center" vertical="center"/>
    </xf>
    <xf numFmtId="164" fontId="11" fillId="8" borderId="7" xfId="2" applyNumberFormat="1" applyBorder="1" applyAlignment="1">
      <alignment horizontal="center" vertical="center"/>
    </xf>
    <xf numFmtId="164" fontId="2" fillId="2" borderId="3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65" fontId="0" fillId="2" borderId="33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0" fillId="2" borderId="19" xfId="0" applyNumberFormat="1" applyFill="1" applyBorder="1"/>
    <xf numFmtId="165" fontId="0" fillId="2" borderId="20" xfId="0" applyNumberFormat="1" applyFill="1" applyBorder="1"/>
    <xf numFmtId="165" fontId="0" fillId="2" borderId="21" xfId="0" applyNumberForma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164" fontId="4" fillId="2" borderId="3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0" fontId="0" fillId="0" borderId="0" xfId="0" applyFill="1" applyBorder="1"/>
    <xf numFmtId="0" fontId="2" fillId="2" borderId="2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10" fontId="11" fillId="8" borderId="1" xfId="2" applyNumberFormat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2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3" borderId="26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3" fillId="3" borderId="27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12" fillId="9" borderId="41" xfId="3" applyNumberForma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12" fillId="9" borderId="35" xfId="3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12" fillId="9" borderId="0" xfId="3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12" fillId="9" borderId="29" xfId="3" applyNumberForma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46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12" fillId="9" borderId="35" xfId="1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5" fontId="4" fillId="2" borderId="2" xfId="3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5" xfId="3" applyNumberFormat="1" applyFont="1" applyFill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/>
    </xf>
    <xf numFmtId="165" fontId="7" fillId="2" borderId="7" xfId="3" applyNumberFormat="1" applyFont="1" applyFill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3" fillId="3" borderId="46" xfId="0" applyNumberFormat="1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35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17" fillId="0" borderId="0" xfId="3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12" fillId="9" borderId="25" xfId="3" applyNumberFormat="1" applyBorder="1" applyAlignment="1">
      <alignment horizontal="center" vertical="center"/>
    </xf>
    <xf numFmtId="165" fontId="2" fillId="0" borderId="0" xfId="3" applyNumberFormat="1" applyFont="1" applyFill="1" applyAlignment="1">
      <alignment horizontal="center" vertical="center"/>
    </xf>
    <xf numFmtId="165" fontId="12" fillId="9" borderId="48" xfId="3" applyNumberForma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4" fillId="0" borderId="41" xfId="0" applyNumberFormat="1" applyFon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0" xfId="0" applyNumberFormat="1"/>
    <xf numFmtId="165" fontId="3" fillId="0" borderId="25" xfId="0" applyNumberFormat="1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3" fillId="3" borderId="58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3" borderId="59" xfId="0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2" borderId="46" xfId="0" applyNumberFormat="1" applyFon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9" borderId="49" xfId="3" applyNumberFormat="1" applyBorder="1" applyAlignment="1">
      <alignment horizontal="center" vertical="center"/>
    </xf>
    <xf numFmtId="1" fontId="12" fillId="9" borderId="13" xfId="3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5" fontId="0" fillId="0" borderId="0" xfId="0" applyNumberFormat="1" applyFill="1" applyBorder="1"/>
    <xf numFmtId="165" fontId="3" fillId="0" borderId="34" xfId="0" applyNumberFormat="1" applyFont="1" applyBorder="1" applyAlignment="1">
      <alignment vertical="center"/>
    </xf>
    <xf numFmtId="165" fontId="0" fillId="2" borderId="35" xfId="0" applyNumberFormat="1" applyFill="1" applyBorder="1" applyAlignment="1">
      <alignment horizontal="center" vertical="center"/>
    </xf>
    <xf numFmtId="165" fontId="0" fillId="2" borderId="41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165" fontId="3" fillId="4" borderId="40" xfId="0" applyNumberFormat="1" applyFont="1" applyFill="1" applyBorder="1" applyAlignment="1">
      <alignment horizontal="center" vertical="center"/>
    </xf>
    <xf numFmtId="165" fontId="3" fillId="4" borderId="3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5" fontId="3" fillId="3" borderId="36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165" fontId="3" fillId="3" borderId="43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65" fontId="0" fillId="0" borderId="41" xfId="0" applyNumberForma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/>
    </xf>
    <xf numFmtId="165" fontId="8" fillId="7" borderId="0" xfId="0" applyNumberFormat="1" applyFont="1" applyFill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/>
    </xf>
    <xf numFmtId="165" fontId="3" fillId="3" borderId="50" xfId="0" applyNumberFormat="1" applyFont="1" applyFill="1" applyBorder="1" applyAlignment="1">
      <alignment horizontal="center" vertical="center"/>
    </xf>
    <xf numFmtId="165" fontId="3" fillId="3" borderId="51" xfId="0" applyNumberFormat="1" applyFont="1" applyFill="1" applyBorder="1" applyAlignment="1">
      <alignment horizontal="center" vertical="center"/>
    </xf>
    <xf numFmtId="165" fontId="3" fillId="3" borderId="52" xfId="0" applyNumberFormat="1" applyFont="1" applyFill="1" applyBorder="1" applyAlignment="1">
      <alignment horizontal="center" vertical="center"/>
    </xf>
    <xf numFmtId="165" fontId="3" fillId="2" borderId="50" xfId="0" applyNumberFormat="1" applyFont="1" applyFill="1" applyBorder="1" applyAlignment="1">
      <alignment horizontal="center" vertical="center"/>
    </xf>
    <xf numFmtId="165" fontId="3" fillId="2" borderId="51" xfId="0" applyNumberFormat="1" applyFont="1" applyFill="1" applyBorder="1" applyAlignment="1">
      <alignment horizontal="center" vertical="center"/>
    </xf>
    <xf numFmtId="165" fontId="3" fillId="2" borderId="52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165" fontId="3" fillId="2" borderId="37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55" xfId="0" applyNumberFormat="1" applyFont="1" applyFill="1" applyBorder="1" applyAlignment="1">
      <alignment horizontal="center" vertical="center"/>
    </xf>
    <xf numFmtId="165" fontId="3" fillId="2" borderId="56" xfId="0" applyNumberFormat="1" applyFont="1" applyFill="1" applyBorder="1" applyAlignment="1">
      <alignment horizontal="center" vertical="center"/>
    </xf>
    <xf numFmtId="165" fontId="4" fillId="2" borderId="56" xfId="3" applyNumberFormat="1" applyFont="1" applyFill="1" applyBorder="1" applyAlignment="1">
      <alignment horizontal="center" vertical="center"/>
    </xf>
    <xf numFmtId="165" fontId="4" fillId="2" borderId="57" xfId="3" applyNumberFormat="1" applyFont="1" applyFill="1" applyBorder="1" applyAlignment="1">
      <alignment horizontal="center" vertical="center"/>
    </xf>
    <xf numFmtId="1" fontId="3" fillId="4" borderId="40" xfId="0" applyNumberFormat="1" applyFont="1" applyFill="1" applyBorder="1" applyAlignment="1">
      <alignment horizontal="center" vertical="center"/>
    </xf>
    <xf numFmtId="1" fontId="3" fillId="4" borderId="39" xfId="0" applyNumberFormat="1" applyFont="1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5" fontId="12" fillId="9" borderId="36" xfId="3" applyNumberFormat="1" applyBorder="1" applyAlignment="1">
      <alignment horizontal="center" vertical="center"/>
    </xf>
    <xf numFmtId="165" fontId="12" fillId="9" borderId="43" xfId="3" applyNumberForma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7" fillId="0" borderId="56" xfId="0" applyNumberFormat="1" applyFont="1" applyBorder="1" applyAlignment="1">
      <alignment horizontal="center" vertical="center"/>
    </xf>
    <xf numFmtId="165" fontId="7" fillId="0" borderId="57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65" fontId="7" fillId="3" borderId="50" xfId="0" applyNumberFormat="1" applyFont="1" applyFill="1" applyBorder="1" applyAlignment="1">
      <alignment horizontal="center" vertical="center"/>
    </xf>
    <xf numFmtId="165" fontId="7" fillId="3" borderId="51" xfId="0" applyNumberFormat="1" applyFont="1" applyFill="1" applyBorder="1" applyAlignment="1">
      <alignment horizontal="center" vertical="center"/>
    </xf>
    <xf numFmtId="165" fontId="7" fillId="3" borderId="52" xfId="0" applyNumberFormat="1" applyFont="1" applyFill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54" xfId="0" applyNumberFormat="1" applyFont="1" applyBorder="1" applyAlignment="1">
      <alignment horizontal="center" vertical="center"/>
    </xf>
    <xf numFmtId="165" fontId="12" fillId="0" borderId="55" xfId="3" applyNumberFormat="1" applyFill="1" applyBorder="1" applyAlignment="1">
      <alignment horizontal="center" vertical="center"/>
    </xf>
    <xf numFmtId="165" fontId="12" fillId="0" borderId="56" xfId="3" applyNumberFormat="1" applyFill="1" applyBorder="1" applyAlignment="1">
      <alignment horizontal="center" vertical="center"/>
    </xf>
  </cellXfs>
  <cellStyles count="4">
    <cellStyle name="Bueno" xfId="2" builtinId="26"/>
    <cellStyle name="Incorrecto" xfId="3" builtinId="27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S1</c:v>
          </c:tx>
          <c:cat>
            <c:strRef>
              <c:f>'Estudio ANOVA'!$P$44:$P$55</c:f>
              <c:strCache>
                <c:ptCount val="12"/>
                <c:pt idx="0">
                  <c:v>AL_1</c:v>
                </c:pt>
                <c:pt idx="1">
                  <c:v>AL_2</c:v>
                </c:pt>
                <c:pt idx="2">
                  <c:v>AL_3</c:v>
                </c:pt>
                <c:pt idx="3">
                  <c:v>NaNO3_1</c:v>
                </c:pt>
                <c:pt idx="4">
                  <c:v>NaNO3_2</c:v>
                </c:pt>
                <c:pt idx="5">
                  <c:v>NaNO3_3</c:v>
                </c:pt>
                <c:pt idx="6">
                  <c:v>pH_1</c:v>
                </c:pt>
                <c:pt idx="7">
                  <c:v>pH_2</c:v>
                </c:pt>
                <c:pt idx="8">
                  <c:v>pH_3</c:v>
                </c:pt>
                <c:pt idx="9">
                  <c:v>VF_1</c:v>
                </c:pt>
                <c:pt idx="10">
                  <c:v>VF_2</c:v>
                </c:pt>
                <c:pt idx="11">
                  <c:v>VF_3</c:v>
                </c:pt>
              </c:strCache>
            </c:strRef>
          </c:cat>
          <c:val>
            <c:numRef>
              <c:f>'Estudio ANOVA'!$Q$44:$Q$55</c:f>
              <c:numCache>
                <c:formatCode>0.000</c:formatCode>
                <c:ptCount val="12"/>
                <c:pt idx="0">
                  <c:v>0.52423386115854331</c:v>
                </c:pt>
                <c:pt idx="1">
                  <c:v>0.63991215674689894</c:v>
                </c:pt>
                <c:pt idx="2">
                  <c:v>0.52344901042487202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D-40D4-97F2-CA896D93E28E}"/>
            </c:ext>
          </c:extLst>
        </c:ser>
        <c:ser>
          <c:idx val="1"/>
          <c:order val="1"/>
          <c:tx>
            <c:v>S2</c:v>
          </c:tx>
          <c:cat>
            <c:strRef>
              <c:f>'Estudio ANOVA'!$P$44:$P$55</c:f>
              <c:strCache>
                <c:ptCount val="12"/>
                <c:pt idx="0">
                  <c:v>AL_1</c:v>
                </c:pt>
                <c:pt idx="1">
                  <c:v>AL_2</c:v>
                </c:pt>
                <c:pt idx="2">
                  <c:v>AL_3</c:v>
                </c:pt>
                <c:pt idx="3">
                  <c:v>NaNO3_1</c:v>
                </c:pt>
                <c:pt idx="4">
                  <c:v>NaNO3_2</c:v>
                </c:pt>
                <c:pt idx="5">
                  <c:v>NaNO3_3</c:v>
                </c:pt>
                <c:pt idx="6">
                  <c:v>pH_1</c:v>
                </c:pt>
                <c:pt idx="7">
                  <c:v>pH_2</c:v>
                </c:pt>
                <c:pt idx="8">
                  <c:v>pH_3</c:v>
                </c:pt>
                <c:pt idx="9">
                  <c:v>VF_1</c:v>
                </c:pt>
                <c:pt idx="10">
                  <c:v>VF_2</c:v>
                </c:pt>
                <c:pt idx="11">
                  <c:v>VF_3</c:v>
                </c:pt>
              </c:strCache>
            </c:strRef>
          </c:cat>
          <c:val>
            <c:numRef>
              <c:f>'Estudio ANOVA'!$S$44:$S$55</c:f>
              <c:numCache>
                <c:formatCode>0.000</c:formatCode>
                <c:ptCount val="12"/>
                <c:pt idx="3">
                  <c:v>0.61388778967375079</c:v>
                </c:pt>
                <c:pt idx="4">
                  <c:v>0.51076043564058582</c:v>
                </c:pt>
                <c:pt idx="5">
                  <c:v>0.56294680301597777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D-40D4-97F2-CA896D93E28E}"/>
            </c:ext>
          </c:extLst>
        </c:ser>
        <c:ser>
          <c:idx val="2"/>
          <c:order val="2"/>
          <c:tx>
            <c:v>S3</c:v>
          </c:tx>
          <c:cat>
            <c:strRef>
              <c:f>'Estudio ANOVA'!$P$44:$P$55</c:f>
              <c:strCache>
                <c:ptCount val="12"/>
                <c:pt idx="0">
                  <c:v>AL_1</c:v>
                </c:pt>
                <c:pt idx="1">
                  <c:v>AL_2</c:v>
                </c:pt>
                <c:pt idx="2">
                  <c:v>AL_3</c:v>
                </c:pt>
                <c:pt idx="3">
                  <c:v>NaNO3_1</c:v>
                </c:pt>
                <c:pt idx="4">
                  <c:v>NaNO3_2</c:v>
                </c:pt>
                <c:pt idx="5">
                  <c:v>NaNO3_3</c:v>
                </c:pt>
                <c:pt idx="6">
                  <c:v>pH_1</c:v>
                </c:pt>
                <c:pt idx="7">
                  <c:v>pH_2</c:v>
                </c:pt>
                <c:pt idx="8">
                  <c:v>pH_3</c:v>
                </c:pt>
                <c:pt idx="9">
                  <c:v>VF_1</c:v>
                </c:pt>
                <c:pt idx="10">
                  <c:v>VF_2</c:v>
                </c:pt>
                <c:pt idx="11">
                  <c:v>VF_3</c:v>
                </c:pt>
              </c:strCache>
            </c:strRef>
          </c:cat>
          <c:val>
            <c:numRef>
              <c:f>'Estudio ANOVA'!$U$44:$U$55</c:f>
              <c:numCache>
                <c:formatCode>0.000</c:formatCode>
                <c:ptCount val="12"/>
                <c:pt idx="6">
                  <c:v>0.65343025137468802</c:v>
                </c:pt>
                <c:pt idx="7">
                  <c:v>0.55549031663728621</c:v>
                </c:pt>
                <c:pt idx="8">
                  <c:v>0.47867446031834016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D-40D4-97F2-CA896D93E28E}"/>
            </c:ext>
          </c:extLst>
        </c:ser>
        <c:ser>
          <c:idx val="3"/>
          <c:order val="3"/>
          <c:tx>
            <c:v>S4</c:v>
          </c:tx>
          <c:cat>
            <c:strRef>
              <c:f>'Estudio ANOVA'!$P$44:$P$55</c:f>
              <c:strCache>
                <c:ptCount val="12"/>
                <c:pt idx="0">
                  <c:v>AL_1</c:v>
                </c:pt>
                <c:pt idx="1">
                  <c:v>AL_2</c:v>
                </c:pt>
                <c:pt idx="2">
                  <c:v>AL_3</c:v>
                </c:pt>
                <c:pt idx="3">
                  <c:v>NaNO3_1</c:v>
                </c:pt>
                <c:pt idx="4">
                  <c:v>NaNO3_2</c:v>
                </c:pt>
                <c:pt idx="5">
                  <c:v>NaNO3_3</c:v>
                </c:pt>
                <c:pt idx="6">
                  <c:v>pH_1</c:v>
                </c:pt>
                <c:pt idx="7">
                  <c:v>pH_2</c:v>
                </c:pt>
                <c:pt idx="8">
                  <c:v>pH_3</c:v>
                </c:pt>
                <c:pt idx="9">
                  <c:v>VF_1</c:v>
                </c:pt>
                <c:pt idx="10">
                  <c:v>VF_2</c:v>
                </c:pt>
                <c:pt idx="11">
                  <c:v>VF_3</c:v>
                </c:pt>
              </c:strCache>
            </c:strRef>
          </c:cat>
          <c:val>
            <c:numRef>
              <c:f>'Estudio ANOVA'!$W$44:$W$55</c:f>
              <c:numCache>
                <c:formatCode>0.000</c:formatCode>
                <c:ptCount val="12"/>
                <c:pt idx="9">
                  <c:v>0.56932832606322292</c:v>
                </c:pt>
                <c:pt idx="10">
                  <c:v>0.50782470060818474</c:v>
                </c:pt>
                <c:pt idx="11">
                  <c:v>0.61044200165890672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D-40D4-97F2-CA896D93E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10432"/>
        <c:axId val="148212736"/>
      </c:lineChart>
      <c:catAx>
        <c:axId val="148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NIVELES DE LOS FACTORES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8212736"/>
        <c:crosses val="autoZero"/>
        <c:auto val="1"/>
        <c:lblAlgn val="ctr"/>
        <c:lblOffset val="100"/>
        <c:noMultiLvlLbl val="0"/>
      </c:catAx>
      <c:valAx>
        <c:axId val="148212736"/>
        <c:scaling>
          <c:orientation val="minMax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RESPUESTA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4821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S1</c:v>
          </c:tx>
          <c:cat>
            <c:numRef>
              <c:f>'Estudio ANOVA'!$E$121:$E$123</c:f>
              <c:numCache>
                <c:formatCode>0.000</c:formatCode>
                <c:ptCount val="3"/>
              </c:numCache>
            </c:numRef>
          </c:cat>
          <c:val>
            <c:numRef>
              <c:f>'Estudio ANOVA'!$F$121:$F$123</c:f>
              <c:numCache>
                <c:formatCode>0.000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8-4604-9BDB-189B0B3AB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2832"/>
        <c:axId val="147919616"/>
      </c:lineChart>
      <c:catAx>
        <c:axId val="1482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NIVELES DE LOS FACTORES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47919616"/>
        <c:crosses val="autoZero"/>
        <c:auto val="1"/>
        <c:lblAlgn val="ctr"/>
        <c:lblOffset val="100"/>
        <c:noMultiLvlLbl val="0"/>
      </c:catAx>
      <c:valAx>
        <c:axId val="147919616"/>
        <c:scaling>
          <c:orientation val="minMax"/>
          <c:max val="-3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RESPUESTA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4823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336178</xdr:colOff>
      <xdr:row>42</xdr:row>
      <xdr:rowOff>100852</xdr:rowOff>
    </xdr:from>
    <xdr:to>
      <xdr:col>14</xdr:col>
      <xdr:colOff>526678</xdr:colOff>
      <xdr:row>54</xdr:row>
      <xdr:rowOff>44824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324970</xdr:colOff>
      <xdr:row>108</xdr:row>
      <xdr:rowOff>168088</xdr:rowOff>
    </xdr:from>
    <xdr:to>
      <xdr:col>15</xdr:col>
      <xdr:colOff>134470</xdr:colOff>
      <xdr:row>126</xdr:row>
      <xdr:rowOff>100853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topLeftCell="B6" zoomScale="80" zoomScaleNormal="80" workbookViewId="0">
      <selection activeCell="D23" sqref="D23:E23"/>
    </sheetView>
  </sheetViews>
  <sheetFormatPr baseColWidth="10" defaultRowHeight="15" x14ac:dyDescent="0.25"/>
  <cols>
    <col min="2" max="2" width="20.140625" style="9" bestFit="1" customWidth="1"/>
    <col min="3" max="3" width="17.140625" style="9" customWidth="1"/>
    <col min="4" max="4" width="20.140625" style="10" bestFit="1" customWidth="1"/>
    <col min="5" max="5" width="17.140625" style="24" customWidth="1"/>
    <col min="6" max="6" width="20.140625" style="9" bestFit="1" customWidth="1"/>
    <col min="7" max="7" width="17.140625" style="10" customWidth="1"/>
    <col min="8" max="8" width="20.140625" style="9" bestFit="1" customWidth="1"/>
    <col min="9" max="9" width="17.140625" style="9" customWidth="1"/>
    <col min="10" max="10" width="20.140625" style="10" bestFit="1" customWidth="1"/>
    <col min="11" max="11" width="17.140625" style="9" customWidth="1"/>
    <col min="12" max="12" width="20.140625" style="24" bestFit="1" customWidth="1"/>
    <col min="13" max="13" width="17.140625" style="9" customWidth="1"/>
    <col min="14" max="14" width="20.140625" style="9" bestFit="1" customWidth="1"/>
    <col min="15" max="15" width="17.140625" style="9" customWidth="1"/>
    <col min="16" max="16" width="20.140625" bestFit="1" customWidth="1"/>
    <col min="17" max="17" width="17.140625" customWidth="1"/>
  </cols>
  <sheetData>
    <row r="2" spans="2:15" x14ac:dyDescent="0.25">
      <c r="B2" s="211" t="s">
        <v>119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40"/>
      <c r="O2" s="40"/>
    </row>
    <row r="3" spans="2:15" x14ac:dyDescent="0.2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2:15" ht="15.75" thickBot="1" x14ac:dyDescent="0.3">
      <c r="B4" s="25"/>
      <c r="C4" s="25"/>
      <c r="D4" s="26"/>
      <c r="E4" s="26"/>
      <c r="F4" s="26"/>
      <c r="G4" s="26"/>
      <c r="H4" s="25"/>
      <c r="I4" s="25"/>
      <c r="J4" s="26"/>
      <c r="K4" s="26"/>
      <c r="L4" s="26"/>
      <c r="M4" s="25"/>
      <c r="N4" s="24"/>
    </row>
    <row r="5" spans="2:15" ht="33.75" customHeight="1" thickBot="1" x14ac:dyDescent="0.3">
      <c r="B5" s="209" t="s">
        <v>120</v>
      </c>
      <c r="C5" s="210"/>
      <c r="D5" s="209" t="s">
        <v>131</v>
      </c>
      <c r="E5" s="208"/>
      <c r="F5" s="209" t="s">
        <v>123</v>
      </c>
      <c r="G5" s="208"/>
      <c r="H5" s="209" t="s">
        <v>132</v>
      </c>
      <c r="I5" s="208"/>
      <c r="J5" s="207" t="s">
        <v>124</v>
      </c>
      <c r="K5" s="208"/>
      <c r="L5" s="207" t="s">
        <v>133</v>
      </c>
      <c r="M5" s="208"/>
      <c r="N5"/>
      <c r="O5"/>
    </row>
    <row r="6" spans="2:15" ht="18" thickBot="1" x14ac:dyDescent="0.3">
      <c r="B6" s="15" t="s">
        <v>122</v>
      </c>
      <c r="C6" s="80" t="s">
        <v>121</v>
      </c>
      <c r="D6" s="82" t="s">
        <v>122</v>
      </c>
      <c r="E6" s="80" t="s">
        <v>121</v>
      </c>
      <c r="F6" s="82" t="s">
        <v>122</v>
      </c>
      <c r="G6" s="80" t="s">
        <v>121</v>
      </c>
      <c r="H6" s="82" t="s">
        <v>122</v>
      </c>
      <c r="I6" s="80" t="s">
        <v>121</v>
      </c>
      <c r="J6" s="82" t="s">
        <v>122</v>
      </c>
      <c r="K6" s="80" t="s">
        <v>121</v>
      </c>
      <c r="L6" s="82" t="s">
        <v>122</v>
      </c>
      <c r="M6" s="81" t="s">
        <v>121</v>
      </c>
      <c r="N6"/>
      <c r="O6"/>
    </row>
    <row r="7" spans="2:15" x14ac:dyDescent="0.25">
      <c r="B7" s="18" t="s">
        <v>2</v>
      </c>
      <c r="C7" s="19">
        <v>4.0000000000000001E-3</v>
      </c>
      <c r="D7" s="14" t="s">
        <v>2</v>
      </c>
      <c r="E7" s="1">
        <v>6.0000000000000001E-3</v>
      </c>
      <c r="F7" s="14" t="s">
        <v>2</v>
      </c>
      <c r="G7" s="1" t="s">
        <v>5</v>
      </c>
      <c r="H7" s="14" t="s">
        <v>2</v>
      </c>
      <c r="I7" s="1" t="s">
        <v>5</v>
      </c>
      <c r="J7" s="6" t="s">
        <v>2</v>
      </c>
      <c r="K7" s="1" t="s">
        <v>5</v>
      </c>
      <c r="L7" s="6" t="s">
        <v>2</v>
      </c>
      <c r="M7" s="1" t="s">
        <v>5</v>
      </c>
      <c r="N7"/>
      <c r="O7"/>
    </row>
    <row r="8" spans="2:15" x14ac:dyDescent="0.25">
      <c r="B8" s="11" t="s">
        <v>118</v>
      </c>
      <c r="C8" s="20">
        <v>1.4410000000000001</v>
      </c>
      <c r="D8" s="11" t="s">
        <v>118</v>
      </c>
      <c r="E8" s="3">
        <v>1.4</v>
      </c>
      <c r="F8" s="11" t="s">
        <v>118</v>
      </c>
      <c r="G8" s="3">
        <v>1.3620000000000001</v>
      </c>
      <c r="H8" s="11" t="s">
        <v>118</v>
      </c>
      <c r="I8" s="3">
        <v>1.3009999999999999</v>
      </c>
      <c r="J8" s="11" t="s">
        <v>118</v>
      </c>
      <c r="K8" s="3">
        <v>1.125</v>
      </c>
      <c r="L8" s="11" t="s">
        <v>118</v>
      </c>
      <c r="M8" s="3">
        <v>1.0880000000000001</v>
      </c>
      <c r="N8"/>
      <c r="O8"/>
    </row>
    <row r="9" spans="2:15" x14ac:dyDescent="0.25">
      <c r="B9" s="11" t="s">
        <v>118</v>
      </c>
      <c r="C9" s="20">
        <v>1.425</v>
      </c>
      <c r="D9" s="11" t="s">
        <v>118</v>
      </c>
      <c r="E9" s="3">
        <v>1.36</v>
      </c>
      <c r="F9" s="11" t="s">
        <v>118</v>
      </c>
      <c r="G9" s="3">
        <v>1.204</v>
      </c>
      <c r="H9" s="11" t="s">
        <v>118</v>
      </c>
      <c r="I9" s="3">
        <v>1.272</v>
      </c>
      <c r="J9" s="11" t="s">
        <v>118</v>
      </c>
      <c r="K9" s="3">
        <v>1.127</v>
      </c>
      <c r="L9" s="11" t="s">
        <v>118</v>
      </c>
      <c r="M9" s="3">
        <v>1.0880000000000001</v>
      </c>
      <c r="N9"/>
      <c r="O9"/>
    </row>
    <row r="10" spans="2:15" x14ac:dyDescent="0.25">
      <c r="B10" s="11" t="s">
        <v>4</v>
      </c>
      <c r="C10" s="20">
        <v>0.96399999999999997</v>
      </c>
      <c r="D10" s="11" t="s">
        <v>4</v>
      </c>
      <c r="E10" s="3">
        <v>0.90200000000000002</v>
      </c>
      <c r="F10" s="11" t="s">
        <v>4</v>
      </c>
      <c r="G10" s="3">
        <v>0.98899999999999999</v>
      </c>
      <c r="H10" s="11" t="s">
        <v>4</v>
      </c>
      <c r="I10" s="3">
        <v>1.008</v>
      </c>
      <c r="J10" s="7" t="s">
        <v>4</v>
      </c>
      <c r="K10" s="3">
        <v>0.98199999999999998</v>
      </c>
      <c r="L10" s="7" t="s">
        <v>4</v>
      </c>
      <c r="M10" s="3">
        <v>0.98899999999999999</v>
      </c>
      <c r="N10"/>
      <c r="O10"/>
    </row>
    <row r="11" spans="2:15" x14ac:dyDescent="0.25">
      <c r="B11" s="11" t="s">
        <v>3</v>
      </c>
      <c r="C11" s="20">
        <v>0.32300000000000001</v>
      </c>
      <c r="D11" s="11" t="s">
        <v>3</v>
      </c>
      <c r="E11" s="3">
        <v>0.32500000000000001</v>
      </c>
      <c r="F11" s="11" t="s">
        <v>3</v>
      </c>
      <c r="G11" s="41">
        <v>0.27400000000000002</v>
      </c>
      <c r="H11" s="11" t="s">
        <v>3</v>
      </c>
      <c r="I11" s="3">
        <v>0.66200000000000003</v>
      </c>
      <c r="J11" s="7" t="s">
        <v>3</v>
      </c>
      <c r="K11" s="3">
        <v>0.57799999999999996</v>
      </c>
      <c r="L11" s="7" t="s">
        <v>3</v>
      </c>
      <c r="M11" s="3">
        <v>0.49</v>
      </c>
      <c r="N11"/>
      <c r="O11"/>
    </row>
    <row r="12" spans="2:15" x14ac:dyDescent="0.25">
      <c r="B12" s="11" t="s">
        <v>3</v>
      </c>
      <c r="C12" s="20">
        <v>0.28599999999999998</v>
      </c>
      <c r="D12" s="11" t="s">
        <v>3</v>
      </c>
      <c r="E12" s="3">
        <v>0.28199999999999997</v>
      </c>
      <c r="F12" s="11" t="s">
        <v>3</v>
      </c>
      <c r="G12" s="41">
        <v>0.26400000000000001</v>
      </c>
      <c r="H12" s="11" t="s">
        <v>3</v>
      </c>
      <c r="I12" s="3">
        <v>0.57799999999999996</v>
      </c>
      <c r="J12" s="7" t="s">
        <v>3</v>
      </c>
      <c r="K12" s="3">
        <v>0.51300000000000001</v>
      </c>
      <c r="L12" s="7" t="s">
        <v>3</v>
      </c>
      <c r="M12" s="3">
        <v>0.48499999999999999</v>
      </c>
      <c r="N12"/>
      <c r="O12"/>
    </row>
    <row r="13" spans="2:15" ht="15.75" thickBot="1" x14ac:dyDescent="0.3">
      <c r="B13" s="11" t="s">
        <v>3</v>
      </c>
      <c r="C13" s="20">
        <v>0.28999999999999998</v>
      </c>
      <c r="D13" s="13" t="s">
        <v>3</v>
      </c>
      <c r="E13" s="16">
        <v>0.32</v>
      </c>
      <c r="F13" s="13" t="s">
        <v>3</v>
      </c>
      <c r="G13" s="79">
        <v>0.30199999999999999</v>
      </c>
      <c r="H13" s="11" t="s">
        <v>3</v>
      </c>
      <c r="I13" s="3">
        <v>0.54200000000000004</v>
      </c>
      <c r="J13" s="17" t="s">
        <v>3</v>
      </c>
      <c r="K13" s="16">
        <v>0.45800000000000002</v>
      </c>
      <c r="L13" s="17" t="s">
        <v>3</v>
      </c>
      <c r="M13" s="16">
        <v>0.499</v>
      </c>
      <c r="N13"/>
      <c r="O13"/>
    </row>
    <row r="14" spans="2:15" ht="33" customHeight="1" thickBot="1" x14ac:dyDescent="0.3">
      <c r="B14" s="209" t="s">
        <v>125</v>
      </c>
      <c r="C14" s="210"/>
      <c r="D14" s="209" t="s">
        <v>134</v>
      </c>
      <c r="E14" s="208"/>
      <c r="F14" s="209" t="s">
        <v>127</v>
      </c>
      <c r="G14" s="208"/>
      <c r="H14" s="209" t="s">
        <v>135</v>
      </c>
      <c r="I14" s="208"/>
      <c r="J14" s="207" t="s">
        <v>128</v>
      </c>
      <c r="K14" s="208"/>
      <c r="L14" s="207" t="s">
        <v>136</v>
      </c>
      <c r="M14" s="208"/>
      <c r="N14"/>
      <c r="O14"/>
    </row>
    <row r="15" spans="2:15" ht="18" thickBot="1" x14ac:dyDescent="0.3">
      <c r="B15" s="82" t="s">
        <v>122</v>
      </c>
      <c r="C15" s="80" t="s">
        <v>121</v>
      </c>
      <c r="D15" s="82" t="s">
        <v>122</v>
      </c>
      <c r="E15" s="80" t="s">
        <v>121</v>
      </c>
      <c r="F15" s="82" t="s">
        <v>122</v>
      </c>
      <c r="G15" s="80" t="s">
        <v>121</v>
      </c>
      <c r="H15" s="82" t="s">
        <v>122</v>
      </c>
      <c r="I15" s="80" t="s">
        <v>121</v>
      </c>
      <c r="J15" s="82" t="s">
        <v>122</v>
      </c>
      <c r="K15" s="80" t="s">
        <v>121</v>
      </c>
      <c r="L15" s="82" t="s">
        <v>122</v>
      </c>
      <c r="M15" s="81" t="s">
        <v>121</v>
      </c>
      <c r="N15"/>
      <c r="O15"/>
    </row>
    <row r="16" spans="2:15" x14ac:dyDescent="0.25">
      <c r="B16" s="14" t="s">
        <v>2</v>
      </c>
      <c r="C16" s="22" t="s">
        <v>5</v>
      </c>
      <c r="D16" s="14" t="s">
        <v>2</v>
      </c>
      <c r="E16" s="1">
        <v>7.0000000000000001E-3</v>
      </c>
      <c r="F16" s="14" t="s">
        <v>2</v>
      </c>
      <c r="G16" s="1">
        <v>6.0000000000000001E-3</v>
      </c>
      <c r="H16" s="14" t="s">
        <v>2</v>
      </c>
      <c r="I16" s="1">
        <v>7.0000000000000001E-3</v>
      </c>
      <c r="J16" s="6" t="s">
        <v>2</v>
      </c>
      <c r="K16" s="1">
        <v>7.0000000000000001E-3</v>
      </c>
      <c r="L16" s="6" t="s">
        <v>2</v>
      </c>
      <c r="M16" s="1">
        <v>3.0000000000000001E-3</v>
      </c>
      <c r="N16"/>
      <c r="O16"/>
    </row>
    <row r="17" spans="2:15" x14ac:dyDescent="0.25">
      <c r="B17" s="11" t="s">
        <v>118</v>
      </c>
      <c r="C17" s="20">
        <v>0.58099999999999996</v>
      </c>
      <c r="D17" s="11" t="s">
        <v>118</v>
      </c>
      <c r="E17" s="3">
        <v>0.74299999999999999</v>
      </c>
      <c r="F17" s="11" t="s">
        <v>118</v>
      </c>
      <c r="G17" s="3">
        <v>0.45400000000000001</v>
      </c>
      <c r="H17" s="11" t="s">
        <v>118</v>
      </c>
      <c r="I17" s="3">
        <v>0.39800000000000002</v>
      </c>
      <c r="J17" s="11" t="s">
        <v>118</v>
      </c>
      <c r="K17" s="3">
        <v>0.68100000000000005</v>
      </c>
      <c r="L17" s="11" t="s">
        <v>118</v>
      </c>
      <c r="M17" s="3">
        <v>0.68500000000000005</v>
      </c>
      <c r="N17"/>
      <c r="O17"/>
    </row>
    <row r="18" spans="2:15" x14ac:dyDescent="0.25">
      <c r="B18" s="11" t="s">
        <v>118</v>
      </c>
      <c r="C18" s="20">
        <v>0.46</v>
      </c>
      <c r="D18" s="11" t="s">
        <v>118</v>
      </c>
      <c r="E18" s="3">
        <v>0.83899999999999997</v>
      </c>
      <c r="F18" s="11" t="s">
        <v>118</v>
      </c>
      <c r="G18" s="3">
        <v>0.504</v>
      </c>
      <c r="H18" s="11" t="s">
        <v>118</v>
      </c>
      <c r="I18" s="3">
        <v>0.46100000000000002</v>
      </c>
      <c r="J18" s="11" t="s">
        <v>118</v>
      </c>
      <c r="K18" s="3">
        <v>0.67600000000000005</v>
      </c>
      <c r="L18" s="11" t="s">
        <v>118</v>
      </c>
      <c r="M18" s="3">
        <v>0.68200000000000005</v>
      </c>
      <c r="N18"/>
      <c r="O18"/>
    </row>
    <row r="19" spans="2:15" x14ac:dyDescent="0.25">
      <c r="B19" s="11" t="s">
        <v>4</v>
      </c>
      <c r="C19" s="20">
        <v>1.0589999999999999</v>
      </c>
      <c r="D19" s="11" t="s">
        <v>4</v>
      </c>
      <c r="E19" s="27">
        <v>3.3420000000000001</v>
      </c>
      <c r="F19" s="11" t="s">
        <v>4</v>
      </c>
      <c r="G19" s="3">
        <v>0.77600000000000002</v>
      </c>
      <c r="H19" s="11" t="s">
        <v>4</v>
      </c>
      <c r="I19" s="3">
        <v>0.627</v>
      </c>
      <c r="J19" s="7" t="s">
        <v>4</v>
      </c>
      <c r="K19" s="3">
        <v>0.81200000000000006</v>
      </c>
      <c r="L19" s="7" t="s">
        <v>4</v>
      </c>
      <c r="M19" s="3">
        <v>0.81100000000000005</v>
      </c>
      <c r="N19"/>
      <c r="O19"/>
    </row>
    <row r="20" spans="2:15" x14ac:dyDescent="0.25">
      <c r="B20" s="11" t="s">
        <v>3</v>
      </c>
      <c r="C20" s="20">
        <v>0.27700000000000002</v>
      </c>
      <c r="D20" s="11" t="s">
        <v>3</v>
      </c>
      <c r="E20" s="3">
        <v>0.29599999999999999</v>
      </c>
      <c r="F20" s="11" t="s">
        <v>3</v>
      </c>
      <c r="G20" s="3">
        <v>0.377</v>
      </c>
      <c r="H20" s="11" t="s">
        <v>3</v>
      </c>
      <c r="I20" s="3">
        <v>0.29099999999999998</v>
      </c>
      <c r="J20" s="7" t="s">
        <v>3</v>
      </c>
      <c r="K20" s="3">
        <v>0.255</v>
      </c>
      <c r="L20" s="7" t="s">
        <v>3</v>
      </c>
      <c r="M20" s="3">
        <v>0.27200000000000002</v>
      </c>
      <c r="N20"/>
      <c r="O20"/>
    </row>
    <row r="21" spans="2:15" x14ac:dyDescent="0.25">
      <c r="B21" s="11" t="s">
        <v>3</v>
      </c>
      <c r="C21" s="20">
        <v>0.246</v>
      </c>
      <c r="D21" s="11" t="s">
        <v>3</v>
      </c>
      <c r="E21" s="3">
        <v>0.28299999999999997</v>
      </c>
      <c r="F21" s="11" t="s">
        <v>3</v>
      </c>
      <c r="G21" s="3">
        <v>0.38</v>
      </c>
      <c r="H21" s="11" t="s">
        <v>3</v>
      </c>
      <c r="I21" s="3">
        <v>0.29399999999999998</v>
      </c>
      <c r="J21" s="7" t="s">
        <v>3</v>
      </c>
      <c r="K21" s="3">
        <v>0.25</v>
      </c>
      <c r="L21" s="7" t="s">
        <v>3</v>
      </c>
      <c r="M21" s="3">
        <v>0.27300000000000002</v>
      </c>
      <c r="N21"/>
      <c r="O21"/>
    </row>
    <row r="22" spans="2:15" ht="15.75" thickBot="1" x14ac:dyDescent="0.3">
      <c r="B22" s="13" t="s">
        <v>3</v>
      </c>
      <c r="C22" s="21">
        <v>0.36399999999999999</v>
      </c>
      <c r="D22" s="13" t="s">
        <v>3</v>
      </c>
      <c r="E22" s="16">
        <v>0.23599999999999999</v>
      </c>
      <c r="F22" s="13" t="s">
        <v>3</v>
      </c>
      <c r="G22" s="16">
        <v>0.434</v>
      </c>
      <c r="H22" s="13" t="s">
        <v>3</v>
      </c>
      <c r="I22" s="16">
        <v>0.29199999999999998</v>
      </c>
      <c r="J22" s="17" t="s">
        <v>3</v>
      </c>
      <c r="K22" s="16">
        <v>0.25900000000000001</v>
      </c>
      <c r="L22" s="7" t="s">
        <v>3</v>
      </c>
      <c r="M22" s="3">
        <v>0.26600000000000001</v>
      </c>
      <c r="N22"/>
      <c r="O22"/>
    </row>
    <row r="23" spans="2:15" ht="35.25" customHeight="1" thickBot="1" x14ac:dyDescent="0.3">
      <c r="B23" s="209" t="s">
        <v>126</v>
      </c>
      <c r="C23" s="210"/>
      <c r="D23" s="209" t="s">
        <v>137</v>
      </c>
      <c r="E23" s="208"/>
      <c r="F23" s="209" t="s">
        <v>129</v>
      </c>
      <c r="G23" s="208"/>
      <c r="H23" s="209" t="s">
        <v>138</v>
      </c>
      <c r="I23" s="208"/>
      <c r="J23" s="207" t="s">
        <v>130</v>
      </c>
      <c r="K23" s="208"/>
      <c r="L23" s="209" t="s">
        <v>139</v>
      </c>
      <c r="M23" s="208"/>
      <c r="N23"/>
      <c r="O23"/>
    </row>
    <row r="24" spans="2:15" ht="18" thickBot="1" x14ac:dyDescent="0.3">
      <c r="B24" s="82" t="s">
        <v>122</v>
      </c>
      <c r="C24" s="80" t="s">
        <v>121</v>
      </c>
      <c r="D24" s="82" t="s">
        <v>122</v>
      </c>
      <c r="E24" s="80" t="s">
        <v>121</v>
      </c>
      <c r="F24" s="82" t="s">
        <v>122</v>
      </c>
      <c r="G24" s="80" t="s">
        <v>121</v>
      </c>
      <c r="H24" s="82" t="s">
        <v>122</v>
      </c>
      <c r="I24" s="80" t="s">
        <v>121</v>
      </c>
      <c r="J24" s="82" t="s">
        <v>122</v>
      </c>
      <c r="K24" s="80" t="s">
        <v>121</v>
      </c>
      <c r="L24" s="84" t="s">
        <v>122</v>
      </c>
      <c r="M24" s="81" t="s">
        <v>121</v>
      </c>
      <c r="N24"/>
      <c r="O24"/>
    </row>
    <row r="25" spans="2:15" x14ac:dyDescent="0.25">
      <c r="B25" s="14" t="s">
        <v>2</v>
      </c>
      <c r="C25" s="22">
        <v>0.14199999999999999</v>
      </c>
      <c r="D25" s="14" t="s">
        <v>2</v>
      </c>
      <c r="E25" s="1" t="s">
        <v>5</v>
      </c>
      <c r="F25" s="14" t="s">
        <v>2</v>
      </c>
      <c r="G25" s="1" t="s">
        <v>5</v>
      </c>
      <c r="H25" s="14" t="s">
        <v>2</v>
      </c>
      <c r="I25" s="1">
        <v>6.0000000000000001E-3</v>
      </c>
      <c r="J25" s="6" t="s">
        <v>2</v>
      </c>
      <c r="K25" s="1" t="s">
        <v>5</v>
      </c>
      <c r="L25" s="6" t="s">
        <v>2</v>
      </c>
      <c r="M25" s="1">
        <v>6.5000000000000002E-2</v>
      </c>
      <c r="N25"/>
      <c r="O25"/>
    </row>
    <row r="26" spans="2:15" x14ac:dyDescent="0.25">
      <c r="B26" s="11" t="s">
        <v>118</v>
      </c>
      <c r="C26" s="20">
        <v>0.249</v>
      </c>
      <c r="D26" s="11" t="s">
        <v>118</v>
      </c>
      <c r="E26" s="3">
        <v>0.34</v>
      </c>
      <c r="F26" s="11" t="s">
        <v>118</v>
      </c>
      <c r="G26" s="3">
        <v>0.70499999999999996</v>
      </c>
      <c r="H26" s="11" t="s">
        <v>118</v>
      </c>
      <c r="I26" s="3">
        <v>0.70099999999999996</v>
      </c>
      <c r="J26" s="11" t="s">
        <v>118</v>
      </c>
      <c r="K26" s="3">
        <v>0.64200000000000002</v>
      </c>
      <c r="L26" s="11" t="s">
        <v>118</v>
      </c>
      <c r="M26" s="41">
        <v>0.28299999999999997</v>
      </c>
      <c r="N26"/>
      <c r="O26"/>
    </row>
    <row r="27" spans="2:15" x14ac:dyDescent="0.25">
      <c r="B27" s="11" t="s">
        <v>118</v>
      </c>
      <c r="C27" s="20">
        <v>0.34699999999999998</v>
      </c>
      <c r="D27" s="11" t="s">
        <v>118</v>
      </c>
      <c r="E27" s="3">
        <v>0.23799999999999999</v>
      </c>
      <c r="F27" s="11" t="s">
        <v>118</v>
      </c>
      <c r="G27" s="3">
        <v>0.71699999999999997</v>
      </c>
      <c r="H27" s="11" t="s">
        <v>118</v>
      </c>
      <c r="I27" s="3">
        <v>0.69699999999999995</v>
      </c>
      <c r="J27" s="11" t="s">
        <v>118</v>
      </c>
      <c r="K27" s="3">
        <v>0.53800000000000003</v>
      </c>
      <c r="L27" s="11" t="s">
        <v>118</v>
      </c>
      <c r="M27" s="41">
        <v>0.23699999999999999</v>
      </c>
      <c r="N27"/>
      <c r="O27"/>
    </row>
    <row r="28" spans="2:15" x14ac:dyDescent="0.25">
      <c r="B28" s="11" t="s">
        <v>4</v>
      </c>
      <c r="C28" s="20">
        <v>0.432</v>
      </c>
      <c r="D28" s="11" t="s">
        <v>4</v>
      </c>
      <c r="E28" s="3">
        <v>0.61099999999999999</v>
      </c>
      <c r="F28" s="11" t="s">
        <v>4</v>
      </c>
      <c r="G28" s="3">
        <v>1.169</v>
      </c>
      <c r="H28" s="11" t="s">
        <v>4</v>
      </c>
      <c r="I28" s="3">
        <v>1.1399999999999999</v>
      </c>
      <c r="J28" s="7" t="s">
        <v>4</v>
      </c>
      <c r="K28" s="3">
        <v>0.501</v>
      </c>
      <c r="L28" s="7" t="s">
        <v>4</v>
      </c>
      <c r="M28" s="41">
        <v>0.33400000000000002</v>
      </c>
      <c r="N28"/>
      <c r="O28"/>
    </row>
    <row r="29" spans="2:15" x14ac:dyDescent="0.25">
      <c r="B29" s="11" t="s">
        <v>3</v>
      </c>
      <c r="C29" s="20">
        <v>0.246</v>
      </c>
      <c r="D29" s="11" t="s">
        <v>3</v>
      </c>
      <c r="E29" s="3">
        <v>0.28100000000000003</v>
      </c>
      <c r="F29" s="11" t="s">
        <v>3</v>
      </c>
      <c r="G29" s="3">
        <v>0.41899999999999998</v>
      </c>
      <c r="H29" s="11" t="s">
        <v>3</v>
      </c>
      <c r="I29" s="3">
        <v>0.496</v>
      </c>
      <c r="J29" s="7" t="s">
        <v>3</v>
      </c>
      <c r="K29" s="3">
        <v>0.22900000000000001</v>
      </c>
      <c r="L29" s="7" t="s">
        <v>3</v>
      </c>
      <c r="M29" s="41">
        <v>0.376</v>
      </c>
      <c r="N29"/>
      <c r="O29"/>
    </row>
    <row r="30" spans="2:15" x14ac:dyDescent="0.25">
      <c r="B30" s="11" t="s">
        <v>3</v>
      </c>
      <c r="C30" s="20">
        <v>0.28699999999999998</v>
      </c>
      <c r="D30" s="11" t="s">
        <v>3</v>
      </c>
      <c r="E30" s="3">
        <v>0.30399999999999999</v>
      </c>
      <c r="F30" s="11" t="s">
        <v>3</v>
      </c>
      <c r="G30" s="3">
        <v>0.42</v>
      </c>
      <c r="H30" s="11" t="s">
        <v>3</v>
      </c>
      <c r="I30" s="3">
        <v>0.44900000000000001</v>
      </c>
      <c r="J30" s="7" t="s">
        <v>3</v>
      </c>
      <c r="K30" s="3">
        <v>0.221</v>
      </c>
      <c r="L30" s="7" t="s">
        <v>3</v>
      </c>
      <c r="M30" s="41">
        <v>0.38300000000000001</v>
      </c>
      <c r="N30"/>
      <c r="O30"/>
    </row>
    <row r="31" spans="2:15" ht="15.75" thickBot="1" x14ac:dyDescent="0.3">
      <c r="B31" s="12" t="s">
        <v>3</v>
      </c>
      <c r="C31" s="23">
        <v>0.29899999999999999</v>
      </c>
      <c r="D31" s="12" t="s">
        <v>3</v>
      </c>
      <c r="E31" s="5">
        <v>0.30499999999999999</v>
      </c>
      <c r="F31" s="12" t="s">
        <v>3</v>
      </c>
      <c r="G31" s="5">
        <v>0.44</v>
      </c>
      <c r="H31" s="12" t="s">
        <v>3</v>
      </c>
      <c r="I31" s="5">
        <v>0.47199999999999998</v>
      </c>
      <c r="J31" s="8" t="s">
        <v>3</v>
      </c>
      <c r="K31" s="5">
        <v>0.26600000000000001</v>
      </c>
      <c r="L31" s="8" t="s">
        <v>3</v>
      </c>
      <c r="M31" s="42">
        <v>0.435</v>
      </c>
      <c r="N31"/>
      <c r="O31"/>
    </row>
    <row r="32" spans="2:15" x14ac:dyDescent="0.25">
      <c r="N32"/>
      <c r="O32"/>
    </row>
  </sheetData>
  <mergeCells count="19">
    <mergeCell ref="B2:M3"/>
    <mergeCell ref="L5:M5"/>
    <mergeCell ref="J23:K23"/>
    <mergeCell ref="H23:I23"/>
    <mergeCell ref="B14:C14"/>
    <mergeCell ref="F14:G14"/>
    <mergeCell ref="J14:K14"/>
    <mergeCell ref="H5:I5"/>
    <mergeCell ref="D5:E5"/>
    <mergeCell ref="B5:C5"/>
    <mergeCell ref="F5:G5"/>
    <mergeCell ref="H14:I14"/>
    <mergeCell ref="D14:E14"/>
    <mergeCell ref="J5:K5"/>
    <mergeCell ref="D23:E23"/>
    <mergeCell ref="B23:C23"/>
    <mergeCell ref="F23:G23"/>
    <mergeCell ref="L23:M23"/>
    <mergeCell ref="L14:M14"/>
  </mergeCells>
  <pageMargins left="0.7" right="0.7" top="0.75" bottom="0.75" header="0.3" footer="0.3"/>
  <pageSetup paperSize="9" scale="5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61" workbookViewId="0">
      <selection activeCell="K22" sqref="K22"/>
    </sheetView>
  </sheetViews>
  <sheetFormatPr baseColWidth="10" defaultRowHeight="15" x14ac:dyDescent="0.25"/>
  <cols>
    <col min="1" max="1" width="17.140625" bestFit="1" customWidth="1"/>
    <col min="2" max="2" width="10.140625" bestFit="1" customWidth="1"/>
    <col min="3" max="3" width="15.85546875" bestFit="1" customWidth="1"/>
    <col min="4" max="4" width="17.85546875" bestFit="1" customWidth="1"/>
    <col min="5" max="5" width="17.140625" bestFit="1" customWidth="1"/>
    <col min="6" max="6" width="10.140625" bestFit="1" customWidth="1"/>
    <col min="7" max="7" width="15.85546875" bestFit="1" customWidth="1"/>
    <col min="8" max="8" width="17.85546875" bestFit="1" customWidth="1"/>
    <col min="10" max="10" width="12.42578125" bestFit="1" customWidth="1"/>
    <col min="11" max="11" width="16.140625" bestFit="1" customWidth="1"/>
    <col min="12" max="12" width="12" bestFit="1" customWidth="1"/>
    <col min="14" max="14" width="12" bestFit="1" customWidth="1"/>
    <col min="15" max="15" width="12.5703125" style="10" bestFit="1" customWidth="1"/>
  </cols>
  <sheetData>
    <row r="1" spans="1:15" x14ac:dyDescent="0.25">
      <c r="A1" s="211" t="s">
        <v>144</v>
      </c>
      <c r="B1" s="211"/>
      <c r="C1" s="211"/>
      <c r="D1" s="211"/>
      <c r="E1" s="211"/>
      <c r="F1" s="211"/>
      <c r="G1" s="211"/>
      <c r="H1" s="211"/>
      <c r="O1" s="40"/>
    </row>
    <row r="2" spans="1:15" x14ac:dyDescent="0.25">
      <c r="A2" s="211"/>
      <c r="B2" s="211"/>
      <c r="C2" s="211"/>
      <c r="D2" s="211"/>
      <c r="E2" s="211"/>
      <c r="F2" s="211"/>
      <c r="G2" s="211"/>
      <c r="H2" s="211"/>
    </row>
    <row r="3" spans="1:15" ht="15.75" thickBot="1" x14ac:dyDescent="0.3">
      <c r="O3" s="40"/>
    </row>
    <row r="4" spans="1:15" ht="15.75" thickBot="1" x14ac:dyDescent="0.3">
      <c r="A4" s="210" t="s">
        <v>8</v>
      </c>
      <c r="B4" s="214"/>
      <c r="C4" s="214"/>
      <c r="D4" s="214"/>
      <c r="E4" s="214"/>
      <c r="F4" s="214"/>
      <c r="G4" s="214"/>
      <c r="H4" s="215"/>
    </row>
    <row r="5" spans="1:15" ht="15.75" thickBot="1" x14ac:dyDescent="0.3">
      <c r="A5" s="210" t="s">
        <v>142</v>
      </c>
      <c r="B5" s="214"/>
      <c r="C5" s="214"/>
      <c r="D5" s="215"/>
      <c r="E5" s="214" t="s">
        <v>143</v>
      </c>
      <c r="F5" s="214"/>
      <c r="G5" s="214"/>
      <c r="H5" s="215"/>
      <c r="O5" s="40"/>
    </row>
    <row r="6" spans="1:15" ht="39.75" customHeight="1" thickBot="1" x14ac:dyDescent="0.3">
      <c r="A6" s="82" t="s">
        <v>122</v>
      </c>
      <c r="B6" s="83" t="s">
        <v>140</v>
      </c>
      <c r="C6" s="85" t="s">
        <v>141</v>
      </c>
      <c r="D6" s="46" t="s">
        <v>89</v>
      </c>
      <c r="E6" s="82" t="s">
        <v>122</v>
      </c>
      <c r="F6" s="83" t="s">
        <v>140</v>
      </c>
      <c r="G6" s="85" t="s">
        <v>141</v>
      </c>
      <c r="H6" s="86" t="s">
        <v>89</v>
      </c>
      <c r="J6" s="210" t="s">
        <v>17</v>
      </c>
      <c r="K6" s="214"/>
      <c r="L6" s="214"/>
      <c r="M6" s="214"/>
      <c r="N6" s="214"/>
      <c r="O6" s="215"/>
    </row>
    <row r="7" spans="1:15" ht="15.75" thickBot="1" x14ac:dyDescent="0.3">
      <c r="A7" s="18" t="s">
        <v>4</v>
      </c>
      <c r="B7" s="31">
        <v>0.96399999999999997</v>
      </c>
      <c r="C7" s="31">
        <f>B7*0.9/0.09</f>
        <v>9.64</v>
      </c>
      <c r="D7" s="47">
        <v>1</v>
      </c>
      <c r="E7" s="18" t="s">
        <v>4</v>
      </c>
      <c r="F7" s="31">
        <v>0.90200000000000002</v>
      </c>
      <c r="G7" s="31">
        <f>F7*0.9/0.09</f>
        <v>9.0200000000000014</v>
      </c>
      <c r="H7" s="43">
        <v>1</v>
      </c>
      <c r="J7" s="33" t="s">
        <v>0</v>
      </c>
      <c r="K7" s="33" t="s">
        <v>1</v>
      </c>
      <c r="L7" s="38" t="s">
        <v>44</v>
      </c>
      <c r="M7" s="38" t="s">
        <v>45</v>
      </c>
      <c r="N7" s="38" t="s">
        <v>46</v>
      </c>
      <c r="O7" s="39" t="s">
        <v>18</v>
      </c>
    </row>
    <row r="8" spans="1:15" x14ac:dyDescent="0.25">
      <c r="A8" s="11" t="s">
        <v>3</v>
      </c>
      <c r="B8" s="2">
        <v>0.32300000000000001</v>
      </c>
      <c r="C8" s="2">
        <f t="shared" ref="C8:C10" si="0">B8*0.9/0.09</f>
        <v>3.2300000000000004</v>
      </c>
      <c r="D8" s="48">
        <f>(C7-C8)/C7</f>
        <v>0.66493775933609955</v>
      </c>
      <c r="E8" s="11" t="s">
        <v>3</v>
      </c>
      <c r="F8" s="2">
        <v>0.32500000000000001</v>
      </c>
      <c r="G8" s="2">
        <f t="shared" ref="G8:G10" si="1">F8*0.9/0.09</f>
        <v>3.2500000000000004</v>
      </c>
      <c r="H8" s="44">
        <f>(G7-G8)/G7</f>
        <v>0.63968957871396903</v>
      </c>
      <c r="J8" s="212">
        <v>1</v>
      </c>
      <c r="K8" s="36">
        <v>1</v>
      </c>
      <c r="L8" s="53">
        <f>D8</f>
        <v>0.66493775933609955</v>
      </c>
      <c r="M8" s="53">
        <f>D9</f>
        <v>0.70331950207468885</v>
      </c>
      <c r="N8" s="54">
        <f>D10</f>
        <v>0.69917012448132776</v>
      </c>
      <c r="O8" s="57">
        <f>SUM(L8:N8)</f>
        <v>2.0674273858921159</v>
      </c>
    </row>
    <row r="9" spans="1:15" ht="15.75" thickBot="1" x14ac:dyDescent="0.3">
      <c r="A9" s="11" t="s">
        <v>3</v>
      </c>
      <c r="B9" s="2">
        <v>0.28599999999999998</v>
      </c>
      <c r="C9" s="2">
        <f t="shared" si="0"/>
        <v>2.86</v>
      </c>
      <c r="D9" s="48">
        <f>(C7-C9)/C7</f>
        <v>0.70331950207468885</v>
      </c>
      <c r="E9" s="11" t="s">
        <v>3</v>
      </c>
      <c r="F9" s="2">
        <v>0.28199999999999997</v>
      </c>
      <c r="G9" s="2">
        <f t="shared" si="1"/>
        <v>2.82</v>
      </c>
      <c r="H9" s="44">
        <f>(G7-G9)/G7</f>
        <v>0.68736141906873616</v>
      </c>
      <c r="J9" s="213"/>
      <c r="K9" s="37">
        <v>2</v>
      </c>
      <c r="L9" s="55">
        <f>H8</f>
        <v>0.63968957871396903</v>
      </c>
      <c r="M9" s="55">
        <f>H9</f>
        <v>0.68736141906873616</v>
      </c>
      <c r="N9" s="56">
        <f>H10</f>
        <v>0.6452328159645232</v>
      </c>
      <c r="O9" s="58">
        <f>SUM(L9:N9)</f>
        <v>1.9722838137472283</v>
      </c>
    </row>
    <row r="10" spans="1:15" ht="15.75" thickBot="1" x14ac:dyDescent="0.3">
      <c r="A10" s="12" t="s">
        <v>3</v>
      </c>
      <c r="B10" s="4">
        <v>0.28999999999999998</v>
      </c>
      <c r="C10" s="4">
        <f t="shared" si="0"/>
        <v>2.9000000000000004</v>
      </c>
      <c r="D10" s="49">
        <f>(C7-C10)/C7</f>
        <v>0.69917012448132776</v>
      </c>
      <c r="E10" s="12" t="s">
        <v>3</v>
      </c>
      <c r="F10" s="4">
        <v>0.32</v>
      </c>
      <c r="G10" s="4">
        <f t="shared" si="1"/>
        <v>3.2000000000000006</v>
      </c>
      <c r="H10" s="45">
        <f>(G7-G10)/G7</f>
        <v>0.6452328159645232</v>
      </c>
      <c r="J10" s="212">
        <v>2</v>
      </c>
      <c r="K10" s="36">
        <v>3</v>
      </c>
      <c r="L10" s="53">
        <f>D16</f>
        <v>0</v>
      </c>
      <c r="M10" s="53">
        <f>D17</f>
        <v>0</v>
      </c>
      <c r="N10" s="54">
        <f>D18</f>
        <v>0</v>
      </c>
      <c r="O10" s="58">
        <f t="shared" ref="O10:O12" si="2">SUM(L10:N10)</f>
        <v>0</v>
      </c>
    </row>
    <row r="11" spans="1:15" ht="15.75" thickBot="1" x14ac:dyDescent="0.3">
      <c r="J11" s="213"/>
      <c r="K11" s="37">
        <v>4</v>
      </c>
      <c r="L11" s="55">
        <f>H16</f>
        <v>0.34325396825396826</v>
      </c>
      <c r="M11" s="55">
        <f>H17</f>
        <v>0.42658730158730157</v>
      </c>
      <c r="N11" s="56">
        <f>H18</f>
        <v>0.46230158730158721</v>
      </c>
      <c r="O11" s="58">
        <f t="shared" si="2"/>
        <v>1.232142857142857</v>
      </c>
    </row>
    <row r="12" spans="1:15" ht="15.75" thickBot="1" x14ac:dyDescent="0.3">
      <c r="A12" s="210" t="s">
        <v>9</v>
      </c>
      <c r="B12" s="214"/>
      <c r="C12" s="214"/>
      <c r="D12" s="214"/>
      <c r="E12" s="214"/>
      <c r="F12" s="214"/>
      <c r="G12" s="214"/>
      <c r="H12" s="215"/>
      <c r="J12" s="212">
        <v>3</v>
      </c>
      <c r="K12" s="36">
        <v>5</v>
      </c>
      <c r="L12" s="53">
        <f>D24</f>
        <v>0.41140529531568226</v>
      </c>
      <c r="M12" s="53">
        <f>D25</f>
        <v>0.47759674134419555</v>
      </c>
      <c r="N12" s="54">
        <f>D26</f>
        <v>0.53360488798370675</v>
      </c>
      <c r="O12" s="58">
        <f t="shared" si="2"/>
        <v>1.4226069246435846</v>
      </c>
    </row>
    <row r="13" spans="1:15" ht="15.75" thickBot="1" x14ac:dyDescent="0.3">
      <c r="A13" s="210" t="s">
        <v>142</v>
      </c>
      <c r="B13" s="214"/>
      <c r="C13" s="214"/>
      <c r="D13" s="215"/>
      <c r="E13" s="214" t="s">
        <v>143</v>
      </c>
      <c r="F13" s="214"/>
      <c r="G13" s="214"/>
      <c r="H13" s="215"/>
      <c r="J13" s="213"/>
      <c r="K13" s="37">
        <v>6</v>
      </c>
      <c r="L13" s="55">
        <f>H24</f>
        <v>0.50455005055611724</v>
      </c>
      <c r="M13" s="55">
        <f>H25</f>
        <v>0.50960566228513648</v>
      </c>
      <c r="N13" s="56">
        <f>H26</f>
        <v>0.49544994944388271</v>
      </c>
      <c r="O13" s="58">
        <f t="shared" ref="O13:O25" si="3">SUM(L13:N13)</f>
        <v>1.5096056622851364</v>
      </c>
    </row>
    <row r="14" spans="1:15" ht="33" thickBot="1" x14ac:dyDescent="0.3">
      <c r="A14" s="82" t="s">
        <v>122</v>
      </c>
      <c r="B14" s="83" t="s">
        <v>140</v>
      </c>
      <c r="C14" s="85" t="s">
        <v>141</v>
      </c>
      <c r="D14" s="46" t="s">
        <v>89</v>
      </c>
      <c r="E14" s="82" t="s">
        <v>122</v>
      </c>
      <c r="F14" s="83" t="s">
        <v>140</v>
      </c>
      <c r="G14" s="85" t="s">
        <v>141</v>
      </c>
      <c r="H14" s="86" t="s">
        <v>89</v>
      </c>
      <c r="J14" s="212">
        <v>4</v>
      </c>
      <c r="K14" s="36">
        <v>7</v>
      </c>
      <c r="L14" s="53">
        <f>D32</f>
        <v>0.73843248347497636</v>
      </c>
      <c r="M14" s="53">
        <f>D33</f>
        <v>0.76770538243626052</v>
      </c>
      <c r="N14" s="54">
        <f>D34</f>
        <v>0.65627950897072707</v>
      </c>
      <c r="O14" s="58">
        <f t="shared" si="3"/>
        <v>2.1624173748819637</v>
      </c>
    </row>
    <row r="15" spans="1:15" ht="15.75" thickBot="1" x14ac:dyDescent="0.3">
      <c r="A15" s="18" t="s">
        <v>4</v>
      </c>
      <c r="B15" s="30">
        <v>0.98899999999999999</v>
      </c>
      <c r="C15" s="34"/>
      <c r="D15" s="50"/>
      <c r="E15" s="18" t="s">
        <v>4</v>
      </c>
      <c r="F15" s="31">
        <v>1.008</v>
      </c>
      <c r="G15" s="31">
        <f>F15*0.9/0.09</f>
        <v>10.08</v>
      </c>
      <c r="H15" s="43">
        <v>1</v>
      </c>
      <c r="J15" s="213"/>
      <c r="K15" s="37">
        <v>8</v>
      </c>
      <c r="L15" s="55">
        <f>H32</f>
        <v>0.72049102927289899</v>
      </c>
      <c r="M15" s="55">
        <f>H33</f>
        <v>0.73276676109537298</v>
      </c>
      <c r="N15" s="56">
        <f>H34</f>
        <v>0.77714825306893298</v>
      </c>
      <c r="O15" s="58">
        <f t="shared" si="3"/>
        <v>2.2304060434372048</v>
      </c>
    </row>
    <row r="16" spans="1:15" x14ac:dyDescent="0.25">
      <c r="A16" s="11" t="s">
        <v>3</v>
      </c>
      <c r="B16" s="70">
        <v>0.27400000000000002</v>
      </c>
      <c r="C16" s="28"/>
      <c r="D16" s="51"/>
      <c r="E16" s="11" t="s">
        <v>3</v>
      </c>
      <c r="F16" s="2">
        <v>0.66200000000000003</v>
      </c>
      <c r="G16" s="2">
        <f t="shared" ref="G16:G18" si="4">F16*0.9/0.09</f>
        <v>6.62</v>
      </c>
      <c r="H16" s="44">
        <f>(G15-G16)/G15</f>
        <v>0.34325396825396826</v>
      </c>
      <c r="J16" s="212">
        <v>5</v>
      </c>
      <c r="K16" s="36">
        <v>9</v>
      </c>
      <c r="L16" s="53">
        <f>D40</f>
        <v>0.51417525773195882</v>
      </c>
      <c r="M16" s="53">
        <f>D41</f>
        <v>0.51030927835051543</v>
      </c>
      <c r="N16" s="54">
        <f>D42</f>
        <v>0.44072164948453613</v>
      </c>
      <c r="O16" s="58">
        <f t="shared" si="3"/>
        <v>1.4652061855670102</v>
      </c>
    </row>
    <row r="17" spans="1:16" ht="15.75" thickBot="1" x14ac:dyDescent="0.3">
      <c r="A17" s="11" t="s">
        <v>3</v>
      </c>
      <c r="B17" s="70">
        <v>0.26400000000000001</v>
      </c>
      <c r="C17" s="28"/>
      <c r="D17" s="51"/>
      <c r="E17" s="11" t="s">
        <v>3</v>
      </c>
      <c r="F17" s="2">
        <v>0.57799999999999996</v>
      </c>
      <c r="G17" s="2">
        <f t="shared" si="4"/>
        <v>5.78</v>
      </c>
      <c r="H17" s="44">
        <f>(G15-G17)/G15</f>
        <v>0.42658730158730157</v>
      </c>
      <c r="J17" s="213"/>
      <c r="K17" s="37">
        <v>10</v>
      </c>
      <c r="L17" s="55">
        <f>H40</f>
        <v>0.53588516746411496</v>
      </c>
      <c r="M17" s="55">
        <f>H41</f>
        <v>0.53110047846889952</v>
      </c>
      <c r="N17" s="56">
        <f>H42</f>
        <v>0.53429027113237648</v>
      </c>
      <c r="O17" s="58">
        <f t="shared" si="3"/>
        <v>1.601275917065391</v>
      </c>
    </row>
    <row r="18" spans="1:16" ht="15.75" thickBot="1" x14ac:dyDescent="0.3">
      <c r="A18" s="12" t="s">
        <v>3</v>
      </c>
      <c r="B18" s="71">
        <v>0.30199999999999999</v>
      </c>
      <c r="C18" s="67"/>
      <c r="D18" s="52"/>
      <c r="E18" s="12" t="s">
        <v>3</v>
      </c>
      <c r="F18" s="4">
        <v>0.54200000000000004</v>
      </c>
      <c r="G18" s="4">
        <f t="shared" si="4"/>
        <v>5.4200000000000008</v>
      </c>
      <c r="H18" s="45">
        <f>(G15-G18)/G15</f>
        <v>0.46230158730158721</v>
      </c>
      <c r="J18" s="212">
        <v>6</v>
      </c>
      <c r="K18" s="36">
        <v>11</v>
      </c>
      <c r="L18" s="53">
        <f>D48</f>
        <v>0.68596059113300489</v>
      </c>
      <c r="M18" s="53">
        <f>D49</f>
        <v>0.69211822660098521</v>
      </c>
      <c r="N18" s="54">
        <f>D50</f>
        <v>0.68103448275862077</v>
      </c>
      <c r="O18" s="58">
        <f t="shared" si="3"/>
        <v>2.0591133004926112</v>
      </c>
    </row>
    <row r="19" spans="1:16" ht="15.75" thickBot="1" x14ac:dyDescent="0.3">
      <c r="J19" s="213"/>
      <c r="K19" s="37">
        <v>12</v>
      </c>
      <c r="L19" s="55">
        <f>H48</f>
        <v>0.66461159062885322</v>
      </c>
      <c r="M19" s="55">
        <f>H49</f>
        <v>0.66337854500616522</v>
      </c>
      <c r="N19" s="56">
        <f>H50</f>
        <v>0.67200986436498156</v>
      </c>
      <c r="O19" s="58">
        <f t="shared" si="3"/>
        <v>2</v>
      </c>
    </row>
    <row r="20" spans="1:16" ht="15.75" thickBot="1" x14ac:dyDescent="0.3">
      <c r="A20" s="210" t="s">
        <v>10</v>
      </c>
      <c r="B20" s="214"/>
      <c r="C20" s="214"/>
      <c r="D20" s="214"/>
      <c r="E20" s="214"/>
      <c r="F20" s="214"/>
      <c r="G20" s="214"/>
      <c r="H20" s="215"/>
      <c r="J20" s="212">
        <v>7</v>
      </c>
      <c r="K20" s="36">
        <v>13</v>
      </c>
      <c r="L20" s="53">
        <f>D56</f>
        <v>0.43055555555555552</v>
      </c>
      <c r="M20" s="53">
        <f>D57</f>
        <v>0.33564814814814825</v>
      </c>
      <c r="N20" s="54">
        <f>D58</f>
        <v>0.30787037037037035</v>
      </c>
      <c r="O20" s="58">
        <f t="shared" si="3"/>
        <v>1.074074074074074</v>
      </c>
    </row>
    <row r="21" spans="1:16" ht="15.75" thickBot="1" x14ac:dyDescent="0.3">
      <c r="A21" s="210" t="s">
        <v>142</v>
      </c>
      <c r="B21" s="214"/>
      <c r="C21" s="214"/>
      <c r="D21" s="215"/>
      <c r="E21" s="214" t="s">
        <v>143</v>
      </c>
      <c r="F21" s="214"/>
      <c r="G21" s="214"/>
      <c r="H21" s="215"/>
      <c r="J21" s="213"/>
      <c r="K21" s="37">
        <v>14</v>
      </c>
      <c r="L21" s="55">
        <f>H56</f>
        <v>0.54009819967266781</v>
      </c>
      <c r="M21" s="55">
        <f>H57</f>
        <v>0.50245499181669406</v>
      </c>
      <c r="N21" s="56">
        <f>H58</f>
        <v>0.50081833060556469</v>
      </c>
      <c r="O21" s="58">
        <f t="shared" si="3"/>
        <v>1.5433715220949267</v>
      </c>
    </row>
    <row r="22" spans="1:16" ht="33" thickBot="1" x14ac:dyDescent="0.3">
      <c r="A22" s="82" t="s">
        <v>122</v>
      </c>
      <c r="B22" s="83" t="s">
        <v>140</v>
      </c>
      <c r="C22" s="85" t="s">
        <v>141</v>
      </c>
      <c r="D22" s="46" t="s">
        <v>89</v>
      </c>
      <c r="E22" s="82" t="s">
        <v>122</v>
      </c>
      <c r="F22" s="83" t="s">
        <v>140</v>
      </c>
      <c r="G22" s="85" t="s">
        <v>141</v>
      </c>
      <c r="H22" s="86" t="s">
        <v>89</v>
      </c>
      <c r="J22" s="212">
        <v>8</v>
      </c>
      <c r="K22" s="36">
        <v>15</v>
      </c>
      <c r="L22" s="53">
        <f>D64</f>
        <v>0.64157399486740807</v>
      </c>
      <c r="M22" s="53">
        <f>D65</f>
        <v>0.64071856287425155</v>
      </c>
      <c r="N22" s="54">
        <f>D66</f>
        <v>0.62360992301112061</v>
      </c>
      <c r="O22" s="58">
        <f t="shared" si="3"/>
        <v>1.90590248075278</v>
      </c>
    </row>
    <row r="23" spans="1:16" ht="15.75" thickBot="1" x14ac:dyDescent="0.3">
      <c r="A23" s="18" t="s">
        <v>4</v>
      </c>
      <c r="B23" s="31">
        <v>0.98199999999999998</v>
      </c>
      <c r="C23" s="31">
        <f>B23*0.9/0.09</f>
        <v>9.82</v>
      </c>
      <c r="D23" s="43">
        <v>1</v>
      </c>
      <c r="E23" s="18" t="s">
        <v>4</v>
      </c>
      <c r="F23" s="31">
        <v>0.98899999999999999</v>
      </c>
      <c r="G23" s="31">
        <f>F23*0.9/0.09</f>
        <v>9.89</v>
      </c>
      <c r="H23" s="43">
        <v>1</v>
      </c>
      <c r="J23" s="213"/>
      <c r="K23" s="37">
        <v>16</v>
      </c>
      <c r="L23" s="55">
        <f>H64</f>
        <v>0.56491228070175437</v>
      </c>
      <c r="M23" s="55">
        <f>H65</f>
        <v>0.60614035087719298</v>
      </c>
      <c r="N23" s="56">
        <f>H66</f>
        <v>0.58596491228070169</v>
      </c>
      <c r="O23" s="58">
        <f t="shared" si="3"/>
        <v>1.7570175438596491</v>
      </c>
    </row>
    <row r="24" spans="1:16" x14ac:dyDescent="0.25">
      <c r="A24" s="11" t="s">
        <v>3</v>
      </c>
      <c r="B24" s="2">
        <v>0.57799999999999996</v>
      </c>
      <c r="C24" s="2">
        <f t="shared" ref="C24:C26" si="5">B24*0.9/0.09</f>
        <v>5.78</v>
      </c>
      <c r="D24" s="44">
        <f>(C23-C24)/C23</f>
        <v>0.41140529531568226</v>
      </c>
      <c r="E24" s="11" t="s">
        <v>3</v>
      </c>
      <c r="F24" s="2">
        <v>0.49</v>
      </c>
      <c r="G24" s="2">
        <f t="shared" ref="G24:G26" si="6">F24*0.9/0.09</f>
        <v>4.9000000000000004</v>
      </c>
      <c r="H24" s="44">
        <f>(G23-G24)/G23</f>
        <v>0.50455005055611724</v>
      </c>
      <c r="J24" s="212">
        <v>9</v>
      </c>
      <c r="K24" s="36">
        <v>17</v>
      </c>
      <c r="L24" s="53">
        <f>D72</f>
        <v>0.54291417165668665</v>
      </c>
      <c r="M24" s="53">
        <f>D73</f>
        <v>0.55888223552894223</v>
      </c>
      <c r="N24" s="54">
        <f>D74</f>
        <v>0.46906187624750495</v>
      </c>
      <c r="O24" s="58">
        <f t="shared" si="3"/>
        <v>1.5708582834331339</v>
      </c>
    </row>
    <row r="25" spans="1:16" ht="15.75" thickBot="1" x14ac:dyDescent="0.3">
      <c r="A25" s="11" t="s">
        <v>3</v>
      </c>
      <c r="B25" s="2">
        <v>0.51300000000000001</v>
      </c>
      <c r="C25" s="2">
        <f t="shared" si="5"/>
        <v>5.13</v>
      </c>
      <c r="D25" s="44">
        <f>(C23-C25)/C23</f>
        <v>0.47759674134419555</v>
      </c>
      <c r="E25" s="11" t="s">
        <v>3</v>
      </c>
      <c r="F25" s="2">
        <v>0.48499999999999999</v>
      </c>
      <c r="G25" s="2">
        <f t="shared" si="6"/>
        <v>4.8500000000000005</v>
      </c>
      <c r="H25" s="44">
        <f>(G23-G25)/G23</f>
        <v>0.50960566228513648</v>
      </c>
      <c r="J25" s="213"/>
      <c r="K25" s="37">
        <v>18</v>
      </c>
      <c r="L25" s="55">
        <f>H72</f>
        <v>0</v>
      </c>
      <c r="M25" s="55">
        <f>H73</f>
        <v>0</v>
      </c>
      <c r="N25" s="56">
        <f>H74</f>
        <v>0</v>
      </c>
      <c r="O25" s="59">
        <f t="shared" si="3"/>
        <v>0</v>
      </c>
    </row>
    <row r="26" spans="1:16" ht="15.75" thickBot="1" x14ac:dyDescent="0.3">
      <c r="A26" s="12" t="s">
        <v>3</v>
      </c>
      <c r="B26" s="4">
        <v>0.45800000000000002</v>
      </c>
      <c r="C26" s="4">
        <f t="shared" si="5"/>
        <v>4.58</v>
      </c>
      <c r="D26" s="45">
        <f>(C23-C26)/C23</f>
        <v>0.53360488798370675</v>
      </c>
      <c r="E26" s="12" t="s">
        <v>3</v>
      </c>
      <c r="F26" s="4">
        <v>0.499</v>
      </c>
      <c r="G26" s="4">
        <f t="shared" si="6"/>
        <v>4.99</v>
      </c>
      <c r="H26" s="45">
        <f>(G23-G26)/G23</f>
        <v>0.49544994944388271</v>
      </c>
      <c r="K26" s="32" t="s">
        <v>18</v>
      </c>
      <c r="L26" s="61">
        <f>SUM(L8:L25)</f>
        <v>9.143446974335717</v>
      </c>
      <c r="M26" s="62">
        <f>SUM(M8:M25)</f>
        <v>9.3456935875634866</v>
      </c>
      <c r="N26" s="63">
        <f>SUM(N8:N25)</f>
        <v>9.0845688074704647</v>
      </c>
      <c r="O26" s="60">
        <f>SUM(O8:O25)</f>
        <v>27.573709369369663</v>
      </c>
    </row>
    <row r="27" spans="1:16" ht="15.75" thickBot="1" x14ac:dyDescent="0.3">
      <c r="K27" s="29"/>
      <c r="L27" s="202"/>
      <c r="M27" s="202"/>
      <c r="N27" s="202"/>
      <c r="O27" s="102"/>
    </row>
    <row r="28" spans="1:16" ht="15.75" thickBot="1" x14ac:dyDescent="0.3">
      <c r="A28" s="216" t="s">
        <v>11</v>
      </c>
      <c r="B28" s="217"/>
      <c r="C28" s="217"/>
      <c r="D28" s="217"/>
      <c r="E28" s="217"/>
      <c r="F28" s="217"/>
      <c r="G28" s="217"/>
      <c r="H28" s="218"/>
      <c r="P28" s="78"/>
    </row>
    <row r="29" spans="1:16" ht="15.75" thickBot="1" x14ac:dyDescent="0.3">
      <c r="A29" s="210" t="s">
        <v>142</v>
      </c>
      <c r="B29" s="214"/>
      <c r="C29" s="214"/>
      <c r="D29" s="215"/>
      <c r="E29" s="214" t="s">
        <v>143</v>
      </c>
      <c r="F29" s="214"/>
      <c r="G29" s="214"/>
      <c r="H29" s="215"/>
      <c r="P29" s="78"/>
    </row>
    <row r="30" spans="1:16" ht="33" thickBot="1" x14ac:dyDescent="0.3">
      <c r="A30" s="82" t="s">
        <v>122</v>
      </c>
      <c r="B30" s="83" t="s">
        <v>140</v>
      </c>
      <c r="C30" s="85" t="s">
        <v>141</v>
      </c>
      <c r="D30" s="46" t="s">
        <v>89</v>
      </c>
      <c r="E30" s="82" t="s">
        <v>122</v>
      </c>
      <c r="F30" s="83" t="s">
        <v>140</v>
      </c>
      <c r="G30" s="85" t="s">
        <v>141</v>
      </c>
      <c r="H30" s="86" t="s">
        <v>89</v>
      </c>
      <c r="L30" s="10"/>
    </row>
    <row r="31" spans="1:16" x14ac:dyDescent="0.25">
      <c r="A31" s="18" t="s">
        <v>4</v>
      </c>
      <c r="B31" s="31">
        <v>1.0589999999999999</v>
      </c>
      <c r="C31" s="31">
        <f>B31*0.9/0.09</f>
        <v>10.59</v>
      </c>
      <c r="D31" s="43">
        <v>1</v>
      </c>
      <c r="E31" s="18" t="s">
        <v>4</v>
      </c>
      <c r="F31" s="68">
        <v>1.0589999999999999</v>
      </c>
      <c r="G31" s="68">
        <f>F31*0.9/0.09</f>
        <v>10.59</v>
      </c>
      <c r="H31" s="69">
        <v>1</v>
      </c>
    </row>
    <row r="32" spans="1:16" x14ac:dyDescent="0.25">
      <c r="A32" s="11" t="s">
        <v>3</v>
      </c>
      <c r="B32" s="2">
        <v>0.27700000000000002</v>
      </c>
      <c r="C32" s="2">
        <f t="shared" ref="C32:C34" si="7">B32*0.9/0.09</f>
        <v>2.7700000000000005</v>
      </c>
      <c r="D32" s="44">
        <f>(C31-C32)/C31</f>
        <v>0.73843248347497636</v>
      </c>
      <c r="E32" s="11" t="s">
        <v>3</v>
      </c>
      <c r="F32" s="2">
        <v>0.29599999999999999</v>
      </c>
      <c r="G32" s="75">
        <f t="shared" ref="G32:G34" si="8">F32*0.9/0.09</f>
        <v>2.96</v>
      </c>
      <c r="H32" s="44">
        <f>(G31-G32)/G31</f>
        <v>0.72049102927289899</v>
      </c>
    </row>
    <row r="33" spans="1:15" x14ac:dyDescent="0.25">
      <c r="A33" s="11" t="s">
        <v>3</v>
      </c>
      <c r="B33" s="2">
        <v>0.246</v>
      </c>
      <c r="C33" s="2">
        <f t="shared" si="7"/>
        <v>2.4600000000000004</v>
      </c>
      <c r="D33" s="44">
        <f>(C31-C33)/C31</f>
        <v>0.76770538243626052</v>
      </c>
      <c r="E33" s="11" t="s">
        <v>3</v>
      </c>
      <c r="F33" s="2">
        <v>0.28299999999999997</v>
      </c>
      <c r="G33" s="75">
        <f t="shared" si="8"/>
        <v>2.83</v>
      </c>
      <c r="H33" s="44">
        <f>(G31-G33)/G31</f>
        <v>0.73276676109537298</v>
      </c>
    </row>
    <row r="34" spans="1:15" ht="15.75" thickBot="1" x14ac:dyDescent="0.3">
      <c r="A34" s="12" t="s">
        <v>3</v>
      </c>
      <c r="B34" s="4">
        <v>0.36399999999999999</v>
      </c>
      <c r="C34" s="4">
        <f t="shared" si="7"/>
        <v>3.64</v>
      </c>
      <c r="D34" s="45">
        <f>(C31-C34)/C31</f>
        <v>0.65627950897072707</v>
      </c>
      <c r="E34" s="12" t="s">
        <v>3</v>
      </c>
      <c r="F34" s="4">
        <v>0.23599999999999999</v>
      </c>
      <c r="G34" s="76">
        <f t="shared" si="8"/>
        <v>2.3600000000000003</v>
      </c>
      <c r="H34" s="45">
        <f>(G31-G34)/G31</f>
        <v>0.77714825306893298</v>
      </c>
    </row>
    <row r="35" spans="1:15" ht="15.75" thickBot="1" x14ac:dyDescent="0.3">
      <c r="O35" s="40"/>
    </row>
    <row r="36" spans="1:15" ht="15.75" thickBot="1" x14ac:dyDescent="0.3">
      <c r="A36" s="216" t="s">
        <v>12</v>
      </c>
      <c r="B36" s="217"/>
      <c r="C36" s="217"/>
      <c r="D36" s="217"/>
      <c r="E36" s="217"/>
      <c r="F36" s="217"/>
      <c r="G36" s="217"/>
      <c r="H36" s="218"/>
    </row>
    <row r="37" spans="1:15" ht="15.75" thickBot="1" x14ac:dyDescent="0.3">
      <c r="A37" s="210" t="s">
        <v>142</v>
      </c>
      <c r="B37" s="214"/>
      <c r="C37" s="214"/>
      <c r="D37" s="215"/>
      <c r="E37" s="214" t="s">
        <v>143</v>
      </c>
      <c r="F37" s="214"/>
      <c r="G37" s="214"/>
      <c r="H37" s="215"/>
    </row>
    <row r="38" spans="1:15" ht="33" thickBot="1" x14ac:dyDescent="0.3">
      <c r="A38" s="82" t="s">
        <v>122</v>
      </c>
      <c r="B38" s="83" t="s">
        <v>140</v>
      </c>
      <c r="C38" s="85" t="s">
        <v>141</v>
      </c>
      <c r="D38" s="46" t="s">
        <v>89</v>
      </c>
      <c r="E38" s="82" t="s">
        <v>122</v>
      </c>
      <c r="F38" s="83" t="s">
        <v>140</v>
      </c>
      <c r="G38" s="85" t="s">
        <v>141</v>
      </c>
      <c r="H38" s="86" t="s">
        <v>89</v>
      </c>
    </row>
    <row r="39" spans="1:15" x14ac:dyDescent="0.25">
      <c r="A39" s="18" t="s">
        <v>4</v>
      </c>
      <c r="B39" s="31">
        <v>0.77600000000000002</v>
      </c>
      <c r="C39" s="31">
        <f>B39*0.9/0.09</f>
        <v>7.7600000000000007</v>
      </c>
      <c r="D39" s="72">
        <v>1</v>
      </c>
      <c r="E39" s="18" t="s">
        <v>4</v>
      </c>
      <c r="F39" s="31">
        <v>0.627</v>
      </c>
      <c r="G39" s="31">
        <f>F39*0.9/0.09</f>
        <v>6.2700000000000005</v>
      </c>
      <c r="H39" s="72">
        <v>1</v>
      </c>
    </row>
    <row r="40" spans="1:15" x14ac:dyDescent="0.25">
      <c r="A40" s="11" t="s">
        <v>3</v>
      </c>
      <c r="B40" s="2">
        <v>0.377</v>
      </c>
      <c r="C40" s="2">
        <f t="shared" ref="C40:C42" si="9">B40*0.9/0.09</f>
        <v>3.77</v>
      </c>
      <c r="D40" s="73">
        <f>(C39-C40)/C39</f>
        <v>0.51417525773195882</v>
      </c>
      <c r="E40" s="11" t="s">
        <v>3</v>
      </c>
      <c r="F40" s="2">
        <v>0.29099999999999998</v>
      </c>
      <c r="G40" s="2">
        <f t="shared" ref="G40:G42" si="10">F40*0.9/0.09</f>
        <v>2.9099999999999997</v>
      </c>
      <c r="H40" s="73">
        <f>(G39-G40)/G39</f>
        <v>0.53588516746411496</v>
      </c>
    </row>
    <row r="41" spans="1:15" x14ac:dyDescent="0.25">
      <c r="A41" s="11" t="s">
        <v>3</v>
      </c>
      <c r="B41" s="2">
        <v>0.38</v>
      </c>
      <c r="C41" s="2">
        <f t="shared" si="9"/>
        <v>3.8000000000000003</v>
      </c>
      <c r="D41" s="73">
        <f>(C39-C41)/C39</f>
        <v>0.51030927835051543</v>
      </c>
      <c r="E41" s="11" t="s">
        <v>3</v>
      </c>
      <c r="F41" s="2">
        <v>0.29399999999999998</v>
      </c>
      <c r="G41" s="2">
        <f t="shared" si="10"/>
        <v>2.94</v>
      </c>
      <c r="H41" s="73">
        <f>(G39-G41)/G39</f>
        <v>0.53110047846889952</v>
      </c>
    </row>
    <row r="42" spans="1:15" ht="15.75" thickBot="1" x14ac:dyDescent="0.3">
      <c r="A42" s="12" t="s">
        <v>3</v>
      </c>
      <c r="B42" s="4">
        <v>0.434</v>
      </c>
      <c r="C42" s="4">
        <f t="shared" si="9"/>
        <v>4.34</v>
      </c>
      <c r="D42" s="74">
        <f>(C39-C42)/C39</f>
        <v>0.44072164948453613</v>
      </c>
      <c r="E42" s="12" t="s">
        <v>3</v>
      </c>
      <c r="F42" s="4">
        <v>0.29199999999999998</v>
      </c>
      <c r="G42" s="4">
        <f t="shared" si="10"/>
        <v>2.92</v>
      </c>
      <c r="H42" s="74">
        <f>(G39-G42)/G39</f>
        <v>0.53429027113237648</v>
      </c>
    </row>
    <row r="43" spans="1:15" ht="15.75" thickBot="1" x14ac:dyDescent="0.3">
      <c r="O43" s="40"/>
    </row>
    <row r="44" spans="1:15" ht="15.75" thickBot="1" x14ac:dyDescent="0.3">
      <c r="A44" s="210" t="s">
        <v>13</v>
      </c>
      <c r="B44" s="214"/>
      <c r="C44" s="214"/>
      <c r="D44" s="214"/>
      <c r="E44" s="214"/>
      <c r="F44" s="214"/>
      <c r="G44" s="214"/>
      <c r="H44" s="215"/>
    </row>
    <row r="45" spans="1:15" ht="15.75" thickBot="1" x14ac:dyDescent="0.3">
      <c r="A45" s="210" t="s">
        <v>142</v>
      </c>
      <c r="B45" s="214"/>
      <c r="C45" s="214"/>
      <c r="D45" s="215"/>
      <c r="E45" s="214" t="s">
        <v>143</v>
      </c>
      <c r="F45" s="214"/>
      <c r="G45" s="214"/>
      <c r="H45" s="215"/>
    </row>
    <row r="46" spans="1:15" ht="33" thickBot="1" x14ac:dyDescent="0.3">
      <c r="A46" s="82" t="s">
        <v>122</v>
      </c>
      <c r="B46" s="83" t="s">
        <v>140</v>
      </c>
      <c r="C46" s="85" t="s">
        <v>141</v>
      </c>
      <c r="D46" s="46" t="s">
        <v>89</v>
      </c>
      <c r="E46" s="82" t="s">
        <v>122</v>
      </c>
      <c r="F46" s="83" t="s">
        <v>140</v>
      </c>
      <c r="G46" s="85" t="s">
        <v>141</v>
      </c>
      <c r="H46" s="86" t="s">
        <v>89</v>
      </c>
    </row>
    <row r="47" spans="1:15" x14ac:dyDescent="0.25">
      <c r="A47" s="18" t="s">
        <v>4</v>
      </c>
      <c r="B47" s="31">
        <v>0.81200000000000006</v>
      </c>
      <c r="C47" s="31">
        <f>B47*0.9/0.09</f>
        <v>8.120000000000001</v>
      </c>
      <c r="D47" s="77">
        <v>1</v>
      </c>
      <c r="E47" s="18" t="s">
        <v>4</v>
      </c>
      <c r="F47" s="31">
        <v>0.81100000000000005</v>
      </c>
      <c r="G47" s="31">
        <f>F47*0.9/0.09</f>
        <v>8.1100000000000012</v>
      </c>
      <c r="H47" s="77">
        <v>1</v>
      </c>
    </row>
    <row r="48" spans="1:15" x14ac:dyDescent="0.25">
      <c r="A48" s="11" t="s">
        <v>3</v>
      </c>
      <c r="B48" s="2">
        <v>0.255</v>
      </c>
      <c r="C48" s="2">
        <f t="shared" ref="C48:C50" si="11">B48*0.9/0.09</f>
        <v>2.5500000000000003</v>
      </c>
      <c r="D48" s="73">
        <f>(C47-C48)/C47</f>
        <v>0.68596059113300489</v>
      </c>
      <c r="E48" s="11" t="s">
        <v>3</v>
      </c>
      <c r="F48" s="2">
        <v>0.27200000000000002</v>
      </c>
      <c r="G48" s="2">
        <f t="shared" ref="G48:G50" si="12">F48*0.9/0.09</f>
        <v>2.72</v>
      </c>
      <c r="H48" s="73">
        <f>(G47-G48)/G47</f>
        <v>0.66461159062885322</v>
      </c>
    </row>
    <row r="49" spans="1:15" x14ac:dyDescent="0.25">
      <c r="A49" s="11" t="s">
        <v>3</v>
      </c>
      <c r="B49" s="2">
        <v>0.25</v>
      </c>
      <c r="C49" s="2">
        <f t="shared" si="11"/>
        <v>2.5</v>
      </c>
      <c r="D49" s="73">
        <f>(C47-C49)/C47</f>
        <v>0.69211822660098521</v>
      </c>
      <c r="E49" s="11" t="s">
        <v>3</v>
      </c>
      <c r="F49" s="2">
        <v>0.27300000000000002</v>
      </c>
      <c r="G49" s="2">
        <f t="shared" si="12"/>
        <v>2.7300000000000004</v>
      </c>
      <c r="H49" s="73">
        <f>(G47-G49)/G47</f>
        <v>0.66337854500616522</v>
      </c>
    </row>
    <row r="50" spans="1:15" ht="15.75" thickBot="1" x14ac:dyDescent="0.3">
      <c r="A50" s="12" t="s">
        <v>3</v>
      </c>
      <c r="B50" s="4">
        <v>0.25900000000000001</v>
      </c>
      <c r="C50" s="4">
        <f t="shared" si="11"/>
        <v>2.5900000000000003</v>
      </c>
      <c r="D50" s="74">
        <f>(C47-C50)/C47</f>
        <v>0.68103448275862077</v>
      </c>
      <c r="E50" s="12" t="s">
        <v>3</v>
      </c>
      <c r="F50" s="4">
        <v>0.26600000000000001</v>
      </c>
      <c r="G50" s="4">
        <f t="shared" si="12"/>
        <v>2.6600000000000006</v>
      </c>
      <c r="H50" s="74">
        <f>(G47-G50)/G47</f>
        <v>0.67200986436498156</v>
      </c>
    </row>
    <row r="51" spans="1:15" ht="15.75" thickBot="1" x14ac:dyDescent="0.3">
      <c r="O51" s="40"/>
    </row>
    <row r="52" spans="1:15" ht="15.75" thickBot="1" x14ac:dyDescent="0.3">
      <c r="A52" s="216" t="s">
        <v>14</v>
      </c>
      <c r="B52" s="217"/>
      <c r="C52" s="217"/>
      <c r="D52" s="217"/>
      <c r="E52" s="217"/>
      <c r="F52" s="217"/>
      <c r="G52" s="217"/>
      <c r="H52" s="218"/>
    </row>
    <row r="53" spans="1:15" ht="15.75" thickBot="1" x14ac:dyDescent="0.3">
      <c r="A53" s="210" t="s">
        <v>142</v>
      </c>
      <c r="B53" s="214"/>
      <c r="C53" s="214"/>
      <c r="D53" s="215"/>
      <c r="E53" s="214" t="s">
        <v>143</v>
      </c>
      <c r="F53" s="214"/>
      <c r="G53" s="214"/>
      <c r="H53" s="215"/>
    </row>
    <row r="54" spans="1:15" ht="33" thickBot="1" x14ac:dyDescent="0.3">
      <c r="A54" s="82" t="s">
        <v>122</v>
      </c>
      <c r="B54" s="83" t="s">
        <v>140</v>
      </c>
      <c r="C54" s="85" t="s">
        <v>141</v>
      </c>
      <c r="D54" s="46" t="s">
        <v>89</v>
      </c>
      <c r="E54" s="82" t="s">
        <v>122</v>
      </c>
      <c r="F54" s="83" t="s">
        <v>140</v>
      </c>
      <c r="G54" s="85" t="s">
        <v>141</v>
      </c>
      <c r="H54" s="86" t="s">
        <v>89</v>
      </c>
    </row>
    <row r="55" spans="1:15" x14ac:dyDescent="0.25">
      <c r="A55" s="18" t="s">
        <v>4</v>
      </c>
      <c r="B55" s="20">
        <v>0.432</v>
      </c>
      <c r="C55" s="31">
        <f>B55*0.9/0.09</f>
        <v>4.32</v>
      </c>
      <c r="D55" s="77">
        <v>1</v>
      </c>
      <c r="E55" s="18" t="s">
        <v>4</v>
      </c>
      <c r="F55" s="31">
        <v>0.61099999999999999</v>
      </c>
      <c r="G55" s="31">
        <f>F55*0.9/0.09</f>
        <v>6.1100000000000012</v>
      </c>
      <c r="H55" s="77">
        <v>1</v>
      </c>
    </row>
    <row r="56" spans="1:15" x14ac:dyDescent="0.25">
      <c r="A56" s="11" t="s">
        <v>3</v>
      </c>
      <c r="B56" s="20">
        <v>0.246</v>
      </c>
      <c r="C56" s="2">
        <f t="shared" ref="C56:C58" si="13">B56*0.9/0.09</f>
        <v>2.4600000000000004</v>
      </c>
      <c r="D56" s="73">
        <f>(C55-C56)/C55</f>
        <v>0.43055555555555552</v>
      </c>
      <c r="E56" s="11" t="s">
        <v>3</v>
      </c>
      <c r="F56" s="2">
        <v>0.28100000000000003</v>
      </c>
      <c r="G56" s="2">
        <f t="shared" ref="G56:G58" si="14">F56*0.9/0.09</f>
        <v>2.81</v>
      </c>
      <c r="H56" s="73">
        <f>(G55-G56)/G55</f>
        <v>0.54009819967266781</v>
      </c>
    </row>
    <row r="57" spans="1:15" x14ac:dyDescent="0.25">
      <c r="A57" s="11" t="s">
        <v>3</v>
      </c>
      <c r="B57" s="20">
        <v>0.28699999999999998</v>
      </c>
      <c r="C57" s="2">
        <f t="shared" si="13"/>
        <v>2.8699999999999997</v>
      </c>
      <c r="D57" s="73">
        <f>(C55-C57)/C55</f>
        <v>0.33564814814814825</v>
      </c>
      <c r="E57" s="11" t="s">
        <v>3</v>
      </c>
      <c r="F57" s="2">
        <v>0.30399999999999999</v>
      </c>
      <c r="G57" s="2">
        <f t="shared" si="14"/>
        <v>3.04</v>
      </c>
      <c r="H57" s="73">
        <f>(G55-G57)/G55</f>
        <v>0.50245499181669406</v>
      </c>
    </row>
    <row r="58" spans="1:15" ht="15.75" thickBot="1" x14ac:dyDescent="0.3">
      <c r="A58" s="12" t="s">
        <v>3</v>
      </c>
      <c r="B58" s="23">
        <v>0.29899999999999999</v>
      </c>
      <c r="C58" s="4">
        <f t="shared" si="13"/>
        <v>2.99</v>
      </c>
      <c r="D58" s="74">
        <f>(C55-C58)/C55</f>
        <v>0.30787037037037035</v>
      </c>
      <c r="E58" s="12" t="s">
        <v>3</v>
      </c>
      <c r="F58" s="4">
        <v>0.30499999999999999</v>
      </c>
      <c r="G58" s="4">
        <f t="shared" si="14"/>
        <v>3.0500000000000003</v>
      </c>
      <c r="H58" s="74">
        <f>(G55-G58)/G55</f>
        <v>0.50081833060556469</v>
      </c>
    </row>
    <row r="59" spans="1:15" ht="15.75" thickBot="1" x14ac:dyDescent="0.3">
      <c r="O59" s="40"/>
    </row>
    <row r="60" spans="1:15" ht="15.75" thickBot="1" x14ac:dyDescent="0.3">
      <c r="A60" s="216" t="s">
        <v>15</v>
      </c>
      <c r="B60" s="217"/>
      <c r="C60" s="217"/>
      <c r="D60" s="217"/>
      <c r="E60" s="217"/>
      <c r="F60" s="217"/>
      <c r="G60" s="217"/>
      <c r="H60" s="218"/>
    </row>
    <row r="61" spans="1:15" ht="15.75" thickBot="1" x14ac:dyDescent="0.3">
      <c r="A61" s="210" t="s">
        <v>142</v>
      </c>
      <c r="B61" s="214"/>
      <c r="C61" s="214"/>
      <c r="D61" s="215"/>
      <c r="E61" s="214" t="s">
        <v>143</v>
      </c>
      <c r="F61" s="214"/>
      <c r="G61" s="214"/>
      <c r="H61" s="215"/>
    </row>
    <row r="62" spans="1:15" ht="33" thickBot="1" x14ac:dyDescent="0.3">
      <c r="A62" s="82" t="s">
        <v>122</v>
      </c>
      <c r="B62" s="83" t="s">
        <v>140</v>
      </c>
      <c r="C62" s="85" t="s">
        <v>141</v>
      </c>
      <c r="D62" s="46" t="s">
        <v>89</v>
      </c>
      <c r="E62" s="82" t="s">
        <v>122</v>
      </c>
      <c r="F62" s="83" t="s">
        <v>140</v>
      </c>
      <c r="G62" s="85" t="s">
        <v>141</v>
      </c>
      <c r="H62" s="86" t="s">
        <v>89</v>
      </c>
    </row>
    <row r="63" spans="1:15" x14ac:dyDescent="0.25">
      <c r="A63" s="18" t="s">
        <v>4</v>
      </c>
      <c r="B63" s="31">
        <v>1.169</v>
      </c>
      <c r="C63" s="31">
        <f>B63*0.9/0.09</f>
        <v>11.690000000000001</v>
      </c>
      <c r="D63" s="77">
        <v>1</v>
      </c>
      <c r="E63" s="77" t="s">
        <v>4</v>
      </c>
      <c r="F63" s="31">
        <v>1.1399999999999999</v>
      </c>
      <c r="G63" s="31">
        <f>F63*0.9/0.09</f>
        <v>11.4</v>
      </c>
      <c r="H63" s="77">
        <v>1</v>
      </c>
    </row>
    <row r="64" spans="1:15" x14ac:dyDescent="0.25">
      <c r="A64" s="11" t="s">
        <v>3</v>
      </c>
      <c r="B64" s="2">
        <v>0.41899999999999998</v>
      </c>
      <c r="C64" s="2">
        <f t="shared" ref="C64:C66" si="15">B64*0.9/0.09</f>
        <v>4.1900000000000004</v>
      </c>
      <c r="D64" s="73">
        <f>(C63-C64)/C63</f>
        <v>0.64157399486740807</v>
      </c>
      <c r="E64" s="73" t="s">
        <v>3</v>
      </c>
      <c r="F64" s="2">
        <v>0.496</v>
      </c>
      <c r="G64" s="2">
        <f t="shared" ref="G64:G66" si="16">F64*0.9/0.09</f>
        <v>4.96</v>
      </c>
      <c r="H64" s="73">
        <f>(G63-G64)/G63</f>
        <v>0.56491228070175437</v>
      </c>
    </row>
    <row r="65" spans="1:15" x14ac:dyDescent="0.25">
      <c r="A65" s="11" t="s">
        <v>3</v>
      </c>
      <c r="B65" s="2">
        <v>0.42</v>
      </c>
      <c r="C65" s="2">
        <f t="shared" si="15"/>
        <v>4.2</v>
      </c>
      <c r="D65" s="73">
        <f>(C63-C65)/C63</f>
        <v>0.64071856287425155</v>
      </c>
      <c r="E65" s="73" t="s">
        <v>3</v>
      </c>
      <c r="F65" s="2">
        <v>0.44900000000000001</v>
      </c>
      <c r="G65" s="2">
        <f t="shared" si="16"/>
        <v>4.49</v>
      </c>
      <c r="H65" s="73">
        <f>(G63-G65)/G63</f>
        <v>0.60614035087719298</v>
      </c>
    </row>
    <row r="66" spans="1:15" ht="15.75" thickBot="1" x14ac:dyDescent="0.3">
      <c r="A66" s="12" t="s">
        <v>3</v>
      </c>
      <c r="B66" s="4">
        <v>0.44</v>
      </c>
      <c r="C66" s="4">
        <f t="shared" si="15"/>
        <v>4.4000000000000004</v>
      </c>
      <c r="D66" s="74">
        <f>(C63-C66)/C63</f>
        <v>0.62360992301112061</v>
      </c>
      <c r="E66" s="74" t="s">
        <v>3</v>
      </c>
      <c r="F66" s="4">
        <v>0.47199999999999998</v>
      </c>
      <c r="G66" s="4">
        <f t="shared" si="16"/>
        <v>4.7200000000000006</v>
      </c>
      <c r="H66" s="74">
        <f>(G63-G66)/G63</f>
        <v>0.58596491228070169</v>
      </c>
    </row>
    <row r="67" spans="1:15" ht="15.75" thickBot="1" x14ac:dyDescent="0.3">
      <c r="O67" s="40"/>
    </row>
    <row r="68" spans="1:15" ht="15.75" thickBot="1" x14ac:dyDescent="0.3">
      <c r="A68" s="216" t="s">
        <v>16</v>
      </c>
      <c r="B68" s="217"/>
      <c r="C68" s="217"/>
      <c r="D68" s="217"/>
      <c r="E68" s="217"/>
      <c r="F68" s="217"/>
      <c r="G68" s="217"/>
      <c r="H68" s="218"/>
    </row>
    <row r="69" spans="1:15" ht="15.75" thickBot="1" x14ac:dyDescent="0.3">
      <c r="A69" s="210" t="s">
        <v>142</v>
      </c>
      <c r="B69" s="214"/>
      <c r="C69" s="214"/>
      <c r="D69" s="215"/>
      <c r="E69" s="214" t="s">
        <v>143</v>
      </c>
      <c r="F69" s="214"/>
      <c r="G69" s="214"/>
      <c r="H69" s="215"/>
    </row>
    <row r="70" spans="1:15" ht="33" thickBot="1" x14ac:dyDescent="0.3">
      <c r="A70" s="82" t="s">
        <v>122</v>
      </c>
      <c r="B70" s="83" t="s">
        <v>140</v>
      </c>
      <c r="C70" s="85" t="s">
        <v>141</v>
      </c>
      <c r="D70" s="46" t="s">
        <v>89</v>
      </c>
      <c r="E70" s="82" t="s">
        <v>122</v>
      </c>
      <c r="F70" s="83" t="s">
        <v>140</v>
      </c>
      <c r="G70" s="85" t="s">
        <v>141</v>
      </c>
      <c r="H70" s="86" t="s">
        <v>89</v>
      </c>
    </row>
    <row r="71" spans="1:15" x14ac:dyDescent="0.25">
      <c r="A71" s="18" t="s">
        <v>4</v>
      </c>
      <c r="B71" s="20">
        <v>0.501</v>
      </c>
      <c r="C71" s="31">
        <f>B71*0.9/0.09</f>
        <v>5.0100000000000007</v>
      </c>
      <c r="D71" s="77">
        <v>1</v>
      </c>
      <c r="E71" s="64" t="s">
        <v>4</v>
      </c>
      <c r="F71" s="28"/>
      <c r="G71" s="34"/>
      <c r="H71" s="35"/>
    </row>
    <row r="72" spans="1:15" x14ac:dyDescent="0.25">
      <c r="A72" s="11" t="s">
        <v>3</v>
      </c>
      <c r="B72" s="20">
        <v>0.22900000000000001</v>
      </c>
      <c r="C72" s="2">
        <f t="shared" ref="C72:C74" si="17">B72*0.9/0.09</f>
        <v>2.29</v>
      </c>
      <c r="D72" s="73">
        <f>(C71-C72)/C71</f>
        <v>0.54291417165668665</v>
      </c>
      <c r="E72" s="65" t="s">
        <v>3</v>
      </c>
      <c r="F72" s="28"/>
      <c r="G72" s="28"/>
      <c r="H72" s="41"/>
    </row>
    <row r="73" spans="1:15" x14ac:dyDescent="0.25">
      <c r="A73" s="11" t="s">
        <v>3</v>
      </c>
      <c r="B73" s="20">
        <v>0.221</v>
      </c>
      <c r="C73" s="2">
        <f t="shared" si="17"/>
        <v>2.21</v>
      </c>
      <c r="D73" s="73">
        <f>(C71-C73)/C71</f>
        <v>0.55888223552894223</v>
      </c>
      <c r="E73" s="65" t="s">
        <v>3</v>
      </c>
      <c r="F73" s="28"/>
      <c r="G73" s="28"/>
      <c r="H73" s="41"/>
    </row>
    <row r="74" spans="1:15" ht="15.75" thickBot="1" x14ac:dyDescent="0.3">
      <c r="A74" s="12" t="s">
        <v>3</v>
      </c>
      <c r="B74" s="23">
        <v>0.26600000000000001</v>
      </c>
      <c r="C74" s="4">
        <f t="shared" si="17"/>
        <v>2.6600000000000006</v>
      </c>
      <c r="D74" s="74">
        <f>(C71-C74)/C71</f>
        <v>0.46906187624750495</v>
      </c>
      <c r="E74" s="66" t="s">
        <v>3</v>
      </c>
      <c r="F74" s="67"/>
      <c r="G74" s="67"/>
      <c r="H74" s="42"/>
    </row>
  </sheetData>
  <mergeCells count="38">
    <mergeCell ref="E37:H37"/>
    <mergeCell ref="A45:D45"/>
    <mergeCell ref="E45:H45"/>
    <mergeCell ref="A53:D53"/>
    <mergeCell ref="E53:H53"/>
    <mergeCell ref="J20:J21"/>
    <mergeCell ref="J22:J23"/>
    <mergeCell ref="J24:J25"/>
    <mergeCell ref="A29:D29"/>
    <mergeCell ref="E29:H29"/>
    <mergeCell ref="A28:H28"/>
    <mergeCell ref="E61:H61"/>
    <mergeCell ref="A69:D69"/>
    <mergeCell ref="E69:H69"/>
    <mergeCell ref="A1:H2"/>
    <mergeCell ref="A68:H68"/>
    <mergeCell ref="A61:D61"/>
    <mergeCell ref="A4:H4"/>
    <mergeCell ref="A12:H12"/>
    <mergeCell ref="A20:H20"/>
    <mergeCell ref="A36:H36"/>
    <mergeCell ref="A21:D21"/>
    <mergeCell ref="E21:H21"/>
    <mergeCell ref="A60:H60"/>
    <mergeCell ref="A52:H52"/>
    <mergeCell ref="A44:H44"/>
    <mergeCell ref="A37:D37"/>
    <mergeCell ref="J6:O6"/>
    <mergeCell ref="A5:D5"/>
    <mergeCell ref="E5:H5"/>
    <mergeCell ref="A13:D13"/>
    <mergeCell ref="E13:H13"/>
    <mergeCell ref="J16:J17"/>
    <mergeCell ref="J18:J19"/>
    <mergeCell ref="J8:J9"/>
    <mergeCell ref="J10:J11"/>
    <mergeCell ref="J14:J15"/>
    <mergeCell ref="J12:J13"/>
  </mergeCells>
  <pageMargins left="0.7" right="0.7" top="0.75" bottom="0.75" header="0.3" footer="0.3"/>
  <pageSetup paperSize="9" scale="4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6"/>
  <sheetViews>
    <sheetView tabSelected="1" topLeftCell="A61" zoomScale="85" zoomScaleNormal="85" workbookViewId="0">
      <selection activeCell="I30" sqref="I30"/>
    </sheetView>
  </sheetViews>
  <sheetFormatPr baseColWidth="10" defaultColWidth="11.42578125" defaultRowHeight="15" x14ac:dyDescent="0.25"/>
  <cols>
    <col min="1" max="6" width="11.42578125" style="97"/>
    <col min="7" max="7" width="8.7109375" style="97" bestFit="1" customWidth="1"/>
    <col min="8" max="8" width="8" style="97" bestFit="1" customWidth="1"/>
    <col min="9" max="9" width="7.7109375" style="97" bestFit="1" customWidth="1"/>
    <col min="10" max="10" width="6.5703125" style="97" bestFit="1" customWidth="1"/>
    <col min="11" max="11" width="7.85546875" style="97" bestFit="1" customWidth="1"/>
    <col min="12" max="12" width="7.7109375" style="97" bestFit="1" customWidth="1"/>
    <col min="13" max="13" width="9.7109375" style="97" bestFit="1" customWidth="1"/>
    <col min="14" max="14" width="12.28515625" style="97" bestFit="1" customWidth="1"/>
    <col min="15" max="15" width="12.85546875" style="97" customWidth="1"/>
    <col min="16" max="16384" width="11.42578125" style="97"/>
  </cols>
  <sheetData>
    <row r="2" spans="2:21" s="134" customFormat="1" x14ac:dyDescent="0.25">
      <c r="B2" s="219" t="s">
        <v>58</v>
      </c>
      <c r="C2" s="219"/>
      <c r="D2" s="219"/>
      <c r="E2" s="219"/>
    </row>
    <row r="3" spans="2:21" s="134" customFormat="1" x14ac:dyDescent="0.25">
      <c r="B3" s="219"/>
      <c r="C3" s="219"/>
      <c r="D3" s="219"/>
      <c r="E3" s="219"/>
    </row>
    <row r="4" spans="2:21" ht="15.75" thickBot="1" x14ac:dyDescent="0.3"/>
    <row r="5" spans="2:21" x14ac:dyDescent="0.25">
      <c r="B5" s="220" t="s">
        <v>19</v>
      </c>
      <c r="C5" s="220" t="s">
        <v>20</v>
      </c>
      <c r="D5" s="220" t="s">
        <v>21</v>
      </c>
      <c r="E5" s="220" t="s">
        <v>7</v>
      </c>
      <c r="F5" s="220" t="s">
        <v>106</v>
      </c>
      <c r="G5" s="225" t="s">
        <v>22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7"/>
      <c r="T5" s="225" t="s">
        <v>24</v>
      </c>
      <c r="U5" s="227"/>
    </row>
    <row r="6" spans="2:21" ht="18.75" thickBot="1" x14ac:dyDescent="0.3">
      <c r="B6" s="221"/>
      <c r="C6" s="221"/>
      <c r="D6" s="221"/>
      <c r="E6" s="221"/>
      <c r="F6" s="221"/>
      <c r="G6" s="135" t="s">
        <v>153</v>
      </c>
      <c r="H6" s="136" t="s">
        <v>154</v>
      </c>
      <c r="I6" s="136" t="s">
        <v>155</v>
      </c>
      <c r="J6" s="136" t="s">
        <v>156</v>
      </c>
      <c r="K6" s="136" t="s">
        <v>157</v>
      </c>
      <c r="L6" s="136" t="s">
        <v>158</v>
      </c>
      <c r="M6" s="137" t="s">
        <v>66</v>
      </c>
      <c r="N6" s="135" t="s">
        <v>159</v>
      </c>
      <c r="O6" s="136" t="s">
        <v>160</v>
      </c>
      <c r="P6" s="136" t="s">
        <v>162</v>
      </c>
      <c r="Q6" s="136" t="s">
        <v>161</v>
      </c>
      <c r="R6" s="136" t="s">
        <v>163</v>
      </c>
      <c r="S6" s="137" t="s">
        <v>164</v>
      </c>
      <c r="T6" s="135" t="s">
        <v>6</v>
      </c>
      <c r="U6" s="137" t="s">
        <v>23</v>
      </c>
    </row>
    <row r="7" spans="2:21" x14ac:dyDescent="0.25">
      <c r="B7" s="177">
        <v>1</v>
      </c>
      <c r="C7" s="178">
        <v>1</v>
      </c>
      <c r="D7" s="179">
        <v>1</v>
      </c>
      <c r="E7" s="179">
        <v>1</v>
      </c>
      <c r="F7" s="180">
        <v>1</v>
      </c>
      <c r="G7" s="87">
        <f>'Transformación Ef Extrac'!L8</f>
        <v>0.66493775933609955</v>
      </c>
      <c r="H7" s="53">
        <f>'Transformación Ef Extrac'!M8</f>
        <v>0.70331950207468885</v>
      </c>
      <c r="I7" s="88">
        <f>'Transformación Ef Extrac'!N8</f>
        <v>0.69917012448132776</v>
      </c>
      <c r="J7" s="53">
        <f>'Transformación Ef Extrac'!L9</f>
        <v>0.63968957871396903</v>
      </c>
      <c r="K7" s="53">
        <f>'Transformación Ef Extrac'!M9</f>
        <v>0.68736141906873616</v>
      </c>
      <c r="L7" s="54">
        <f>'Transformación Ef Extrac'!N9</f>
        <v>0.6452328159645232</v>
      </c>
      <c r="M7" s="89">
        <f>AVERAGE(G7:L7)</f>
        <v>0.67328519993989078</v>
      </c>
      <c r="N7" s="87">
        <f t="shared" ref="N7:S15" si="0">G7^2</f>
        <v>0.44214222379091267</v>
      </c>
      <c r="O7" s="53">
        <f t="shared" si="0"/>
        <v>0.49465832199858828</v>
      </c>
      <c r="P7" s="88">
        <f t="shared" si="0"/>
        <v>0.48883886296723533</v>
      </c>
      <c r="Q7" s="53">
        <f t="shared" si="0"/>
        <v>0.40920275711525517</v>
      </c>
      <c r="R7" s="53">
        <f t="shared" si="0"/>
        <v>0.47246572042418672</v>
      </c>
      <c r="S7" s="54">
        <f t="shared" si="0"/>
        <v>0.41632538679750825</v>
      </c>
      <c r="T7" s="126">
        <f>-10*LOG((1/6)*(SUM(1/N7+1/O7+1/P7+1/Q7+1/R7+1/S7)))</f>
        <v>-3.4541543746911567</v>
      </c>
      <c r="U7" s="54">
        <f>T7^2</f>
        <v>11.931182444198056</v>
      </c>
    </row>
    <row r="8" spans="2:21" x14ac:dyDescent="0.25">
      <c r="B8" s="181">
        <v>2</v>
      </c>
      <c r="C8" s="182">
        <v>1</v>
      </c>
      <c r="D8" s="183">
        <v>2</v>
      </c>
      <c r="E8" s="183">
        <v>2</v>
      </c>
      <c r="F8" s="184">
        <v>2</v>
      </c>
      <c r="G8" s="90"/>
      <c r="H8" s="91"/>
      <c r="I8" s="92"/>
      <c r="J8" s="91">
        <f>'Transformación Ef Extrac'!L11</f>
        <v>0.34325396825396826</v>
      </c>
      <c r="K8" s="91">
        <f>'Transformación Ef Extrac'!M11</f>
        <v>0.42658730158730157</v>
      </c>
      <c r="L8" s="93">
        <f>'Transformación Ef Extrac'!N11</f>
        <v>0.46230158730158721</v>
      </c>
      <c r="M8" s="94">
        <f>AVERAGE(J8:L8)</f>
        <v>0.41071428571428564</v>
      </c>
      <c r="N8" s="90"/>
      <c r="O8" s="91"/>
      <c r="P8" s="92"/>
      <c r="Q8" s="91">
        <f t="shared" si="0"/>
        <v>0.11782328672209624</v>
      </c>
      <c r="R8" s="91">
        <f t="shared" si="0"/>
        <v>0.18197672587553537</v>
      </c>
      <c r="S8" s="93">
        <f t="shared" si="0"/>
        <v>0.21372275762156706</v>
      </c>
      <c r="T8" s="127">
        <f>-10*LOG((1/3)*(SUM(1/Q8+1/R8+1/S8)))</f>
        <v>-7.9382421700811641</v>
      </c>
      <c r="U8" s="93">
        <f t="shared" ref="U8:U15" si="1">T8^2</f>
        <v>63.015688750854906</v>
      </c>
    </row>
    <row r="9" spans="2:21" x14ac:dyDescent="0.25">
      <c r="B9" s="181">
        <v>3</v>
      </c>
      <c r="C9" s="182">
        <v>1</v>
      </c>
      <c r="D9" s="183">
        <v>3</v>
      </c>
      <c r="E9" s="183">
        <v>3</v>
      </c>
      <c r="F9" s="184">
        <v>3</v>
      </c>
      <c r="G9" s="90">
        <f>'Transformación Ef Extrac'!L12</f>
        <v>0.41140529531568226</v>
      </c>
      <c r="H9" s="91">
        <f>'Transformación Ef Extrac'!M12</f>
        <v>0.47759674134419555</v>
      </c>
      <c r="I9" s="92">
        <f>'Transformación Ef Extrac'!N12</f>
        <v>0.53360488798370675</v>
      </c>
      <c r="J9" s="91">
        <f>'Transformación Ef Extrac'!L13</f>
        <v>0.50455005055611724</v>
      </c>
      <c r="K9" s="91">
        <f>'Transformación Ef Extrac'!M13</f>
        <v>0.50960566228513648</v>
      </c>
      <c r="L9" s="93">
        <f>'Transformación Ef Extrac'!N13</f>
        <v>0.49544994944388271</v>
      </c>
      <c r="M9" s="94">
        <f t="shared" ref="M9:M14" si="2">AVERAGE(G9:L9)</f>
        <v>0.48870209782145357</v>
      </c>
      <c r="N9" s="90">
        <f t="shared" si="0"/>
        <v>0.16925431701378374</v>
      </c>
      <c r="O9" s="91">
        <f t="shared" si="0"/>
        <v>0.22809864734259444</v>
      </c>
      <c r="P9" s="92">
        <f t="shared" si="0"/>
        <v>0.28473417648010424</v>
      </c>
      <c r="Q9" s="91">
        <f t="shared" si="0"/>
        <v>0.25457075351618047</v>
      </c>
      <c r="R9" s="91">
        <f t="shared" si="0"/>
        <v>0.25969793103307259</v>
      </c>
      <c r="S9" s="93">
        <f t="shared" si="0"/>
        <v>0.24547065240394594</v>
      </c>
      <c r="T9" s="128">
        <f>-10*LOG((1/6)*(SUM(1/N9+1/O9+1/P9+1/Q9+1/R9+1/S9)))</f>
        <v>-6.310546208645313</v>
      </c>
      <c r="U9" s="93">
        <f t="shared" si="1"/>
        <v>39.822993451447736</v>
      </c>
    </row>
    <row r="10" spans="2:21" x14ac:dyDescent="0.25">
      <c r="B10" s="181">
        <v>4</v>
      </c>
      <c r="C10" s="182">
        <v>2</v>
      </c>
      <c r="D10" s="183">
        <v>1</v>
      </c>
      <c r="E10" s="183">
        <v>2</v>
      </c>
      <c r="F10" s="184">
        <v>3</v>
      </c>
      <c r="G10" s="90">
        <f>'Transformación Ef Extrac'!L14</f>
        <v>0.73843248347497636</v>
      </c>
      <c r="H10" s="91">
        <f>'Transformación Ef Extrac'!M14</f>
        <v>0.76770538243626052</v>
      </c>
      <c r="I10" s="92">
        <f>'Transformación Ef Extrac'!N14</f>
        <v>0.65627950897072707</v>
      </c>
      <c r="J10" s="91">
        <f>'Transformación Ef Extrac'!L15</f>
        <v>0.72049102927289899</v>
      </c>
      <c r="K10" s="91">
        <f>'Transformación Ef Extrac'!M15</f>
        <v>0.73276676109537298</v>
      </c>
      <c r="L10" s="93">
        <f>'Transformación Ef Extrac'!N15</f>
        <v>0.77714825306893298</v>
      </c>
      <c r="M10" s="94">
        <f t="shared" si="2"/>
        <v>0.73213723638652828</v>
      </c>
      <c r="N10" s="90">
        <f t="shared" si="0"/>
        <v>0.54528253265102122</v>
      </c>
      <c r="O10" s="91">
        <f t="shared" si="0"/>
        <v>0.58937155422160503</v>
      </c>
      <c r="P10" s="92">
        <f t="shared" si="0"/>
        <v>0.4307027938948586</v>
      </c>
      <c r="Q10" s="91">
        <f t="shared" si="0"/>
        <v>0.51910732326272135</v>
      </c>
      <c r="R10" s="91">
        <f t="shared" si="0"/>
        <v>0.53694712616620344</v>
      </c>
      <c r="S10" s="93">
        <f t="shared" si="0"/>
        <v>0.60395940724809427</v>
      </c>
      <c r="T10" s="128">
        <f t="shared" ref="T10:T14" si="3">-10*LOG((1/6)*(SUM(1/N10+1/O10+1/P10+1/Q10+1/R10+1/S10)))</f>
        <v>-2.7480903228289035</v>
      </c>
      <c r="U10" s="93">
        <f t="shared" si="1"/>
        <v>7.5520004224258672</v>
      </c>
    </row>
    <row r="11" spans="2:21" x14ac:dyDescent="0.25">
      <c r="B11" s="181">
        <v>5</v>
      </c>
      <c r="C11" s="182">
        <v>2</v>
      </c>
      <c r="D11" s="183">
        <v>2</v>
      </c>
      <c r="E11" s="183">
        <v>3</v>
      </c>
      <c r="F11" s="184">
        <v>1</v>
      </c>
      <c r="G11" s="90">
        <f>'Transformación Ef Extrac'!L16</f>
        <v>0.51417525773195882</v>
      </c>
      <c r="H11" s="91">
        <f>'Transformación Ef Extrac'!M16</f>
        <v>0.51030927835051543</v>
      </c>
      <c r="I11" s="92">
        <f>'Transformación Ef Extrac'!N16</f>
        <v>0.44072164948453613</v>
      </c>
      <c r="J11" s="91">
        <f>'Transformación Ef Extrac'!L17</f>
        <v>0.53588516746411496</v>
      </c>
      <c r="K11" s="91">
        <f>'Transformación Ef Extrac'!M17</f>
        <v>0.53110047846889952</v>
      </c>
      <c r="L11" s="93">
        <f>'Transformación Ef Extrac'!N17</f>
        <v>0.53429027113237648</v>
      </c>
      <c r="M11" s="94">
        <f t="shared" si="2"/>
        <v>0.51108035043873346</v>
      </c>
      <c r="N11" s="90">
        <f t="shared" si="0"/>
        <v>0.26437619566372628</v>
      </c>
      <c r="O11" s="91">
        <f t="shared" si="0"/>
        <v>0.26041555957062384</v>
      </c>
      <c r="P11" s="92">
        <f t="shared" si="0"/>
        <v>0.19423557232437033</v>
      </c>
      <c r="Q11" s="91">
        <f t="shared" si="0"/>
        <v>0.28717291270804252</v>
      </c>
      <c r="R11" s="91">
        <f t="shared" si="0"/>
        <v>0.28206771822989402</v>
      </c>
      <c r="S11" s="93">
        <f t="shared" si="0"/>
        <v>0.2854660938267084</v>
      </c>
      <c r="T11" s="128">
        <f t="shared" si="3"/>
        <v>-5.8923088013003966</v>
      </c>
      <c r="U11" s="93">
        <f t="shared" si="1"/>
        <v>34.719303009882118</v>
      </c>
    </row>
    <row r="12" spans="2:21" x14ac:dyDescent="0.25">
      <c r="B12" s="181">
        <v>6</v>
      </c>
      <c r="C12" s="182">
        <v>2</v>
      </c>
      <c r="D12" s="183">
        <v>3</v>
      </c>
      <c r="E12" s="183">
        <v>1</v>
      </c>
      <c r="F12" s="184">
        <v>2</v>
      </c>
      <c r="G12" s="90">
        <f>'Transformación Ef Extrac'!L18</f>
        <v>0.68596059113300489</v>
      </c>
      <c r="H12" s="91">
        <f>'Transformación Ef Extrac'!M18</f>
        <v>0.69211822660098521</v>
      </c>
      <c r="I12" s="92">
        <f>'Transformación Ef Extrac'!N18</f>
        <v>0.68103448275862077</v>
      </c>
      <c r="J12" s="91">
        <f>'Transformación Ef Extrac'!L19</f>
        <v>0.66461159062885322</v>
      </c>
      <c r="K12" s="91">
        <f>'Transformación Ef Extrac'!M19</f>
        <v>0.66337854500616522</v>
      </c>
      <c r="L12" s="93">
        <f>'Transformación Ef Extrac'!N19</f>
        <v>0.67200986436498156</v>
      </c>
      <c r="M12" s="94">
        <f t="shared" si="2"/>
        <v>0.6765188834154352</v>
      </c>
      <c r="N12" s="90">
        <f t="shared" si="0"/>
        <v>0.47054193258754151</v>
      </c>
      <c r="O12" s="91">
        <f t="shared" si="0"/>
        <v>0.4790276395932927</v>
      </c>
      <c r="P12" s="92">
        <f t="shared" si="0"/>
        <v>0.46380796670630214</v>
      </c>
      <c r="Q12" s="91">
        <f t="shared" si="0"/>
        <v>0.44170856639821438</v>
      </c>
      <c r="R12" s="91">
        <f t="shared" si="0"/>
        <v>0.44007109397449679</v>
      </c>
      <c r="S12" s="93">
        <f t="shared" si="0"/>
        <v>0.45159725780384091</v>
      </c>
      <c r="T12" s="128">
        <f t="shared" si="3"/>
        <v>-3.3976586009269432</v>
      </c>
      <c r="U12" s="93">
        <f t="shared" si="1"/>
        <v>11.544083968452833</v>
      </c>
    </row>
    <row r="13" spans="2:21" x14ac:dyDescent="0.25">
      <c r="B13" s="181">
        <v>7</v>
      </c>
      <c r="C13" s="182">
        <v>3</v>
      </c>
      <c r="D13" s="183">
        <v>1</v>
      </c>
      <c r="E13" s="183">
        <v>3</v>
      </c>
      <c r="F13" s="184">
        <v>2</v>
      </c>
      <c r="G13" s="90">
        <f>'Transformación Ef Extrac'!L20</f>
        <v>0.43055555555555552</v>
      </c>
      <c r="H13" s="91">
        <f>'Transformación Ef Extrac'!M20</f>
        <v>0.33564814814814825</v>
      </c>
      <c r="I13" s="92">
        <f>'Transformación Ef Extrac'!N20</f>
        <v>0.30787037037037035</v>
      </c>
      <c r="J13" s="91">
        <f>'Transformación Ef Extrac'!L21</f>
        <v>0.54009819967266781</v>
      </c>
      <c r="K13" s="91">
        <f>'Transformación Ef Extrac'!M21</f>
        <v>0.50245499181669406</v>
      </c>
      <c r="L13" s="93">
        <f>'Transformación Ef Extrac'!N21</f>
        <v>0.50081833060556469</v>
      </c>
      <c r="M13" s="94">
        <f t="shared" si="2"/>
        <v>0.43624093269483338</v>
      </c>
      <c r="N13" s="90">
        <f t="shared" si="0"/>
        <v>0.18537808641975306</v>
      </c>
      <c r="O13" s="91">
        <f t="shared" si="0"/>
        <v>0.11265967935528128</v>
      </c>
      <c r="P13" s="92">
        <f t="shared" si="0"/>
        <v>9.4784164951989019E-2</v>
      </c>
      <c r="Q13" s="91">
        <f t="shared" si="0"/>
        <v>0.29170606528965692</v>
      </c>
      <c r="R13" s="91">
        <f t="shared" si="0"/>
        <v>0.25246101880151411</v>
      </c>
      <c r="S13" s="93">
        <f t="shared" si="0"/>
        <v>0.25081900027054471</v>
      </c>
      <c r="T13" s="128">
        <f t="shared" si="3"/>
        <v>-7.8052146126038826</v>
      </c>
      <c r="U13" s="93">
        <f t="shared" si="1"/>
        <v>60.921375148805176</v>
      </c>
    </row>
    <row r="14" spans="2:21" x14ac:dyDescent="0.25">
      <c r="B14" s="181">
        <v>8</v>
      </c>
      <c r="C14" s="182">
        <v>3</v>
      </c>
      <c r="D14" s="183">
        <v>2</v>
      </c>
      <c r="E14" s="183">
        <v>1</v>
      </c>
      <c r="F14" s="184">
        <v>3</v>
      </c>
      <c r="G14" s="90">
        <f>'Transformación Ef Extrac'!L22</f>
        <v>0.64157399486740807</v>
      </c>
      <c r="H14" s="91">
        <f>'Transformación Ef Extrac'!M22</f>
        <v>0.64071856287425155</v>
      </c>
      <c r="I14" s="92">
        <f>'Transformación Ef Extrac'!N22</f>
        <v>0.62360992301112061</v>
      </c>
      <c r="J14" s="91">
        <f>'Transformación Ef Extrac'!L23</f>
        <v>0.56491228070175437</v>
      </c>
      <c r="K14" s="91">
        <f>'Transformación Ef Extrac'!M23</f>
        <v>0.60614035087719298</v>
      </c>
      <c r="L14" s="93">
        <f>'Transformación Ef Extrac'!N23</f>
        <v>0.58596491228070169</v>
      </c>
      <c r="M14" s="94">
        <f t="shared" si="2"/>
        <v>0.61048667076873819</v>
      </c>
      <c r="N14" s="90">
        <f t="shared" si="0"/>
        <v>0.41161719089012494</v>
      </c>
      <c r="O14" s="91">
        <f t="shared" si="0"/>
        <v>0.41052027681164621</v>
      </c>
      <c r="P14" s="92">
        <f t="shared" si="0"/>
        <v>0.3888893360779358</v>
      </c>
      <c r="Q14" s="91">
        <f t="shared" si="0"/>
        <v>0.3191258848876577</v>
      </c>
      <c r="R14" s="91">
        <f t="shared" si="0"/>
        <v>0.36740612496152664</v>
      </c>
      <c r="S14" s="93">
        <f t="shared" si="0"/>
        <v>0.34335487842413043</v>
      </c>
      <c r="T14" s="128">
        <f t="shared" si="3"/>
        <v>-4.3148659886965977</v>
      </c>
      <c r="U14" s="93">
        <f t="shared" si="1"/>
        <v>18.618068500410669</v>
      </c>
    </row>
    <row r="15" spans="2:21" ht="15.75" thickBot="1" x14ac:dyDescent="0.3">
      <c r="B15" s="185">
        <v>9</v>
      </c>
      <c r="C15" s="186">
        <v>3</v>
      </c>
      <c r="D15" s="187">
        <v>3</v>
      </c>
      <c r="E15" s="187">
        <v>2</v>
      </c>
      <c r="F15" s="188">
        <v>1</v>
      </c>
      <c r="G15" s="95">
        <f>'Transformación Ef Extrac'!L24</f>
        <v>0.54291417165668665</v>
      </c>
      <c r="H15" s="55">
        <f>'Transformación Ef Extrac'!M24</f>
        <v>0.55888223552894223</v>
      </c>
      <c r="I15" s="55">
        <f>'Transformación Ef Extrac'!N24</f>
        <v>0.46906187624750495</v>
      </c>
      <c r="J15" s="55"/>
      <c r="K15" s="55"/>
      <c r="L15" s="56"/>
      <c r="M15" s="96">
        <f>AVERAGE(G15:I15)</f>
        <v>0.52361942781104465</v>
      </c>
      <c r="N15" s="95">
        <f t="shared" si="0"/>
        <v>0.29475579778566624</v>
      </c>
      <c r="O15" s="55">
        <f t="shared" si="0"/>
        <v>0.31234935318982804</v>
      </c>
      <c r="P15" s="55">
        <f t="shared" si="0"/>
        <v>0.22001904374882963</v>
      </c>
      <c r="Q15" s="55"/>
      <c r="R15" s="55"/>
      <c r="S15" s="56"/>
      <c r="T15" s="129">
        <f>-10*LOG((1/3)*(SUM(1/N15+1/O15+1/P15)))</f>
        <v>-5.6973444012500964</v>
      </c>
      <c r="U15" s="56">
        <f t="shared" si="1"/>
        <v>32.459733226455818</v>
      </c>
    </row>
    <row r="16" spans="2:21" x14ac:dyDescent="0.25">
      <c r="K16" s="98" t="s">
        <v>41</v>
      </c>
      <c r="L16" s="54">
        <f>SUM(G7:L15)</f>
        <v>27.573709369369663</v>
      </c>
      <c r="M16" s="99"/>
      <c r="S16" s="98" t="s">
        <v>41</v>
      </c>
      <c r="T16" s="130">
        <f>SUM(T7:T15)</f>
        <v>-47.55842548102445</v>
      </c>
    </row>
    <row r="17" spans="1:20" ht="15.75" thickBot="1" x14ac:dyDescent="0.3">
      <c r="B17" s="139" t="s">
        <v>93</v>
      </c>
      <c r="C17" s="140">
        <v>9</v>
      </c>
      <c r="D17" s="141" t="s">
        <v>53</v>
      </c>
      <c r="E17" s="140">
        <v>2</v>
      </c>
      <c r="K17" s="100" t="s">
        <v>43</v>
      </c>
      <c r="L17" s="101">
        <f>L16^2/C18</f>
        <v>15.839780174718006</v>
      </c>
      <c r="M17" s="102"/>
      <c r="S17" s="103" t="s">
        <v>43</v>
      </c>
      <c r="T17" s="131">
        <f>T16^2/C17</f>
        <v>251.3115371371284</v>
      </c>
    </row>
    <row r="18" spans="1:20" ht="15.75" thickBot="1" x14ac:dyDescent="0.3">
      <c r="B18" s="139" t="s">
        <v>91</v>
      </c>
      <c r="C18" s="140">
        <v>48</v>
      </c>
      <c r="D18" s="141" t="s">
        <v>115</v>
      </c>
      <c r="E18" s="140">
        <v>2</v>
      </c>
      <c r="K18" s="103" t="s">
        <v>70</v>
      </c>
      <c r="L18" s="104">
        <f>L16/48</f>
        <v>0.57445227852853464</v>
      </c>
    </row>
    <row r="19" spans="1:20" x14ac:dyDescent="0.25">
      <c r="B19" s="139" t="s">
        <v>90</v>
      </c>
      <c r="C19" s="140">
        <f>C18-1</f>
        <v>47</v>
      </c>
      <c r="D19" s="141" t="s">
        <v>116</v>
      </c>
      <c r="E19" s="140">
        <v>2</v>
      </c>
    </row>
    <row r="20" spans="1:20" x14ac:dyDescent="0.25">
      <c r="B20" s="141" t="s">
        <v>54</v>
      </c>
      <c r="C20" s="140">
        <f>C19-SUM(E17:E20)</f>
        <v>39</v>
      </c>
      <c r="D20" s="141" t="s">
        <v>114</v>
      </c>
      <c r="E20" s="140">
        <v>2</v>
      </c>
    </row>
    <row r="22" spans="1:20" s="142" customFormat="1" ht="15" customHeight="1" x14ac:dyDescent="0.25">
      <c r="B22" s="233" t="s">
        <v>165</v>
      </c>
      <c r="C22" s="233"/>
      <c r="D22" s="233"/>
      <c r="E22" s="233"/>
      <c r="F22" s="233"/>
      <c r="G22" s="233"/>
      <c r="H22" s="233"/>
    </row>
    <row r="23" spans="1:20" s="142" customFormat="1" ht="15" customHeight="1" x14ac:dyDescent="0.25">
      <c r="B23" s="233"/>
      <c r="C23" s="233"/>
      <c r="D23" s="233"/>
      <c r="E23" s="233"/>
      <c r="F23" s="233"/>
      <c r="G23" s="233"/>
      <c r="H23" s="233"/>
    </row>
    <row r="24" spans="1:20" s="143" customFormat="1" ht="15" customHeight="1" x14ac:dyDescent="0.25">
      <c r="A24" s="228" t="s">
        <v>73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20" s="143" customFormat="1" ht="15" customHeight="1" x14ac:dyDescent="0.2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spans="1:20" s="144" customFormat="1" ht="15" customHeight="1" x14ac:dyDescent="0.25"/>
    <row r="27" spans="1:20" s="144" customFormat="1" ht="15" customHeight="1" x14ac:dyDescent="0.25">
      <c r="B27" s="145" t="s">
        <v>93</v>
      </c>
      <c r="C27" s="189">
        <v>9</v>
      </c>
      <c r="D27" s="190" t="s">
        <v>53</v>
      </c>
      <c r="E27" s="191">
        <v>2</v>
      </c>
      <c r="G27" s="146"/>
    </row>
    <row r="28" spans="1:20" s="144" customFormat="1" ht="15" customHeight="1" x14ac:dyDescent="0.25">
      <c r="B28" s="147" t="s">
        <v>91</v>
      </c>
      <c r="C28" s="192">
        <v>48</v>
      </c>
      <c r="D28" s="193" t="s">
        <v>115</v>
      </c>
      <c r="E28" s="194">
        <v>2</v>
      </c>
    </row>
    <row r="29" spans="1:20" s="144" customFormat="1" ht="15" customHeight="1" x14ac:dyDescent="0.25">
      <c r="B29" s="147" t="s">
        <v>90</v>
      </c>
      <c r="C29" s="192">
        <f>C28-1</f>
        <v>47</v>
      </c>
      <c r="D29" s="193" t="s">
        <v>116</v>
      </c>
      <c r="E29" s="194">
        <v>2</v>
      </c>
    </row>
    <row r="30" spans="1:20" s="144" customFormat="1" ht="15" customHeight="1" x14ac:dyDescent="0.25">
      <c r="B30" s="150" t="s">
        <v>54</v>
      </c>
      <c r="C30" s="195">
        <f>C29-SUM(E27:E30)</f>
        <v>39</v>
      </c>
      <c r="D30" s="196" t="s">
        <v>114</v>
      </c>
      <c r="E30" s="197">
        <v>2</v>
      </c>
    </row>
    <row r="31" spans="1:20" s="144" customFormat="1" ht="15" customHeight="1" thickBot="1" x14ac:dyDescent="0.3">
      <c r="B31" s="148"/>
      <c r="C31" s="105"/>
      <c r="D31" s="148"/>
      <c r="E31" s="105"/>
    </row>
    <row r="32" spans="1:20" s="144" customFormat="1" ht="15" customHeight="1" thickBot="1" x14ac:dyDescent="0.3">
      <c r="B32" s="234" t="s">
        <v>145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  <c r="P32" s="203"/>
    </row>
    <row r="33" spans="2:23" s="144" customFormat="1" ht="15" customHeight="1" x14ac:dyDescent="0.25">
      <c r="B33" s="229" t="s">
        <v>71</v>
      </c>
      <c r="C33" s="230"/>
      <c r="D33" s="99"/>
      <c r="E33" s="231" t="s">
        <v>72</v>
      </c>
      <c r="F33" s="232"/>
      <c r="G33" s="99"/>
      <c r="H33" s="229" t="s">
        <v>107</v>
      </c>
      <c r="I33" s="230"/>
      <c r="J33" s="99"/>
      <c r="K33" s="231" t="s">
        <v>108</v>
      </c>
      <c r="L33" s="232"/>
      <c r="M33" s="99"/>
      <c r="N33" s="229" t="s">
        <v>64</v>
      </c>
      <c r="O33" s="230"/>
    </row>
    <row r="34" spans="2:23" x14ac:dyDescent="0.25">
      <c r="B34" s="107" t="s">
        <v>33</v>
      </c>
      <c r="C34" s="151">
        <f>(SUM(G7:L9)^2/15+SUM(G10:L12)^2/18+SUM(G13:L15)^2/15)-L17</f>
        <v>0.12755780819710871</v>
      </c>
      <c r="D34" s="105"/>
      <c r="E34" s="122" t="s">
        <v>30</v>
      </c>
      <c r="F34" s="152">
        <f>(SUM(G7:L7,G10:L10,G13:L13)^2/18+SUM(G8:L8,G11:L11,G14:L14)^2/15+SUM(G9:L9,G12:L12,G15:L15)^2/15)-L17</f>
        <v>5.6814175808717948E-2</v>
      </c>
      <c r="G34" s="105"/>
      <c r="H34" s="107" t="s">
        <v>36</v>
      </c>
      <c r="I34" s="151">
        <f>(SUM(G7:L7,G12:L12,G14:L14)^2/18+SUM(G8:L8,G10:L10,G15:L15)^2/12+SUM(G9:L9,G11:L11,G13:L13)^2/18)-L17</f>
        <v>0.28501673152277895</v>
      </c>
      <c r="J34" s="105"/>
      <c r="K34" s="122" t="s">
        <v>109</v>
      </c>
      <c r="L34" s="152">
        <f>(SUM(G7:L7,G11:L11,G15:L15)^2/15+SUM(G8:L8,G12:L13)^2/15+SUM(G9:L10,G14:L14)^2/18)-L17</f>
        <v>5.6982208397547751E-2</v>
      </c>
      <c r="M34" s="105"/>
      <c r="N34" s="107" t="s">
        <v>55</v>
      </c>
      <c r="O34" s="151">
        <f>C38-(C34+F34+I34+L34)</f>
        <v>0.11453657115604798</v>
      </c>
    </row>
    <row r="35" spans="2:23" x14ac:dyDescent="0.25">
      <c r="B35" s="107" t="s">
        <v>34</v>
      </c>
      <c r="C35" s="151">
        <f>C34/E27</f>
        <v>6.3778904098554356E-2</v>
      </c>
      <c r="D35" s="105"/>
      <c r="E35" s="122" t="s">
        <v>31</v>
      </c>
      <c r="F35" s="152">
        <f>F34/E28</f>
        <v>2.8407087904358974E-2</v>
      </c>
      <c r="G35" s="105"/>
      <c r="H35" s="107" t="s">
        <v>37</v>
      </c>
      <c r="I35" s="151">
        <f>I34/E29</f>
        <v>0.14250836576138948</v>
      </c>
      <c r="J35" s="105"/>
      <c r="K35" s="122" t="s">
        <v>110</v>
      </c>
      <c r="L35" s="152">
        <f>L34/E30</f>
        <v>2.8491104198773876E-2</v>
      </c>
      <c r="M35" s="105"/>
      <c r="N35" s="107" t="s">
        <v>52</v>
      </c>
      <c r="O35" s="151">
        <f>O34/C30</f>
        <v>2.9368351578473841E-3</v>
      </c>
    </row>
    <row r="36" spans="2:23" x14ac:dyDescent="0.25">
      <c r="B36" s="107" t="s">
        <v>35</v>
      </c>
      <c r="C36" s="151">
        <f>C35/O35</f>
        <v>21.716882518289676</v>
      </c>
      <c r="D36" s="105"/>
      <c r="E36" s="122" t="s">
        <v>32</v>
      </c>
      <c r="F36" s="152">
        <f>F35/O35</f>
        <v>9.6726872219755613</v>
      </c>
      <c r="G36" s="105"/>
      <c r="H36" s="107" t="s">
        <v>38</v>
      </c>
      <c r="I36" s="151">
        <f>I35/O35</f>
        <v>48.524468722937797</v>
      </c>
      <c r="J36" s="105"/>
      <c r="K36" s="122" t="s">
        <v>111</v>
      </c>
      <c r="L36" s="152">
        <f>L35/O35</f>
        <v>9.7012949884654187</v>
      </c>
      <c r="M36" s="105"/>
      <c r="N36" s="107"/>
      <c r="O36" s="151"/>
    </row>
    <row r="37" spans="2:23" x14ac:dyDescent="0.25">
      <c r="B37" s="107" t="s">
        <v>25</v>
      </c>
      <c r="C37" s="151">
        <f>C34-(E17*O35)</f>
        <v>0.12168413788141394</v>
      </c>
      <c r="D37" s="105"/>
      <c r="E37" s="122" t="s">
        <v>28</v>
      </c>
      <c r="F37" s="152">
        <f>F34-(E18*O35)</f>
        <v>5.0940505493023182E-2</v>
      </c>
      <c r="G37" s="105"/>
      <c r="H37" s="107" t="s">
        <v>39</v>
      </c>
      <c r="I37" s="151">
        <f>I34-(E19*O35)</f>
        <v>0.27914306120708421</v>
      </c>
      <c r="J37" s="105"/>
      <c r="K37" s="122" t="s">
        <v>112</v>
      </c>
      <c r="L37" s="152">
        <f>L34-(E20*O35)</f>
        <v>5.1108538081852985E-2</v>
      </c>
      <c r="M37" s="105"/>
      <c r="N37" s="107" t="s">
        <v>56</v>
      </c>
      <c r="O37" s="151">
        <f>O34+(SUM(E27:E30)*O35)</f>
        <v>0.13803125241882705</v>
      </c>
    </row>
    <row r="38" spans="2:23" x14ac:dyDescent="0.25">
      <c r="B38" s="107" t="s">
        <v>26</v>
      </c>
      <c r="C38" s="151">
        <f>SUM(N7:S15)-L17</f>
        <v>0.64090749508220135</v>
      </c>
      <c r="D38" s="105"/>
      <c r="E38" s="122"/>
      <c r="F38" s="152"/>
      <c r="G38" s="105"/>
      <c r="H38" s="107"/>
      <c r="I38" s="151"/>
      <c r="J38" s="105"/>
      <c r="K38" s="122"/>
      <c r="L38" s="152"/>
      <c r="M38" s="105"/>
      <c r="N38" s="107"/>
      <c r="O38" s="151"/>
    </row>
    <row r="39" spans="2:23" x14ac:dyDescent="0.25">
      <c r="B39" s="107" t="s">
        <v>27</v>
      </c>
      <c r="C39" s="151">
        <f>C37*(100/C38)</f>
        <v>18.986224816392106</v>
      </c>
      <c r="D39" s="105"/>
      <c r="E39" s="122" t="s">
        <v>29</v>
      </c>
      <c r="F39" s="152">
        <f>F37*(100/C38)</f>
        <v>7.9481837681566923</v>
      </c>
      <c r="G39" s="105"/>
      <c r="H39" s="107" t="s">
        <v>40</v>
      </c>
      <c r="I39" s="151">
        <f>I37*(100/C38)</f>
        <v>43.554344948217832</v>
      </c>
      <c r="J39" s="105"/>
      <c r="K39" s="122" t="s">
        <v>113</v>
      </c>
      <c r="L39" s="152">
        <f>L37*(100/C38)</f>
        <v>7.9744016841772023</v>
      </c>
      <c r="M39" s="105"/>
      <c r="N39" s="107" t="s">
        <v>57</v>
      </c>
      <c r="O39" s="151">
        <f>O37*(100/C38)</f>
        <v>21.536844783056168</v>
      </c>
    </row>
    <row r="40" spans="2:23" ht="15.75" thickBot="1" x14ac:dyDescent="0.3">
      <c r="B40" s="111"/>
      <c r="C40" s="153"/>
      <c r="D40" s="113"/>
      <c r="E40" s="123"/>
      <c r="F40" s="154"/>
      <c r="G40" s="113"/>
      <c r="H40" s="111"/>
      <c r="I40" s="153"/>
      <c r="J40" s="113"/>
      <c r="K40" s="123"/>
      <c r="L40" s="154"/>
      <c r="M40" s="113"/>
      <c r="N40" s="111"/>
      <c r="O40" s="153"/>
    </row>
    <row r="41" spans="2:23" x14ac:dyDescent="0.25">
      <c r="B41" s="105"/>
      <c r="C41" s="105"/>
      <c r="D41" s="105"/>
      <c r="E41" s="106"/>
      <c r="F41" s="106"/>
      <c r="G41" s="105"/>
      <c r="H41" s="105"/>
      <c r="I41" s="105"/>
      <c r="J41" s="105"/>
      <c r="K41" s="106"/>
      <c r="L41" s="106"/>
      <c r="M41" s="105"/>
      <c r="N41" s="105"/>
      <c r="O41" s="105"/>
      <c r="P41" s="105"/>
    </row>
    <row r="42" spans="2:23" x14ac:dyDescent="0.25">
      <c r="B42" s="105"/>
      <c r="C42" s="105"/>
      <c r="D42" s="105"/>
      <c r="E42" s="106"/>
      <c r="F42" s="106"/>
      <c r="G42" s="105"/>
      <c r="H42" s="105"/>
      <c r="I42" s="105"/>
      <c r="J42" s="105"/>
      <c r="K42" s="106"/>
      <c r="L42" s="106"/>
      <c r="M42" s="105"/>
      <c r="N42" s="105"/>
      <c r="O42" s="105"/>
      <c r="P42" s="105"/>
    </row>
    <row r="43" spans="2:23" ht="15.75" thickBot="1" x14ac:dyDescent="0.3"/>
    <row r="44" spans="2:23" ht="16.5" customHeight="1" thickBot="1" x14ac:dyDescent="0.3">
      <c r="B44" s="222" t="s">
        <v>65</v>
      </c>
      <c r="C44" s="223"/>
      <c r="D44" s="223"/>
      <c r="E44" s="223"/>
      <c r="F44" s="223"/>
      <c r="G44" s="223"/>
      <c r="H44" s="224"/>
      <c r="I44" s="155"/>
      <c r="J44" s="155"/>
      <c r="P44" s="156" t="s">
        <v>94</v>
      </c>
      <c r="Q44" s="156">
        <f>C55</f>
        <v>0.52423386115854331</v>
      </c>
      <c r="R44" s="156" t="s">
        <v>67</v>
      </c>
      <c r="S44" s="156"/>
      <c r="T44" s="156" t="s">
        <v>67</v>
      </c>
      <c r="U44" s="156"/>
      <c r="V44" s="156" t="s">
        <v>67</v>
      </c>
      <c r="W44" s="156"/>
    </row>
    <row r="45" spans="2:23" x14ac:dyDescent="0.25">
      <c r="B45" s="245" t="s">
        <v>61</v>
      </c>
      <c r="C45" s="247" t="s">
        <v>147</v>
      </c>
      <c r="D45" s="247" t="s">
        <v>62</v>
      </c>
      <c r="E45" s="247" t="s">
        <v>59</v>
      </c>
      <c r="F45" s="247" t="s">
        <v>60</v>
      </c>
      <c r="G45" s="247" t="s">
        <v>63</v>
      </c>
      <c r="H45" s="237" t="s">
        <v>42</v>
      </c>
      <c r="P45" s="156" t="s">
        <v>95</v>
      </c>
      <c r="Q45" s="156">
        <f>C56</f>
        <v>0.63991215674689894</v>
      </c>
      <c r="R45" s="156" t="s">
        <v>68</v>
      </c>
      <c r="S45" s="156"/>
      <c r="T45" s="156" t="s">
        <v>68</v>
      </c>
      <c r="U45" s="156"/>
      <c r="V45" s="156" t="s">
        <v>68</v>
      </c>
      <c r="W45" s="156"/>
    </row>
    <row r="46" spans="2:23" x14ac:dyDescent="0.25">
      <c r="B46" s="246"/>
      <c r="C46" s="248"/>
      <c r="D46" s="248"/>
      <c r="E46" s="248"/>
      <c r="F46" s="248"/>
      <c r="G46" s="248"/>
      <c r="H46" s="238"/>
      <c r="P46" s="156" t="s">
        <v>96</v>
      </c>
      <c r="Q46" s="156">
        <f>C57</f>
        <v>0.52344901042487202</v>
      </c>
      <c r="R46" s="156" t="s">
        <v>69</v>
      </c>
      <c r="S46" s="156"/>
      <c r="T46" s="156" t="s">
        <v>69</v>
      </c>
      <c r="U46" s="156"/>
      <c r="V46" s="156" t="s">
        <v>69</v>
      </c>
      <c r="W46" s="156"/>
    </row>
    <row r="47" spans="2:23" x14ac:dyDescent="0.25">
      <c r="B47" s="157" t="s">
        <v>20</v>
      </c>
      <c r="C47" s="206">
        <v>2</v>
      </c>
      <c r="D47" s="158">
        <f>C34</f>
        <v>0.12755780819710871</v>
      </c>
      <c r="E47" s="158">
        <f>C35</f>
        <v>6.3778904098554356E-2</v>
      </c>
      <c r="F47" s="158">
        <f>C36</f>
        <v>21.716882518289676</v>
      </c>
      <c r="G47" s="158">
        <f>C37</f>
        <v>0.12168413788141394</v>
      </c>
      <c r="H47" s="159">
        <f>C39</f>
        <v>18.986224816392106</v>
      </c>
      <c r="P47" s="156" t="s">
        <v>105</v>
      </c>
      <c r="Q47" s="156"/>
      <c r="R47" s="156" t="s">
        <v>83</v>
      </c>
      <c r="S47" s="156">
        <f>E55</f>
        <v>0.61388778967375079</v>
      </c>
      <c r="T47" s="156" t="s">
        <v>83</v>
      </c>
      <c r="U47" s="156"/>
      <c r="V47" s="156" t="s">
        <v>83</v>
      </c>
      <c r="W47" s="156"/>
    </row>
    <row r="48" spans="2:23" x14ac:dyDescent="0.25">
      <c r="B48" s="157" t="s">
        <v>21</v>
      </c>
      <c r="C48" s="206">
        <v>2</v>
      </c>
      <c r="D48" s="158">
        <f>F34</f>
        <v>5.6814175808717948E-2</v>
      </c>
      <c r="E48" s="158">
        <f>F35</f>
        <v>2.8407087904358974E-2</v>
      </c>
      <c r="F48" s="158">
        <f>F36</f>
        <v>9.6726872219755613</v>
      </c>
      <c r="G48" s="158">
        <f>F37</f>
        <v>5.0940505493023182E-2</v>
      </c>
      <c r="H48" s="159">
        <f>F39</f>
        <v>7.9481837681566923</v>
      </c>
      <c r="P48" s="156" t="s">
        <v>104</v>
      </c>
      <c r="Q48" s="156"/>
      <c r="R48" s="156" t="s">
        <v>84</v>
      </c>
      <c r="S48" s="156">
        <f>E56</f>
        <v>0.51076043564058582</v>
      </c>
      <c r="T48" s="156" t="s">
        <v>84</v>
      </c>
      <c r="U48" s="156"/>
      <c r="V48" s="156" t="s">
        <v>84</v>
      </c>
      <c r="W48" s="156"/>
    </row>
    <row r="49" spans="1:23" x14ac:dyDescent="0.25">
      <c r="B49" s="157" t="s">
        <v>7</v>
      </c>
      <c r="C49" s="206">
        <v>2</v>
      </c>
      <c r="D49" s="158">
        <f>I34</f>
        <v>0.28501673152277895</v>
      </c>
      <c r="E49" s="158">
        <f>I35</f>
        <v>0.14250836576138948</v>
      </c>
      <c r="F49" s="158">
        <f>I36</f>
        <v>48.524468722937797</v>
      </c>
      <c r="G49" s="158">
        <f>I37</f>
        <v>0.27914306120708421</v>
      </c>
      <c r="H49" s="159">
        <f>I39</f>
        <v>43.554344948217832</v>
      </c>
      <c r="P49" s="156" t="s">
        <v>103</v>
      </c>
      <c r="Q49" s="156"/>
      <c r="R49" s="156" t="s">
        <v>85</v>
      </c>
      <c r="S49" s="156">
        <f>E57</f>
        <v>0.56294680301597777</v>
      </c>
      <c r="T49" s="156" t="s">
        <v>85</v>
      </c>
      <c r="U49" s="156"/>
      <c r="V49" s="156" t="s">
        <v>85</v>
      </c>
      <c r="W49" s="156"/>
    </row>
    <row r="50" spans="1:23" x14ac:dyDescent="0.25">
      <c r="B50" s="157" t="s">
        <v>106</v>
      </c>
      <c r="C50" s="206">
        <v>2</v>
      </c>
      <c r="D50" s="158">
        <f>L34</f>
        <v>5.6982208397547751E-2</v>
      </c>
      <c r="E50" s="158">
        <f>L35</f>
        <v>2.8491104198773876E-2</v>
      </c>
      <c r="F50" s="158">
        <f>L36</f>
        <v>9.7012949884654187</v>
      </c>
      <c r="G50" s="158">
        <f>L37</f>
        <v>5.1108538081852985E-2</v>
      </c>
      <c r="H50" s="159">
        <f>L39</f>
        <v>7.9744016841772023</v>
      </c>
      <c r="P50" s="156" t="s">
        <v>102</v>
      </c>
      <c r="Q50" s="156"/>
      <c r="R50" s="156" t="s">
        <v>80</v>
      </c>
      <c r="S50" s="156"/>
      <c r="T50" s="156" t="s">
        <v>80</v>
      </c>
      <c r="U50" s="156">
        <f>G55</f>
        <v>0.65343025137468802</v>
      </c>
      <c r="V50" s="156" t="s">
        <v>80</v>
      </c>
      <c r="W50" s="156"/>
    </row>
    <row r="51" spans="1:23" x14ac:dyDescent="0.25">
      <c r="B51" s="160"/>
      <c r="C51" s="206"/>
      <c r="D51" s="158"/>
      <c r="E51" s="158"/>
      <c r="F51" s="158"/>
      <c r="G51" s="158"/>
      <c r="H51" s="159"/>
      <c r="P51" s="156" t="s">
        <v>101</v>
      </c>
      <c r="Q51" s="156"/>
      <c r="R51" s="156" t="s">
        <v>81</v>
      </c>
      <c r="S51" s="156"/>
      <c r="T51" s="156" t="s">
        <v>81</v>
      </c>
      <c r="U51" s="156">
        <f>G56</f>
        <v>0.55549031663728621</v>
      </c>
      <c r="V51" s="156" t="s">
        <v>81</v>
      </c>
      <c r="W51" s="156"/>
    </row>
    <row r="52" spans="1:23" ht="15.75" thickBot="1" x14ac:dyDescent="0.3">
      <c r="B52" s="157" t="s">
        <v>64</v>
      </c>
      <c r="C52" s="206">
        <v>39</v>
      </c>
      <c r="D52" s="158">
        <f>O34</f>
        <v>0.11453657115604798</v>
      </c>
      <c r="E52" s="158">
        <f>O35</f>
        <v>2.9368351578473841E-3</v>
      </c>
      <c r="F52" s="158"/>
      <c r="G52" s="158">
        <f>O37</f>
        <v>0.13803125241882705</v>
      </c>
      <c r="H52" s="159">
        <f>O39</f>
        <v>21.536844783056168</v>
      </c>
      <c r="P52" s="156" t="s">
        <v>100</v>
      </c>
      <c r="Q52" s="156"/>
      <c r="R52" s="156" t="s">
        <v>82</v>
      </c>
      <c r="S52" s="156"/>
      <c r="T52" s="156" t="s">
        <v>82</v>
      </c>
      <c r="U52" s="156">
        <f>G57</f>
        <v>0.47867446031834016</v>
      </c>
      <c r="V52" s="156" t="s">
        <v>82</v>
      </c>
      <c r="W52" s="156"/>
    </row>
    <row r="53" spans="1:23" ht="15.75" thickBot="1" x14ac:dyDescent="0.3">
      <c r="B53" s="161"/>
      <c r="C53" s="162"/>
      <c r="D53" s="162"/>
      <c r="E53" s="162"/>
      <c r="F53" s="162"/>
      <c r="G53" s="162"/>
      <c r="H53" s="161"/>
      <c r="P53" s="156" t="s">
        <v>99</v>
      </c>
      <c r="Q53" s="156"/>
      <c r="R53" s="156"/>
      <c r="S53" s="156"/>
      <c r="T53" s="156"/>
      <c r="U53" s="156"/>
      <c r="V53" s="156" t="s">
        <v>86</v>
      </c>
      <c r="W53" s="156">
        <f>I55</f>
        <v>0.56932832606322292</v>
      </c>
    </row>
    <row r="54" spans="1:23" ht="15.75" thickBot="1" x14ac:dyDescent="0.3">
      <c r="B54" s="234" t="s">
        <v>146</v>
      </c>
      <c r="C54" s="235"/>
      <c r="D54" s="235"/>
      <c r="E54" s="235"/>
      <c r="F54" s="235"/>
      <c r="G54" s="235"/>
      <c r="H54" s="235"/>
      <c r="I54" s="236"/>
      <c r="P54" s="156" t="s">
        <v>98</v>
      </c>
      <c r="Q54" s="156"/>
      <c r="R54" s="156"/>
      <c r="S54" s="156"/>
      <c r="T54" s="156"/>
      <c r="U54" s="156"/>
      <c r="V54" s="156" t="s">
        <v>87</v>
      </c>
      <c r="W54" s="156">
        <f>I56</f>
        <v>0.50782470060818474</v>
      </c>
    </row>
    <row r="55" spans="1:23" x14ac:dyDescent="0.25">
      <c r="B55" s="107" t="s">
        <v>94</v>
      </c>
      <c r="C55" s="149">
        <f>AVERAGE(M7:M9)</f>
        <v>0.52423386115854331</v>
      </c>
      <c r="D55" s="163" t="s">
        <v>105</v>
      </c>
      <c r="E55" s="149">
        <f>AVERAGE(M7,M10,M13)</f>
        <v>0.61388778967375079</v>
      </c>
      <c r="F55" s="163" t="s">
        <v>102</v>
      </c>
      <c r="G55" s="149">
        <f>AVERAGE(M7,M12,M14)</f>
        <v>0.65343025137468802</v>
      </c>
      <c r="H55" s="163" t="s">
        <v>99</v>
      </c>
      <c r="I55" s="151">
        <f>AVERAGE(M7,M11,M15)</f>
        <v>0.56932832606322292</v>
      </c>
      <c r="P55" s="156" t="s">
        <v>97</v>
      </c>
      <c r="Q55" s="156"/>
      <c r="R55" s="156"/>
      <c r="S55" s="156"/>
      <c r="T55" s="156"/>
      <c r="U55" s="156"/>
      <c r="V55" s="156" t="s">
        <v>88</v>
      </c>
      <c r="W55" s="156">
        <f>I57</f>
        <v>0.61044200165890672</v>
      </c>
    </row>
    <row r="56" spans="1:23" x14ac:dyDescent="0.25">
      <c r="B56" s="107" t="s">
        <v>95</v>
      </c>
      <c r="C56" s="149">
        <f>AVERAGE(M10:M12)</f>
        <v>0.63991215674689894</v>
      </c>
      <c r="D56" s="163" t="s">
        <v>104</v>
      </c>
      <c r="E56" s="149">
        <f>AVERAGE(M8,M11,M14)</f>
        <v>0.51076043564058582</v>
      </c>
      <c r="F56" s="163" t="s">
        <v>101</v>
      </c>
      <c r="G56" s="149">
        <f>AVERAGE(M8,M10,M15)</f>
        <v>0.55549031663728621</v>
      </c>
      <c r="H56" s="163" t="s">
        <v>98</v>
      </c>
      <c r="I56" s="151">
        <f>AVERAGE(M8,M12:M13)</f>
        <v>0.50782470060818474</v>
      </c>
    </row>
    <row r="57" spans="1:23" ht="15.75" thickBot="1" x14ac:dyDescent="0.3">
      <c r="B57" s="111" t="s">
        <v>96</v>
      </c>
      <c r="C57" s="164">
        <f>AVERAGE(M13:M15)</f>
        <v>0.52344901042487202</v>
      </c>
      <c r="D57" s="165" t="s">
        <v>103</v>
      </c>
      <c r="E57" s="164">
        <f>AVERAGE(M9,M12,M15)</f>
        <v>0.56294680301597777</v>
      </c>
      <c r="F57" s="165" t="s">
        <v>100</v>
      </c>
      <c r="G57" s="164">
        <f>AVERAGE(M9,M11,M13)</f>
        <v>0.47867446031834016</v>
      </c>
      <c r="H57" s="165" t="s">
        <v>97</v>
      </c>
      <c r="I57" s="153">
        <f>AVERAGE(M9:M10,M14)</f>
        <v>0.61044200165890672</v>
      </c>
    </row>
    <row r="58" spans="1:23" ht="15.75" thickBot="1" x14ac:dyDescent="0.3">
      <c r="C58" s="105"/>
      <c r="H58" s="133"/>
      <c r="I58" s="133"/>
    </row>
    <row r="59" spans="1:23" ht="16.5" thickTop="1" thickBot="1" x14ac:dyDescent="0.3">
      <c r="B59" s="239" t="s">
        <v>74</v>
      </c>
      <c r="C59" s="240"/>
      <c r="D59" s="240"/>
      <c r="E59" s="240"/>
      <c r="F59" s="240"/>
      <c r="G59" s="240"/>
      <c r="H59" s="241"/>
    </row>
    <row r="60" spans="1:23" ht="15.75" thickTop="1" x14ac:dyDescent="0.25">
      <c r="B60" s="242" t="s">
        <v>0</v>
      </c>
      <c r="C60" s="243"/>
      <c r="D60" s="243"/>
      <c r="E60" s="243" t="s">
        <v>75</v>
      </c>
      <c r="F60" s="243"/>
      <c r="G60" s="243"/>
      <c r="H60" s="244"/>
    </row>
    <row r="61" spans="1:23" ht="15.75" thickBot="1" x14ac:dyDescent="0.3">
      <c r="B61" s="249">
        <v>2113</v>
      </c>
      <c r="C61" s="250"/>
      <c r="D61" s="250"/>
      <c r="E61" s="251">
        <f>L18+(C56-L18)+(E55-L18)+(G55-L18)+(I57-L18)</f>
        <v>0.79431536386864054</v>
      </c>
      <c r="F61" s="251"/>
      <c r="G61" s="251"/>
      <c r="H61" s="252"/>
      <c r="I61" s="166"/>
    </row>
    <row r="62" spans="1:23" s="144" customFormat="1" ht="15.75" thickTop="1" x14ac:dyDescent="0.25"/>
    <row r="63" spans="1:23" s="144" customFormat="1" x14ac:dyDescent="0.25">
      <c r="A63" s="228" t="s">
        <v>78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</row>
    <row r="64" spans="1:23" x14ac:dyDescent="0.2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</row>
    <row r="65" spans="2:24" ht="15.75" thickBot="1" x14ac:dyDescent="0.3">
      <c r="B65" s="198"/>
      <c r="C65" s="198"/>
      <c r="D65" s="198"/>
      <c r="E65" s="198"/>
      <c r="F65" s="198"/>
      <c r="H65" s="156"/>
      <c r="I65" s="156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2:24" x14ac:dyDescent="0.25">
      <c r="B66" s="253" t="s">
        <v>19</v>
      </c>
      <c r="C66" s="253" t="s">
        <v>20</v>
      </c>
      <c r="D66" s="253" t="s">
        <v>21</v>
      </c>
      <c r="E66" s="253" t="s">
        <v>7</v>
      </c>
      <c r="F66" s="253" t="s">
        <v>106</v>
      </c>
      <c r="G66" s="225" t="s">
        <v>24</v>
      </c>
      <c r="H66" s="227"/>
      <c r="J66" s="167" t="s">
        <v>47</v>
      </c>
      <c r="K66" s="189">
        <v>9</v>
      </c>
      <c r="L66" s="190" t="s">
        <v>53</v>
      </c>
      <c r="M66" s="191">
        <v>2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2:24" ht="15.75" thickBot="1" x14ac:dyDescent="0.3">
      <c r="B67" s="254"/>
      <c r="C67" s="254"/>
      <c r="D67" s="254"/>
      <c r="E67" s="254"/>
      <c r="F67" s="254"/>
      <c r="G67" s="135" t="s">
        <v>6</v>
      </c>
      <c r="H67" s="137" t="s">
        <v>23</v>
      </c>
      <c r="J67" s="168" t="s">
        <v>51</v>
      </c>
      <c r="K67" s="192">
        <f>1*K66</f>
        <v>9</v>
      </c>
      <c r="L67" s="193" t="s">
        <v>49</v>
      </c>
      <c r="M67" s="199">
        <v>0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2:24" x14ac:dyDescent="0.25">
      <c r="B68" s="177">
        <v>1</v>
      </c>
      <c r="C68" s="178">
        <v>1</v>
      </c>
      <c r="D68" s="179">
        <v>1</v>
      </c>
      <c r="E68" s="179">
        <v>1</v>
      </c>
      <c r="F68" s="180">
        <v>1</v>
      </c>
      <c r="G68" s="87">
        <f>T7</f>
        <v>-3.4541543746911567</v>
      </c>
      <c r="H68" s="54">
        <f>U7</f>
        <v>11.931182444198056</v>
      </c>
      <c r="J68" s="168" t="s">
        <v>48</v>
      </c>
      <c r="K68" s="192">
        <f>K67-1</f>
        <v>8</v>
      </c>
      <c r="L68" s="193" t="s">
        <v>50</v>
      </c>
      <c r="M68" s="194">
        <v>2</v>
      </c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2:24" x14ac:dyDescent="0.25">
      <c r="B69" s="181">
        <v>2</v>
      </c>
      <c r="C69" s="182">
        <v>1</v>
      </c>
      <c r="D69" s="183">
        <v>2</v>
      </c>
      <c r="E69" s="183">
        <v>2</v>
      </c>
      <c r="F69" s="184">
        <v>2</v>
      </c>
      <c r="G69" s="90">
        <f>T8</f>
        <v>-7.9382421700811641</v>
      </c>
      <c r="H69" s="93">
        <f t="shared" ref="H69:H76" si="4">U8</f>
        <v>63.015688750854906</v>
      </c>
      <c r="J69" s="150" t="s">
        <v>54</v>
      </c>
      <c r="K69" s="195">
        <v>2</v>
      </c>
      <c r="L69" s="196" t="s">
        <v>114</v>
      </c>
      <c r="M69" s="200">
        <v>2</v>
      </c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2:24" x14ac:dyDescent="0.25">
      <c r="B70" s="181">
        <v>3</v>
      </c>
      <c r="C70" s="182">
        <v>1</v>
      </c>
      <c r="D70" s="183">
        <v>3</v>
      </c>
      <c r="E70" s="183">
        <v>3</v>
      </c>
      <c r="F70" s="184">
        <v>3</v>
      </c>
      <c r="G70" s="90">
        <f t="shared" ref="G70:G76" si="5">T9</f>
        <v>-6.310546208645313</v>
      </c>
      <c r="H70" s="93">
        <f t="shared" si="4"/>
        <v>39.822993451447736</v>
      </c>
      <c r="J70" s="144"/>
      <c r="K70" s="201"/>
      <c r="L70" s="201"/>
      <c r="M70" s="201"/>
      <c r="N70" s="144"/>
      <c r="O70" s="144"/>
    </row>
    <row r="71" spans="2:24" x14ac:dyDescent="0.25">
      <c r="B71" s="181">
        <v>4</v>
      </c>
      <c r="C71" s="182">
        <v>2</v>
      </c>
      <c r="D71" s="183">
        <v>1</v>
      </c>
      <c r="E71" s="183">
        <v>2</v>
      </c>
      <c r="F71" s="184">
        <v>3</v>
      </c>
      <c r="G71" s="90">
        <f t="shared" si="5"/>
        <v>-2.7480903228289035</v>
      </c>
      <c r="H71" s="93">
        <f t="shared" si="4"/>
        <v>7.5520004224258672</v>
      </c>
    </row>
    <row r="72" spans="2:24" x14ac:dyDescent="0.25">
      <c r="B72" s="181">
        <v>5</v>
      </c>
      <c r="C72" s="182">
        <v>2</v>
      </c>
      <c r="D72" s="183">
        <v>2</v>
      </c>
      <c r="E72" s="183">
        <v>3</v>
      </c>
      <c r="F72" s="184">
        <v>1</v>
      </c>
      <c r="G72" s="90">
        <f t="shared" si="5"/>
        <v>-5.8923088013003966</v>
      </c>
      <c r="H72" s="93">
        <f t="shared" si="4"/>
        <v>34.719303009882118</v>
      </c>
    </row>
    <row r="73" spans="2:24" x14ac:dyDescent="0.25">
      <c r="B73" s="181">
        <v>6</v>
      </c>
      <c r="C73" s="182">
        <v>2</v>
      </c>
      <c r="D73" s="183">
        <v>3</v>
      </c>
      <c r="E73" s="183">
        <v>1</v>
      </c>
      <c r="F73" s="184">
        <v>2</v>
      </c>
      <c r="G73" s="90">
        <f t="shared" si="5"/>
        <v>-3.3976586009269432</v>
      </c>
      <c r="H73" s="93">
        <f t="shared" si="4"/>
        <v>11.544083968452833</v>
      </c>
    </row>
    <row r="74" spans="2:24" x14ac:dyDescent="0.25">
      <c r="B74" s="181">
        <v>7</v>
      </c>
      <c r="C74" s="182">
        <v>3</v>
      </c>
      <c r="D74" s="183">
        <v>1</v>
      </c>
      <c r="E74" s="183">
        <v>3</v>
      </c>
      <c r="F74" s="184">
        <v>2</v>
      </c>
      <c r="G74" s="90">
        <f t="shared" si="5"/>
        <v>-7.8052146126038826</v>
      </c>
      <c r="H74" s="93">
        <f t="shared" si="4"/>
        <v>60.921375148805176</v>
      </c>
    </row>
    <row r="75" spans="2:24" x14ac:dyDescent="0.25">
      <c r="B75" s="181">
        <v>8</v>
      </c>
      <c r="C75" s="182">
        <v>3</v>
      </c>
      <c r="D75" s="183">
        <v>2</v>
      </c>
      <c r="E75" s="183">
        <v>1</v>
      </c>
      <c r="F75" s="184">
        <v>3</v>
      </c>
      <c r="G75" s="90">
        <f t="shared" si="5"/>
        <v>-4.3148659886965977</v>
      </c>
      <c r="H75" s="93">
        <f t="shared" si="4"/>
        <v>18.618068500410669</v>
      </c>
    </row>
    <row r="76" spans="2:24" ht="15.75" thickBot="1" x14ac:dyDescent="0.3">
      <c r="B76" s="185">
        <v>9</v>
      </c>
      <c r="C76" s="186">
        <v>3</v>
      </c>
      <c r="D76" s="187">
        <v>3</v>
      </c>
      <c r="E76" s="187">
        <v>2</v>
      </c>
      <c r="F76" s="188">
        <v>1</v>
      </c>
      <c r="G76" s="169">
        <f t="shared" si="5"/>
        <v>-5.6973444012500964</v>
      </c>
      <c r="H76" s="56">
        <f t="shared" si="4"/>
        <v>32.459733226455818</v>
      </c>
    </row>
    <row r="77" spans="2:24" x14ac:dyDescent="0.25">
      <c r="F77" s="170" t="s">
        <v>41</v>
      </c>
      <c r="G77" s="89">
        <f>SUM(G68:G76)</f>
        <v>-47.55842548102445</v>
      </c>
      <c r="H77" s="170" t="s">
        <v>70</v>
      </c>
      <c r="I77" s="89">
        <f>G77/9</f>
        <v>-5.2842694978916054</v>
      </c>
      <c r="M77" s="171"/>
    </row>
    <row r="78" spans="2:24" ht="15.75" thickBot="1" x14ac:dyDescent="0.3">
      <c r="E78" s="151"/>
      <c r="F78" s="172" t="s">
        <v>43</v>
      </c>
      <c r="G78" s="138">
        <f>G77^2/K67</f>
        <v>251.3115371371284</v>
      </c>
      <c r="H78" s="102"/>
      <c r="M78" s="171"/>
    </row>
    <row r="79" spans="2:24" ht="15.75" thickBot="1" x14ac:dyDescent="0.3">
      <c r="E79" s="102"/>
      <c r="F79" s="162"/>
      <c r="G79" s="102"/>
      <c r="L79" s="171"/>
    </row>
    <row r="80" spans="2:24" ht="15.75" thickBot="1" x14ac:dyDescent="0.3">
      <c r="B80" s="234" t="s">
        <v>152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6"/>
    </row>
    <row r="81" spans="2:15" x14ac:dyDescent="0.25">
      <c r="B81" s="255" t="s">
        <v>71</v>
      </c>
      <c r="C81" s="256"/>
      <c r="D81" s="105"/>
      <c r="E81" s="257" t="s">
        <v>117</v>
      </c>
      <c r="F81" s="258"/>
      <c r="G81" s="105"/>
      <c r="H81" s="255" t="s">
        <v>107</v>
      </c>
      <c r="I81" s="256"/>
      <c r="J81" s="105"/>
      <c r="K81" s="255" t="s">
        <v>108</v>
      </c>
      <c r="L81" s="256"/>
      <c r="M81" s="106"/>
      <c r="N81" s="259" t="s">
        <v>64</v>
      </c>
      <c r="O81" s="260"/>
    </row>
    <row r="82" spans="2:15" x14ac:dyDescent="0.25">
      <c r="B82" s="107" t="s">
        <v>33</v>
      </c>
      <c r="C82" s="108">
        <f>(SUM(G68:G70)^2/3+SUM(G71:G73)^2/3+SUM(G74:G76)^2/3)-SUM(G68:G76)^2/9</f>
        <v>7.2783460775657716</v>
      </c>
      <c r="D82" s="105"/>
      <c r="E82" s="109" t="s">
        <v>30</v>
      </c>
      <c r="F82" s="110">
        <f>(SUM(G68,G71,G74)^2/3+SUM(G69,G72,G75)^2/3+SUM(G70,G73,G76)^2/3)-SUM(G68:G76)^2/9</f>
        <v>2.9538026851846837</v>
      </c>
      <c r="G82" s="105"/>
      <c r="H82" s="107" t="s">
        <v>36</v>
      </c>
      <c r="I82" s="108">
        <f>(SUM(G68,G73,G75)^2/3+SUM(G69,G71,G76)^2/3+SUM(G70,G72,G74)^2/3)-SUM(G68:G76)^2/9</f>
        <v>13.169275424570884</v>
      </c>
      <c r="J82" s="105"/>
      <c r="K82" s="107" t="s">
        <v>109</v>
      </c>
      <c r="L82" s="108">
        <f>(SUM(G68,G72,G76)^2/3+SUM(G69,G73:G74)^2/3+SUM(G70:G71,G75)^2/3)-SUM(G68:G76)^2/9</f>
        <v>5.8714675984836333</v>
      </c>
      <c r="M82" s="105"/>
      <c r="N82" s="107" t="s">
        <v>92</v>
      </c>
      <c r="O82" s="108">
        <f>C86-(C82+I82+L82)</f>
        <v>2.9538026851844847</v>
      </c>
    </row>
    <row r="83" spans="2:15" x14ac:dyDescent="0.25">
      <c r="B83" s="107" t="s">
        <v>34</v>
      </c>
      <c r="C83" s="108">
        <f>C82/M66</f>
        <v>3.6391730387828858</v>
      </c>
      <c r="D83" s="105"/>
      <c r="E83" s="109" t="s">
        <v>31</v>
      </c>
      <c r="F83" s="110"/>
      <c r="G83" s="105"/>
      <c r="H83" s="107" t="s">
        <v>37</v>
      </c>
      <c r="I83" s="108">
        <f>I82/M68</f>
        <v>6.584637712285442</v>
      </c>
      <c r="J83" s="105"/>
      <c r="K83" s="107" t="s">
        <v>110</v>
      </c>
      <c r="L83" s="108">
        <f>L82/M69</f>
        <v>2.9357337992418167</v>
      </c>
      <c r="M83" s="105"/>
      <c r="N83" s="107" t="s">
        <v>52</v>
      </c>
      <c r="O83" s="108">
        <f>O82/K69</f>
        <v>1.4769013425922424</v>
      </c>
    </row>
    <row r="84" spans="2:15" x14ac:dyDescent="0.25">
      <c r="B84" s="107" t="s">
        <v>35</v>
      </c>
      <c r="C84" s="108">
        <f>C83/O83</f>
        <v>2.4640596726626613</v>
      </c>
      <c r="D84" s="105"/>
      <c r="E84" s="109" t="s">
        <v>32</v>
      </c>
      <c r="F84" s="110"/>
      <c r="G84" s="105"/>
      <c r="H84" s="107" t="s">
        <v>38</v>
      </c>
      <c r="I84" s="108">
        <f>I83/O83</f>
        <v>4.4584140608391296</v>
      </c>
      <c r="J84" s="105"/>
      <c r="K84" s="107" t="s">
        <v>111</v>
      </c>
      <c r="L84" s="108">
        <f>L83/O83</f>
        <v>1.9877656784366153</v>
      </c>
      <c r="M84" s="105"/>
      <c r="N84" s="107"/>
      <c r="O84" s="108"/>
    </row>
    <row r="85" spans="2:15" x14ac:dyDescent="0.25">
      <c r="B85" s="107" t="s">
        <v>25</v>
      </c>
      <c r="C85" s="108">
        <f>C82-(M66*O83)</f>
        <v>4.3245433923812868</v>
      </c>
      <c r="D85" s="105"/>
      <c r="E85" s="109" t="s">
        <v>28</v>
      </c>
      <c r="F85" s="110"/>
      <c r="G85" s="105"/>
      <c r="H85" s="107" t="s">
        <v>39</v>
      </c>
      <c r="I85" s="108">
        <f>I82-(M68*O83)</f>
        <v>10.215472739386399</v>
      </c>
      <c r="J85" s="105"/>
      <c r="K85" s="107" t="s">
        <v>112</v>
      </c>
      <c r="L85" s="108">
        <f>L82-(M69*O83)</f>
        <v>2.9176649132991486</v>
      </c>
      <c r="M85" s="105"/>
      <c r="N85" s="107" t="s">
        <v>56</v>
      </c>
      <c r="O85" s="108">
        <f>O82+(6*O83)</f>
        <v>11.815210740737939</v>
      </c>
    </row>
    <row r="86" spans="2:15" x14ac:dyDescent="0.25">
      <c r="B86" s="107" t="s">
        <v>26</v>
      </c>
      <c r="C86" s="108">
        <f>SUM(H68:H76)-SUM(G68:G76)^2/9</f>
        <v>29.272891785804774</v>
      </c>
      <c r="D86" s="105"/>
      <c r="E86" s="109"/>
      <c r="F86" s="110"/>
      <c r="G86" s="105"/>
      <c r="H86" s="107"/>
      <c r="I86" s="108"/>
      <c r="J86" s="105"/>
      <c r="K86" s="107"/>
      <c r="L86" s="108"/>
      <c r="M86" s="105"/>
      <c r="N86" s="107"/>
      <c r="O86" s="108"/>
    </row>
    <row r="87" spans="2:15" ht="15.75" thickBot="1" x14ac:dyDescent="0.3">
      <c r="B87" s="111" t="s">
        <v>27</v>
      </c>
      <c r="C87" s="112">
        <f>C82*100/C86</f>
        <v>24.863775437093103</v>
      </c>
      <c r="D87" s="113"/>
      <c r="E87" s="114" t="s">
        <v>29</v>
      </c>
      <c r="F87" s="115"/>
      <c r="G87" s="113"/>
      <c r="H87" s="111" t="s">
        <v>40</v>
      </c>
      <c r="I87" s="112">
        <f>I82*100/C86</f>
        <v>44.98795513929042</v>
      </c>
      <c r="J87" s="113"/>
      <c r="K87" s="111" t="s">
        <v>113</v>
      </c>
      <c r="L87" s="112">
        <f>L82*100/C86</f>
        <v>20.05769584175783</v>
      </c>
      <c r="M87" s="113"/>
      <c r="N87" s="111" t="s">
        <v>57</v>
      </c>
      <c r="O87" s="112">
        <f>O82*100/C86</f>
        <v>10.090573581858642</v>
      </c>
    </row>
    <row r="88" spans="2:15" x14ac:dyDescent="0.25">
      <c r="B88" s="105"/>
      <c r="C88" s="105"/>
      <c r="D88" s="105"/>
      <c r="E88" s="105"/>
      <c r="F88" s="116"/>
      <c r="G88" s="105"/>
      <c r="H88" s="105"/>
      <c r="I88" s="105"/>
      <c r="J88" s="105"/>
      <c r="K88" s="105"/>
      <c r="L88" s="106"/>
      <c r="M88" s="105"/>
      <c r="N88" s="105"/>
      <c r="O88" s="116"/>
    </row>
    <row r="89" spans="2:15" ht="15.75" thickBot="1" x14ac:dyDescent="0.3">
      <c r="B89" s="105"/>
      <c r="C89" s="105"/>
      <c r="D89" s="105"/>
      <c r="E89" s="105"/>
      <c r="F89" s="116"/>
      <c r="G89" s="105"/>
      <c r="H89" s="105"/>
      <c r="I89" s="105"/>
      <c r="J89" s="105"/>
      <c r="K89" s="105"/>
      <c r="L89" s="106"/>
      <c r="M89" s="105"/>
      <c r="N89" s="105"/>
      <c r="O89" s="116"/>
    </row>
    <row r="90" spans="2:15" ht="15.75" thickBot="1" x14ac:dyDescent="0.3">
      <c r="B90" s="234" t="s">
        <v>151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6"/>
    </row>
    <row r="91" spans="2:15" x14ac:dyDescent="0.25">
      <c r="B91" s="261" t="s">
        <v>71</v>
      </c>
      <c r="C91" s="262"/>
      <c r="D91" s="105"/>
      <c r="E91" s="255"/>
      <c r="F91" s="256"/>
      <c r="G91" s="105"/>
      <c r="H91" s="255" t="s">
        <v>107</v>
      </c>
      <c r="I91" s="256"/>
      <c r="J91" s="117"/>
      <c r="K91" s="255" t="s">
        <v>108</v>
      </c>
      <c r="L91" s="263"/>
      <c r="M91" s="105"/>
      <c r="N91" s="259" t="s">
        <v>64</v>
      </c>
      <c r="O91" s="260"/>
    </row>
    <row r="92" spans="2:15" x14ac:dyDescent="0.25">
      <c r="B92" s="109" t="s">
        <v>33</v>
      </c>
      <c r="C92" s="110"/>
      <c r="D92" s="105"/>
      <c r="E92" s="109"/>
      <c r="F92" s="110"/>
      <c r="G92" s="105"/>
      <c r="H92" s="107" t="s">
        <v>36</v>
      </c>
      <c r="I92" s="108">
        <f>(SUM(G68,G73,G75)^2/3+SUM(G69,G71,G76)^2/3+SUM(G70,G72,G74)^2/3)-SUM(G68:G76)^2/9</f>
        <v>13.169275424570884</v>
      </c>
      <c r="J92" s="118"/>
      <c r="K92" s="107" t="s">
        <v>109</v>
      </c>
      <c r="L92" s="119">
        <f>L82</f>
        <v>5.8714675984836333</v>
      </c>
      <c r="M92" s="105"/>
      <c r="N92" s="107" t="s">
        <v>92</v>
      </c>
      <c r="O92" s="108">
        <f>O82+C82</f>
        <v>10.232148762750256</v>
      </c>
    </row>
    <row r="93" spans="2:15" x14ac:dyDescent="0.25">
      <c r="B93" s="109" t="s">
        <v>34</v>
      </c>
      <c r="C93" s="110"/>
      <c r="D93" s="105"/>
      <c r="E93" s="109"/>
      <c r="F93" s="110"/>
      <c r="G93" s="105"/>
      <c r="H93" s="107" t="s">
        <v>37</v>
      </c>
      <c r="I93" s="108">
        <f>I92/M68</f>
        <v>6.584637712285442</v>
      </c>
      <c r="J93" s="118"/>
      <c r="K93" s="107" t="s">
        <v>110</v>
      </c>
      <c r="L93" s="119">
        <f>L92/M69</f>
        <v>2.9357337992418167</v>
      </c>
      <c r="M93" s="105"/>
      <c r="N93" s="107" t="s">
        <v>52</v>
      </c>
      <c r="O93" s="108">
        <f>O92/(K69+2)</f>
        <v>2.5580371906875641</v>
      </c>
    </row>
    <row r="94" spans="2:15" x14ac:dyDescent="0.25">
      <c r="B94" s="109" t="s">
        <v>35</v>
      </c>
      <c r="C94" s="110"/>
      <c r="D94" s="105"/>
      <c r="E94" s="109"/>
      <c r="F94" s="110"/>
      <c r="G94" s="105"/>
      <c r="H94" s="107" t="s">
        <v>38</v>
      </c>
      <c r="I94" s="108">
        <f>I93/O93</f>
        <v>2.5740977247150911</v>
      </c>
      <c r="J94" s="118"/>
      <c r="K94" s="107" t="s">
        <v>111</v>
      </c>
      <c r="L94" s="119">
        <f>L93/O93</f>
        <v>1.1476509450015984</v>
      </c>
      <c r="M94" s="105"/>
      <c r="N94" s="107"/>
      <c r="O94" s="108"/>
    </row>
    <row r="95" spans="2:15" x14ac:dyDescent="0.25">
      <c r="B95" s="109" t="s">
        <v>25</v>
      </c>
      <c r="C95" s="110"/>
      <c r="D95" s="105"/>
      <c r="E95" s="109"/>
      <c r="F95" s="110"/>
      <c r="G95" s="105"/>
      <c r="H95" s="107" t="s">
        <v>39</v>
      </c>
      <c r="I95" s="108">
        <f>I92-(M68*O93)</f>
        <v>8.0532010431957559</v>
      </c>
      <c r="J95" s="118"/>
      <c r="K95" s="107" t="s">
        <v>112</v>
      </c>
      <c r="L95" s="119">
        <f>L92-M69*O93</f>
        <v>0.75539321710850516</v>
      </c>
      <c r="M95" s="105"/>
      <c r="N95" s="107" t="s">
        <v>56</v>
      </c>
      <c r="O95" s="108">
        <f>O92+(4*O93)</f>
        <v>20.464297525500513</v>
      </c>
    </row>
    <row r="96" spans="2:15" x14ac:dyDescent="0.25">
      <c r="B96" s="109" t="s">
        <v>26</v>
      </c>
      <c r="C96" s="110">
        <f>C86</f>
        <v>29.272891785804774</v>
      </c>
      <c r="D96" s="105"/>
      <c r="E96" s="109"/>
      <c r="F96" s="110"/>
      <c r="G96" s="105"/>
      <c r="H96" s="107"/>
      <c r="I96" s="108"/>
      <c r="J96" s="118"/>
      <c r="K96" s="107"/>
      <c r="L96" s="119"/>
      <c r="M96" s="105"/>
      <c r="N96" s="107"/>
      <c r="O96" s="108"/>
    </row>
    <row r="97" spans="2:17" ht="15.75" thickBot="1" x14ac:dyDescent="0.3">
      <c r="B97" s="114" t="s">
        <v>27</v>
      </c>
      <c r="C97" s="115"/>
      <c r="D97" s="113"/>
      <c r="E97" s="114"/>
      <c r="F97" s="115"/>
      <c r="G97" s="113"/>
      <c r="H97" s="111" t="s">
        <v>40</v>
      </c>
      <c r="I97" s="112">
        <f>I92*100/C96</f>
        <v>44.98795513929042</v>
      </c>
      <c r="J97" s="120"/>
      <c r="K97" s="111" t="s">
        <v>113</v>
      </c>
      <c r="L97" s="121">
        <f>L92/C96*100</f>
        <v>20.05769584175783</v>
      </c>
      <c r="M97" s="113"/>
      <c r="N97" s="111" t="s">
        <v>57</v>
      </c>
      <c r="O97" s="112">
        <f>O92*100/C96</f>
        <v>34.954349018951746</v>
      </c>
    </row>
    <row r="98" spans="2:17" x14ac:dyDescent="0.25">
      <c r="B98" s="105"/>
      <c r="C98" s="105"/>
      <c r="D98" s="105"/>
      <c r="E98" s="106"/>
      <c r="F98" s="106"/>
      <c r="G98" s="105"/>
      <c r="H98" s="105"/>
      <c r="I98" s="105"/>
      <c r="J98" s="105"/>
      <c r="K98" s="106"/>
      <c r="L98" s="106"/>
      <c r="M98" s="105"/>
      <c r="N98" s="105"/>
      <c r="O98" s="116"/>
    </row>
    <row r="99" spans="2:17" ht="15.75" thickBot="1" x14ac:dyDescent="0.3">
      <c r="B99" s="105"/>
      <c r="C99" s="105"/>
      <c r="D99" s="105"/>
      <c r="E99" s="106"/>
      <c r="F99" s="106"/>
      <c r="G99" s="105"/>
      <c r="H99" s="105"/>
      <c r="I99" s="105"/>
      <c r="J99" s="105"/>
      <c r="K99" s="106"/>
      <c r="L99" s="106"/>
      <c r="M99" s="105"/>
      <c r="N99" s="105"/>
      <c r="O99" s="116"/>
    </row>
    <row r="100" spans="2:17" ht="15.75" thickBot="1" x14ac:dyDescent="0.3">
      <c r="B100" s="234" t="s">
        <v>150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6"/>
    </row>
    <row r="101" spans="2:17" x14ac:dyDescent="0.25">
      <c r="B101" s="255"/>
      <c r="C101" s="256"/>
      <c r="D101" s="105"/>
      <c r="E101" s="105"/>
      <c r="F101" s="105"/>
      <c r="G101" s="105"/>
      <c r="H101" s="255" t="s">
        <v>107</v>
      </c>
      <c r="I101" s="256"/>
      <c r="J101" s="105"/>
      <c r="K101" s="105"/>
      <c r="L101" s="106"/>
      <c r="M101" s="105"/>
      <c r="N101" s="259" t="s">
        <v>64</v>
      </c>
      <c r="O101" s="260"/>
    </row>
    <row r="102" spans="2:17" x14ac:dyDescent="0.25">
      <c r="B102" s="122"/>
      <c r="C102" s="110"/>
      <c r="D102" s="105"/>
      <c r="E102" s="105"/>
      <c r="F102" s="105"/>
      <c r="G102" s="105"/>
      <c r="H102" s="107" t="s">
        <v>36</v>
      </c>
      <c r="I102" s="108">
        <f>(SUM(G68,G73,G75)^2/3+SUM(G69,G71,G76)^2/3+SUM(G70,G72,G74)^2/3)-SUM(G68:G76)^2/9</f>
        <v>13.169275424570884</v>
      </c>
      <c r="J102" s="105"/>
      <c r="K102" s="105"/>
      <c r="L102" s="106"/>
      <c r="M102" s="105"/>
      <c r="N102" s="107" t="s">
        <v>92</v>
      </c>
      <c r="O102" s="108">
        <f>O92+L92</f>
        <v>16.10361636123389</v>
      </c>
    </row>
    <row r="103" spans="2:17" x14ac:dyDescent="0.25">
      <c r="B103" s="122"/>
      <c r="C103" s="110"/>
      <c r="D103" s="105"/>
      <c r="E103" s="105"/>
      <c r="F103" s="105"/>
      <c r="G103" s="105"/>
      <c r="H103" s="107" t="s">
        <v>37</v>
      </c>
      <c r="I103" s="108">
        <f>I102/2</f>
        <v>6.584637712285442</v>
      </c>
      <c r="J103" s="105"/>
      <c r="K103" s="105"/>
      <c r="L103" s="106"/>
      <c r="M103" s="105"/>
      <c r="N103" s="107" t="s">
        <v>52</v>
      </c>
      <c r="O103" s="108">
        <f>O102/6</f>
        <v>2.6839360602056481</v>
      </c>
    </row>
    <row r="104" spans="2:17" x14ac:dyDescent="0.25">
      <c r="B104" s="122"/>
      <c r="C104" s="110"/>
      <c r="D104" s="105"/>
      <c r="E104" s="105"/>
      <c r="F104" s="105"/>
      <c r="G104" s="105"/>
      <c r="H104" s="107" t="s">
        <v>38</v>
      </c>
      <c r="I104" s="108">
        <f>I103/O103</f>
        <v>2.4533511844469631</v>
      </c>
      <c r="J104" s="105"/>
      <c r="K104" s="105"/>
      <c r="L104" s="106"/>
      <c r="M104" s="105"/>
      <c r="N104" s="107"/>
      <c r="O104" s="108"/>
    </row>
    <row r="105" spans="2:17" x14ac:dyDescent="0.25">
      <c r="B105" s="122"/>
      <c r="C105" s="110"/>
      <c r="D105" s="105"/>
      <c r="E105" s="105"/>
      <c r="F105" s="105"/>
      <c r="G105" s="105"/>
      <c r="H105" s="107" t="s">
        <v>39</v>
      </c>
      <c r="I105" s="108">
        <f>I102-(2*O103)</f>
        <v>7.8014033041595878</v>
      </c>
      <c r="J105" s="105"/>
      <c r="K105" s="105"/>
      <c r="L105" s="106"/>
      <c r="M105" s="105"/>
      <c r="N105" s="107" t="s">
        <v>56</v>
      </c>
      <c r="O105" s="108">
        <f>O102+(2*O103)</f>
        <v>21.471488481645185</v>
      </c>
    </row>
    <row r="106" spans="2:17" x14ac:dyDescent="0.25">
      <c r="B106" s="122" t="s">
        <v>26</v>
      </c>
      <c r="C106" s="110">
        <f>C86</f>
        <v>29.272891785804774</v>
      </c>
      <c r="D106" s="105"/>
      <c r="E106" s="105"/>
      <c r="F106" s="105"/>
      <c r="G106" s="105"/>
      <c r="H106" s="107"/>
      <c r="I106" s="108"/>
      <c r="J106" s="105"/>
      <c r="K106" s="105"/>
      <c r="L106" s="106"/>
      <c r="M106" s="105"/>
      <c r="N106" s="107"/>
      <c r="O106" s="108"/>
      <c r="Q106" s="173"/>
    </row>
    <row r="107" spans="2:17" ht="15.75" thickBot="1" x14ac:dyDescent="0.3">
      <c r="B107" s="123"/>
      <c r="C107" s="115"/>
      <c r="D107" s="113"/>
      <c r="E107" s="113"/>
      <c r="F107" s="113"/>
      <c r="G107" s="113"/>
      <c r="H107" s="111" t="s">
        <v>40</v>
      </c>
      <c r="I107" s="112">
        <f>I105/C106</f>
        <v>0.26650606852387237</v>
      </c>
      <c r="J107" s="113"/>
      <c r="K107" s="113"/>
      <c r="L107" s="124"/>
      <c r="M107" s="113"/>
      <c r="N107" s="111" t="s">
        <v>57</v>
      </c>
      <c r="O107" s="125">
        <f>O105/C106</f>
        <v>0.73349393147612763</v>
      </c>
    </row>
    <row r="108" spans="2:17" x14ac:dyDescent="0.25">
      <c r="K108" s="171"/>
      <c r="N108" s="174"/>
    </row>
    <row r="109" spans="2:17" ht="15.75" thickBot="1" x14ac:dyDescent="0.3">
      <c r="K109" s="174"/>
      <c r="N109" s="174"/>
    </row>
    <row r="110" spans="2:17" ht="15.75" thickBot="1" x14ac:dyDescent="0.3">
      <c r="B110" s="222" t="s">
        <v>79</v>
      </c>
      <c r="C110" s="223"/>
      <c r="D110" s="223"/>
      <c r="E110" s="223"/>
      <c r="F110" s="223"/>
      <c r="G110" s="223"/>
      <c r="H110" s="224"/>
      <c r="K110" s="174"/>
      <c r="N110" s="174"/>
    </row>
    <row r="111" spans="2:17" x14ac:dyDescent="0.25">
      <c r="B111" s="245" t="s">
        <v>61</v>
      </c>
      <c r="C111" s="247" t="s">
        <v>147</v>
      </c>
      <c r="D111" s="247" t="s">
        <v>62</v>
      </c>
      <c r="E111" s="247" t="s">
        <v>59</v>
      </c>
      <c r="F111" s="247" t="s">
        <v>60</v>
      </c>
      <c r="G111" s="247" t="s">
        <v>63</v>
      </c>
      <c r="H111" s="237" t="s">
        <v>148</v>
      </c>
      <c r="K111" s="174"/>
      <c r="N111" s="174"/>
    </row>
    <row r="112" spans="2:17" x14ac:dyDescent="0.25">
      <c r="B112" s="246"/>
      <c r="C112" s="248"/>
      <c r="D112" s="248"/>
      <c r="E112" s="248"/>
      <c r="F112" s="248"/>
      <c r="G112" s="248"/>
      <c r="H112" s="238"/>
      <c r="K112" s="174"/>
      <c r="N112" s="174"/>
    </row>
    <row r="113" spans="1:14" x14ac:dyDescent="0.25">
      <c r="B113" s="157" t="s">
        <v>20</v>
      </c>
      <c r="C113" s="266"/>
      <c r="D113" s="266"/>
      <c r="E113" s="266"/>
      <c r="F113" s="266"/>
      <c r="G113" s="266"/>
      <c r="H113" s="267"/>
      <c r="K113" s="174"/>
      <c r="N113" s="174"/>
    </row>
    <row r="114" spans="1:14" x14ac:dyDescent="0.25">
      <c r="B114" s="157" t="s">
        <v>21</v>
      </c>
      <c r="C114" s="266"/>
      <c r="D114" s="266"/>
      <c r="E114" s="266"/>
      <c r="F114" s="266"/>
      <c r="G114" s="266"/>
      <c r="H114" s="267"/>
      <c r="K114" s="174"/>
      <c r="N114" s="174"/>
    </row>
    <row r="115" spans="1:14" x14ac:dyDescent="0.25">
      <c r="B115" s="157" t="s">
        <v>7</v>
      </c>
      <c r="C115" s="158"/>
      <c r="D115" s="158"/>
      <c r="E115" s="158"/>
      <c r="F115" s="158"/>
      <c r="G115" s="158"/>
      <c r="H115" s="205"/>
      <c r="K115" s="174"/>
      <c r="N115" s="174"/>
    </row>
    <row r="116" spans="1:14" x14ac:dyDescent="0.25">
      <c r="B116" s="157" t="s">
        <v>106</v>
      </c>
      <c r="C116" s="158"/>
      <c r="D116" s="158"/>
      <c r="E116" s="158"/>
      <c r="F116" s="158"/>
      <c r="G116" s="158"/>
      <c r="H116" s="205"/>
      <c r="K116" s="174"/>
      <c r="N116" s="174"/>
    </row>
    <row r="117" spans="1:14" x14ac:dyDescent="0.25">
      <c r="B117" s="160"/>
      <c r="C117" s="158"/>
      <c r="D117" s="158"/>
      <c r="E117" s="158"/>
      <c r="F117" s="158"/>
      <c r="G117" s="158"/>
      <c r="H117" s="205"/>
      <c r="K117" s="174"/>
      <c r="N117" s="174"/>
    </row>
    <row r="118" spans="1:14" ht="15.75" thickBot="1" x14ac:dyDescent="0.3">
      <c r="B118" s="175" t="s">
        <v>64</v>
      </c>
      <c r="C118" s="158"/>
      <c r="D118" s="176"/>
      <c r="E118" s="176"/>
      <c r="F118" s="176"/>
      <c r="G118" s="176"/>
      <c r="H118" s="204"/>
      <c r="K118" s="174"/>
      <c r="N118" s="174"/>
    </row>
    <row r="119" spans="1:14" x14ac:dyDescent="0.25">
      <c r="C119" s="132"/>
      <c r="K119" s="174"/>
      <c r="N119" s="174"/>
    </row>
    <row r="120" spans="1:14" x14ac:dyDescent="0.25">
      <c r="K120" s="174"/>
      <c r="N120" s="174"/>
    </row>
    <row r="121" spans="1:14" x14ac:dyDescent="0.25">
      <c r="K121" s="174"/>
      <c r="N121" s="174"/>
    </row>
    <row r="122" spans="1:14" x14ac:dyDescent="0.25">
      <c r="K122" s="174"/>
      <c r="N122" s="174"/>
    </row>
    <row r="123" spans="1:14" x14ac:dyDescent="0.25">
      <c r="K123" s="174"/>
      <c r="N123" s="174"/>
    </row>
    <row r="124" spans="1:14" ht="15.75" thickBot="1" x14ac:dyDescent="0.3">
      <c r="K124" s="174"/>
      <c r="N124" s="174"/>
    </row>
    <row r="125" spans="1:14" ht="15.75" thickTop="1" x14ac:dyDescent="0.25">
      <c r="A125" s="156"/>
      <c r="B125" s="268" t="s">
        <v>149</v>
      </c>
      <c r="C125" s="269"/>
      <c r="D125" s="269"/>
      <c r="E125" s="269"/>
      <c r="F125" s="269"/>
      <c r="G125" s="269"/>
      <c r="H125" s="270"/>
      <c r="K125" s="174"/>
      <c r="N125" s="174"/>
    </row>
    <row r="126" spans="1:14" x14ac:dyDescent="0.25">
      <c r="A126" s="156"/>
      <c r="B126" s="271" t="s">
        <v>76</v>
      </c>
      <c r="C126" s="272"/>
      <c r="D126" s="272"/>
      <c r="E126" s="272" t="s">
        <v>77</v>
      </c>
      <c r="F126" s="272"/>
      <c r="G126" s="272"/>
      <c r="H126" s="273"/>
      <c r="K126" s="174"/>
      <c r="N126" s="174"/>
    </row>
    <row r="127" spans="1:14" ht="15.75" thickBot="1" x14ac:dyDescent="0.3">
      <c r="A127" s="156"/>
      <c r="B127" s="274"/>
      <c r="C127" s="275"/>
      <c r="D127" s="275"/>
      <c r="E127" s="264"/>
      <c r="F127" s="264"/>
      <c r="G127" s="264"/>
      <c r="H127" s="265"/>
      <c r="K127" s="174"/>
      <c r="N127" s="174"/>
    </row>
    <row r="128" spans="1:14" ht="15.75" thickTop="1" x14ac:dyDescent="0.25">
      <c r="A128" s="156"/>
      <c r="B128" s="156"/>
      <c r="C128" s="156"/>
      <c r="D128" s="156"/>
      <c r="E128" s="156"/>
      <c r="F128" s="156"/>
      <c r="G128" s="156"/>
      <c r="H128" s="156"/>
      <c r="K128" s="174"/>
      <c r="N128" s="174"/>
    </row>
    <row r="129" spans="1:14" x14ac:dyDescent="0.25">
      <c r="A129" s="156"/>
      <c r="B129" s="156"/>
      <c r="C129" s="156"/>
      <c r="D129" s="156"/>
      <c r="E129" s="156"/>
      <c r="F129" s="156"/>
      <c r="G129" s="156"/>
      <c r="H129" s="156"/>
      <c r="K129" s="174"/>
      <c r="N129" s="174"/>
    </row>
    <row r="130" spans="1:14" x14ac:dyDescent="0.25">
      <c r="A130" s="156"/>
      <c r="B130" s="156"/>
      <c r="C130" s="156"/>
      <c r="D130" s="156"/>
      <c r="E130" s="156"/>
      <c r="F130" s="156"/>
      <c r="G130" s="156"/>
      <c r="H130" s="156"/>
      <c r="K130" s="174"/>
      <c r="N130" s="174"/>
    </row>
    <row r="131" spans="1:14" x14ac:dyDescent="0.25">
      <c r="A131" s="156"/>
      <c r="B131" s="156"/>
      <c r="C131" s="156"/>
      <c r="D131" s="156"/>
      <c r="E131" s="156"/>
      <c r="F131" s="156"/>
      <c r="G131" s="156"/>
      <c r="H131" s="156"/>
      <c r="K131" s="174"/>
      <c r="N131" s="174"/>
    </row>
    <row r="132" spans="1:14" x14ac:dyDescent="0.25">
      <c r="A132" s="156"/>
      <c r="B132" s="156"/>
      <c r="C132" s="156"/>
      <c r="D132" s="156"/>
      <c r="E132" s="156"/>
      <c r="F132" s="156"/>
      <c r="G132" s="156"/>
      <c r="H132" s="156"/>
      <c r="K132" s="174"/>
      <c r="N132" s="174"/>
    </row>
    <row r="133" spans="1:14" x14ac:dyDescent="0.25">
      <c r="A133" s="156"/>
      <c r="B133" s="156"/>
      <c r="C133" s="156"/>
      <c r="D133" s="156"/>
      <c r="E133" s="156"/>
      <c r="F133" s="156"/>
      <c r="G133" s="156"/>
      <c r="H133" s="156"/>
      <c r="K133" s="174"/>
      <c r="N133" s="174"/>
    </row>
    <row r="134" spans="1:14" x14ac:dyDescent="0.25">
      <c r="A134" s="156"/>
      <c r="B134" s="156"/>
      <c r="C134" s="156"/>
      <c r="D134" s="156"/>
      <c r="E134" s="156"/>
      <c r="F134" s="156"/>
      <c r="G134" s="156"/>
      <c r="H134" s="156"/>
      <c r="K134" s="174"/>
      <c r="N134" s="174"/>
    </row>
    <row r="135" spans="1:14" x14ac:dyDescent="0.25">
      <c r="A135" s="156"/>
      <c r="B135" s="156"/>
      <c r="C135" s="156"/>
      <c r="D135" s="156"/>
      <c r="E135" s="156"/>
      <c r="F135" s="156"/>
      <c r="G135" s="156"/>
      <c r="H135" s="156"/>
      <c r="K135" s="174"/>
      <c r="N135" s="174"/>
    </row>
    <row r="136" spans="1:14" x14ac:dyDescent="0.25">
      <c r="A136" s="156"/>
      <c r="B136" s="156"/>
      <c r="C136" s="156"/>
      <c r="D136" s="156"/>
      <c r="E136" s="156"/>
      <c r="F136" s="156"/>
      <c r="G136" s="156"/>
      <c r="H136" s="156"/>
      <c r="K136" s="174"/>
      <c r="N136" s="174"/>
    </row>
  </sheetData>
  <mergeCells count="68">
    <mergeCell ref="A63:O64"/>
    <mergeCell ref="B127:D127"/>
    <mergeCell ref="E127:H127"/>
    <mergeCell ref="C113:H113"/>
    <mergeCell ref="C114:H114"/>
    <mergeCell ref="B125:H125"/>
    <mergeCell ref="B126:D126"/>
    <mergeCell ref="E126:H126"/>
    <mergeCell ref="B110:H110"/>
    <mergeCell ref="B111:B112"/>
    <mergeCell ref="C111:C112"/>
    <mergeCell ref="D111:D112"/>
    <mergeCell ref="E111:E112"/>
    <mergeCell ref="F111:F112"/>
    <mergeCell ref="G111:G112"/>
    <mergeCell ref="H111:H112"/>
    <mergeCell ref="B91:C91"/>
    <mergeCell ref="E91:F91"/>
    <mergeCell ref="H91:I91"/>
    <mergeCell ref="B100:O100"/>
    <mergeCell ref="B101:C101"/>
    <mergeCell ref="H101:I101"/>
    <mergeCell ref="K91:L91"/>
    <mergeCell ref="N91:O91"/>
    <mergeCell ref="N101:O101"/>
    <mergeCell ref="B90:O90"/>
    <mergeCell ref="B61:D61"/>
    <mergeCell ref="E61:H61"/>
    <mergeCell ref="B66:B67"/>
    <mergeCell ref="C66:C67"/>
    <mergeCell ref="D66:D67"/>
    <mergeCell ref="E66:E67"/>
    <mergeCell ref="F66:F67"/>
    <mergeCell ref="G66:H66"/>
    <mergeCell ref="B80:O80"/>
    <mergeCell ref="B81:C81"/>
    <mergeCell ref="E81:F81"/>
    <mergeCell ref="H81:I81"/>
    <mergeCell ref="K81:L81"/>
    <mergeCell ref="N81:O81"/>
    <mergeCell ref="H45:H46"/>
    <mergeCell ref="B59:H59"/>
    <mergeCell ref="B60:D60"/>
    <mergeCell ref="E60:H60"/>
    <mergeCell ref="B45:B46"/>
    <mergeCell ref="C45:C46"/>
    <mergeCell ref="D45:D46"/>
    <mergeCell ref="E45:E46"/>
    <mergeCell ref="F45:F46"/>
    <mergeCell ref="G45:G46"/>
    <mergeCell ref="B54:I54"/>
    <mergeCell ref="B44:H44"/>
    <mergeCell ref="G5:S5"/>
    <mergeCell ref="T5:U5"/>
    <mergeCell ref="A24:L25"/>
    <mergeCell ref="B33:C33"/>
    <mergeCell ref="E33:F33"/>
    <mergeCell ref="H33:I33"/>
    <mergeCell ref="K33:L33"/>
    <mergeCell ref="F5:F6"/>
    <mergeCell ref="B22:H23"/>
    <mergeCell ref="N33:O33"/>
    <mergeCell ref="B32:O32"/>
    <mergeCell ref="B2:E3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4294967293" r:id="rId1"/>
  <ignoredErrors>
    <ignoredError sqref="M8 T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Primarios</vt:lpstr>
      <vt:lpstr>Transformación Ef Extrac</vt:lpstr>
      <vt:lpstr>Estudio ANOVA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Martínez</dc:creator>
  <cp:lastModifiedBy>Álvaro Martínez</cp:lastModifiedBy>
  <cp:lastPrinted>2018-07-06T16:48:34Z</cp:lastPrinted>
  <dcterms:created xsi:type="dcterms:W3CDTF">2018-03-08T16:35:43Z</dcterms:created>
  <dcterms:modified xsi:type="dcterms:W3CDTF">2018-07-08T20:44:56Z</dcterms:modified>
</cp:coreProperties>
</file>