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Leire\Documents\001 TFG\"/>
    </mc:Choice>
  </mc:AlternateContent>
  <xr:revisionPtr revIDLastSave="0" documentId="13_ncr:1_{71A96C71-EBCB-4341-8624-C637BBF57657}" xr6:coauthVersionLast="33" xr6:coauthVersionMax="33" xr10:uidLastSave="{00000000-0000-0000-0000-000000000000}"/>
  <bookViews>
    <workbookView xWindow="0" yWindow="0" windowWidth="23025" windowHeight="14715" tabRatio="500" xr2:uid="{00000000-000D-0000-FFFF-FFFF00000000}"/>
  </bookViews>
  <sheets>
    <sheet name="Auditoría inicial" sheetId="1" r:id="rId1"/>
    <sheet name="Reporte auditoría inicial" sheetId="2" r:id="rId2"/>
    <sheet name="Actuaciones periódicas" sheetId="4" r:id="rId3"/>
    <sheet name="Reporte Act.Periódicas" sheetId="5" r:id="rId4"/>
  </sheets>
  <definedNames>
    <definedName name="_xlnm.Print_Area" localSheetId="3">'Reporte Act.Periódicas'!$B$1:$O$231</definedName>
    <definedName name="_xlnm.Print_Area" localSheetId="1">'Reporte auditoría inicial'!$B$1:$N$158</definedName>
  </definedNames>
  <calcPr calcId="17901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66" i="5" l="1"/>
  <c r="M67" i="5"/>
  <c r="M68" i="5"/>
  <c r="M69" i="5"/>
  <c r="M70" i="5"/>
  <c r="M71" i="5"/>
  <c r="M72" i="5"/>
  <c r="M73" i="5"/>
  <c r="M74" i="5"/>
  <c r="M75" i="5"/>
  <c r="M76" i="5"/>
  <c r="M77" i="5"/>
  <c r="O68" i="5"/>
  <c r="O69" i="5"/>
  <c r="O70" i="5"/>
  <c r="O71" i="5"/>
  <c r="O72" i="5"/>
  <c r="O73" i="5"/>
  <c r="O74" i="5"/>
  <c r="O75" i="5"/>
  <c r="O76" i="5"/>
  <c r="O77" i="5"/>
  <c r="N68" i="5"/>
  <c r="N69" i="5"/>
  <c r="N70" i="5"/>
  <c r="N71" i="5"/>
  <c r="N72" i="5"/>
  <c r="N73" i="5"/>
  <c r="N74" i="5"/>
  <c r="N75" i="5"/>
  <c r="N76" i="5"/>
  <c r="N77" i="5"/>
  <c r="O67" i="5"/>
  <c r="N67" i="5"/>
  <c r="O66" i="5"/>
  <c r="N66" i="5"/>
  <c r="P6" i="1"/>
  <c r="P7" i="1"/>
  <c r="G43" i="1"/>
  <c r="P8" i="1"/>
  <c r="P9" i="1"/>
  <c r="P10" i="1"/>
  <c r="P11" i="1"/>
  <c r="Q11" i="1"/>
  <c r="J7" i="2"/>
  <c r="G43" i="4"/>
  <c r="C139" i="5"/>
  <c r="C140" i="5"/>
  <c r="C180" i="5"/>
  <c r="C185" i="5"/>
  <c r="C147" i="5"/>
  <c r="D64" i="4"/>
  <c r="C141" i="5"/>
  <c r="D65" i="4"/>
  <c r="C142" i="5"/>
  <c r="C143" i="5"/>
  <c r="D143" i="5"/>
  <c r="E143" i="5"/>
  <c r="F143" i="5"/>
  <c r="G143" i="5"/>
  <c r="H143" i="5"/>
  <c r="I143" i="5"/>
  <c r="J143" i="5"/>
  <c r="K143" i="5"/>
  <c r="L143" i="5"/>
  <c r="O64" i="5"/>
  <c r="N64" i="5"/>
  <c r="M64" i="5"/>
  <c r="M96" i="5"/>
  <c r="J96" i="5"/>
  <c r="I77" i="5"/>
  <c r="I67" i="5"/>
  <c r="I68" i="5"/>
  <c r="I69" i="5"/>
  <c r="I70" i="5"/>
  <c r="I71" i="5"/>
  <c r="I72" i="5"/>
  <c r="I73" i="5"/>
  <c r="I74" i="5"/>
  <c r="I75" i="5"/>
  <c r="I76" i="5"/>
  <c r="I66" i="5"/>
  <c r="I64" i="5"/>
  <c r="I62" i="5"/>
  <c r="G62" i="5"/>
  <c r="B62" i="5"/>
  <c r="C67" i="5"/>
  <c r="C68" i="5"/>
  <c r="D68" i="5"/>
  <c r="E68" i="5"/>
  <c r="C69" i="5"/>
  <c r="D69" i="5"/>
  <c r="E69" i="5"/>
  <c r="C70" i="5"/>
  <c r="D70" i="5"/>
  <c r="E70" i="5"/>
  <c r="C71" i="5"/>
  <c r="D71" i="5"/>
  <c r="E71" i="5"/>
  <c r="C72" i="5"/>
  <c r="D72" i="5"/>
  <c r="E72" i="5"/>
  <c r="C73" i="5"/>
  <c r="D73" i="5"/>
  <c r="E73" i="5"/>
  <c r="C74" i="5"/>
  <c r="D74" i="5"/>
  <c r="E74" i="5"/>
  <c r="C75" i="5"/>
  <c r="D75" i="5"/>
  <c r="E75" i="5"/>
  <c r="C76" i="5"/>
  <c r="D76" i="5"/>
  <c r="E76" i="5"/>
  <c r="C77" i="5"/>
  <c r="D77" i="5"/>
  <c r="E77" i="5"/>
  <c r="C78" i="5"/>
  <c r="D78" i="5"/>
  <c r="E78" i="5"/>
  <c r="C79" i="5"/>
  <c r="D79" i="5"/>
  <c r="E79" i="5"/>
  <c r="C80" i="5"/>
  <c r="D80" i="5"/>
  <c r="E80" i="5"/>
  <c r="C81" i="5"/>
  <c r="D81" i="5"/>
  <c r="E81" i="5"/>
  <c r="C82" i="5"/>
  <c r="D82" i="5"/>
  <c r="E82" i="5"/>
  <c r="E67" i="5"/>
  <c r="D67" i="5"/>
  <c r="F62" i="5"/>
  <c r="B11" i="5"/>
  <c r="C181" i="5"/>
  <c r="C144" i="2"/>
  <c r="C145" i="2"/>
  <c r="B178" i="5"/>
  <c r="E65" i="4"/>
  <c r="F65" i="4"/>
  <c r="G65" i="4"/>
  <c r="H65" i="4"/>
  <c r="I65" i="4"/>
  <c r="J65" i="4"/>
  <c r="K65" i="4"/>
  <c r="L65" i="4"/>
  <c r="M65" i="4"/>
  <c r="H139" i="5"/>
  <c r="I139" i="5"/>
  <c r="G139" i="5"/>
  <c r="D142" i="5"/>
  <c r="E142" i="5"/>
  <c r="F142" i="5"/>
  <c r="G142" i="5"/>
  <c r="H142" i="5"/>
  <c r="I142" i="5"/>
  <c r="J142" i="5"/>
  <c r="K142" i="5"/>
  <c r="L142" i="5"/>
  <c r="C99" i="5"/>
  <c r="C100" i="5"/>
  <c r="C101" i="5"/>
  <c r="C102" i="5"/>
  <c r="C103" i="5"/>
  <c r="C104" i="5"/>
  <c r="C105" i="5"/>
  <c r="C98" i="5"/>
  <c r="B96" i="5"/>
  <c r="J62" i="1"/>
  <c r="I137" i="2"/>
  <c r="D74" i="4"/>
  <c r="I74" i="4"/>
  <c r="M93" i="2"/>
  <c r="H62" i="5"/>
  <c r="D72" i="1"/>
  <c r="I72" i="1"/>
  <c r="N48" i="1"/>
  <c r="N45" i="1"/>
  <c r="J45" i="1"/>
  <c r="J102" i="5"/>
  <c r="J101" i="5"/>
  <c r="J100" i="5"/>
  <c r="C83" i="5"/>
  <c r="C84" i="5"/>
  <c r="E84" i="5"/>
  <c r="D84" i="5"/>
  <c r="E83" i="5"/>
  <c r="D83" i="5"/>
  <c r="B7" i="5"/>
  <c r="I138" i="2"/>
  <c r="I136" i="2"/>
  <c r="I96" i="2"/>
  <c r="L72" i="2"/>
  <c r="M72" i="2"/>
  <c r="N72" i="2"/>
  <c r="L70" i="2"/>
  <c r="M70" i="2"/>
  <c r="N70" i="2"/>
  <c r="L71" i="2"/>
  <c r="M71" i="2"/>
  <c r="N71" i="2"/>
  <c r="L64" i="2"/>
  <c r="M64" i="2"/>
  <c r="N64" i="2"/>
  <c r="L65" i="2"/>
  <c r="M65" i="2"/>
  <c r="N65" i="2"/>
  <c r="L66" i="2"/>
  <c r="M66" i="2"/>
  <c r="N66" i="2"/>
  <c r="L67" i="2"/>
  <c r="M67" i="2"/>
  <c r="N67" i="2"/>
  <c r="L68" i="2"/>
  <c r="M68" i="2"/>
  <c r="N68" i="2"/>
  <c r="L69" i="2"/>
  <c r="M69" i="2"/>
  <c r="N69" i="2"/>
  <c r="N63" i="2"/>
  <c r="M63" i="2"/>
  <c r="L63" i="2"/>
  <c r="N61" i="2"/>
  <c r="M61" i="2"/>
  <c r="L61" i="2"/>
  <c r="I97" i="2"/>
  <c r="I98" i="2"/>
  <c r="I99" i="2"/>
  <c r="B139" i="2"/>
  <c r="J64" i="1"/>
  <c r="C102" i="2"/>
  <c r="C96" i="2"/>
  <c r="C97" i="2"/>
  <c r="C98" i="2"/>
  <c r="C99" i="2"/>
  <c r="C100" i="2"/>
  <c r="C101" i="2"/>
  <c r="C95" i="2"/>
  <c r="B93" i="2"/>
  <c r="J93" i="2"/>
  <c r="B16" i="2"/>
  <c r="B7" i="2"/>
  <c r="B138" i="2"/>
  <c r="B137" i="2"/>
  <c r="B136" i="2"/>
  <c r="H64" i="2"/>
  <c r="H65" i="2"/>
  <c r="H66" i="2"/>
  <c r="H67" i="2"/>
  <c r="H68" i="2"/>
  <c r="H69" i="2"/>
  <c r="H70" i="2"/>
  <c r="H71" i="2"/>
  <c r="H72" i="2"/>
  <c r="H73" i="2"/>
  <c r="H74" i="2"/>
  <c r="H63" i="2"/>
  <c r="H61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E80" i="2"/>
  <c r="C81" i="2"/>
  <c r="E81" i="2"/>
  <c r="D80" i="2"/>
  <c r="D81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65" i="2"/>
  <c r="D66" i="2"/>
  <c r="E64" i="2"/>
  <c r="D64" i="2"/>
  <c r="I59" i="2"/>
  <c r="H59" i="2"/>
  <c r="G59" i="2"/>
  <c r="F59" i="2"/>
  <c r="B59" i="2"/>
  <c r="B12" i="2"/>
  <c r="B11" i="2"/>
  <c r="B10" i="2"/>
  <c r="N42" i="1"/>
</calcChain>
</file>

<file path=xl/sharedStrings.xml><?xml version="1.0" encoding="utf-8"?>
<sst xmlns="http://schemas.openxmlformats.org/spreadsheetml/2006/main" count="278" uniqueCount="179">
  <si>
    <t xml:space="preserve">MANTENIMIENTO </t>
  </si>
  <si>
    <t xml:space="preserve">URL: </t>
  </si>
  <si>
    <t>Si</t>
  </si>
  <si>
    <t>No</t>
  </si>
  <si>
    <t>Versión de WordPress</t>
  </si>
  <si>
    <t>Instalada</t>
  </si>
  <si>
    <t>Última versión</t>
  </si>
  <si>
    <t>4.6.9</t>
  </si>
  <si>
    <t>Actualización de plugins</t>
  </si>
  <si>
    <t>Akismet</t>
  </si>
  <si>
    <t>Instagram Feed</t>
  </si>
  <si>
    <t>3.2</t>
  </si>
  <si>
    <t>4.0.2</t>
  </si>
  <si>
    <t>1.4.8</t>
  </si>
  <si>
    <t>1.5.1</t>
  </si>
  <si>
    <t>3.4</t>
  </si>
  <si>
    <t>3.6.7</t>
  </si>
  <si>
    <t>2.3.3</t>
  </si>
  <si>
    <t>2.3.4</t>
  </si>
  <si>
    <t>Análisis de Gtmetrix</t>
  </si>
  <si>
    <t>Puntuación de PageSpeed</t>
  </si>
  <si>
    <t>A</t>
  </si>
  <si>
    <t>B</t>
  </si>
  <si>
    <t>C</t>
  </si>
  <si>
    <t>D</t>
  </si>
  <si>
    <t>F</t>
  </si>
  <si>
    <t>%</t>
  </si>
  <si>
    <t xml:space="preserve">Plugins que han desaparecido </t>
  </si>
  <si>
    <t>Recomendaciones por Gtmetrix</t>
  </si>
  <si>
    <t>ACCIONES</t>
  </si>
  <si>
    <t>¿Es una E-commerce?</t>
  </si>
  <si>
    <t>SEO</t>
  </si>
  <si>
    <t>ACTUALIZACIONES</t>
  </si>
  <si>
    <t>RENDIMIENTO</t>
  </si>
  <si>
    <t>¿Tiene instalado un plugin SEO?</t>
  </si>
  <si>
    <t>¿Tiene instalados los certificados de seguridad?</t>
  </si>
  <si>
    <t>AUDITORÍA INICIAL</t>
  </si>
  <si>
    <t>Actualizaciones</t>
  </si>
  <si>
    <t>REPORTE AUDITORÍA INICIAL</t>
  </si>
  <si>
    <t xml:space="preserve">   Se han actualizado los siguientes plugins: </t>
  </si>
  <si>
    <t>RESULTADO DEL ANÁLISIS DE SEGURIDAD CON WORDFENCE</t>
  </si>
  <si>
    <t>¿Hay amenazas de seguridad?</t>
  </si>
  <si>
    <t>¿Es  necesario re-indexar la web en Google Search?</t>
  </si>
  <si>
    <t>Observaciones:</t>
  </si>
  <si>
    <t>Seguridad</t>
  </si>
  <si>
    <t>EMAILS</t>
  </si>
  <si>
    <t xml:space="preserve">Tras el análisis la herramienta Gtmetrix ofrece una serie de recomendaciones para mejorar la velocidad de la web y favorecer el posicionamiento SEO,mejorando la puntuación de Google PageSpeed: </t>
  </si>
  <si>
    <t>W3 Total Caché</t>
  </si>
  <si>
    <t>Autoptimize</t>
  </si>
  <si>
    <t>- Minificar CSS y JavaScript</t>
  </si>
  <si>
    <t>- Optimización de imágenes</t>
  </si>
  <si>
    <t>- Establecer fecha de expiración del almacenamiento caché</t>
  </si>
  <si>
    <t>¿La empresa cliente desea obtener información de los correos electrónicos que se envían desde WordPress?</t>
  </si>
  <si>
    <t>¿La empresa cliente desea obtener información de los correos electrónicos entregados?</t>
  </si>
  <si>
    <t>¿Tiene instalado el plugin W3 Total Caché?</t>
  </si>
  <si>
    <t>¿Tiene instalado el plugin WP Super Caché?</t>
  </si>
  <si>
    <t>¿Tiene instalado el plugin autoptimize?</t>
  </si>
  <si>
    <t>Observaciones</t>
  </si>
  <si>
    <t>BirchPress Scheduler</t>
  </si>
  <si>
    <t>1.10.10</t>
  </si>
  <si>
    <t>1.11.1</t>
  </si>
  <si>
    <t>Huge IT Responsive Slider</t>
  </si>
  <si>
    <t>2.3.6</t>
  </si>
  <si>
    <t>2.4.6</t>
  </si>
  <si>
    <t>Meeting Scheduler by vCite</t>
  </si>
  <si>
    <t>3.13.3</t>
  </si>
  <si>
    <t>3.14.4</t>
  </si>
  <si>
    <t>Meta Slider(activo)</t>
  </si>
  <si>
    <t>Photo Gallery by Supsystic(activo)</t>
  </si>
  <si>
    <t>1.9.10</t>
  </si>
  <si>
    <t>1.10.12</t>
  </si>
  <si>
    <t>PixCodes(activo)</t>
  </si>
  <si>
    <t>PixLikes</t>
  </si>
  <si>
    <t>PixTypes</t>
  </si>
  <si>
    <t>Slider WD</t>
  </si>
  <si>
    <t xml:space="preserve">Use Any Font </t>
  </si>
  <si>
    <t>WP Simple Booking Calendar</t>
  </si>
  <si>
    <t>Wptouch Mobile Plugin</t>
  </si>
  <si>
    <t>1.1.2</t>
  </si>
  <si>
    <t>1.4.4</t>
  </si>
  <si>
    <t>3.1.98</t>
  </si>
  <si>
    <t>1.1.68</t>
  </si>
  <si>
    <t>4.6</t>
  </si>
  <si>
    <t>1.5</t>
  </si>
  <si>
    <t>4.3.10</t>
  </si>
  <si>
    <t xml:space="preserve">Slider </t>
  </si>
  <si>
    <t>1.1.3</t>
  </si>
  <si>
    <t>1.4.9</t>
  </si>
  <si>
    <t>4.0.6</t>
  </si>
  <si>
    <t>1.2.2</t>
  </si>
  <si>
    <t>4.7.3</t>
  </si>
  <si>
    <t>4.3.23</t>
  </si>
  <si>
    <t>4.9.1</t>
  </si>
  <si>
    <t>Contact Form 7</t>
  </si>
  <si>
    <t>4.7</t>
  </si>
  <si>
    <t>4.9.2</t>
  </si>
  <si>
    <t>1.2.5</t>
  </si>
  <si>
    <t>1.5.7</t>
  </si>
  <si>
    <t>Mobile app builder by Wappress</t>
  </si>
  <si>
    <t>Temas actualizados</t>
  </si>
  <si>
    <t>Rosa</t>
  </si>
  <si>
    <t>Twenty Fifteen</t>
  </si>
  <si>
    <t>Twenty Fourteen</t>
  </si>
  <si>
    <t>Twenty Sixteen</t>
  </si>
  <si>
    <t>2.1.5</t>
  </si>
  <si>
    <t>1.6</t>
  </si>
  <si>
    <t>1.8</t>
  </si>
  <si>
    <t>1.3</t>
  </si>
  <si>
    <t>1.4</t>
  </si>
  <si>
    <t>2.1</t>
  </si>
  <si>
    <t>1.9</t>
  </si>
  <si>
    <t>2.3.1</t>
  </si>
  <si>
    <t>a</t>
  </si>
  <si>
    <t>Informe datos de entrega de emails de la fecha</t>
  </si>
  <si>
    <t xml:space="preserve">Vulnerabilidad en el plugin Mobile app builder by Wappress que permite subir y transferir archivos: https://www.cvedetails.com/cve/CVE- 2017-1002001/ El plugin vulnerable no se encuentra actualmente en wordpress.org </t>
  </si>
  <si>
    <t xml:space="preserve">Se han encontrado ficheros sospechosos </t>
  </si>
  <si>
    <t>Se ha realizado un análisis con la herramienta GTmetrix para evaluar el rendimiento de la web y poder detectar posibles deficiencias del servidor donde se encuentra alojada</t>
  </si>
  <si>
    <t>HOSTING</t>
  </si>
  <si>
    <t>1 semana</t>
  </si>
  <si>
    <t>2 semanas</t>
  </si>
  <si>
    <t>¿Brooktec es proveedor de hosting para esta web?</t>
  </si>
  <si>
    <t>1 Mes</t>
  </si>
  <si>
    <t xml:space="preserve">Trimestral </t>
  </si>
  <si>
    <t>ACTUACIONES PERIÓDICAS</t>
  </si>
  <si>
    <t>http://www.EJEMPLO.com</t>
  </si>
  <si>
    <t>¿Quiere el cliente un reporte con los datos de los emails entregados?</t>
  </si>
  <si>
    <t>1 mes</t>
  </si>
  <si>
    <t>Trimestral</t>
  </si>
  <si>
    <t>4.9.4</t>
  </si>
  <si>
    <t>4.9.5</t>
  </si>
  <si>
    <t>Accelerated  Mobile Pages</t>
  </si>
  <si>
    <t>Advanced Custom Fields PRO</t>
  </si>
  <si>
    <t>All in One SEO Pack</t>
  </si>
  <si>
    <t>Asesor de Cookies</t>
  </si>
  <si>
    <t>BrooktecWPVersion</t>
  </si>
  <si>
    <t>Google Analytics Dashboard for WP</t>
  </si>
  <si>
    <t>Mailchimp for WordPress</t>
  </si>
  <si>
    <t>Maintenance</t>
  </si>
  <si>
    <t>Regenerate Thumbnails</t>
  </si>
  <si>
    <t>WordPress SEO</t>
  </si>
  <si>
    <t>Wordfence security</t>
  </si>
  <si>
    <t>0.9.84.1</t>
  </si>
  <si>
    <t>5.6.9</t>
  </si>
  <si>
    <t>2.4.6.1</t>
  </si>
  <si>
    <t>0.26</t>
  </si>
  <si>
    <t>1.1.2.3</t>
  </si>
  <si>
    <t>5.3.2</t>
  </si>
  <si>
    <t>1.6.2</t>
  </si>
  <si>
    <t>4.2</t>
  </si>
  <si>
    <t>3.6.1</t>
  </si>
  <si>
    <t>3.0.2</t>
  </si>
  <si>
    <t>7.1</t>
  </si>
  <si>
    <t>7.1.1</t>
  </si>
  <si>
    <t>09..85.5</t>
  </si>
  <si>
    <t>2.5</t>
  </si>
  <si>
    <t>1.8.2</t>
  </si>
  <si>
    <t>4.2.1</t>
  </si>
  <si>
    <t>7.3</t>
  </si>
  <si>
    <t>7.1.3</t>
  </si>
  <si>
    <t>Twenty Seventeen</t>
  </si>
  <si>
    <t>5.6.10</t>
  </si>
  <si>
    <t>Estado de la web</t>
  </si>
  <si>
    <t>(3 pts) SEO reindexación</t>
  </si>
  <si>
    <t>(3 pts) SEO https</t>
  </si>
  <si>
    <t>(3 pts) Rendimiento</t>
  </si>
  <si>
    <t>(5 pts) Actualizaciones</t>
  </si>
  <si>
    <t>(5 pts) Seguridad</t>
  </si>
  <si>
    <t xml:space="preserve">Estado inicial de la web </t>
  </si>
  <si>
    <t>1.4.3</t>
  </si>
  <si>
    <t>Conclusiones</t>
  </si>
  <si>
    <t>El consumo de la capacidad de la CPU solo llega a un máximo del 32 % del total disponible, siendo la media de consumo de un 6 %</t>
  </si>
  <si>
    <t>- Minimizar el tamaño de las peticiones</t>
  </si>
  <si>
    <t>REPORTE AUDITORÍA PERIÓDICA</t>
  </si>
  <si>
    <t>- Minimizar las redirecciones</t>
  </si>
  <si>
    <t>Puntuación total %</t>
  </si>
  <si>
    <t>Puntuación %</t>
  </si>
  <si>
    <t>¿Es necesario crear entornos de producción?</t>
  </si>
  <si>
    <t>¿Es necesario instalar el plugin Dashboard?</t>
  </si>
  <si>
    <t>¿Es necesario instalar el plugin Wordfence?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</si>
</sst>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>
    <font>
      <sz val="13"/>
      <color theme="1"/>
      <name val="Calibri"/>
      <scheme val="minor"/>
    </font>
    <font>
      <sz val="12"/>
      <color theme="1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0000FF"/>
      <name val="MicrosoftSansSerif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4"/>
      <color theme="3" tint="0.3999755851924192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5" tint="0.39997558519241921"/>
      <name val="Calibri"/>
      <family val="2"/>
      <scheme val="minor"/>
    </font>
    <font>
      <u/>
      <sz val="13"/>
      <color theme="10"/>
      <name val="Calibri"/>
      <family val="2"/>
      <scheme val="minor"/>
    </font>
    <font>
      <u/>
      <sz val="13"/>
      <color theme="1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theme="3" tint="0.3999755851924192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Arial"/>
      <family val="2"/>
    </font>
    <font>
      <sz val="13"/>
      <color theme="1"/>
      <name val="Arial"/>
      <family val="2"/>
    </font>
    <font>
      <b/>
      <i/>
      <sz val="16"/>
      <color theme="1"/>
      <name val="Arial"/>
      <family val="2"/>
    </font>
    <font>
      <b/>
      <sz val="16"/>
      <color theme="1"/>
      <name val="Arial"/>
      <family val="2"/>
    </font>
    <font>
      <sz val="16"/>
      <name val="Arial"/>
      <family val="2"/>
    </font>
    <font>
      <b/>
      <sz val="16"/>
      <color rgb="FF3F3F3F"/>
      <name val="Arial"/>
      <family val="2"/>
    </font>
    <font>
      <b/>
      <sz val="16"/>
      <name val="Arial"/>
      <family val="2"/>
    </font>
    <font>
      <b/>
      <sz val="16"/>
      <color theme="3"/>
      <name val="Arial"/>
      <family val="2"/>
    </font>
    <font>
      <b/>
      <sz val="16"/>
      <color theme="2" tint="-0.499984740745262"/>
      <name val="Arial"/>
      <family val="2"/>
    </font>
    <font>
      <b/>
      <sz val="16"/>
      <color theme="3" tint="0.39997558519241921"/>
      <name val="Arial"/>
      <family val="2"/>
    </font>
    <font>
      <b/>
      <sz val="16"/>
      <color rgb="FF000000"/>
      <name val="Arial"/>
      <family val="2"/>
    </font>
    <font>
      <sz val="14"/>
      <color theme="1"/>
      <name val="Calibri"/>
      <family val="2"/>
      <scheme val="minor"/>
    </font>
    <font>
      <b/>
      <i/>
      <sz val="14"/>
      <color theme="7" tint="-0.249977111117893"/>
      <name val="Calibri"/>
      <family val="2"/>
      <scheme val="minor"/>
    </font>
    <font>
      <u/>
      <sz val="14"/>
      <color theme="10"/>
      <name val="Calibri"/>
      <family val="2"/>
      <scheme val="minor"/>
    </font>
    <font>
      <b/>
      <sz val="14"/>
      <color rgb="FF0000FF"/>
      <name val="MicrosoftSansSerif"/>
    </font>
    <font>
      <b/>
      <i/>
      <sz val="14"/>
      <color theme="1"/>
      <name val="Calibri"/>
      <family val="2"/>
      <scheme val="minor"/>
    </font>
    <font>
      <b/>
      <sz val="18"/>
      <color theme="3"/>
      <name val="Arial"/>
      <family val="2"/>
    </font>
    <font>
      <b/>
      <sz val="18"/>
      <color theme="1"/>
      <name val="Calibri"/>
      <family val="2"/>
      <scheme val="minor"/>
    </font>
    <font>
      <b/>
      <sz val="16"/>
      <color theme="5" tint="-0.249977111117893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93">
    <xf numFmtId="0" fontId="0" fillId="0" borderId="0"/>
    <xf numFmtId="0" fontId="2" fillId="2" borderId="1" applyNumberFormat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" fillId="0" borderId="2" applyAlignment="0">
      <alignment horizontal="center" vertical="center"/>
    </xf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9" fillId="0" borderId="12" applyNumberFormat="0" applyFill="0" applyAlignment="0" applyProtection="0"/>
    <xf numFmtId="0" fontId="10" fillId="0" borderId="13" applyNumberFormat="0" applyFill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1" fillId="6" borderId="0">
      <alignment horizontal="left" vertical="center" indent="4"/>
    </xf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3" fillId="3" borderId="9">
      <alignment horizontal="center"/>
    </xf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9" fontId="12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258">
    <xf numFmtId="0" fontId="0" fillId="0" borderId="0" xfId="0"/>
    <xf numFmtId="0" fontId="0" fillId="3" borderId="0" xfId="0" applyFill="1"/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0" fontId="3" fillId="3" borderId="0" xfId="0" applyFont="1" applyFill="1"/>
    <xf numFmtId="0" fontId="8" fillId="3" borderId="0" xfId="0" applyFont="1" applyFill="1"/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0" xfId="0" applyFill="1" applyAlignment="1"/>
    <xf numFmtId="0" fontId="0" fillId="5" borderId="0" xfId="0" applyFill="1"/>
    <xf numFmtId="0" fontId="0" fillId="5" borderId="0" xfId="0" applyFill="1" applyBorder="1"/>
    <xf numFmtId="0" fontId="10" fillId="5" borderId="13" xfId="20" applyFill="1" applyAlignment="1">
      <alignment vertical="center"/>
    </xf>
    <xf numFmtId="0" fontId="10" fillId="5" borderId="13" xfId="20" applyFill="1"/>
    <xf numFmtId="0" fontId="0" fillId="3" borderId="9" xfId="0" applyFill="1" applyBorder="1" applyAlignment="1">
      <alignment vertical="center"/>
    </xf>
    <xf numFmtId="49" fontId="0" fillId="0" borderId="0" xfId="0" applyNumberFormat="1"/>
    <xf numFmtId="49" fontId="0" fillId="0" borderId="0" xfId="0" applyNumberFormat="1" applyAlignment="1"/>
    <xf numFmtId="0" fontId="0" fillId="3" borderId="0" xfId="0" applyFill="1" applyAlignment="1">
      <alignment horizontal="center"/>
    </xf>
    <xf numFmtId="0" fontId="4" fillId="3" borderId="0" xfId="0" applyFont="1" applyFill="1" applyAlignment="1">
      <alignment horizontal="center"/>
    </xf>
    <xf numFmtId="0" fontId="0" fillId="3" borderId="0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13" fillId="3" borderId="9" xfId="42">
      <alignment horizontal="center"/>
    </xf>
    <xf numFmtId="0" fontId="0" fillId="3" borderId="0" xfId="0" applyFill="1" applyBorder="1" applyAlignment="1">
      <alignment horizontal="center"/>
    </xf>
    <xf numFmtId="0" fontId="1" fillId="3" borderId="0" xfId="12" applyFill="1" applyBorder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3" fillId="3" borderId="0" xfId="12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0" fontId="16" fillId="5" borderId="0" xfId="0" applyFont="1" applyFill="1"/>
    <xf numFmtId="0" fontId="17" fillId="5" borderId="0" xfId="19" applyFont="1" applyFill="1" applyBorder="1" applyAlignment="1">
      <alignment vertical="center"/>
    </xf>
    <xf numFmtId="0" fontId="19" fillId="5" borderId="0" xfId="0" applyFont="1" applyFill="1" applyAlignment="1"/>
    <xf numFmtId="0" fontId="17" fillId="5" borderId="13" xfId="20" applyFont="1" applyFill="1" applyAlignment="1">
      <alignment vertical="center"/>
    </xf>
    <xf numFmtId="0" fontId="17" fillId="5" borderId="13" xfId="20" applyFont="1" applyFill="1"/>
    <xf numFmtId="0" fontId="20" fillId="5" borderId="0" xfId="0" applyFont="1" applyFill="1" applyAlignment="1">
      <alignment vertical="center"/>
    </xf>
    <xf numFmtId="0" fontId="21" fillId="5" borderId="0" xfId="0" applyFont="1" applyFill="1" applyAlignment="1">
      <alignment vertical="center"/>
    </xf>
    <xf numFmtId="0" fontId="20" fillId="5" borderId="0" xfId="0" applyFont="1" applyFill="1"/>
    <xf numFmtId="0" fontId="21" fillId="5" borderId="0" xfId="0" applyFont="1" applyFill="1"/>
    <xf numFmtId="0" fontId="22" fillId="5" borderId="0" xfId="0" applyFont="1" applyFill="1" applyAlignment="1">
      <alignment horizontal="left" vertical="center" indent="1"/>
    </xf>
    <xf numFmtId="0" fontId="20" fillId="5" borderId="0" xfId="0" applyFont="1" applyFill="1" applyAlignment="1">
      <alignment horizontal="left" vertical="center" indent="2"/>
    </xf>
    <xf numFmtId="0" fontId="21" fillId="0" borderId="0" xfId="0" applyFont="1"/>
    <xf numFmtId="0" fontId="20" fillId="5" borderId="0" xfId="0" applyFont="1" applyFill="1" applyAlignment="1">
      <alignment vertical="center" wrapText="1"/>
    </xf>
    <xf numFmtId="0" fontId="20" fillId="5" borderId="0" xfId="0" applyFont="1" applyFill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20" fillId="5" borderId="0" xfId="0" applyFont="1" applyFill="1" applyAlignment="1">
      <alignment wrapText="1"/>
    </xf>
    <xf numFmtId="0" fontId="23" fillId="5" borderId="0" xfId="0" applyFont="1" applyFill="1" applyAlignment="1">
      <alignment horizontal="left"/>
    </xf>
    <xf numFmtId="0" fontId="20" fillId="5" borderId="0" xfId="0" applyFont="1" applyFill="1" applyAlignment="1">
      <alignment horizontal="center"/>
    </xf>
    <xf numFmtId="0" fontId="23" fillId="5" borderId="0" xfId="0" applyFont="1" applyFill="1" applyAlignment="1">
      <alignment horizontal="center"/>
    </xf>
    <xf numFmtId="0" fontId="20" fillId="5" borderId="0" xfId="0" applyFont="1" applyFill="1" applyAlignment="1"/>
    <xf numFmtId="0" fontId="23" fillId="5" borderId="0" xfId="0" applyFont="1" applyFill="1" applyAlignment="1">
      <alignment horizontal="center" vertical="center"/>
    </xf>
    <xf numFmtId="0" fontId="23" fillId="5" borderId="0" xfId="0" applyFont="1" applyFill="1" applyAlignment="1">
      <alignment horizontal="left" vertical="center" wrapText="1"/>
    </xf>
    <xf numFmtId="0" fontId="20" fillId="5" borderId="0" xfId="0" applyFont="1" applyFill="1" applyBorder="1"/>
    <xf numFmtId="0" fontId="23" fillId="5" borderId="11" xfId="0" applyFont="1" applyFill="1" applyBorder="1" applyAlignment="1">
      <alignment horizontal="center" vertical="center"/>
    </xf>
    <xf numFmtId="0" fontId="23" fillId="5" borderId="2" xfId="0" applyFont="1" applyFill="1" applyBorder="1" applyAlignment="1">
      <alignment horizontal="center" vertical="center" wrapText="1"/>
    </xf>
    <xf numFmtId="0" fontId="25" fillId="5" borderId="0" xfId="1" applyFont="1" applyFill="1" applyBorder="1" applyAlignment="1">
      <alignment horizontal="center" vertical="center" wrapText="1"/>
    </xf>
    <xf numFmtId="0" fontId="20" fillId="5" borderId="0" xfId="0" applyFont="1" applyFill="1" applyBorder="1" applyAlignment="1">
      <alignment horizontal="center" vertical="center"/>
    </xf>
    <xf numFmtId="0" fontId="20" fillId="5" borderId="0" xfId="0" applyFont="1" applyFill="1" applyBorder="1" applyAlignment="1">
      <alignment vertical="center"/>
    </xf>
    <xf numFmtId="0" fontId="22" fillId="5" borderId="0" xfId="0" applyFont="1" applyFill="1"/>
    <xf numFmtId="0" fontId="20" fillId="5" borderId="3" xfId="0" applyFont="1" applyFill="1" applyBorder="1"/>
    <xf numFmtId="0" fontId="20" fillId="5" borderId="4" xfId="0" applyFont="1" applyFill="1" applyBorder="1"/>
    <xf numFmtId="0" fontId="20" fillId="5" borderId="5" xfId="0" applyFont="1" applyFill="1" applyBorder="1"/>
    <xf numFmtId="0" fontId="20" fillId="5" borderId="6" xfId="0" applyFont="1" applyFill="1" applyBorder="1"/>
    <xf numFmtId="0" fontId="20" fillId="5" borderId="7" xfId="0" applyFont="1" applyFill="1" applyBorder="1"/>
    <xf numFmtId="0" fontId="23" fillId="5" borderId="0" xfId="0" applyFont="1" applyFill="1" applyAlignment="1"/>
    <xf numFmtId="0" fontId="20" fillId="5" borderId="8" xfId="0" applyFont="1" applyFill="1" applyBorder="1"/>
    <xf numFmtId="0" fontId="20" fillId="5" borderId="9" xfId="0" applyFont="1" applyFill="1" applyBorder="1"/>
    <xf numFmtId="0" fontId="20" fillId="5" borderId="10" xfId="0" applyFont="1" applyFill="1" applyBorder="1"/>
    <xf numFmtId="0" fontId="17" fillId="5" borderId="13" xfId="20" applyFont="1" applyFill="1" applyAlignment="1">
      <alignment horizontal="left" vertical="center"/>
    </xf>
    <xf numFmtId="0" fontId="27" fillId="5" borderId="13" xfId="20" applyFont="1" applyFill="1" applyAlignment="1">
      <alignment horizontal="left" vertical="center"/>
    </xf>
    <xf numFmtId="0" fontId="27" fillId="5" borderId="13" xfId="20" applyFont="1" applyFill="1"/>
    <xf numFmtId="10" fontId="23" fillId="5" borderId="0" xfId="0" applyNumberFormat="1" applyFont="1" applyFill="1" applyAlignment="1">
      <alignment horizontal="center"/>
    </xf>
    <xf numFmtId="0" fontId="20" fillId="5" borderId="0" xfId="0" applyFont="1" applyFill="1" applyAlignment="1">
      <alignment horizontal="center" vertical="center"/>
    </xf>
    <xf numFmtId="0" fontId="22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left" vertical="center" wrapText="1"/>
    </xf>
    <xf numFmtId="0" fontId="22" fillId="5" borderId="0" xfId="0" applyFont="1" applyFill="1" applyAlignment="1">
      <alignment vertical="center"/>
    </xf>
    <xf numFmtId="0" fontId="23" fillId="5" borderId="0" xfId="0" applyFont="1" applyFill="1" applyAlignment="1">
      <alignment vertical="center" wrapText="1"/>
    </xf>
    <xf numFmtId="0" fontId="20" fillId="0" borderId="0" xfId="0" applyFont="1"/>
    <xf numFmtId="0" fontId="27" fillId="5" borderId="0" xfId="19" applyFont="1" applyFill="1" applyBorder="1" applyAlignment="1">
      <alignment vertical="center"/>
    </xf>
    <xf numFmtId="0" fontId="27" fillId="5" borderId="13" xfId="20" applyFont="1" applyFill="1" applyAlignment="1">
      <alignment vertical="center"/>
    </xf>
    <xf numFmtId="0" fontId="28" fillId="5" borderId="0" xfId="0" applyFont="1" applyFill="1" applyAlignment="1">
      <alignment vertical="center"/>
    </xf>
    <xf numFmtId="0" fontId="23" fillId="5" borderId="0" xfId="0" applyFont="1" applyFill="1" applyAlignment="1">
      <alignment horizontal="center" vertical="center" wrapText="1"/>
    </xf>
    <xf numFmtId="0" fontId="10" fillId="0" borderId="13" xfId="20"/>
    <xf numFmtId="0" fontId="23" fillId="5" borderId="0" xfId="0" applyFont="1" applyFill="1" applyAlignment="1">
      <alignment horizontal="left" vertical="center" wrapText="1"/>
    </xf>
    <xf numFmtId="14" fontId="23" fillId="5" borderId="0" xfId="0" applyNumberFormat="1" applyFont="1" applyFill="1" applyAlignment="1">
      <alignment horizontal="center" vertical="center" wrapText="1"/>
    </xf>
    <xf numFmtId="0" fontId="23" fillId="5" borderId="0" xfId="0" applyFont="1" applyFill="1"/>
    <xf numFmtId="0" fontId="26" fillId="8" borderId="0" xfId="0" applyFont="1" applyFill="1" applyBorder="1" applyAlignment="1">
      <alignment horizontal="center" vertical="center" wrapText="1"/>
    </xf>
    <xf numFmtId="0" fontId="24" fillId="8" borderId="0" xfId="0" applyFont="1" applyFill="1" applyBorder="1" applyAlignment="1">
      <alignment horizontal="center" vertical="center" wrapText="1"/>
    </xf>
    <xf numFmtId="10" fontId="24" fillId="8" borderId="0" xfId="0" applyNumberFormat="1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29" fillId="6" borderId="0" xfId="27" applyFont="1" applyAlignment="1">
      <alignment horizontal="center" vertical="center"/>
    </xf>
    <xf numFmtId="0" fontId="23" fillId="5" borderId="0" xfId="0" applyFont="1" applyFill="1" applyAlignment="1">
      <alignment horizontal="right"/>
    </xf>
    <xf numFmtId="0" fontId="4" fillId="3" borderId="0" xfId="0" applyFont="1" applyFill="1" applyAlignment="1">
      <alignment horizontal="center"/>
    </xf>
    <xf numFmtId="14" fontId="23" fillId="9" borderId="0" xfId="0" applyNumberFormat="1" applyFont="1" applyFill="1" applyAlignment="1">
      <alignment horizontal="center" vertical="center" wrapText="1"/>
    </xf>
    <xf numFmtId="0" fontId="31" fillId="3" borderId="0" xfId="0" applyFont="1" applyFill="1"/>
    <xf numFmtId="0" fontId="31" fillId="3" borderId="6" xfId="0" applyFont="1" applyFill="1" applyBorder="1" applyAlignment="1"/>
    <xf numFmtId="0" fontId="31" fillId="3" borderId="0" xfId="0" applyFont="1" applyFill="1" applyBorder="1" applyAlignment="1">
      <alignment horizontal="center" vertical="center"/>
    </xf>
    <xf numFmtId="0" fontId="31" fillId="3" borderId="7" xfId="0" applyFont="1" applyFill="1" applyBorder="1"/>
    <xf numFmtId="0" fontId="4" fillId="3" borderId="0" xfId="0" applyFont="1" applyFill="1"/>
    <xf numFmtId="0" fontId="34" fillId="3" borderId="0" xfId="0" applyFont="1" applyFill="1"/>
    <xf numFmtId="0" fontId="31" fillId="3" borderId="0" xfId="0" applyFont="1" applyFill="1" applyAlignment="1">
      <alignment horizontal="center" vertical="center"/>
    </xf>
    <xf numFmtId="0" fontId="31" fillId="3" borderId="0" xfId="0" applyFont="1" applyFill="1" applyAlignment="1">
      <alignment horizontal="center"/>
    </xf>
    <xf numFmtId="0" fontId="13" fillId="3" borderId="9" xfId="42" applyFont="1">
      <alignment horizontal="center"/>
    </xf>
    <xf numFmtId="0" fontId="31" fillId="3" borderId="0" xfId="0" applyFont="1" applyFill="1" applyAlignment="1">
      <alignment vertical="center"/>
    </xf>
    <xf numFmtId="0" fontId="4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 wrapText="1"/>
    </xf>
    <xf numFmtId="0" fontId="31" fillId="3" borderId="4" xfId="0" applyFont="1" applyFill="1" applyBorder="1" applyAlignment="1">
      <alignment horizontal="center" vertical="center"/>
    </xf>
    <xf numFmtId="0" fontId="31" fillId="3" borderId="5" xfId="0" applyFont="1" applyFill="1" applyBorder="1" applyAlignment="1">
      <alignment horizontal="center" vertical="center"/>
    </xf>
    <xf numFmtId="0" fontId="31" fillId="3" borderId="0" xfId="0" applyFont="1" applyFill="1" applyBorder="1" applyAlignment="1">
      <alignment horizontal="center"/>
    </xf>
    <xf numFmtId="0" fontId="31" fillId="3" borderId="3" xfId="0" applyFont="1" applyFill="1" applyBorder="1" applyAlignment="1">
      <alignment horizontal="center"/>
    </xf>
    <xf numFmtId="0" fontId="31" fillId="3" borderId="5" xfId="0" applyFont="1" applyFill="1" applyBorder="1" applyAlignment="1">
      <alignment horizontal="center"/>
    </xf>
    <xf numFmtId="0" fontId="31" fillId="3" borderId="7" xfId="0" applyFont="1" applyFill="1" applyBorder="1" applyAlignment="1">
      <alignment horizontal="center" vertical="center"/>
    </xf>
    <xf numFmtId="0" fontId="31" fillId="3" borderId="6" xfId="0" applyFont="1" applyFill="1" applyBorder="1" applyAlignment="1">
      <alignment horizontal="center"/>
    </xf>
    <xf numFmtId="0" fontId="31" fillId="3" borderId="7" xfId="0" applyFont="1" applyFill="1" applyBorder="1" applyAlignment="1">
      <alignment horizontal="center"/>
    </xf>
    <xf numFmtId="0" fontId="31" fillId="3" borderId="8" xfId="0" applyFont="1" applyFill="1" applyBorder="1" applyAlignment="1">
      <alignment horizontal="center"/>
    </xf>
    <xf numFmtId="0" fontId="31" fillId="3" borderId="9" xfId="0" applyFont="1" applyFill="1" applyBorder="1" applyAlignment="1">
      <alignment horizontal="center"/>
    </xf>
    <xf numFmtId="0" fontId="31" fillId="3" borderId="10" xfId="0" applyFont="1" applyFill="1" applyBorder="1" applyAlignment="1">
      <alignment horizontal="center"/>
    </xf>
    <xf numFmtId="0" fontId="31" fillId="3" borderId="9" xfId="0" applyFont="1" applyFill="1" applyBorder="1" applyAlignment="1">
      <alignment horizontal="center" vertical="center"/>
    </xf>
    <xf numFmtId="0" fontId="31" fillId="3" borderId="10" xfId="0" applyFont="1" applyFill="1" applyBorder="1" applyAlignment="1">
      <alignment horizontal="center" vertical="center"/>
    </xf>
    <xf numFmtId="0" fontId="35" fillId="3" borderId="0" xfId="0" applyFont="1" applyFill="1" applyAlignment="1">
      <alignment horizontal="center" vertical="center"/>
    </xf>
    <xf numFmtId="0" fontId="31" fillId="3" borderId="2" xfId="0" applyFont="1" applyFill="1" applyBorder="1" applyAlignment="1">
      <alignment horizontal="center" vertical="center"/>
    </xf>
    <xf numFmtId="10" fontId="31" fillId="3" borderId="0" xfId="0" applyNumberFormat="1" applyFont="1" applyFill="1" applyAlignment="1">
      <alignment horizontal="center" vertical="center"/>
    </xf>
    <xf numFmtId="0" fontId="31" fillId="3" borderId="9" xfId="0" applyFont="1" applyFill="1" applyBorder="1" applyAlignment="1">
      <alignment vertical="center"/>
    </xf>
    <xf numFmtId="0" fontId="32" fillId="3" borderId="0" xfId="0" applyFont="1" applyFill="1" applyAlignment="1">
      <alignment horizontal="left" vertical="center" wrapText="1"/>
    </xf>
    <xf numFmtId="0" fontId="31" fillId="3" borderId="0" xfId="0" applyFont="1" applyFill="1" applyAlignment="1"/>
    <xf numFmtId="0" fontId="31" fillId="3" borderId="0" xfId="12" applyFont="1" applyFill="1" applyBorder="1" applyAlignment="1">
      <alignment horizontal="left" vertical="center"/>
    </xf>
    <xf numFmtId="0" fontId="4" fillId="3" borderId="0" xfId="12" applyFont="1" applyFill="1" applyBorder="1" applyAlignment="1">
      <alignment horizontal="center" vertical="center"/>
    </xf>
    <xf numFmtId="0" fontId="31" fillId="0" borderId="0" xfId="0" applyFont="1"/>
    <xf numFmtId="0" fontId="31" fillId="3" borderId="6" xfId="0" applyFont="1" applyFill="1" applyBorder="1"/>
    <xf numFmtId="0" fontId="31" fillId="3" borderId="0" xfId="0" applyFont="1" applyFill="1" applyBorder="1"/>
    <xf numFmtId="14" fontId="31" fillId="7" borderId="0" xfId="0" applyNumberFormat="1" applyFont="1" applyFill="1" applyAlignment="1">
      <alignment horizontal="center"/>
    </xf>
    <xf numFmtId="0" fontId="31" fillId="3" borderId="0" xfId="0" applyFont="1" applyFill="1" applyBorder="1" applyAlignment="1">
      <alignment horizontal="center" vertical="center" wrapText="1"/>
    </xf>
    <xf numFmtId="0" fontId="31" fillId="3" borderId="0" xfId="0" applyNumberFormat="1" applyFont="1" applyFill="1" applyAlignment="1">
      <alignment horizontal="center" vertical="center"/>
    </xf>
    <xf numFmtId="0" fontId="31" fillId="3" borderId="0" xfId="52" applyNumberFormat="1" applyFont="1" applyFill="1" applyAlignment="1">
      <alignment horizontal="center" vertical="center"/>
    </xf>
    <xf numFmtId="0" fontId="31" fillId="3" borderId="0" xfId="0" applyFont="1" applyFill="1" applyAlignment="1">
      <alignment horizontal="center"/>
    </xf>
    <xf numFmtId="0" fontId="31" fillId="3" borderId="6" xfId="0" applyFont="1" applyFill="1" applyBorder="1" applyAlignment="1">
      <alignment wrapText="1"/>
    </xf>
    <xf numFmtId="0" fontId="35" fillId="3" borderId="7" xfId="0" applyFont="1" applyFill="1" applyBorder="1" applyAlignment="1">
      <alignment wrapText="1"/>
    </xf>
    <xf numFmtId="10" fontId="4" fillId="3" borderId="10" xfId="0" applyNumberFormat="1" applyFont="1" applyFill="1" applyBorder="1" applyAlignment="1">
      <alignment horizontal="center"/>
    </xf>
    <xf numFmtId="0" fontId="4" fillId="10" borderId="9" xfId="0" applyFont="1" applyFill="1" applyBorder="1" applyAlignment="1">
      <alignment horizontal="center"/>
    </xf>
    <xf numFmtId="0" fontId="4" fillId="10" borderId="8" xfId="0" applyFont="1" applyFill="1" applyBorder="1" applyAlignment="1">
      <alignment horizontal="center"/>
    </xf>
    <xf numFmtId="10" fontId="20" fillId="5" borderId="0" xfId="0" applyNumberFormat="1" applyFont="1" applyFill="1" applyAlignment="1">
      <alignment horizontal="center"/>
    </xf>
    <xf numFmtId="0" fontId="38" fillId="3" borderId="9" xfId="42" applyFont="1">
      <alignment horizont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38" fillId="3" borderId="9" xfId="42" applyFont="1" applyAlignment="1">
      <alignment horizontal="left" indent="3"/>
    </xf>
    <xf numFmtId="0" fontId="31" fillId="3" borderId="0" xfId="0" applyFont="1" applyFill="1" applyAlignment="1">
      <alignment horizontal="center" wrapText="1"/>
    </xf>
    <xf numFmtId="0" fontId="31" fillId="3" borderId="4" xfId="0" applyFont="1" applyFill="1" applyBorder="1" applyAlignment="1">
      <alignment horizontal="center" vertical="center" wrapText="1"/>
    </xf>
    <xf numFmtId="0" fontId="31" fillId="3" borderId="0" xfId="0" applyFont="1" applyFill="1" applyAlignment="1">
      <alignment horizontal="center" vertical="center" wrapText="1"/>
    </xf>
    <xf numFmtId="0" fontId="31" fillId="3" borderId="0" xfId="0" applyFont="1" applyFill="1" applyAlignment="1">
      <alignment horizontal="center" vertical="center"/>
    </xf>
    <xf numFmtId="0" fontId="32" fillId="3" borderId="4" xfId="0" applyFont="1" applyFill="1" applyBorder="1" applyAlignment="1">
      <alignment horizontal="left" vertical="center" wrapText="1"/>
    </xf>
    <xf numFmtId="0" fontId="32" fillId="3" borderId="0" xfId="0" applyFont="1" applyFill="1" applyAlignment="1">
      <alignment horizontal="left" vertical="center" wrapText="1"/>
    </xf>
    <xf numFmtId="0" fontId="32" fillId="3" borderId="0" xfId="0" applyFont="1" applyFill="1" applyAlignment="1">
      <alignment horizontal="left" wrapText="1"/>
    </xf>
    <xf numFmtId="0" fontId="4" fillId="3" borderId="9" xfId="12" applyFont="1" applyFill="1" applyBorder="1" applyAlignment="1">
      <alignment horizontal="center" vertical="center"/>
    </xf>
    <xf numFmtId="0" fontId="4" fillId="3" borderId="10" xfId="12" applyFont="1" applyFill="1" applyBorder="1" applyAlignment="1">
      <alignment horizontal="center" vertical="center"/>
    </xf>
    <xf numFmtId="0" fontId="31" fillId="3" borderId="0" xfId="0" applyFont="1" applyFill="1" applyAlignment="1">
      <alignment horizontal="center"/>
    </xf>
    <xf numFmtId="0" fontId="31" fillId="3" borderId="0" xfId="0" applyFont="1" applyFill="1" applyAlignment="1">
      <alignment horizontal="left" vertical="center" wrapText="1"/>
    </xf>
    <xf numFmtId="0" fontId="31" fillId="3" borderId="0" xfId="12" applyFont="1" applyFill="1" applyBorder="1" applyAlignment="1">
      <alignment horizontal="left" vertical="center" wrapText="1"/>
    </xf>
    <xf numFmtId="0" fontId="31" fillId="3" borderId="0" xfId="0" applyFont="1" applyFill="1" applyAlignment="1">
      <alignment horizontal="left" vertical="center"/>
    </xf>
    <xf numFmtId="0" fontId="4" fillId="3" borderId="0" xfId="0" applyFont="1" applyFill="1" applyAlignment="1">
      <alignment horizontal="center" vertical="center"/>
    </xf>
    <xf numFmtId="0" fontId="31" fillId="3" borderId="3" xfId="0" applyFont="1" applyFill="1" applyBorder="1" applyAlignment="1">
      <alignment horizontal="center"/>
    </xf>
    <xf numFmtId="0" fontId="31" fillId="3" borderId="4" xfId="0" applyFont="1" applyFill="1" applyBorder="1" applyAlignment="1">
      <alignment horizontal="center"/>
    </xf>
    <xf numFmtId="0" fontId="31" fillId="3" borderId="6" xfId="0" applyFont="1" applyFill="1" applyBorder="1" applyAlignment="1">
      <alignment horizontal="center"/>
    </xf>
    <xf numFmtId="0" fontId="31" fillId="3" borderId="0" xfId="0" applyFont="1" applyFill="1" applyBorder="1" applyAlignment="1">
      <alignment horizontal="center"/>
    </xf>
    <xf numFmtId="0" fontId="31" fillId="3" borderId="4" xfId="12" applyFont="1" applyFill="1" applyBorder="1" applyAlignment="1">
      <alignment horizontal="center" vertical="center"/>
    </xf>
    <xf numFmtId="0" fontId="31" fillId="3" borderId="5" xfId="12" applyFont="1" applyFill="1" applyBorder="1" applyAlignment="1">
      <alignment horizontal="center" vertical="center"/>
    </xf>
    <xf numFmtId="0" fontId="31" fillId="3" borderId="0" xfId="12" applyFont="1" applyFill="1" applyBorder="1" applyAlignment="1">
      <alignment horizontal="center" vertical="center"/>
    </xf>
    <xf numFmtId="0" fontId="31" fillId="3" borderId="7" xfId="12" applyFont="1" applyFill="1" applyBorder="1" applyAlignment="1">
      <alignment horizontal="center" vertical="center"/>
    </xf>
    <xf numFmtId="0" fontId="4" fillId="3" borderId="0" xfId="12" applyFont="1" applyFill="1" applyBorder="1" applyAlignment="1">
      <alignment horizontal="center" vertical="center"/>
    </xf>
    <xf numFmtId="0" fontId="4" fillId="3" borderId="7" xfId="12" applyFont="1" applyFill="1" applyBorder="1" applyAlignment="1">
      <alignment horizontal="center" vertical="center"/>
    </xf>
    <xf numFmtId="0" fontId="31" fillId="3" borderId="7" xfId="0" applyFont="1" applyFill="1" applyBorder="1" applyAlignment="1">
      <alignment horizontal="center"/>
    </xf>
    <xf numFmtId="0" fontId="31" fillId="3" borderId="5" xfId="0" applyFont="1" applyFill="1" applyBorder="1" applyAlignment="1">
      <alignment horizontal="center"/>
    </xf>
    <xf numFmtId="0" fontId="31" fillId="3" borderId="8" xfId="0" applyFont="1" applyFill="1" applyBorder="1" applyAlignment="1">
      <alignment horizontal="center" vertical="center"/>
    </xf>
    <xf numFmtId="0" fontId="31" fillId="3" borderId="9" xfId="0" applyFont="1" applyFill="1" applyBorder="1" applyAlignment="1">
      <alignment horizontal="center" vertical="center"/>
    </xf>
    <xf numFmtId="0" fontId="31" fillId="3" borderId="6" xfId="0" applyFont="1" applyFill="1" applyBorder="1" applyAlignment="1">
      <alignment horizontal="center" vertical="center"/>
    </xf>
    <xf numFmtId="0" fontId="31" fillId="3" borderId="0" xfId="0" applyFont="1" applyFill="1" applyBorder="1" applyAlignment="1">
      <alignment horizontal="center" vertical="center"/>
    </xf>
    <xf numFmtId="0" fontId="31" fillId="3" borderId="8" xfId="0" applyFont="1" applyFill="1" applyBorder="1" applyAlignment="1">
      <alignment horizontal="center"/>
    </xf>
    <xf numFmtId="0" fontId="31" fillId="3" borderId="9" xfId="0" applyFont="1" applyFill="1" applyBorder="1" applyAlignment="1">
      <alignment horizontal="center"/>
    </xf>
    <xf numFmtId="0" fontId="31" fillId="3" borderId="10" xfId="0" applyFont="1" applyFill="1" applyBorder="1" applyAlignment="1">
      <alignment horizontal="center"/>
    </xf>
    <xf numFmtId="0" fontId="35" fillId="3" borderId="0" xfId="0" applyFont="1" applyFill="1" applyAlignment="1">
      <alignment horizontal="center" vertical="center"/>
    </xf>
    <xf numFmtId="0" fontId="35" fillId="3" borderId="0" xfId="0" applyFont="1" applyFill="1" applyAlignment="1">
      <alignment horizontal="center" vertical="center" wrapText="1"/>
    </xf>
    <xf numFmtId="0" fontId="31" fillId="3" borderId="6" xfId="12" applyFont="1" applyFill="1" applyBorder="1" applyAlignment="1">
      <alignment horizontal="left" vertical="center"/>
    </xf>
    <xf numFmtId="0" fontId="31" fillId="3" borderId="0" xfId="12" applyFont="1" applyFill="1" applyBorder="1" applyAlignment="1">
      <alignment horizontal="left" vertical="center"/>
    </xf>
    <xf numFmtId="0" fontId="38" fillId="3" borderId="9" xfId="42" applyFont="1">
      <alignment horizontal="center"/>
    </xf>
    <xf numFmtId="0" fontId="4" fillId="3" borderId="9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33" fillId="3" borderId="0" xfId="51" applyFont="1" applyFill="1" applyAlignment="1">
      <alignment horizontal="left"/>
    </xf>
    <xf numFmtId="0" fontId="34" fillId="3" borderId="0" xfId="0" applyFont="1" applyFill="1" applyAlignment="1">
      <alignment horizontal="left"/>
    </xf>
    <xf numFmtId="0" fontId="17" fillId="3" borderId="12" xfId="19" applyFont="1" applyFill="1" applyAlignment="1">
      <alignment horizontal="center" vertical="center"/>
    </xf>
    <xf numFmtId="0" fontId="31" fillId="3" borderId="8" xfId="12" applyFont="1" applyFill="1" applyBorder="1" applyAlignment="1">
      <alignment horizontal="left" vertical="center"/>
    </xf>
    <xf numFmtId="0" fontId="31" fillId="3" borderId="9" xfId="12" applyFont="1" applyFill="1" applyBorder="1" applyAlignment="1">
      <alignment horizontal="left" vertical="center"/>
    </xf>
    <xf numFmtId="0" fontId="35" fillId="3" borderId="3" xfId="12" applyFont="1" applyFill="1" applyBorder="1" applyAlignment="1">
      <alignment horizontal="center" vertical="center"/>
    </xf>
    <xf numFmtId="0" fontId="35" fillId="3" borderId="4" xfId="12" applyFont="1" applyFill="1" applyBorder="1" applyAlignment="1">
      <alignment horizontal="center" vertical="center"/>
    </xf>
    <xf numFmtId="0" fontId="35" fillId="3" borderId="6" xfId="12" applyFont="1" applyFill="1" applyBorder="1" applyAlignment="1">
      <alignment horizontal="center" vertical="center"/>
    </xf>
    <xf numFmtId="0" fontId="35" fillId="3" borderId="0" xfId="12" applyFont="1" applyFill="1" applyBorder="1" applyAlignment="1">
      <alignment horizontal="center" vertical="center"/>
    </xf>
    <xf numFmtId="0" fontId="31" fillId="3" borderId="0" xfId="0" applyFont="1" applyFill="1" applyAlignment="1">
      <alignment horizontal="left" wrapText="1"/>
    </xf>
    <xf numFmtId="0" fontId="31" fillId="3" borderId="6" xfId="12" applyFont="1" applyFill="1" applyBorder="1" applyAlignment="1">
      <alignment horizontal="left" vertical="center" wrapText="1"/>
    </xf>
    <xf numFmtId="0" fontId="37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0" xfId="0" applyFont="1" applyFill="1" applyAlignment="1">
      <alignment horizontal="left"/>
    </xf>
    <xf numFmtId="0" fontId="31" fillId="3" borderId="3" xfId="0" applyFont="1" applyFill="1" applyBorder="1" applyAlignment="1">
      <alignment horizontal="center" vertical="center"/>
    </xf>
    <xf numFmtId="0" fontId="31" fillId="3" borderId="4" xfId="0" applyFont="1" applyFill="1" applyBorder="1" applyAlignment="1">
      <alignment horizontal="center" vertical="center"/>
    </xf>
    <xf numFmtId="0" fontId="20" fillId="5" borderId="0" xfId="0" applyFont="1" applyFill="1" applyAlignment="1">
      <alignment horizontal="left" vertical="center" wrapText="1"/>
    </xf>
    <xf numFmtId="0" fontId="20" fillId="5" borderId="0" xfId="0" applyFont="1" applyFill="1" applyAlignment="1">
      <alignment horizontal="left" vertical="top" wrapText="1"/>
    </xf>
    <xf numFmtId="0" fontId="20" fillId="5" borderId="9" xfId="0" applyFont="1" applyFill="1" applyBorder="1" applyAlignment="1">
      <alignment vertical="center" wrapText="1"/>
    </xf>
    <xf numFmtId="0" fontId="20" fillId="5" borderId="10" xfId="0" applyFont="1" applyFill="1" applyBorder="1" applyAlignment="1">
      <alignment vertical="center" wrapText="1"/>
    </xf>
    <xf numFmtId="0" fontId="20" fillId="5" borderId="6" xfId="0" applyFont="1" applyFill="1" applyBorder="1" applyAlignment="1">
      <alignment horizontal="left" vertical="center" wrapText="1"/>
    </xf>
    <xf numFmtId="0" fontId="20" fillId="5" borderId="0" xfId="0" applyFont="1" applyFill="1" applyBorder="1" applyAlignment="1">
      <alignment horizontal="left" vertical="center" wrapText="1"/>
    </xf>
    <xf numFmtId="0" fontId="20" fillId="5" borderId="7" xfId="0" applyFont="1" applyFill="1" applyBorder="1" applyAlignment="1">
      <alignment horizontal="left" vertical="center" wrapText="1"/>
    </xf>
    <xf numFmtId="0" fontId="20" fillId="5" borderId="0" xfId="0" applyFont="1" applyFill="1" applyBorder="1" applyAlignment="1">
      <alignment vertical="center" wrapText="1"/>
    </xf>
    <xf numFmtId="0" fontId="20" fillId="5" borderId="7" xfId="0" applyFont="1" applyFill="1" applyBorder="1" applyAlignment="1">
      <alignment vertical="center" wrapText="1"/>
    </xf>
    <xf numFmtId="0" fontId="20" fillId="5" borderId="6" xfId="0" applyFont="1" applyFill="1" applyBorder="1" applyAlignment="1">
      <alignment horizontal="center" vertical="center" wrapText="1"/>
    </xf>
    <xf numFmtId="0" fontId="20" fillId="5" borderId="0" xfId="0" applyFont="1" applyFill="1" applyBorder="1" applyAlignment="1">
      <alignment horizontal="center" vertical="center" wrapText="1"/>
    </xf>
    <xf numFmtId="0" fontId="20" fillId="5" borderId="7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vertical="center" wrapText="1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center" vertical="center" wrapText="1"/>
    </xf>
    <xf numFmtId="0" fontId="20" fillId="0" borderId="3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5" borderId="0" xfId="0" applyFont="1" applyFill="1" applyAlignment="1">
      <alignment horizontal="left" vertical="center" wrapText="1" indent="2"/>
    </xf>
    <xf numFmtId="0" fontId="23" fillId="5" borderId="3" xfId="0" applyFont="1" applyFill="1" applyBorder="1" applyAlignment="1">
      <alignment horizontal="center" vertical="center"/>
    </xf>
    <xf numFmtId="0" fontId="23" fillId="5" borderId="4" xfId="0" applyFont="1" applyFill="1" applyBorder="1" applyAlignment="1">
      <alignment horizontal="center" vertical="center"/>
    </xf>
    <xf numFmtId="0" fontId="36" fillId="5" borderId="12" xfId="19" applyFont="1" applyFill="1" applyAlignment="1">
      <alignment horizontal="center" vertical="center"/>
    </xf>
    <xf numFmtId="0" fontId="20" fillId="5" borderId="0" xfId="0" applyFont="1" applyFill="1" applyAlignment="1">
      <alignment horizontal="left" vertical="center" indent="1"/>
    </xf>
    <xf numFmtId="0" fontId="29" fillId="6" borderId="0" xfId="27" applyFont="1" applyAlignment="1">
      <alignment horizontal="center" vertical="center"/>
    </xf>
    <xf numFmtId="0" fontId="20" fillId="0" borderId="0" xfId="0" applyFont="1" applyAlignment="1">
      <alignment horizontal="left" vertical="center" wrapText="1" indent="2"/>
    </xf>
    <xf numFmtId="0" fontId="20" fillId="5" borderId="0" xfId="0" applyFont="1" applyFill="1" applyAlignment="1">
      <alignment horizontal="left"/>
    </xf>
    <xf numFmtId="0" fontId="22" fillId="5" borderId="0" xfId="0" applyFont="1" applyFill="1" applyAlignment="1">
      <alignment horizontal="center"/>
    </xf>
    <xf numFmtId="0" fontId="3" fillId="3" borderId="0" xfId="0" applyFont="1" applyFill="1" applyAlignment="1">
      <alignment horizontal="center" vertical="center"/>
    </xf>
    <xf numFmtId="0" fontId="19" fillId="3" borderId="0" xfId="0" applyFont="1" applyFill="1" applyAlignment="1">
      <alignment horizontal="center"/>
    </xf>
    <xf numFmtId="0" fontId="14" fillId="3" borderId="0" xfId="51" applyFill="1" applyAlignment="1">
      <alignment horizontal="left"/>
    </xf>
    <xf numFmtId="0" fontId="8" fillId="3" borderId="0" xfId="0" applyFont="1" applyFill="1" applyAlignment="1">
      <alignment horizontal="left"/>
    </xf>
    <xf numFmtId="0" fontId="0" fillId="3" borderId="0" xfId="0" applyFill="1" applyAlignment="1">
      <alignment horizont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0" fillId="3" borderId="6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49" fontId="31" fillId="3" borderId="6" xfId="12" applyNumberFormat="1" applyFont="1" applyFill="1" applyBorder="1" applyAlignment="1">
      <alignment horizontal="left" vertical="center"/>
    </xf>
    <xf numFmtId="49" fontId="31" fillId="3" borderId="0" xfId="12" applyNumberFormat="1" applyFont="1" applyFill="1" applyBorder="1" applyAlignment="1">
      <alignment horizontal="left" vertical="center"/>
    </xf>
    <xf numFmtId="0" fontId="0" fillId="3" borderId="4" xfId="0" applyFill="1" applyBorder="1" applyAlignment="1">
      <alignment horizontal="center"/>
    </xf>
    <xf numFmtId="49" fontId="31" fillId="3" borderId="8" xfId="12" applyNumberFormat="1" applyFont="1" applyFill="1" applyBorder="1" applyAlignment="1">
      <alignment horizontal="left" vertical="center"/>
    </xf>
    <xf numFmtId="49" fontId="31" fillId="3" borderId="9" xfId="12" applyNumberFormat="1" applyFont="1" applyFill="1" applyBorder="1" applyAlignment="1">
      <alignment horizontal="left" vertical="center"/>
    </xf>
    <xf numFmtId="49" fontId="31" fillId="3" borderId="6" xfId="12" applyNumberFormat="1" applyFont="1" applyFill="1" applyBorder="1" applyAlignment="1">
      <alignment horizontal="left" vertical="center" wrapText="1"/>
    </xf>
    <xf numFmtId="49" fontId="31" fillId="3" borderId="0" xfId="12" applyNumberFormat="1" applyFont="1" applyFill="1" applyBorder="1" applyAlignment="1">
      <alignment horizontal="left" vertical="center" wrapText="1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35" fillId="3" borderId="0" xfId="0" applyFont="1" applyFill="1" applyAlignment="1">
      <alignment horizontal="center"/>
    </xf>
    <xf numFmtId="0" fontId="18" fillId="6" borderId="0" xfId="27" applyFont="1" applyAlignment="1">
      <alignment horizontal="center" vertical="center"/>
    </xf>
    <xf numFmtId="0" fontId="22" fillId="5" borderId="0" xfId="0" applyFont="1" applyFill="1" applyAlignment="1">
      <alignment horizontal="center" vertical="center"/>
    </xf>
    <xf numFmtId="0" fontId="28" fillId="5" borderId="0" xfId="0" applyFont="1" applyFill="1" applyAlignment="1">
      <alignment horizontal="center" vertical="center"/>
    </xf>
    <xf numFmtId="0" fontId="30" fillId="8" borderId="0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left" vertical="center" wrapText="1"/>
    </xf>
    <xf numFmtId="0" fontId="17" fillId="5" borderId="0" xfId="19" applyFont="1" applyFill="1" applyBorder="1" applyAlignment="1">
      <alignment horizontal="center" vertical="center"/>
    </xf>
    <xf numFmtId="0" fontId="17" fillId="5" borderId="12" xfId="19" applyFont="1" applyFill="1" applyBorder="1" applyAlignment="1">
      <alignment horizontal="center" vertical="center"/>
    </xf>
  </cellXfs>
  <cellStyles count="93">
    <cellStyle name="Encabezado 1" xfId="19" builtinId="16"/>
    <cellStyle name="Estilo 1" xfId="12" xr:uid="{00000000-0005-0000-0000-000002000000}"/>
    <cellStyle name="Estilo 2" xfId="27" xr:uid="{00000000-0005-0000-0000-000003000000}"/>
    <cellStyle name="Estilo 3" xfId="42" xr:uid="{00000000-0005-0000-0000-000004000000}"/>
    <cellStyle name="Hipervínculo" xfId="2" builtinId="8" hidden="1"/>
    <cellStyle name="Hipervínculo" xfId="4" builtinId="8" hidden="1"/>
    <cellStyle name="Hipervínculo" xfId="6" builtinId="8" hidden="1"/>
    <cellStyle name="Hipervínculo" xfId="8" builtinId="8" hidden="1"/>
    <cellStyle name="Hipervínculo" xfId="10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8" builtinId="8" hidden="1"/>
    <cellStyle name="Hipervínculo" xfId="30" builtinId="8" hidden="1"/>
    <cellStyle name="Hipervínculo" xfId="32" builtinId="8" hidden="1"/>
    <cellStyle name="Hipervínculo" xfId="34" builtinId="8" hidden="1"/>
    <cellStyle name="Hipervínculo" xfId="36" builtinId="8" hidden="1"/>
    <cellStyle name="Hipervínculo" xfId="38" builtinId="8" hidden="1"/>
    <cellStyle name="Hipervínculo" xfId="40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/>
    <cellStyle name="Hipervínculo visitado" xfId="3" builtinId="9" hidden="1"/>
    <cellStyle name="Hipervínculo visitado" xfId="5" builtinId="9" hidden="1"/>
    <cellStyle name="Hipervínculo visitado" xfId="7" builtinId="9" hidden="1"/>
    <cellStyle name="Hipervínculo visitado" xfId="9" builtinId="9" hidden="1"/>
    <cellStyle name="Hipervínculo visitado" xfId="11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9" builtinId="9" hidden="1"/>
    <cellStyle name="Hipervínculo visitado" xfId="31" builtinId="9" hidden="1"/>
    <cellStyle name="Hipervínculo visitado" xfId="33" builtinId="9" hidden="1"/>
    <cellStyle name="Hipervínculo visitado" xfId="35" builtinId="9" hidden="1"/>
    <cellStyle name="Hipervínculo visitado" xfId="37" builtinId="9" hidden="1"/>
    <cellStyle name="Hipervínculo visitado" xfId="39" builtinId="9" hidden="1"/>
    <cellStyle name="Hipervínculo visitado" xfId="41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3" builtinId="9" hidden="1"/>
    <cellStyle name="Hipervínculo visitado" xfId="54" builtinId="9" hidden="1"/>
    <cellStyle name="Hipervínculo visitado" xfId="55" builtinId="9" hidden="1"/>
    <cellStyle name="Hipervínculo visitado" xfId="56" builtinId="9" hidden="1"/>
    <cellStyle name="Hipervínculo visitado" xfId="57" builtinId="9" hidden="1"/>
    <cellStyle name="Hipervínculo visitado" xfId="58" builtinId="9" hidden="1"/>
    <cellStyle name="Hipervínculo visitado" xfId="59" builtinId="9" hidden="1"/>
    <cellStyle name="Hipervínculo visitado" xfId="60" builtinId="9" hidden="1"/>
    <cellStyle name="Hipervínculo visitado" xfId="61" builtinId="9" hidden="1"/>
    <cellStyle name="Hipervínculo visitado" xfId="62" builtinId="9" hidden="1"/>
    <cellStyle name="Hipervínculo visitado" xfId="63" builtinId="9" hidden="1"/>
    <cellStyle name="Hipervínculo visitado" xfId="64" builtinId="9" hidden="1"/>
    <cellStyle name="Hipervínculo visitado" xfId="65" builtinId="9" hidden="1"/>
    <cellStyle name="Hipervínculo visitado" xfId="66" builtinId="9" hidden="1"/>
    <cellStyle name="Hipervínculo visitado" xfId="67" builtinId="9" hidden="1"/>
    <cellStyle name="Hipervínculo visitado" xfId="68" builtinId="9" hidden="1"/>
    <cellStyle name="Hipervínculo visitado" xfId="69" builtinId="9" hidden="1"/>
    <cellStyle name="Hipervínculo visitado" xfId="70" builtinId="9" hidden="1"/>
    <cellStyle name="Hipervínculo visitado" xfId="71" builtinId="9" hidden="1"/>
    <cellStyle name="Hipervínculo visitado" xfId="72" builtinId="9" hidden="1"/>
    <cellStyle name="Hipervínculo visitado" xfId="73" builtinId="9" hidden="1"/>
    <cellStyle name="Hipervínculo visitado" xfId="74" builtinId="9" hidden="1"/>
    <cellStyle name="Hipervínculo visitado" xfId="75" builtinId="9" hidden="1"/>
    <cellStyle name="Hipervínculo visitado" xfId="76" builtinId="9" hidden="1"/>
    <cellStyle name="Hipervínculo visitado" xfId="77" builtinId="9" hidden="1"/>
    <cellStyle name="Hipervínculo visitado" xfId="78" builtinId="9" hidden="1"/>
    <cellStyle name="Hipervínculo visitado" xfId="79" builtinId="9" hidden="1"/>
    <cellStyle name="Hipervínculo visitado" xfId="80" builtinId="9" hidden="1"/>
    <cellStyle name="Hipervínculo visitado" xfId="81" builtinId="9" hidden="1"/>
    <cellStyle name="Hipervínculo visitado" xfId="82" builtinId="9" hidden="1"/>
    <cellStyle name="Hipervínculo visitado" xfId="83" builtinId="9" hidden="1"/>
    <cellStyle name="Hipervínculo visitado" xfId="84" builtinId="9" hidden="1"/>
    <cellStyle name="Hipervínculo visitado" xfId="85" builtinId="9" hidden="1"/>
    <cellStyle name="Hipervínculo visitado" xfId="86" builtinId="9" hidden="1"/>
    <cellStyle name="Hipervínculo visitado" xfId="87" builtinId="9" hidden="1"/>
    <cellStyle name="Hipervínculo visitado" xfId="88" builtinId="9" hidden="1"/>
    <cellStyle name="Hipervínculo visitado" xfId="89" builtinId="9" hidden="1"/>
    <cellStyle name="Hipervínculo visitado" xfId="90" builtinId="9" hidden="1"/>
    <cellStyle name="Hipervínculo visitado" xfId="91" builtinId="9" hidden="1"/>
    <cellStyle name="Hipervínculo visitado" xfId="92" builtinId="9" hidden="1"/>
    <cellStyle name="Normal" xfId="0" builtinId="0" customBuiltin="1"/>
    <cellStyle name="Porcentaje" xfId="52" builtinId="5"/>
    <cellStyle name="Salida" xfId="1" builtinId="21"/>
    <cellStyle name="Título 2" xfId="20" builtinId="17"/>
  </cellStyles>
  <dxfs count="32">
    <dxf>
      <font>
        <color auto="1"/>
      </font>
      <fill>
        <patternFill patternType="solid">
          <fgColor indexed="64"/>
          <bgColor theme="0" tint="-4.9989318521683403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auto="1"/>
      </font>
      <fill>
        <patternFill patternType="solid">
          <fgColor indexed="64"/>
          <bgColor rgb="FFDFA9A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4.9989318521683403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4.9989318521683403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auto="1"/>
      </font>
      <fill>
        <patternFill patternType="solid">
          <fgColor indexed="64"/>
          <bgColor theme="7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0.149998474074526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9" tint="0.79998168889431442"/>
        </patternFill>
      </fill>
    </dxf>
    <dxf>
      <font>
        <b/>
        <i val="0"/>
        <color theme="1"/>
      </font>
      <fill>
        <patternFill patternType="solid">
          <fgColor indexed="64"/>
          <bgColor theme="6" tint="0.399975585192419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theme="9" tint="0.39997558519241921"/>
        </patternFill>
      </fill>
    </dxf>
    <dxf>
      <font>
        <color auto="1"/>
      </font>
      <fill>
        <patternFill patternType="solid">
          <fgColor indexed="64"/>
          <bgColor rgb="FFF2E3B9"/>
        </patternFill>
      </fill>
    </dxf>
    <dxf>
      <font>
        <color theme="1"/>
      </font>
      <fill>
        <patternFill>
          <bgColor rgb="FFFFEB9C"/>
        </patternFill>
      </fill>
    </dxf>
    <dxf>
      <font>
        <color auto="1"/>
      </font>
      <fill>
        <patternFill patternType="solid">
          <fgColor indexed="64"/>
          <bgColor rgb="FFA3C07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 patternType="solid">
          <fgColor indexed="64"/>
          <bgColor theme="0" tint="-4.9989318521683403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1"/>
      </font>
      <fill>
        <patternFill patternType="solid">
          <fgColor indexed="64"/>
          <bgColor theme="0" tint="-4.9989318521683403E-2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color auto="1"/>
      </font>
      <fill>
        <patternFill patternType="solid">
          <fgColor indexed="64"/>
          <bgColor theme="0" tint="-4.9989318521683403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auto="1"/>
      </font>
      <fill>
        <patternFill patternType="solid">
          <fgColor indexed="64"/>
          <bgColor theme="7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0" tint="-0.149998474074526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theme="9" tint="0.39997558519241921"/>
        </patternFill>
      </fill>
    </dxf>
    <dxf>
      <font>
        <color auto="1"/>
      </font>
      <fill>
        <patternFill patternType="solid">
          <fgColor indexed="64"/>
          <bgColor rgb="FFF2E3B9"/>
        </patternFill>
      </fill>
    </dxf>
    <dxf>
      <font>
        <color theme="1"/>
      </font>
      <fill>
        <patternFill>
          <bgColor rgb="FFFFEB9C"/>
        </patternFill>
      </fill>
    </dxf>
    <dxf>
      <font>
        <color auto="1"/>
      </font>
      <fill>
        <patternFill patternType="solid">
          <fgColor indexed="64"/>
          <bgColor rgb="FFA3C070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5" Type="http://schemas.openxmlformats.org/officeDocument/2006/relationships/image" Target="../media/image9.png"/><Relationship Id="rId4" Type="http://schemas.openxmlformats.org/officeDocument/2006/relationships/image" Target="../media/image8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16934</xdr:colOff>
      <xdr:row>22</xdr:row>
      <xdr:rowOff>8467</xdr:rowOff>
    </xdr:from>
    <xdr:to>
      <xdr:col>6</xdr:col>
      <xdr:colOff>805200</xdr:colOff>
      <xdr:row>43</xdr:row>
      <xdr:rowOff>173567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195"/>
        <a:stretch/>
      </xdr:blipFill>
      <xdr:spPr>
        <a:xfrm>
          <a:off x="1921934" y="5659967"/>
          <a:ext cx="6231467" cy="505460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21</xdr:row>
      <xdr:rowOff>207433</xdr:rowOff>
    </xdr:from>
    <xdr:to>
      <xdr:col>12</xdr:col>
      <xdr:colOff>225955</xdr:colOff>
      <xdr:row>48</xdr:row>
      <xdr:rowOff>207433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255000" y="5626100"/>
          <a:ext cx="6155267" cy="6286500"/>
        </a:xfrm>
        <a:prstGeom prst="rect">
          <a:avLst/>
        </a:prstGeom>
      </xdr:spPr>
    </xdr:pic>
    <xdr:clientData/>
  </xdr:twoCellAnchor>
  <xdr:twoCellAnchor editAs="oneCell">
    <xdr:from>
      <xdr:col>1</xdr:col>
      <xdr:colOff>889001</xdr:colOff>
      <xdr:row>105</xdr:row>
      <xdr:rowOff>169333</xdr:rowOff>
    </xdr:from>
    <xdr:to>
      <xdr:col>7</xdr:col>
      <xdr:colOff>15154</xdr:colOff>
      <xdr:row>126</xdr:row>
      <xdr:rowOff>194733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41501" y="42502666"/>
          <a:ext cx="7175500" cy="4914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406399</xdr:colOff>
      <xdr:row>106</xdr:row>
      <xdr:rowOff>33867</xdr:rowOff>
    </xdr:from>
    <xdr:to>
      <xdr:col>7</xdr:col>
      <xdr:colOff>1681906</xdr:colOff>
      <xdr:row>133</xdr:row>
      <xdr:rowOff>2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54666" y="28617334"/>
          <a:ext cx="8637373" cy="5486400"/>
        </a:xfrm>
        <a:prstGeom prst="rect">
          <a:avLst/>
        </a:prstGeom>
      </xdr:spPr>
    </xdr:pic>
    <xdr:clientData/>
  </xdr:twoCellAnchor>
  <xdr:twoCellAnchor editAs="oneCell">
    <xdr:from>
      <xdr:col>1</xdr:col>
      <xdr:colOff>846667</xdr:colOff>
      <xdr:row>187</xdr:row>
      <xdr:rowOff>0</xdr:rowOff>
    </xdr:from>
    <xdr:to>
      <xdr:col>10</xdr:col>
      <xdr:colOff>822563</xdr:colOff>
      <xdr:row>218</xdr:row>
      <xdr:rowOff>50801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94934" y="44416133"/>
          <a:ext cx="12700000" cy="6350000"/>
        </a:xfrm>
        <a:prstGeom prst="rect">
          <a:avLst/>
        </a:prstGeom>
      </xdr:spPr>
    </xdr:pic>
    <xdr:clientData/>
  </xdr:twoCellAnchor>
  <xdr:twoCellAnchor editAs="oneCell">
    <xdr:from>
      <xdr:col>2</xdr:col>
      <xdr:colOff>654050</xdr:colOff>
      <xdr:row>147</xdr:row>
      <xdr:rowOff>273914</xdr:rowOff>
    </xdr:from>
    <xdr:to>
      <xdr:col>9</xdr:col>
      <xdr:colOff>375646</xdr:colOff>
      <xdr:row>154</xdr:row>
      <xdr:rowOff>47625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622550" y="33341539"/>
          <a:ext cx="9845704" cy="3996461"/>
        </a:xfrm>
        <a:prstGeom prst="rect">
          <a:avLst/>
        </a:prstGeom>
      </xdr:spPr>
    </xdr:pic>
    <xdr:clientData/>
  </xdr:twoCellAnchor>
  <xdr:twoCellAnchor editAs="oneCell">
    <xdr:from>
      <xdr:col>1</xdr:col>
      <xdr:colOff>897466</xdr:colOff>
      <xdr:row>156</xdr:row>
      <xdr:rowOff>406400</xdr:rowOff>
    </xdr:from>
    <xdr:to>
      <xdr:col>10</xdr:col>
      <xdr:colOff>385552</xdr:colOff>
      <xdr:row>164</xdr:row>
      <xdr:rowOff>393699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845733" y="39251467"/>
          <a:ext cx="12179300" cy="4864100"/>
        </a:xfrm>
        <a:prstGeom prst="rect">
          <a:avLst/>
        </a:prstGeom>
      </xdr:spPr>
    </xdr:pic>
    <xdr:clientData/>
  </xdr:twoCellAnchor>
  <xdr:twoCellAnchor editAs="oneCell">
    <xdr:from>
      <xdr:col>1</xdr:col>
      <xdr:colOff>931333</xdr:colOff>
      <xdr:row>165</xdr:row>
      <xdr:rowOff>33868</xdr:rowOff>
    </xdr:from>
    <xdr:to>
      <xdr:col>10</xdr:col>
      <xdr:colOff>419419</xdr:colOff>
      <xdr:row>172</xdr:row>
      <xdr:rowOff>579969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879600" y="44365335"/>
          <a:ext cx="12179300" cy="4813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jemplo.com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jemplo.com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2:S79"/>
  <sheetViews>
    <sheetView showZeros="0" tabSelected="1" topLeftCell="A3" zoomScale="64" zoomScaleNormal="64" zoomScalePageLayoutView="75" workbookViewId="0">
      <selection activeCell="J48" sqref="J48:L48"/>
    </sheetView>
  </sheetViews>
  <sheetFormatPr baseColWidth="10" defaultRowHeight="17.25"/>
  <cols>
    <col min="1" max="1" width="8.5546875" customWidth="1"/>
    <col min="2" max="2" width="9.88671875" hidden="1" customWidth="1"/>
    <col min="3" max="3" width="10.6640625" customWidth="1"/>
    <col min="5" max="5" width="11.44140625" customWidth="1"/>
    <col min="6" max="6" width="13.33203125" customWidth="1"/>
    <col min="9" max="9" width="14.5546875" customWidth="1"/>
    <col min="10" max="10" width="15.33203125" customWidth="1"/>
    <col min="12" max="12" width="20.77734375" customWidth="1"/>
    <col min="15" max="15" width="19" customWidth="1"/>
    <col min="17" max="17" width="13.88671875" customWidth="1"/>
    <col min="21" max="21" width="10.5546875" customWidth="1"/>
    <col min="23" max="23" width="7.33203125" customWidth="1"/>
    <col min="24" max="24" width="5.6640625" customWidth="1"/>
    <col min="25" max="25" width="11.88671875" customWidth="1"/>
    <col min="26" max="26" width="8.5546875" customWidth="1"/>
  </cols>
  <sheetData>
    <row r="2" spans="2:19" ht="17.100000000000001" customHeight="1"/>
    <row r="3" spans="2:19" ht="18" customHeight="1" thickBot="1">
      <c r="C3" s="93"/>
      <c r="D3" s="93"/>
      <c r="E3" s="93"/>
      <c r="F3" s="93"/>
      <c r="G3" s="93"/>
      <c r="H3" s="190" t="s">
        <v>36</v>
      </c>
      <c r="I3" s="190"/>
      <c r="J3" s="190"/>
      <c r="K3" s="190"/>
      <c r="L3" s="93"/>
      <c r="M3" s="93"/>
      <c r="N3" s="93"/>
      <c r="O3" s="93"/>
      <c r="P3" s="93"/>
      <c r="Q3" s="93"/>
      <c r="R3" s="93"/>
      <c r="S3" s="93"/>
    </row>
    <row r="4" spans="2:19" ht="18" customHeight="1" thickTop="1" thickBot="1">
      <c r="C4" s="161"/>
      <c r="D4" s="161"/>
      <c r="E4" s="161"/>
      <c r="F4" s="93"/>
      <c r="G4" s="93"/>
      <c r="H4" s="190"/>
      <c r="I4" s="190"/>
      <c r="J4" s="190"/>
      <c r="K4" s="190"/>
      <c r="L4" s="93"/>
      <c r="M4" s="93"/>
      <c r="N4" s="93"/>
      <c r="O4" s="141" t="s">
        <v>161</v>
      </c>
      <c r="P4" s="142"/>
      <c r="Q4" s="143"/>
      <c r="R4" s="93"/>
      <c r="S4" s="93"/>
    </row>
    <row r="5" spans="2:19" ht="15" customHeight="1" thickTop="1">
      <c r="B5" t="s">
        <v>2</v>
      </c>
      <c r="C5" s="161"/>
      <c r="D5" s="161"/>
      <c r="E5" s="161"/>
      <c r="F5" s="93"/>
      <c r="G5" s="93"/>
      <c r="H5" s="93"/>
      <c r="I5" s="93"/>
      <c r="J5" s="93"/>
      <c r="K5" s="93"/>
      <c r="L5" s="93"/>
      <c r="M5" s="93"/>
      <c r="N5" s="93"/>
      <c r="O5" s="144"/>
      <c r="P5" s="145"/>
      <c r="Q5" s="146"/>
      <c r="R5" s="93"/>
      <c r="S5" s="93"/>
    </row>
    <row r="6" spans="2:19" ht="15" customHeight="1">
      <c r="B6" t="s">
        <v>3</v>
      </c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4" t="s">
        <v>166</v>
      </c>
      <c r="P6" s="95" t="str">
        <f>IF(M11="Si","0",5)</f>
        <v>0</v>
      </c>
      <c r="Q6" s="96"/>
      <c r="R6" s="93"/>
      <c r="S6" s="93"/>
    </row>
    <row r="7" spans="2:19" ht="18.95" customHeight="1">
      <c r="C7" s="93"/>
      <c r="D7" s="199" t="s">
        <v>0</v>
      </c>
      <c r="E7" s="199"/>
      <c r="F7" s="93"/>
      <c r="G7" s="97" t="s">
        <v>1</v>
      </c>
      <c r="H7" s="188" t="s">
        <v>124</v>
      </c>
      <c r="I7" s="189"/>
      <c r="J7" s="189"/>
      <c r="K7" s="189"/>
      <c r="L7" s="93"/>
      <c r="M7" s="93"/>
      <c r="N7" s="93"/>
      <c r="O7" s="94" t="s">
        <v>165</v>
      </c>
      <c r="P7" s="95" t="str">
        <f>IF(SUM(IF(H16=I16,2,"0")+IF(H20=I20,2,"0")+IF(Q20=R20,2,"0"))=0,"0",(SUM(IF(H16=I16,2,"0")+IF(H20=I20,2,"0")+IF(Q20=R20,2,"0"))))</f>
        <v>0</v>
      </c>
      <c r="Q7" s="96"/>
      <c r="R7" s="93"/>
      <c r="S7" s="93"/>
    </row>
    <row r="8" spans="2:19" ht="18.75">
      <c r="C8" s="93"/>
      <c r="D8" s="91"/>
      <c r="E8" s="91"/>
      <c r="F8" s="93"/>
      <c r="G8" s="97"/>
      <c r="H8" s="98"/>
      <c r="I8" s="93"/>
      <c r="J8" s="93"/>
      <c r="K8" s="93"/>
      <c r="L8" s="93"/>
      <c r="M8" s="93"/>
      <c r="N8" s="93"/>
      <c r="O8" s="94" t="s">
        <v>164</v>
      </c>
      <c r="P8" s="95">
        <f>IF(G43="A",3,IF(G43="B",2.5,IF(G43="C",2,IF(G43="D",1.5,IF(G43="E",1,"0")))))</f>
        <v>2</v>
      </c>
      <c r="Q8" s="96"/>
      <c r="R8" s="93"/>
      <c r="S8" s="93"/>
    </row>
    <row r="9" spans="2:19" ht="18.75">
      <c r="B9" t="s">
        <v>21</v>
      </c>
      <c r="C9" s="187" t="s">
        <v>29</v>
      </c>
      <c r="D9" s="157"/>
      <c r="E9" s="157"/>
      <c r="F9" s="157"/>
      <c r="G9" s="157"/>
      <c r="H9" s="93"/>
      <c r="I9" s="93"/>
      <c r="J9" s="157"/>
      <c r="K9" s="157"/>
      <c r="L9" s="157"/>
      <c r="M9" s="99"/>
      <c r="N9" s="93"/>
      <c r="O9" s="94" t="s">
        <v>163</v>
      </c>
      <c r="P9" s="95" t="str">
        <f>IF(M48="Si",3,"0")</f>
        <v>0</v>
      </c>
      <c r="Q9" s="96"/>
      <c r="R9" s="93"/>
      <c r="S9" s="93"/>
    </row>
    <row r="10" spans="2:19" ht="38.25">
      <c r="B10" t="s">
        <v>22</v>
      </c>
      <c r="C10" s="187"/>
      <c r="D10" s="157" t="s">
        <v>176</v>
      </c>
      <c r="E10" s="157"/>
      <c r="F10" s="157"/>
      <c r="G10" s="157"/>
      <c r="H10" s="100" t="s">
        <v>2</v>
      </c>
      <c r="I10" s="93"/>
      <c r="J10" s="93"/>
      <c r="K10" s="140" t="s">
        <v>44</v>
      </c>
      <c r="L10" s="101"/>
      <c r="M10" s="101"/>
      <c r="N10" s="93"/>
      <c r="O10" s="134" t="s">
        <v>162</v>
      </c>
      <c r="P10" s="95" t="str">
        <f>IF(M50="Si","0",3)</f>
        <v>0</v>
      </c>
      <c r="Q10" s="135" t="s">
        <v>174</v>
      </c>
      <c r="R10" s="93"/>
      <c r="S10" s="93"/>
    </row>
    <row r="11" spans="2:19" ht="18.75">
      <c r="B11" t="s">
        <v>23</v>
      </c>
      <c r="C11" s="187"/>
      <c r="D11" s="157" t="s">
        <v>177</v>
      </c>
      <c r="E11" s="200"/>
      <c r="F11" s="200"/>
      <c r="G11" s="200"/>
      <c r="H11" s="100" t="s">
        <v>2</v>
      </c>
      <c r="I11" s="93"/>
      <c r="J11" s="157" t="s">
        <v>41</v>
      </c>
      <c r="K11" s="157"/>
      <c r="L11" s="157"/>
      <c r="M11" s="100" t="s">
        <v>2</v>
      </c>
      <c r="N11" s="93"/>
      <c r="O11" s="138" t="s">
        <v>175</v>
      </c>
      <c r="P11" s="137">
        <f>SUM(P6:P10)</f>
        <v>2</v>
      </c>
      <c r="Q11" s="136">
        <f>P11/19</f>
        <v>0.10526315789473684</v>
      </c>
      <c r="R11" s="93"/>
      <c r="S11" s="93"/>
    </row>
    <row r="12" spans="2:19" s="3" customFormat="1" ht="30" customHeight="1">
      <c r="B12" s="3" t="s">
        <v>24</v>
      </c>
      <c r="C12" s="187"/>
      <c r="D12" s="151" t="s">
        <v>178</v>
      </c>
      <c r="E12" s="161"/>
      <c r="F12" s="161"/>
      <c r="G12" s="161"/>
      <c r="H12" s="99" t="s">
        <v>2</v>
      </c>
      <c r="I12" s="102"/>
      <c r="J12" s="150"/>
      <c r="K12" s="150"/>
      <c r="L12" s="150"/>
      <c r="M12" s="99"/>
      <c r="N12" s="102"/>
      <c r="O12" s="102"/>
      <c r="P12" s="102"/>
      <c r="Q12" s="102"/>
      <c r="R12" s="102"/>
      <c r="S12" s="102"/>
    </row>
    <row r="13" spans="2:19" ht="18.75">
      <c r="B13" t="s">
        <v>25</v>
      </c>
      <c r="C13" s="93"/>
      <c r="D13" s="157"/>
      <c r="E13" s="157"/>
      <c r="F13" s="157"/>
      <c r="G13" s="157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</row>
    <row r="14" spans="2:19" ht="21">
      <c r="C14" s="93"/>
      <c r="D14" s="185" t="s">
        <v>37</v>
      </c>
      <c r="E14" s="185"/>
      <c r="F14" s="185"/>
      <c r="G14" s="185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93"/>
      <c r="S14" s="93"/>
    </row>
    <row r="15" spans="2:19" ht="18.75">
      <c r="C15" s="93"/>
      <c r="D15" s="157"/>
      <c r="E15" s="157"/>
      <c r="F15" s="157"/>
      <c r="G15" s="157"/>
      <c r="H15" s="97" t="s">
        <v>5</v>
      </c>
      <c r="I15" s="97" t="s">
        <v>6</v>
      </c>
      <c r="J15" s="93"/>
      <c r="K15" s="93"/>
      <c r="L15" s="93"/>
      <c r="M15" s="93"/>
      <c r="N15" s="93"/>
      <c r="O15" s="93"/>
      <c r="P15" s="93"/>
      <c r="Q15" s="93"/>
      <c r="R15" s="93"/>
      <c r="S15" s="93"/>
    </row>
    <row r="16" spans="2:19" ht="18.75">
      <c r="C16" s="93"/>
      <c r="D16" s="157" t="s">
        <v>4</v>
      </c>
      <c r="E16" s="157"/>
      <c r="F16" s="157"/>
      <c r="G16" s="157"/>
      <c r="H16" s="93" t="s">
        <v>7</v>
      </c>
      <c r="I16" s="93" t="s">
        <v>92</v>
      </c>
      <c r="J16" s="93"/>
      <c r="K16" s="93"/>
      <c r="L16" s="93"/>
      <c r="M16" s="93"/>
      <c r="N16" s="93"/>
      <c r="O16" s="93"/>
      <c r="P16" s="93"/>
      <c r="Q16" s="93"/>
      <c r="R16" s="93"/>
      <c r="S16" s="93"/>
    </row>
    <row r="17" spans="3:19" ht="18.75">
      <c r="C17" s="93"/>
      <c r="D17" s="157"/>
      <c r="E17" s="157"/>
      <c r="F17" s="157"/>
      <c r="G17" s="157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</row>
    <row r="18" spans="3:19" ht="18.75">
      <c r="C18" s="93"/>
      <c r="D18" s="157"/>
      <c r="E18" s="157"/>
      <c r="F18" s="157"/>
      <c r="G18" s="157"/>
      <c r="H18" s="93"/>
      <c r="I18" s="93"/>
      <c r="J18" s="93"/>
      <c r="K18" s="93"/>
      <c r="L18" s="93"/>
      <c r="M18" s="93"/>
      <c r="N18" s="93"/>
      <c r="O18" s="93"/>
      <c r="P18" s="93"/>
      <c r="Q18" s="93"/>
      <c r="R18" s="93"/>
      <c r="S18" s="93"/>
    </row>
    <row r="19" spans="3:19" ht="37.5">
      <c r="C19" s="93"/>
      <c r="D19" s="201" t="s">
        <v>8</v>
      </c>
      <c r="E19" s="201"/>
      <c r="F19" s="201"/>
      <c r="G19" s="201"/>
      <c r="H19" s="97" t="s">
        <v>5</v>
      </c>
      <c r="I19" s="97" t="s">
        <v>6</v>
      </c>
      <c r="J19" s="93"/>
      <c r="K19" s="186" t="s">
        <v>27</v>
      </c>
      <c r="L19" s="186"/>
      <c r="M19" s="186"/>
      <c r="N19" s="93"/>
      <c r="O19" s="161" t="s">
        <v>99</v>
      </c>
      <c r="P19" s="161"/>
      <c r="Q19" s="103" t="s">
        <v>5</v>
      </c>
      <c r="R19" s="104" t="s">
        <v>6</v>
      </c>
      <c r="S19" s="93"/>
    </row>
    <row r="20" spans="3:19" ht="20.100000000000001" customHeight="1">
      <c r="C20" s="93"/>
      <c r="D20" s="202" t="s">
        <v>9</v>
      </c>
      <c r="E20" s="203"/>
      <c r="F20" s="203"/>
      <c r="G20" s="203"/>
      <c r="H20" s="105" t="s">
        <v>11</v>
      </c>
      <c r="I20" s="106" t="s">
        <v>12</v>
      </c>
      <c r="J20" s="93"/>
      <c r="K20" s="162" t="s">
        <v>98</v>
      </c>
      <c r="L20" s="163"/>
      <c r="M20" s="173"/>
      <c r="N20" s="107"/>
      <c r="O20" s="162" t="s">
        <v>100</v>
      </c>
      <c r="P20" s="163"/>
      <c r="Q20" s="108" t="s">
        <v>104</v>
      </c>
      <c r="R20" s="109" t="s">
        <v>111</v>
      </c>
      <c r="S20" s="93"/>
    </row>
    <row r="21" spans="3:19" ht="21.95" customHeight="1">
      <c r="C21" s="93"/>
      <c r="D21" s="176" t="s">
        <v>58</v>
      </c>
      <c r="E21" s="177"/>
      <c r="F21" s="177"/>
      <c r="G21" s="177"/>
      <c r="H21" s="95" t="s">
        <v>59</v>
      </c>
      <c r="I21" s="110" t="s">
        <v>60</v>
      </c>
      <c r="J21" s="93"/>
      <c r="K21" s="164"/>
      <c r="L21" s="165"/>
      <c r="M21" s="172"/>
      <c r="N21" s="107"/>
      <c r="O21" s="164" t="s">
        <v>101</v>
      </c>
      <c r="P21" s="165"/>
      <c r="Q21" s="111" t="s">
        <v>105</v>
      </c>
      <c r="R21" s="112" t="s">
        <v>110</v>
      </c>
      <c r="S21" s="93"/>
    </row>
    <row r="22" spans="3:19" ht="18.95" customHeight="1">
      <c r="C22" s="93"/>
      <c r="D22" s="176" t="s">
        <v>61</v>
      </c>
      <c r="E22" s="177"/>
      <c r="F22" s="177"/>
      <c r="G22" s="177"/>
      <c r="H22" s="95" t="s">
        <v>62</v>
      </c>
      <c r="I22" s="110" t="s">
        <v>63</v>
      </c>
      <c r="J22" s="93"/>
      <c r="K22" s="164"/>
      <c r="L22" s="165"/>
      <c r="M22" s="172"/>
      <c r="N22" s="107"/>
      <c r="O22" s="164" t="s">
        <v>102</v>
      </c>
      <c r="P22" s="165"/>
      <c r="Q22" s="111" t="s">
        <v>106</v>
      </c>
      <c r="R22" s="112" t="s">
        <v>109</v>
      </c>
      <c r="S22" s="93"/>
    </row>
    <row r="23" spans="3:19" ht="21" customHeight="1">
      <c r="C23" s="93"/>
      <c r="D23" s="176" t="s">
        <v>10</v>
      </c>
      <c r="E23" s="177"/>
      <c r="F23" s="177"/>
      <c r="G23" s="177"/>
      <c r="H23" s="95" t="s">
        <v>13</v>
      </c>
      <c r="I23" s="110" t="s">
        <v>14</v>
      </c>
      <c r="J23" s="93"/>
      <c r="K23" s="164"/>
      <c r="L23" s="165"/>
      <c r="M23" s="172"/>
      <c r="N23" s="107"/>
      <c r="O23" s="164" t="s">
        <v>103</v>
      </c>
      <c r="P23" s="165"/>
      <c r="Q23" s="111" t="s">
        <v>107</v>
      </c>
      <c r="R23" s="112" t="s">
        <v>108</v>
      </c>
      <c r="S23" s="93"/>
    </row>
    <row r="24" spans="3:19" ht="18.75">
      <c r="C24" s="93"/>
      <c r="D24" s="176" t="s">
        <v>64</v>
      </c>
      <c r="E24" s="177"/>
      <c r="F24" s="177"/>
      <c r="G24" s="177"/>
      <c r="H24" s="95" t="s">
        <v>65</v>
      </c>
      <c r="I24" s="110" t="s">
        <v>66</v>
      </c>
      <c r="J24" s="93"/>
      <c r="K24" s="164"/>
      <c r="L24" s="165"/>
      <c r="M24" s="172"/>
      <c r="N24" s="107"/>
      <c r="O24" s="164"/>
      <c r="P24" s="165"/>
      <c r="Q24" s="111"/>
      <c r="R24" s="112"/>
      <c r="S24" s="93"/>
    </row>
    <row r="25" spans="3:19" ht="27" customHeight="1">
      <c r="C25" s="93"/>
      <c r="D25" s="176" t="s">
        <v>67</v>
      </c>
      <c r="E25" s="177"/>
      <c r="F25" s="177"/>
      <c r="G25" s="177"/>
      <c r="H25" s="95" t="s">
        <v>15</v>
      </c>
      <c r="I25" s="110" t="s">
        <v>16</v>
      </c>
      <c r="J25" s="93"/>
      <c r="K25" s="164"/>
      <c r="L25" s="165"/>
      <c r="M25" s="172"/>
      <c r="N25" s="107"/>
      <c r="O25" s="164"/>
      <c r="P25" s="165"/>
      <c r="Q25" s="111"/>
      <c r="R25" s="112"/>
      <c r="S25" s="93"/>
    </row>
    <row r="26" spans="3:19" ht="18.75">
      <c r="C26" s="93"/>
      <c r="D26" s="176" t="s">
        <v>68</v>
      </c>
      <c r="E26" s="177"/>
      <c r="F26" s="177"/>
      <c r="G26" s="177"/>
      <c r="H26" s="95" t="s">
        <v>69</v>
      </c>
      <c r="I26" s="110" t="s">
        <v>70</v>
      </c>
      <c r="J26" s="93"/>
      <c r="K26" s="164"/>
      <c r="L26" s="165"/>
      <c r="M26" s="172"/>
      <c r="N26" s="107"/>
      <c r="O26" s="111"/>
      <c r="P26" s="107"/>
      <c r="Q26" s="111"/>
      <c r="R26" s="112"/>
      <c r="S26" s="93"/>
    </row>
    <row r="27" spans="3:19" ht="30.95" customHeight="1">
      <c r="C27" s="93"/>
      <c r="D27" s="176" t="s">
        <v>71</v>
      </c>
      <c r="E27" s="177"/>
      <c r="F27" s="177"/>
      <c r="G27" s="177"/>
      <c r="H27" s="95" t="s">
        <v>17</v>
      </c>
      <c r="I27" s="110" t="s">
        <v>18</v>
      </c>
      <c r="J27" s="93"/>
      <c r="K27" s="164"/>
      <c r="L27" s="165"/>
      <c r="M27" s="172"/>
      <c r="N27" s="107"/>
      <c r="O27" s="111"/>
      <c r="P27" s="107"/>
      <c r="Q27" s="111"/>
      <c r="R27" s="112"/>
      <c r="S27" s="93"/>
    </row>
    <row r="28" spans="3:19" ht="18.95" customHeight="1">
      <c r="C28" s="93"/>
      <c r="D28" s="176" t="s">
        <v>72</v>
      </c>
      <c r="E28" s="177"/>
      <c r="F28" s="177"/>
      <c r="G28" s="177"/>
      <c r="H28" s="95" t="s">
        <v>78</v>
      </c>
      <c r="I28" s="110" t="s">
        <v>86</v>
      </c>
      <c r="J28" s="93"/>
      <c r="K28" s="164"/>
      <c r="L28" s="165"/>
      <c r="M28" s="172"/>
      <c r="N28" s="107"/>
      <c r="O28" s="111"/>
      <c r="P28" s="107"/>
      <c r="Q28" s="111"/>
      <c r="R28" s="112"/>
      <c r="S28" s="93"/>
    </row>
    <row r="29" spans="3:19" ht="18" customHeight="1">
      <c r="C29" s="93"/>
      <c r="D29" s="176" t="s">
        <v>73</v>
      </c>
      <c r="E29" s="177"/>
      <c r="F29" s="177"/>
      <c r="G29" s="177"/>
      <c r="H29" s="95" t="s">
        <v>79</v>
      </c>
      <c r="I29" s="110" t="s">
        <v>87</v>
      </c>
      <c r="J29" s="93"/>
      <c r="K29" s="164"/>
      <c r="L29" s="165"/>
      <c r="M29" s="172"/>
      <c r="N29" s="107"/>
      <c r="O29" s="113"/>
      <c r="P29" s="114"/>
      <c r="Q29" s="113"/>
      <c r="R29" s="115"/>
      <c r="S29" s="93"/>
    </row>
    <row r="30" spans="3:19" ht="18.95" customHeight="1">
      <c r="C30" s="93"/>
      <c r="D30" s="176" t="s">
        <v>85</v>
      </c>
      <c r="E30" s="177"/>
      <c r="F30" s="177"/>
      <c r="G30" s="177"/>
      <c r="H30" s="95" t="s">
        <v>80</v>
      </c>
      <c r="I30" s="110" t="s">
        <v>88</v>
      </c>
      <c r="J30" s="93"/>
      <c r="K30" s="164"/>
      <c r="L30" s="165"/>
      <c r="M30" s="172"/>
      <c r="N30" s="107"/>
      <c r="O30" s="107"/>
      <c r="P30" s="107"/>
      <c r="Q30" s="107"/>
      <c r="R30" s="107"/>
      <c r="S30" s="93"/>
    </row>
    <row r="31" spans="3:19" ht="20.100000000000001" customHeight="1">
      <c r="C31" s="93"/>
      <c r="D31" s="176" t="s">
        <v>74</v>
      </c>
      <c r="E31" s="177"/>
      <c r="F31" s="177"/>
      <c r="G31" s="177"/>
      <c r="H31" s="95" t="s">
        <v>81</v>
      </c>
      <c r="I31" s="110" t="s">
        <v>89</v>
      </c>
      <c r="J31" s="93"/>
      <c r="K31" s="164"/>
      <c r="L31" s="165"/>
      <c r="M31" s="172"/>
      <c r="N31" s="107"/>
      <c r="O31" s="107"/>
      <c r="P31" s="107"/>
      <c r="Q31" s="107"/>
      <c r="R31" s="107"/>
      <c r="S31" s="93"/>
    </row>
    <row r="32" spans="3:19" ht="17.100000000000001" customHeight="1">
      <c r="C32" s="93"/>
      <c r="D32" s="176" t="s">
        <v>75</v>
      </c>
      <c r="E32" s="177"/>
      <c r="F32" s="177"/>
      <c r="G32" s="177"/>
      <c r="H32" s="95" t="s">
        <v>82</v>
      </c>
      <c r="I32" s="110" t="s">
        <v>90</v>
      </c>
      <c r="J32" s="93"/>
      <c r="K32" s="178"/>
      <c r="L32" s="179"/>
      <c r="M32" s="180"/>
      <c r="N32" s="107"/>
      <c r="O32" s="107"/>
      <c r="P32" s="107"/>
      <c r="Q32" s="107"/>
      <c r="R32" s="107"/>
      <c r="S32" s="93"/>
    </row>
    <row r="33" spans="2:19" ht="21" customHeight="1">
      <c r="C33" s="93"/>
      <c r="D33" s="176" t="s">
        <v>76</v>
      </c>
      <c r="E33" s="177"/>
      <c r="F33" s="177"/>
      <c r="G33" s="177"/>
      <c r="H33" s="95" t="s">
        <v>83</v>
      </c>
      <c r="I33" s="110" t="s">
        <v>14</v>
      </c>
      <c r="J33" s="93"/>
      <c r="K33" s="93"/>
      <c r="L33" s="93"/>
      <c r="M33" s="93"/>
      <c r="N33" s="93"/>
      <c r="O33" s="93"/>
      <c r="P33" s="93"/>
      <c r="Q33" s="93"/>
      <c r="R33" s="93"/>
      <c r="S33" s="93"/>
    </row>
    <row r="34" spans="2:19" ht="24.95" customHeight="1">
      <c r="C34" s="93"/>
      <c r="D34" s="176" t="s">
        <v>77</v>
      </c>
      <c r="E34" s="177"/>
      <c r="F34" s="177"/>
      <c r="G34" s="177"/>
      <c r="H34" s="95" t="s">
        <v>84</v>
      </c>
      <c r="I34" s="110" t="s">
        <v>91</v>
      </c>
      <c r="J34" s="93"/>
      <c r="K34" s="93"/>
      <c r="L34" s="93"/>
      <c r="M34" s="93"/>
      <c r="N34" s="93"/>
      <c r="O34" s="93"/>
      <c r="P34" s="93"/>
      <c r="Q34" s="93"/>
      <c r="R34" s="93"/>
      <c r="S34" s="93"/>
    </row>
    <row r="35" spans="2:19" ht="24" customHeight="1">
      <c r="C35" s="93"/>
      <c r="D35" s="176" t="s">
        <v>93</v>
      </c>
      <c r="E35" s="177"/>
      <c r="F35" s="177"/>
      <c r="G35" s="177"/>
      <c r="H35" s="95" t="s">
        <v>94</v>
      </c>
      <c r="I35" s="110" t="s">
        <v>95</v>
      </c>
      <c r="J35" s="93"/>
      <c r="K35" s="93"/>
      <c r="L35" s="93"/>
      <c r="M35" s="93"/>
      <c r="N35" s="93"/>
      <c r="O35" s="93"/>
      <c r="P35" s="93"/>
      <c r="Q35" s="93"/>
      <c r="R35" s="93"/>
      <c r="S35" s="93"/>
    </row>
    <row r="36" spans="2:19" ht="18.75">
      <c r="C36" s="93"/>
      <c r="D36" s="176"/>
      <c r="E36" s="177"/>
      <c r="F36" s="177"/>
      <c r="G36" s="177"/>
      <c r="H36" s="95" t="s">
        <v>96</v>
      </c>
      <c r="I36" s="110" t="s">
        <v>97</v>
      </c>
      <c r="J36" s="93"/>
      <c r="K36" s="93"/>
      <c r="L36" s="93"/>
      <c r="M36" s="93"/>
      <c r="N36" s="93"/>
      <c r="O36" s="93"/>
      <c r="P36" s="93"/>
      <c r="Q36" s="93"/>
      <c r="R36" s="93"/>
      <c r="S36" s="93"/>
    </row>
    <row r="37" spans="2:19" ht="18.75">
      <c r="C37" s="93"/>
      <c r="D37" s="174"/>
      <c r="E37" s="175"/>
      <c r="F37" s="175"/>
      <c r="G37" s="175"/>
      <c r="H37" s="116"/>
      <c r="I37" s="117"/>
      <c r="J37" s="93"/>
      <c r="K37" s="93"/>
      <c r="L37" s="93"/>
      <c r="M37" s="93"/>
      <c r="N37" s="93"/>
      <c r="O37" s="93"/>
      <c r="P37" s="93"/>
      <c r="Q37" s="93"/>
      <c r="R37" s="93"/>
      <c r="S37" s="93"/>
    </row>
    <row r="38" spans="2:19" ht="18.75"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</row>
    <row r="39" spans="2:19" ht="18.75"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</row>
    <row r="40" spans="2:19" ht="18.75"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</row>
    <row r="41" spans="2:19" ht="21">
      <c r="C41" s="93"/>
      <c r="D41" s="185" t="s">
        <v>19</v>
      </c>
      <c r="E41" s="185"/>
      <c r="F41" s="185"/>
      <c r="G41" s="101"/>
      <c r="H41" s="101"/>
      <c r="I41" s="93"/>
      <c r="J41" s="185" t="s">
        <v>31</v>
      </c>
      <c r="K41" s="185"/>
      <c r="L41" s="101"/>
      <c r="M41" s="101"/>
      <c r="N41" s="101"/>
      <c r="O41" s="101"/>
      <c r="P41" s="101"/>
      <c r="Q41" s="101"/>
      <c r="R41" s="101"/>
      <c r="S41" s="93"/>
    </row>
    <row r="42" spans="2:19" ht="30" customHeight="1">
      <c r="B42" t="s">
        <v>47</v>
      </c>
      <c r="C42" s="93"/>
      <c r="D42" s="93"/>
      <c r="E42" s="93"/>
      <c r="F42" s="93"/>
      <c r="G42" s="93"/>
      <c r="H42" s="100" t="s">
        <v>26</v>
      </c>
      <c r="I42" s="93"/>
      <c r="J42" s="93"/>
      <c r="K42" s="93"/>
      <c r="L42" s="93"/>
      <c r="M42" s="93"/>
      <c r="N42" s="181">
        <f>IF(M43="Si","Plugin instalado",0)</f>
        <v>0</v>
      </c>
      <c r="O42" s="181"/>
      <c r="P42" s="118"/>
      <c r="Q42" s="118"/>
      <c r="R42" s="118"/>
      <c r="S42" s="93"/>
    </row>
    <row r="43" spans="2:19" ht="33.950000000000003" customHeight="1">
      <c r="B43" t="s">
        <v>48</v>
      </c>
      <c r="C43" s="93"/>
      <c r="D43" s="161" t="s">
        <v>20</v>
      </c>
      <c r="E43" s="161"/>
      <c r="F43" s="161"/>
      <c r="G43" s="119" t="str">
        <f>IF(H43&lt;=32%,"F",IF(H43&lt;=64%,"E",IF(H43&lt;=73%,"D",IF(H43&lt;=84%,"C",IF(H43&lt;=92%,"B","A")))))</f>
        <v>C</v>
      </c>
      <c r="H43" s="120">
        <v>0.74</v>
      </c>
      <c r="I43" s="102"/>
      <c r="J43" s="151" t="s">
        <v>34</v>
      </c>
      <c r="K43" s="151"/>
      <c r="L43" s="151"/>
      <c r="M43" s="99" t="s">
        <v>3</v>
      </c>
      <c r="N43" s="151"/>
      <c r="O43" s="151"/>
      <c r="P43" s="99"/>
      <c r="Q43" s="99"/>
      <c r="R43" s="99"/>
      <c r="S43" s="93"/>
    </row>
    <row r="44" spans="2:19" ht="30" customHeight="1">
      <c r="C44" s="93"/>
      <c r="D44" s="121"/>
      <c r="E44" s="121"/>
      <c r="F44" s="121"/>
      <c r="G44" s="102"/>
      <c r="H44" s="102"/>
      <c r="I44" s="102"/>
      <c r="J44" s="151" t="s">
        <v>30</v>
      </c>
      <c r="K44" s="151"/>
      <c r="L44" s="151"/>
      <c r="M44" s="99" t="s">
        <v>2</v>
      </c>
      <c r="N44" s="151"/>
      <c r="O44" s="151"/>
      <c r="P44" s="99"/>
      <c r="Q44" s="99"/>
      <c r="R44" s="99"/>
      <c r="S44" s="93"/>
    </row>
    <row r="45" spans="2:19" ht="15" customHeight="1">
      <c r="C45" s="93"/>
      <c r="D45" s="193" t="s">
        <v>28</v>
      </c>
      <c r="E45" s="194"/>
      <c r="F45" s="194"/>
      <c r="G45" s="166"/>
      <c r="H45" s="167"/>
      <c r="I45" s="102"/>
      <c r="J45" s="153" t="str">
        <f>IF(AND(M44="Si",N43&lt;&gt;"All in one SEO"),"Se debe instalar el plugin All in one SEO pack para la integración SEO de comercio electrónico",0)</f>
        <v>Se debe instalar el plugin All in one SEO pack para la integración SEO de comercio electrónico</v>
      </c>
      <c r="K45" s="153"/>
      <c r="L45" s="153"/>
      <c r="M45" s="182"/>
      <c r="N45" s="153">
        <f>IF(AND(N43&lt;&gt;"Yoast SEO",M44="No"),"Se debe instalar el plugin Yoast SEO",0)</f>
        <v>0</v>
      </c>
      <c r="O45" s="153"/>
      <c r="P45" s="153"/>
      <c r="Q45" s="122"/>
      <c r="R45" s="122"/>
      <c r="S45" s="157"/>
    </row>
    <row r="46" spans="2:19" ht="18.75">
      <c r="B46" s="15" t="s">
        <v>49</v>
      </c>
      <c r="C46" s="93"/>
      <c r="D46" s="195"/>
      <c r="E46" s="196"/>
      <c r="F46" s="196"/>
      <c r="G46" s="168"/>
      <c r="H46" s="169"/>
      <c r="I46" s="102"/>
      <c r="J46" s="153"/>
      <c r="K46" s="153"/>
      <c r="L46" s="153"/>
      <c r="M46" s="182"/>
      <c r="N46" s="153"/>
      <c r="O46" s="153"/>
      <c r="P46" s="153"/>
      <c r="Q46" s="122"/>
      <c r="R46" s="122"/>
      <c r="S46" s="157"/>
    </row>
    <row r="47" spans="2:19" ht="18.75">
      <c r="B47" s="15" t="s">
        <v>50</v>
      </c>
      <c r="C47" s="93"/>
      <c r="D47" s="183" t="s">
        <v>49</v>
      </c>
      <c r="E47" s="184"/>
      <c r="F47" s="184"/>
      <c r="G47" s="170"/>
      <c r="H47" s="171"/>
      <c r="I47" s="102"/>
      <c r="J47" s="93"/>
      <c r="K47" s="93"/>
      <c r="L47" s="93"/>
      <c r="M47" s="93"/>
      <c r="N47" s="151"/>
      <c r="O47" s="151"/>
      <c r="P47" s="99"/>
      <c r="Q47" s="99"/>
      <c r="R47" s="99"/>
      <c r="S47" s="93"/>
    </row>
    <row r="48" spans="2:19" ht="15" customHeight="1">
      <c r="B48" s="16" t="s">
        <v>51</v>
      </c>
      <c r="C48" s="123"/>
      <c r="D48" s="183" t="s">
        <v>50</v>
      </c>
      <c r="E48" s="184"/>
      <c r="F48" s="184"/>
      <c r="G48" s="170"/>
      <c r="H48" s="171"/>
      <c r="I48" s="102"/>
      <c r="J48" s="151" t="s">
        <v>35</v>
      </c>
      <c r="K48" s="151"/>
      <c r="L48" s="151"/>
      <c r="M48" s="99" t="s">
        <v>3</v>
      </c>
      <c r="N48" s="153" t="str">
        <f>IF(M48="No","Es necesario instalar certificados de seguridad en todas las páginas de la web",0)</f>
        <v>Es necesario instalar certificados de seguridad en todas las páginas de la web</v>
      </c>
      <c r="O48" s="153"/>
      <c r="P48" s="153"/>
      <c r="Q48" s="122"/>
      <c r="R48" s="122"/>
      <c r="S48" s="93"/>
    </row>
    <row r="49" spans="3:19" ht="32.1" customHeight="1">
      <c r="C49" s="93"/>
      <c r="D49" s="198" t="s">
        <v>51</v>
      </c>
      <c r="E49" s="159"/>
      <c r="F49" s="159"/>
      <c r="G49" s="170"/>
      <c r="H49" s="171"/>
      <c r="I49" s="102"/>
      <c r="J49" s="157"/>
      <c r="K49" s="157"/>
      <c r="L49" s="157"/>
      <c r="M49" s="102"/>
      <c r="N49" s="153"/>
      <c r="O49" s="153"/>
      <c r="P49" s="153"/>
      <c r="Q49" s="122"/>
      <c r="R49" s="122"/>
      <c r="S49" s="93"/>
    </row>
    <row r="50" spans="3:19" ht="38.1" customHeight="1">
      <c r="C50" s="93"/>
      <c r="D50" s="183"/>
      <c r="E50" s="184"/>
      <c r="F50" s="184"/>
      <c r="G50" s="170"/>
      <c r="H50" s="171"/>
      <c r="I50" s="102"/>
      <c r="J50" s="158" t="s">
        <v>42</v>
      </c>
      <c r="K50" s="158"/>
      <c r="L50" s="158"/>
      <c r="M50" s="99" t="s">
        <v>2</v>
      </c>
      <c r="N50" s="102"/>
      <c r="O50" s="102"/>
      <c r="P50" s="102"/>
      <c r="Q50" s="102"/>
      <c r="R50" s="102"/>
      <c r="S50" s="93"/>
    </row>
    <row r="51" spans="3:19" ht="18.75">
      <c r="C51" s="93"/>
      <c r="D51" s="183"/>
      <c r="E51" s="184"/>
      <c r="F51" s="184"/>
      <c r="G51" s="170"/>
      <c r="H51" s="171"/>
      <c r="I51" s="102"/>
      <c r="J51" s="102"/>
      <c r="K51" s="102"/>
      <c r="L51" s="102"/>
      <c r="M51" s="102"/>
      <c r="N51" s="102"/>
      <c r="O51" s="102"/>
      <c r="P51" s="102"/>
      <c r="Q51" s="102"/>
      <c r="R51" s="102"/>
      <c r="S51" s="93"/>
    </row>
    <row r="52" spans="3:19" ht="33" customHeight="1">
      <c r="C52" s="93"/>
      <c r="D52" s="183"/>
      <c r="E52" s="184"/>
      <c r="F52" s="184"/>
      <c r="G52" s="170"/>
      <c r="H52" s="171"/>
      <c r="I52" s="102"/>
      <c r="J52" s="93"/>
      <c r="K52" s="93"/>
      <c r="L52" s="93"/>
      <c r="M52" s="93"/>
      <c r="N52" s="102"/>
      <c r="O52" s="102"/>
      <c r="P52" s="102"/>
      <c r="Q52" s="102"/>
      <c r="R52" s="102"/>
      <c r="S52" s="93"/>
    </row>
    <row r="53" spans="3:19" ht="18.75">
      <c r="C53" s="93"/>
      <c r="D53" s="183"/>
      <c r="E53" s="184"/>
      <c r="F53" s="184"/>
      <c r="G53" s="170"/>
      <c r="H53" s="171"/>
      <c r="I53" s="102"/>
      <c r="J53" s="102"/>
      <c r="K53" s="102"/>
      <c r="L53" s="102"/>
      <c r="M53" s="102"/>
      <c r="N53" s="102"/>
      <c r="O53" s="102"/>
      <c r="P53" s="102"/>
      <c r="Q53" s="102"/>
      <c r="R53" s="102"/>
      <c r="S53" s="93"/>
    </row>
    <row r="54" spans="3:19" ht="18.75">
      <c r="C54" s="93"/>
      <c r="D54" s="183"/>
      <c r="E54" s="184"/>
      <c r="F54" s="184"/>
      <c r="G54" s="170"/>
      <c r="H54" s="171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93"/>
    </row>
    <row r="55" spans="3:19" ht="18.75">
      <c r="C55" s="93"/>
      <c r="D55" s="191"/>
      <c r="E55" s="192"/>
      <c r="F55" s="192"/>
      <c r="G55" s="155"/>
      <c r="H55" s="156"/>
      <c r="I55" s="102"/>
      <c r="J55" s="102"/>
      <c r="K55" s="102"/>
      <c r="L55" s="102"/>
      <c r="M55" s="102"/>
      <c r="N55" s="102"/>
      <c r="O55" s="102"/>
      <c r="P55" s="102"/>
      <c r="Q55" s="102"/>
      <c r="R55" s="102"/>
      <c r="S55" s="93"/>
    </row>
    <row r="56" spans="3:19" ht="18.75">
      <c r="C56" s="93"/>
      <c r="D56" s="124"/>
      <c r="E56" s="124"/>
      <c r="F56" s="124"/>
      <c r="G56" s="125"/>
      <c r="H56" s="125"/>
      <c r="I56" s="102"/>
      <c r="J56" s="102"/>
      <c r="K56" s="102"/>
      <c r="L56" s="102"/>
      <c r="M56" s="102"/>
      <c r="N56" s="102"/>
      <c r="O56" s="102"/>
      <c r="P56" s="102"/>
      <c r="Q56" s="102"/>
      <c r="R56" s="102"/>
      <c r="S56" s="93"/>
    </row>
    <row r="57" spans="3:19" ht="41.25" customHeight="1">
      <c r="C57" s="93"/>
      <c r="D57" s="159" t="s">
        <v>54</v>
      </c>
      <c r="E57" s="159"/>
      <c r="F57" s="159"/>
      <c r="G57" s="99" t="s">
        <v>3</v>
      </c>
      <c r="H57" s="125"/>
      <c r="I57" s="102"/>
      <c r="J57" s="102"/>
      <c r="K57" s="102"/>
      <c r="L57" s="102"/>
      <c r="M57" s="102"/>
      <c r="N57" s="102"/>
      <c r="O57" s="102"/>
      <c r="P57" s="102"/>
      <c r="Q57" s="102"/>
      <c r="R57" s="102"/>
      <c r="S57" s="93"/>
    </row>
    <row r="58" spans="3:19" ht="34.5" customHeight="1">
      <c r="C58" s="93"/>
      <c r="D58" s="197" t="s">
        <v>55</v>
      </c>
      <c r="E58" s="197"/>
      <c r="F58" s="197"/>
      <c r="G58" s="99" t="s">
        <v>3</v>
      </c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</row>
    <row r="59" spans="3:19" ht="40.5" customHeight="1">
      <c r="C59" s="93"/>
      <c r="D59" s="160" t="s">
        <v>56</v>
      </c>
      <c r="E59" s="160"/>
      <c r="F59" s="160"/>
      <c r="G59" s="99" t="s">
        <v>3</v>
      </c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</row>
    <row r="60" spans="3:19" ht="18.75"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</row>
    <row r="61" spans="3:19" ht="21">
      <c r="C61" s="93"/>
      <c r="D61" s="147" t="s">
        <v>45</v>
      </c>
      <c r="E61" s="147"/>
      <c r="F61" s="101"/>
      <c r="G61" s="101"/>
      <c r="H61" s="101"/>
      <c r="I61" s="101"/>
      <c r="J61" s="101"/>
      <c r="K61" s="101"/>
      <c r="L61" s="101"/>
      <c r="M61" s="101"/>
      <c r="N61" s="101"/>
      <c r="O61" s="101"/>
      <c r="P61" s="93"/>
      <c r="Q61" s="93"/>
      <c r="R61" s="93"/>
      <c r="S61" s="93"/>
    </row>
    <row r="62" spans="3:19" ht="29.1" customHeight="1">
      <c r="C62" s="93"/>
      <c r="D62" s="149" t="s">
        <v>52</v>
      </c>
      <c r="E62" s="149"/>
      <c r="F62" s="149"/>
      <c r="G62" s="149"/>
      <c r="H62" s="93"/>
      <c r="I62" s="151" t="s">
        <v>2</v>
      </c>
      <c r="J62" s="152" t="str">
        <f>IF(AND(I62="Si",M44="Si"),"Se deberá instalar el plugin WP mail logging para registrar los emails que se envian desde WordPress",IF(I62="No",0,"Se deberá instalar el plugin Email Log para registrar los emails que se envian desde WordPress"))</f>
        <v>Se deberá instalar el plugin WP mail logging para registrar los emails que se envian desde WordPress</v>
      </c>
      <c r="K62" s="152"/>
      <c r="L62" s="152"/>
      <c r="M62" s="93"/>
      <c r="N62" s="93"/>
      <c r="O62" s="93"/>
      <c r="P62" s="93"/>
      <c r="Q62" s="93"/>
      <c r="R62" s="93"/>
      <c r="S62" s="93"/>
    </row>
    <row r="63" spans="3:19" ht="36.950000000000003" customHeight="1">
      <c r="C63" s="93"/>
      <c r="D63" s="150"/>
      <c r="E63" s="150"/>
      <c r="F63" s="150"/>
      <c r="G63" s="150"/>
      <c r="H63" s="93"/>
      <c r="I63" s="151"/>
      <c r="J63" s="153"/>
      <c r="K63" s="153"/>
      <c r="L63" s="153"/>
      <c r="M63" s="93"/>
      <c r="N63" s="93"/>
      <c r="O63" s="93"/>
      <c r="P63" s="93"/>
      <c r="Q63" s="93"/>
      <c r="R63" s="93"/>
      <c r="S63" s="93"/>
    </row>
    <row r="64" spans="3:19" ht="18.75">
      <c r="C64" s="93"/>
      <c r="D64" s="148" t="s">
        <v>53</v>
      </c>
      <c r="E64" s="148"/>
      <c r="F64" s="148"/>
      <c r="G64" s="148"/>
      <c r="H64" s="93"/>
      <c r="I64" s="151" t="s">
        <v>2</v>
      </c>
      <c r="J64" s="154" t="str">
        <f>IF(I64="Si","Se deberá instalar el plugin de Sendgrid y dar de alta la web en la página de Sendgrid",0)</f>
        <v>Se deberá instalar el plugin de Sendgrid y dar de alta la web en la página de Sendgrid</v>
      </c>
      <c r="K64" s="154"/>
      <c r="L64" s="154"/>
      <c r="M64" s="93"/>
      <c r="N64" s="93"/>
      <c r="O64" s="93"/>
      <c r="P64" s="93"/>
      <c r="Q64" s="93"/>
      <c r="R64" s="93"/>
      <c r="S64" s="93"/>
    </row>
    <row r="65" spans="2:19" ht="21" customHeight="1">
      <c r="C65" s="93"/>
      <c r="D65" s="148"/>
      <c r="E65" s="148"/>
      <c r="F65" s="148"/>
      <c r="G65" s="148"/>
      <c r="H65" s="93"/>
      <c r="I65" s="151"/>
      <c r="J65" s="154"/>
      <c r="K65" s="154"/>
      <c r="L65" s="154"/>
      <c r="M65" s="93"/>
      <c r="N65" s="93"/>
      <c r="O65" s="93"/>
      <c r="P65" s="93"/>
      <c r="Q65" s="93"/>
      <c r="R65" s="93"/>
      <c r="S65" s="93"/>
    </row>
    <row r="66" spans="2:19" ht="18.75"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</row>
    <row r="67" spans="2:19" ht="18.75">
      <c r="C67" s="93"/>
      <c r="D67" s="93"/>
      <c r="E67" s="93"/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</row>
    <row r="68" spans="2:19" ht="18.75">
      <c r="C68" s="93"/>
      <c r="D68" s="93"/>
      <c r="E68" s="93"/>
      <c r="F68" s="93"/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</row>
    <row r="69" spans="2:19" ht="21">
      <c r="C69" s="93"/>
      <c r="D69" s="140" t="s">
        <v>117</v>
      </c>
      <c r="E69" s="101"/>
      <c r="F69" s="101"/>
      <c r="G69" s="101"/>
      <c r="H69" s="101"/>
      <c r="I69" s="101"/>
      <c r="J69" s="101"/>
      <c r="K69" s="101"/>
      <c r="L69" s="101"/>
      <c r="M69" s="101"/>
      <c r="N69" s="101"/>
      <c r="O69" s="101"/>
      <c r="P69" s="93"/>
      <c r="Q69" s="93"/>
      <c r="R69" s="93"/>
      <c r="S69" s="93"/>
    </row>
    <row r="70" spans="2:19" ht="18.75">
      <c r="B70" t="s">
        <v>118</v>
      </c>
      <c r="C70" s="93"/>
      <c r="D70" s="93"/>
      <c r="E70" s="93"/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</row>
    <row r="71" spans="2:19" ht="18.75">
      <c r="B71" t="s">
        <v>119</v>
      </c>
      <c r="C71" s="93"/>
      <c r="D71" s="157" t="s">
        <v>120</v>
      </c>
      <c r="E71" s="157"/>
      <c r="F71" s="157"/>
      <c r="G71" s="157"/>
      <c r="H71" s="100" t="s">
        <v>3</v>
      </c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</row>
    <row r="72" spans="2:19" ht="18.75">
      <c r="B72" t="s">
        <v>121</v>
      </c>
      <c r="C72" s="93"/>
      <c r="D72" s="157">
        <f>IF(H71="Si","¿Se quiere que se hagan copias de seguridad periódicas?",0)</f>
        <v>0</v>
      </c>
      <c r="E72" s="157"/>
      <c r="F72" s="157"/>
      <c r="G72" s="157"/>
      <c r="H72" s="100">
        <v>0</v>
      </c>
      <c r="I72" s="157">
        <f>IF(AND(H72="si",D72&lt;&gt;0),"¿Cada cuánto tiempo?",0)</f>
        <v>0</v>
      </c>
      <c r="J72" s="157"/>
      <c r="K72" s="93">
        <v>0</v>
      </c>
      <c r="L72" s="93"/>
      <c r="M72" s="93"/>
      <c r="N72" s="93"/>
      <c r="O72" s="93"/>
      <c r="P72" s="93"/>
      <c r="Q72" s="93"/>
      <c r="R72" s="93"/>
      <c r="S72" s="93"/>
    </row>
    <row r="73" spans="2:19" ht="18.75">
      <c r="B73" t="s">
        <v>122</v>
      </c>
      <c r="C73" s="93"/>
      <c r="D73" s="93"/>
      <c r="E73" s="93"/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</row>
    <row r="74" spans="2:19" ht="18.75">
      <c r="C74" s="93"/>
      <c r="D74" s="93"/>
      <c r="E74" s="93"/>
      <c r="F74" s="93"/>
      <c r="G74" s="93"/>
      <c r="H74" s="93"/>
      <c r="I74" s="93"/>
      <c r="J74" s="93"/>
      <c r="K74" s="93"/>
      <c r="L74" s="93"/>
      <c r="M74" s="93"/>
      <c r="N74" s="93"/>
      <c r="O74" s="93"/>
      <c r="P74" s="93"/>
      <c r="Q74" s="93"/>
      <c r="R74" s="93"/>
      <c r="S74" s="93"/>
    </row>
    <row r="75" spans="2:19" ht="18.75">
      <c r="C75" s="93"/>
      <c r="D75" s="93"/>
      <c r="E75" s="93"/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</row>
    <row r="76" spans="2:19" ht="18.75"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  <c r="O76" s="93"/>
      <c r="P76" s="93"/>
      <c r="Q76" s="93"/>
      <c r="R76" s="93"/>
      <c r="S76" s="93"/>
    </row>
    <row r="77" spans="2:19" ht="18.75"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  <c r="O77" s="93"/>
      <c r="P77" s="93"/>
      <c r="Q77" s="93"/>
      <c r="R77" s="93"/>
      <c r="S77" s="93"/>
    </row>
    <row r="78" spans="2:19" ht="18.75">
      <c r="C78" s="93"/>
      <c r="D78" s="93"/>
      <c r="E78" s="93"/>
      <c r="F78" s="93"/>
      <c r="G78" s="93"/>
      <c r="H78" s="93"/>
      <c r="I78" s="93"/>
      <c r="J78" s="93"/>
      <c r="K78" s="93"/>
      <c r="L78" s="93"/>
      <c r="M78" s="93"/>
      <c r="N78" s="93"/>
      <c r="O78" s="93"/>
      <c r="P78" s="93"/>
      <c r="Q78" s="93"/>
      <c r="R78" s="93"/>
      <c r="S78" s="93"/>
    </row>
    <row r="79" spans="2:19" ht="18.75">
      <c r="C79" s="93"/>
      <c r="D79" s="126"/>
      <c r="E79" s="126"/>
      <c r="F79" s="126"/>
      <c r="G79" s="126"/>
      <c r="H79" s="126"/>
      <c r="I79" s="126"/>
      <c r="J79" s="126"/>
      <c r="K79" s="126"/>
      <c r="L79" s="126"/>
      <c r="M79" s="126"/>
      <c r="N79" s="93"/>
      <c r="O79" s="93"/>
      <c r="P79" s="93"/>
      <c r="Q79" s="93"/>
      <c r="R79" s="93"/>
      <c r="S79" s="93"/>
    </row>
  </sheetData>
  <mergeCells count="109">
    <mergeCell ref="D72:G72"/>
    <mergeCell ref="I72:J72"/>
    <mergeCell ref="D15:G15"/>
    <mergeCell ref="D7:E7"/>
    <mergeCell ref="D10:G10"/>
    <mergeCell ref="D11:G11"/>
    <mergeCell ref="D12:G12"/>
    <mergeCell ref="D16:G16"/>
    <mergeCell ref="D18:G18"/>
    <mergeCell ref="D35:G35"/>
    <mergeCell ref="D36:G36"/>
    <mergeCell ref="D24:G24"/>
    <mergeCell ref="D25:G25"/>
    <mergeCell ref="D26:G26"/>
    <mergeCell ref="D27:G27"/>
    <mergeCell ref="D28:G28"/>
    <mergeCell ref="D29:G29"/>
    <mergeCell ref="D19:G19"/>
    <mergeCell ref="D20:G20"/>
    <mergeCell ref="D52:F52"/>
    <mergeCell ref="D53:F53"/>
    <mergeCell ref="D23:G23"/>
    <mergeCell ref="D13:G13"/>
    <mergeCell ref="D14:G14"/>
    <mergeCell ref="D71:G71"/>
    <mergeCell ref="J43:L43"/>
    <mergeCell ref="D54:F54"/>
    <mergeCell ref="D55:F55"/>
    <mergeCell ref="J45:L46"/>
    <mergeCell ref="D45:F46"/>
    <mergeCell ref="J44:L44"/>
    <mergeCell ref="G50:H50"/>
    <mergeCell ref="D58:F58"/>
    <mergeCell ref="D49:F49"/>
    <mergeCell ref="D50:F50"/>
    <mergeCell ref="D51:F51"/>
    <mergeCell ref="G51:H51"/>
    <mergeCell ref="G52:H52"/>
    <mergeCell ref="G53:H53"/>
    <mergeCell ref="G54:H54"/>
    <mergeCell ref="C4:E5"/>
    <mergeCell ref="J41:K41"/>
    <mergeCell ref="K19:M19"/>
    <mergeCell ref="C9:C12"/>
    <mergeCell ref="D9:G9"/>
    <mergeCell ref="D41:F41"/>
    <mergeCell ref="J11:L11"/>
    <mergeCell ref="J12:L12"/>
    <mergeCell ref="D17:G17"/>
    <mergeCell ref="J9:L9"/>
    <mergeCell ref="K30:M30"/>
    <mergeCell ref="K31:M31"/>
    <mergeCell ref="K24:M24"/>
    <mergeCell ref="K25:M25"/>
    <mergeCell ref="K26:M26"/>
    <mergeCell ref="H7:K7"/>
    <mergeCell ref="D21:G21"/>
    <mergeCell ref="D22:G22"/>
    <mergeCell ref="H3:K4"/>
    <mergeCell ref="K28:M28"/>
    <mergeCell ref="K29:M29"/>
    <mergeCell ref="D31:G31"/>
    <mergeCell ref="S45:S46"/>
    <mergeCell ref="K27:M27"/>
    <mergeCell ref="D43:F43"/>
    <mergeCell ref="K20:M20"/>
    <mergeCell ref="K21:M21"/>
    <mergeCell ref="D37:G37"/>
    <mergeCell ref="G47:H47"/>
    <mergeCell ref="G48:H48"/>
    <mergeCell ref="D32:G32"/>
    <mergeCell ref="D33:G33"/>
    <mergeCell ref="D34:G34"/>
    <mergeCell ref="K32:M32"/>
    <mergeCell ref="K22:M22"/>
    <mergeCell ref="K23:M23"/>
    <mergeCell ref="D30:G30"/>
    <mergeCell ref="N42:O42"/>
    <mergeCell ref="N43:O43"/>
    <mergeCell ref="N44:O44"/>
    <mergeCell ref="M45:M46"/>
    <mergeCell ref="D47:F47"/>
    <mergeCell ref="D48:F48"/>
    <mergeCell ref="J48:L48"/>
    <mergeCell ref="N47:O47"/>
    <mergeCell ref="O4:Q5"/>
    <mergeCell ref="D61:E61"/>
    <mergeCell ref="D64:G65"/>
    <mergeCell ref="D62:G63"/>
    <mergeCell ref="I62:I63"/>
    <mergeCell ref="I64:I65"/>
    <mergeCell ref="J62:L63"/>
    <mergeCell ref="J64:L65"/>
    <mergeCell ref="G55:H55"/>
    <mergeCell ref="J49:L49"/>
    <mergeCell ref="J50:L50"/>
    <mergeCell ref="D57:F57"/>
    <mergeCell ref="D59:F59"/>
    <mergeCell ref="O19:P19"/>
    <mergeCell ref="O20:P20"/>
    <mergeCell ref="O21:P21"/>
    <mergeCell ref="O22:P22"/>
    <mergeCell ref="O23:P23"/>
    <mergeCell ref="O24:P24"/>
    <mergeCell ref="O25:P25"/>
    <mergeCell ref="N48:P49"/>
    <mergeCell ref="N45:P46"/>
    <mergeCell ref="G45:H46"/>
    <mergeCell ref="G49:H49"/>
  </mergeCells>
  <phoneticPr fontId="7" type="noConversion"/>
  <conditionalFormatting sqref="G43">
    <cfRule type="cellIs" dxfId="31" priority="11" operator="equal">
      <formula>"B"</formula>
    </cfRule>
    <cfRule type="cellIs" dxfId="30" priority="13" operator="equal">
      <formula>"A"</formula>
    </cfRule>
    <cfRule type="containsText" dxfId="29" priority="14" operator="containsText" text="D">
      <formula>NOT(ISERROR(SEARCH("D",G43)))</formula>
    </cfRule>
    <cfRule type="containsText" dxfId="28" priority="15" operator="containsText" text="C">
      <formula>NOT(ISERROR(SEARCH("C",G43)))</formula>
    </cfRule>
    <cfRule type="containsText" dxfId="27" priority="16" operator="containsText" text="E">
      <formula>NOT(ISERROR(SEARCH("E",G43)))</formula>
    </cfRule>
    <cfRule type="containsText" dxfId="26" priority="17" operator="containsText" text="F">
      <formula>NOT(ISERROR(SEARCH("F",G43)))</formula>
    </cfRule>
  </conditionalFormatting>
  <conditionalFormatting sqref="H44">
    <cfRule type="cellIs" dxfId="25" priority="12" operator="equal">
      <formula>"A"</formula>
    </cfRule>
  </conditionalFormatting>
  <conditionalFormatting sqref="Q11">
    <cfRule type="cellIs" dxfId="24" priority="1" operator="greaterThanOrEqual">
      <formula>0.5</formula>
    </cfRule>
    <cfRule type="cellIs" dxfId="23" priority="2" operator="lessThan">
      <formula>0.5</formula>
    </cfRule>
  </conditionalFormatting>
  <dataValidations count="6">
    <dataValidation type="list" showInputMessage="1" showErrorMessage="1" sqref="H11:H12" xr:uid="{00000000-0002-0000-0000-000000000000}">
      <formula1>$B$5:$B$6</formula1>
    </dataValidation>
    <dataValidation type="list" allowBlank="1" showInputMessage="1" showErrorMessage="1" sqref="H10 M48 M43:M44 M11 M50 I62:I65 G57:G59 H71" xr:uid="{00000000-0002-0000-0000-000001000000}">
      <formula1>$B$5:$B$6</formula1>
    </dataValidation>
    <dataValidation type="list" allowBlank="1" showInputMessage="1" showErrorMessage="1" sqref="D47:F48" xr:uid="{00000000-0002-0000-0000-000002000000}">
      <formula1>$B$45:$B$48</formula1>
    </dataValidation>
    <dataValidation type="list" allowBlank="1" showInputMessage="1" showErrorMessage="1" sqref="D49:F49" xr:uid="{00000000-0002-0000-0000-000003000000}">
      <formula1>$B$46:$B$48</formula1>
    </dataValidation>
    <dataValidation type="list" allowBlank="1" showInputMessage="1" showErrorMessage="1" sqref="H72" xr:uid="{00000000-0002-0000-0000-000004000000}">
      <formula1>IF(D72=0,D72,$B$5:$B$6)</formula1>
    </dataValidation>
    <dataValidation type="list" allowBlank="1" showInputMessage="1" showErrorMessage="1" sqref="K72" xr:uid="{00000000-0002-0000-0000-000005000000}">
      <formula1>IF(I72=0,I72,$B$70:$B$73)</formula1>
    </dataValidation>
  </dataValidations>
  <hyperlinks>
    <hyperlink ref="H7" r:id="rId1" xr:uid="{00000000-0004-0000-0000-000000000000}"/>
  </hyperlinks>
  <pageMargins left="0.75" right="0.75" top="1" bottom="1" header="0.5" footer="0.5"/>
  <colBreaks count="1" manualBreakCount="1">
    <brk id="32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B1:N228"/>
  <sheetViews>
    <sheetView showZeros="0" view="pageLayout" topLeftCell="B130" zoomScale="48" zoomScaleNormal="70" zoomScalePageLayoutView="48" workbookViewId="0">
      <selection activeCell="H63" sqref="H63:J63"/>
    </sheetView>
  </sheetViews>
  <sheetFormatPr baseColWidth="10" defaultRowHeight="17.25"/>
  <cols>
    <col min="1" max="1" width="19.44140625" customWidth="1"/>
    <col min="2" max="2" width="19" customWidth="1"/>
    <col min="3" max="3" width="24.109375" customWidth="1"/>
    <col min="4" max="4" width="12.88671875" customWidth="1"/>
    <col min="5" max="5" width="13.33203125" customWidth="1"/>
    <col min="6" max="6" width="11.88671875" customWidth="1"/>
    <col min="8" max="8" width="11.88671875" customWidth="1"/>
    <col min="9" max="9" width="25.44140625" customWidth="1"/>
    <col min="10" max="10" width="16" customWidth="1"/>
    <col min="11" max="11" width="6.6640625" customWidth="1"/>
    <col min="12" max="12" width="18.5546875" customWidth="1"/>
    <col min="13" max="13" width="14.109375" customWidth="1"/>
  </cols>
  <sheetData>
    <row r="1" spans="2:14" ht="20.25"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2" spans="2:14" ht="21" thickBot="1">
      <c r="B2" s="35"/>
      <c r="C2" s="35"/>
      <c r="D2" s="35"/>
      <c r="E2" s="35"/>
      <c r="F2" s="35"/>
      <c r="G2" s="225" t="s">
        <v>38</v>
      </c>
      <c r="H2" s="225"/>
      <c r="I2" s="225"/>
      <c r="J2" s="35"/>
      <c r="K2" s="35"/>
      <c r="L2" s="35"/>
      <c r="M2" s="35"/>
      <c r="N2" s="35"/>
    </row>
    <row r="3" spans="2:14" ht="21.75" thickTop="1" thickBot="1">
      <c r="B3" s="35"/>
      <c r="C3" s="35"/>
      <c r="D3" s="35"/>
      <c r="E3" s="35"/>
      <c r="F3" s="35"/>
      <c r="G3" s="225"/>
      <c r="H3" s="225"/>
      <c r="I3" s="225"/>
      <c r="J3" s="35"/>
      <c r="K3" s="35"/>
      <c r="L3" s="35"/>
      <c r="M3" s="35"/>
      <c r="N3" s="35"/>
    </row>
    <row r="4" spans="2:14" ht="21.75" thickTop="1" thickBot="1">
      <c r="B4" s="35"/>
      <c r="C4" s="35"/>
      <c r="D4" s="35"/>
      <c r="E4" s="35"/>
      <c r="F4" s="35"/>
      <c r="G4" s="225"/>
      <c r="H4" s="225"/>
      <c r="I4" s="225"/>
      <c r="J4" s="35"/>
      <c r="K4" s="35"/>
      <c r="L4" s="35"/>
      <c r="M4" s="35"/>
      <c r="N4" s="35"/>
    </row>
    <row r="5" spans="2:14" ht="21" thickTop="1">
      <c r="B5" s="35"/>
      <c r="C5" s="35"/>
      <c r="D5" s="77"/>
      <c r="E5" s="77"/>
      <c r="F5" s="77"/>
      <c r="G5" s="77"/>
      <c r="H5" s="35"/>
      <c r="I5" s="35"/>
      <c r="J5" s="35"/>
      <c r="K5" s="35"/>
      <c r="L5" s="35"/>
      <c r="M5" s="35"/>
      <c r="N5" s="35"/>
    </row>
    <row r="6" spans="2:14" ht="20.25">
      <c r="B6" s="35"/>
      <c r="C6" s="77"/>
      <c r="D6" s="77"/>
      <c r="E6" s="77"/>
      <c r="F6" s="77"/>
      <c r="G6" s="77"/>
      <c r="H6" s="35"/>
      <c r="I6" s="35"/>
      <c r="J6" s="35"/>
      <c r="K6" s="35"/>
      <c r="L6" s="35"/>
      <c r="M6" s="35"/>
      <c r="N6" s="35"/>
    </row>
    <row r="7" spans="2:14" ht="20.25">
      <c r="B7" s="227" t="str">
        <f>'Auditoría inicial'!H7</f>
        <v>http://www.EJEMPLO.com</v>
      </c>
      <c r="C7" s="227"/>
      <c r="D7" s="227"/>
      <c r="E7" s="227"/>
      <c r="F7" s="35"/>
      <c r="G7" s="35"/>
      <c r="H7" s="230" t="s">
        <v>167</v>
      </c>
      <c r="I7" s="230"/>
      <c r="J7" s="139">
        <f>'Auditoría inicial'!Q11</f>
        <v>0.10526315789473684</v>
      </c>
      <c r="K7" s="35"/>
      <c r="L7" s="35"/>
      <c r="M7" s="35"/>
      <c r="N7" s="35"/>
    </row>
    <row r="8" spans="2:14" ht="20.25">
      <c r="B8" s="89"/>
      <c r="C8" s="89"/>
      <c r="D8" s="89"/>
      <c r="E8" s="89"/>
      <c r="F8" s="35"/>
      <c r="G8" s="35"/>
      <c r="H8" s="35"/>
      <c r="I8" s="35"/>
      <c r="J8" s="35"/>
      <c r="K8" s="35"/>
      <c r="L8" s="35"/>
      <c r="M8" s="35"/>
      <c r="N8" s="35"/>
    </row>
    <row r="9" spans="2:14" ht="20.25">
      <c r="B9" s="62"/>
      <c r="C9" s="35"/>
      <c r="D9" s="62"/>
      <c r="E9" s="62"/>
      <c r="F9" s="62"/>
      <c r="G9" s="35"/>
      <c r="H9" s="35"/>
      <c r="I9" s="35"/>
      <c r="J9" s="35"/>
      <c r="K9" s="35"/>
      <c r="L9" s="35"/>
      <c r="M9" s="35"/>
      <c r="N9" s="35"/>
    </row>
    <row r="10" spans="2:14" ht="20.25">
      <c r="B10" s="217" t="str">
        <f>IF('Auditoría inicial'!H10="Si","-   Se han creado entornos de local y preproducción en los servidores de Brooktec para poder realizar cambios y pruebas","Es necesario crear entornos para poder realizar pruebas")</f>
        <v>-   Se han creado entornos de local y preproducción en los servidores de Brooktec para poder realizar cambios y pruebas</v>
      </c>
      <c r="C10" s="217"/>
      <c r="D10" s="217"/>
      <c r="E10" s="217"/>
      <c r="F10" s="217"/>
      <c r="G10" s="217"/>
      <c r="H10" s="217"/>
      <c r="I10" s="217"/>
      <c r="J10" s="217"/>
      <c r="K10" s="217"/>
      <c r="L10" s="217"/>
      <c r="M10" s="217"/>
      <c r="N10" s="217"/>
    </row>
    <row r="11" spans="2:14" ht="42.95" customHeight="1">
      <c r="B11" s="204" t="str">
        <f>IF('Auditoría inicial'!H11="Si","-   Se ha instalado un plugin desarrollo propio de Brooktec para monitorizar las actualizaciones disponibles tanto de WordPress como de sus plugins","Es necesario la instalación del plugin Dashboard")</f>
        <v>-   Se ha instalado un plugin desarrollo propio de Brooktec para monitorizar las actualizaciones disponibles tanto de WordPress como de sus plugins</v>
      </c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204"/>
      <c r="N11" s="204"/>
    </row>
    <row r="12" spans="2:14" ht="20.25">
      <c r="B12" s="217" t="str">
        <f>IF('Auditoría inicial'!H12="Si","-   Se ha instalado el plugin Wordfence para poder detectar posibles ataques maliciosos a la web","Es necesario instalar el plugin Wordfence para realizar un análisis de seguridad de la web")</f>
        <v>-   Se ha instalado el plugin Wordfence para poder detectar posibles ataques maliciosos a la web</v>
      </c>
      <c r="C12" s="217"/>
      <c r="D12" s="217"/>
      <c r="E12" s="217"/>
      <c r="F12" s="217"/>
      <c r="G12" s="217"/>
      <c r="H12" s="217"/>
      <c r="I12" s="217"/>
      <c r="J12" s="217"/>
      <c r="K12" s="217"/>
      <c r="L12" s="217"/>
      <c r="M12" s="217"/>
      <c r="N12" s="217"/>
    </row>
    <row r="13" spans="2:14" ht="20.25">
      <c r="B13" s="74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</row>
    <row r="14" spans="2:14" ht="21" thickBot="1">
      <c r="B14" s="78" t="s">
        <v>40</v>
      </c>
      <c r="C14" s="78"/>
      <c r="D14" s="68"/>
      <c r="E14" s="68"/>
      <c r="F14" s="68"/>
      <c r="G14" s="68"/>
      <c r="H14" s="68"/>
      <c r="I14" s="68"/>
      <c r="J14" s="68"/>
      <c r="K14" s="68"/>
      <c r="L14" s="68"/>
      <c r="M14" s="35"/>
      <c r="N14" s="35"/>
    </row>
    <row r="15" spans="2:14" ht="21" thickTop="1"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</row>
    <row r="16" spans="2:14" ht="20.25">
      <c r="B16" s="217" t="str">
        <f>IF('Auditoría inicial'!M11="Si","    Se adjunta la información acerca del análisis de seguridad realizado,habiendo aparecido los siguientes problemas:")</f>
        <v xml:space="preserve">    Se adjunta la información acerca del análisis de seguridad realizado,habiendo aparecido los siguientes problemas:</v>
      </c>
      <c r="C16" s="217"/>
      <c r="D16" s="217"/>
      <c r="E16" s="217"/>
      <c r="F16" s="217"/>
      <c r="G16" s="217"/>
      <c r="H16" s="217"/>
      <c r="I16" s="217"/>
      <c r="J16" s="217"/>
      <c r="K16" s="217"/>
      <c r="L16" s="217"/>
      <c r="M16" s="217"/>
      <c r="N16" s="35"/>
    </row>
    <row r="17" spans="2:14" ht="20.25"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</row>
    <row r="18" spans="2:14" ht="20.25">
      <c r="B18" s="37" t="s">
        <v>57</v>
      </c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</row>
    <row r="19" spans="2:14" ht="50.1" customHeight="1">
      <c r="B19" s="228" t="s">
        <v>114</v>
      </c>
      <c r="C19" s="228"/>
      <c r="D19" s="228"/>
      <c r="E19" s="228"/>
      <c r="F19" s="228"/>
      <c r="G19" s="228"/>
      <c r="H19" s="228"/>
      <c r="I19" s="228"/>
      <c r="J19" s="228"/>
      <c r="K19" s="228"/>
      <c r="L19" s="228"/>
      <c r="M19" s="228"/>
      <c r="N19" s="35"/>
    </row>
    <row r="20" spans="2:14" ht="20.25">
      <c r="B20" s="38" t="s">
        <v>115</v>
      </c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</row>
    <row r="21" spans="2:14" ht="20.25">
      <c r="B21" s="76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</row>
    <row r="22" spans="2:14" ht="20.25"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</row>
    <row r="23" spans="2:14" ht="20.25"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</row>
    <row r="24" spans="2:14" ht="20.25"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</row>
    <row r="25" spans="2:14" ht="20.25"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</row>
    <row r="26" spans="2:14" ht="20.25"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</row>
    <row r="27" spans="2:14" ht="20.25"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</row>
    <row r="28" spans="2:14" ht="20.25"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</row>
    <row r="29" spans="2:14" ht="20.25"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</row>
    <row r="30" spans="2:14" ht="20.25"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</row>
    <row r="31" spans="2:14" ht="20.25"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</row>
    <row r="32" spans="2:14" ht="20.25"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</row>
    <row r="33" spans="2:14" ht="20.25"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</row>
    <row r="34" spans="2:14" ht="20.25"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</row>
    <row r="35" spans="2:14" ht="20.25"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</row>
    <row r="36" spans="2:14" ht="20.25"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</row>
    <row r="37" spans="2:14" ht="20.25"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</row>
    <row r="38" spans="2:14" ht="20.25"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</row>
    <row r="39" spans="2:14" ht="20.25"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</row>
    <row r="40" spans="2:14" ht="20.25"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</row>
    <row r="41" spans="2:14" ht="20.25"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</row>
    <row r="42" spans="2:14" ht="20.25"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</row>
    <row r="43" spans="2:14" ht="20.25"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</row>
    <row r="44" spans="2:14" ht="20.25"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</row>
    <row r="45" spans="2:14" ht="20.25"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</row>
    <row r="46" spans="2:14" ht="20.25"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</row>
    <row r="47" spans="2:14" ht="20.25"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</row>
    <row r="48" spans="2:14" ht="20.25"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</row>
    <row r="49" spans="2:14" ht="20.25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</row>
    <row r="50" spans="2:14" ht="20.25"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</row>
    <row r="51" spans="2:14" ht="20.25"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</row>
    <row r="52" spans="2:14" ht="20.25"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</row>
    <row r="53" spans="2:14" ht="20.25"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</row>
    <row r="54" spans="2:14" ht="20.25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</row>
    <row r="55" spans="2:14" ht="20.25"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</row>
    <row r="56" spans="2:14" ht="20.25"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</row>
    <row r="57" spans="2:14" ht="21" thickBot="1">
      <c r="B57" s="78" t="s">
        <v>32</v>
      </c>
      <c r="C57" s="78"/>
      <c r="D57" s="78"/>
      <c r="E57" s="68"/>
      <c r="F57" s="68"/>
      <c r="G57" s="68"/>
      <c r="H57" s="68"/>
      <c r="I57" s="68"/>
      <c r="J57" s="68"/>
      <c r="K57" s="68"/>
      <c r="L57" s="68"/>
      <c r="M57" s="50"/>
      <c r="N57" s="35"/>
    </row>
    <row r="58" spans="2:14" ht="23.1" customHeight="1" thickTop="1"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</row>
    <row r="59" spans="2:14" ht="20.100000000000001" customHeight="1">
      <c r="B59" s="229" t="str">
        <f>IF('Auditoría inicial'!H16&lt;&gt;'Auditoría inicial'!I16,"   Se ha actualizado la versión de WordPress de","No es necesaria ninguna actualización ya que ")</f>
        <v xml:space="preserve">   Se ha actualizado la versión de WordPress de</v>
      </c>
      <c r="C59" s="229"/>
      <c r="D59" s="229"/>
      <c r="E59" s="229"/>
      <c r="F59" s="90" t="str">
        <f>IF('Auditoría inicial'!H16&lt;&gt;'Auditoría inicial'!I16,'Auditoría inicial'!H16,'Auditoría inicial'!I16)</f>
        <v>4.6.9</v>
      </c>
      <c r="G59" s="45" t="str">
        <f>IF('Auditoría inicial'!H16&lt;&gt;'Auditoría inicial'!I16,"a","es la última versión")</f>
        <v>a</v>
      </c>
      <c r="H59" s="46" t="str">
        <f>IF('Auditoría inicial'!H16&lt;&gt;'Auditoría inicial'!I16,'Auditoría inicial'!I16,0)</f>
        <v>4.9.1</v>
      </c>
      <c r="I59" s="35" t="str">
        <f>IF('Auditoría inicial'!H16&lt;&gt;'Auditoría inicial'!I16,"para garantizar un correcto funcionamiento de la web",0)</f>
        <v>para garantizar un correcto funcionamiento de la web</v>
      </c>
      <c r="J59" s="35"/>
      <c r="K59" s="35"/>
      <c r="L59" s="35"/>
      <c r="M59" s="35"/>
      <c r="N59" s="35"/>
    </row>
    <row r="60" spans="2:14" ht="32.1" customHeight="1">
      <c r="B60" s="35"/>
      <c r="C60" s="35"/>
      <c r="D60" s="35"/>
      <c r="E60" s="35"/>
      <c r="F60" s="44"/>
      <c r="G60" s="45"/>
      <c r="H60" s="48"/>
      <c r="I60" s="35"/>
      <c r="J60" s="35"/>
      <c r="K60" s="35"/>
      <c r="L60" s="35"/>
      <c r="M60" s="35"/>
      <c r="N60" s="35"/>
    </row>
    <row r="61" spans="2:14" ht="40.5">
      <c r="B61" s="35" t="s">
        <v>39</v>
      </c>
      <c r="C61" s="35"/>
      <c r="D61" s="35"/>
      <c r="E61" s="35"/>
      <c r="F61" s="35"/>
      <c r="G61" s="35"/>
      <c r="H61" s="35" t="str">
        <f>IF('Auditoría inicial'!K20=0,0,'Auditoría inicial'!K19)</f>
        <v xml:space="preserve">Plugins que han desaparecido </v>
      </c>
      <c r="I61" s="35"/>
      <c r="J61" s="35"/>
      <c r="K61" s="35"/>
      <c r="L61" s="82" t="str">
        <f>IF('Auditoría inicial'!O20&lt;&gt;0,'Auditoría inicial'!O19,0)</f>
        <v>Temas actualizados</v>
      </c>
      <c r="M61" s="82" t="str">
        <f>IF('Auditoría inicial'!O20&lt;&gt;0,'Auditoría inicial'!Q19,0)</f>
        <v>Instalada</v>
      </c>
      <c r="N61" s="82" t="str">
        <f>IF('Auditoría inicial'!O20&lt;&gt;0,'Auditoría inicial'!R19,0)</f>
        <v>Última versión</v>
      </c>
    </row>
    <row r="62" spans="2:14" ht="20.25"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</row>
    <row r="63" spans="2:14" ht="40.5">
      <c r="B63" s="35"/>
      <c r="C63" s="50"/>
      <c r="D63" s="51" t="s">
        <v>5</v>
      </c>
      <c r="E63" s="52" t="s">
        <v>6</v>
      </c>
      <c r="F63" s="76"/>
      <c r="G63" s="35"/>
      <c r="H63" s="226" t="str">
        <f>IF('Auditoría inicial'!K20=0,0,'Auditoría inicial'!K20)</f>
        <v>Mobile app builder by Wappress</v>
      </c>
      <c r="I63" s="226"/>
      <c r="J63" s="226"/>
      <c r="K63" s="35"/>
      <c r="L63" s="42" t="str">
        <f>'Auditoría inicial'!O20</f>
        <v>Rosa</v>
      </c>
      <c r="M63" s="42" t="str">
        <f>'Auditoría inicial'!Q20</f>
        <v>2.1.5</v>
      </c>
      <c r="N63" s="42" t="str">
        <f>'Auditoría inicial'!R20</f>
        <v>2.3.1</v>
      </c>
    </row>
    <row r="64" spans="2:14" ht="20.25">
      <c r="B64" s="35"/>
      <c r="C64" s="53" t="str">
        <f>IF(AND('Auditoría inicial'!H20&lt;&gt;'Auditoría inicial'!I20,'Reporte auditoría inicial'!C63&lt;&gt;'Auditoría inicial'!D20),'Auditoría inicial'!D20,0)</f>
        <v>Akismet</v>
      </c>
      <c r="D64" s="54" t="str">
        <f>IF(C64=0,0,VLOOKUP(C64,'Auditoría inicial'!$D$20:$I$37,5))</f>
        <v>3.2</v>
      </c>
      <c r="E64" s="54" t="str">
        <f>IF(C64=0,0,VLOOKUP(C64,'Auditoría inicial'!$D$20:$I$37,6))</f>
        <v>4.0.2</v>
      </c>
      <c r="F64" s="54"/>
      <c r="G64" s="35"/>
      <c r="H64" s="217">
        <f>IF('Auditoría inicial'!K21=0,0,'Auditoría inicial'!K21)</f>
        <v>0</v>
      </c>
      <c r="I64" s="217"/>
      <c r="J64" s="217"/>
      <c r="K64" s="35"/>
      <c r="L64" s="42" t="str">
        <f>'Auditoría inicial'!O21</f>
        <v>Twenty Fifteen</v>
      </c>
      <c r="M64" s="42" t="str">
        <f>'Auditoría inicial'!Q21</f>
        <v>1.6</v>
      </c>
      <c r="N64" s="42" t="str">
        <f>'Auditoría inicial'!R21</f>
        <v>1.9</v>
      </c>
    </row>
    <row r="65" spans="2:14" ht="40.5">
      <c r="B65" s="35"/>
      <c r="C65" s="53" t="str">
        <f>IF(AND('Auditoría inicial'!H21&lt;&gt;'Auditoría inicial'!I21,'Reporte auditoría inicial'!C64&lt;&gt;'Auditoría inicial'!D21),'Auditoría inicial'!D21,0)</f>
        <v>BirchPress Scheduler</v>
      </c>
      <c r="D65" s="54" t="str">
        <f>IF(C65=0,0,VLOOKUP(C65,'Auditoría inicial'!$D$20:$I$37,5))</f>
        <v>1.10.10</v>
      </c>
      <c r="E65" s="54" t="str">
        <f>IF(C65=0,0,VLOOKUP(C65,'Auditoría inicial'!$D$20:$I$37,6))</f>
        <v>1.11.1</v>
      </c>
      <c r="F65" s="54"/>
      <c r="G65" s="35"/>
      <c r="H65" s="217">
        <f>IF('Auditoría inicial'!K22=0,0,'Auditoría inicial'!K22)</f>
        <v>0</v>
      </c>
      <c r="I65" s="217"/>
      <c r="J65" s="217"/>
      <c r="K65" s="35"/>
      <c r="L65" s="42" t="str">
        <f>'Auditoría inicial'!O22</f>
        <v>Twenty Fourteen</v>
      </c>
      <c r="M65" s="42" t="str">
        <f>'Auditoría inicial'!Q22</f>
        <v>1.8</v>
      </c>
      <c r="N65" s="42" t="str">
        <f>'Auditoría inicial'!R22</f>
        <v>2.1</v>
      </c>
    </row>
    <row r="66" spans="2:14" ht="40.5">
      <c r="B66" s="35"/>
      <c r="C66" s="53" t="str">
        <f>IF(AND('Auditoría inicial'!H22&lt;&gt;'Auditoría inicial'!I22,'Reporte auditoría inicial'!C65&lt;&gt;'Auditoría inicial'!D22),'Auditoría inicial'!D22,0)</f>
        <v>Huge IT Responsive Slider</v>
      </c>
      <c r="D66" s="54" t="str">
        <f>IF(C66=0,0,VLOOKUP(C66,'Auditoría inicial'!$D$20:$I$37,5))</f>
        <v>2.3.6</v>
      </c>
      <c r="E66" s="54" t="str">
        <f>IF(C66=0,0,VLOOKUP(C66,'Auditoría inicial'!$D$20:$I$37,6))</f>
        <v>2.4.6</v>
      </c>
      <c r="F66" s="54"/>
      <c r="G66" s="35"/>
      <c r="H66" s="217">
        <f>IF('Auditoría inicial'!K23=0,0,'Auditoría inicial'!K23)</f>
        <v>0</v>
      </c>
      <c r="I66" s="217"/>
      <c r="J66" s="217"/>
      <c r="K66" s="35"/>
      <c r="L66" s="42" t="str">
        <f>'Auditoría inicial'!O23</f>
        <v>Twenty Sixteen</v>
      </c>
      <c r="M66" s="42" t="str">
        <f>'Auditoría inicial'!Q23</f>
        <v>1.3</v>
      </c>
      <c r="N66" s="42" t="str">
        <f>'Auditoría inicial'!R23</f>
        <v>1.4</v>
      </c>
    </row>
    <row r="67" spans="2:14" ht="20.25">
      <c r="B67" s="35"/>
      <c r="C67" s="53" t="str">
        <f>IF(AND('Auditoría inicial'!H23&lt;&gt;'Auditoría inicial'!I23,'Reporte auditoría inicial'!C66&lt;&gt;'Auditoría inicial'!D23),'Auditoría inicial'!D23,0)</f>
        <v>Instagram Feed</v>
      </c>
      <c r="D67" s="54" t="str">
        <f>IF(C67=0,0,VLOOKUP(C67,'Auditoría inicial'!$D$20:$I$37,5))</f>
        <v>1.4.8</v>
      </c>
      <c r="E67" s="54" t="str">
        <f>IF(C67=0,0,VLOOKUP(C67,'Auditoría inicial'!$D$20:$I$37,6))</f>
        <v>1.5.1</v>
      </c>
      <c r="F67" s="54"/>
      <c r="G67" s="35"/>
      <c r="H67" s="217">
        <f>IF('Auditoría inicial'!K24=0,0,'Auditoría inicial'!K24)</f>
        <v>0</v>
      </c>
      <c r="I67" s="217"/>
      <c r="J67" s="217"/>
      <c r="K67" s="35"/>
      <c r="L67" s="42">
        <f>'Auditoría inicial'!O24</f>
        <v>0</v>
      </c>
      <c r="M67" s="42">
        <f>'Auditoría inicial'!Q24</f>
        <v>0</v>
      </c>
      <c r="N67" s="42">
        <f>'Auditoría inicial'!R24</f>
        <v>0</v>
      </c>
    </row>
    <row r="68" spans="2:14" ht="40.5">
      <c r="B68" s="35"/>
      <c r="C68" s="53" t="str">
        <f>IF(AND('Auditoría inicial'!H24&lt;&gt;'Auditoría inicial'!I24,'Reporte auditoría inicial'!C67&lt;&gt;'Auditoría inicial'!D24),'Auditoría inicial'!D24,0)</f>
        <v>Meeting Scheduler by vCite</v>
      </c>
      <c r="D68" s="54" t="str">
        <f>IF(C68=0,0,VLOOKUP(C68,'Auditoría inicial'!$D$20:$I$37,5))</f>
        <v>3.13.3</v>
      </c>
      <c r="E68" s="54" t="str">
        <f>IF(C68=0,0,VLOOKUP(C68,'Auditoría inicial'!$D$20:$I$37,6))</f>
        <v>3.14.4</v>
      </c>
      <c r="F68" s="55"/>
      <c r="G68" s="35"/>
      <c r="H68" s="217">
        <f>IF('Auditoría inicial'!K25=0,0,'Auditoría inicial'!K25)</f>
        <v>0</v>
      </c>
      <c r="I68" s="217"/>
      <c r="J68" s="217"/>
      <c r="K68" s="35"/>
      <c r="L68" s="42">
        <f>'Auditoría inicial'!O25</f>
        <v>0</v>
      </c>
      <c r="M68" s="42">
        <f>'Auditoría inicial'!Q25</f>
        <v>0</v>
      </c>
      <c r="N68" s="42">
        <f>'Auditoría inicial'!R25</f>
        <v>0</v>
      </c>
    </row>
    <row r="69" spans="2:14" ht="20.25">
      <c r="B69" s="35"/>
      <c r="C69" s="53" t="str">
        <f>IF(AND('Auditoría inicial'!H25&lt;&gt;'Auditoría inicial'!I25,'Reporte auditoría inicial'!C68&lt;&gt;'Auditoría inicial'!D25),'Auditoría inicial'!D25,0)</f>
        <v>Meta Slider(activo)</v>
      </c>
      <c r="D69" s="54" t="str">
        <f>IF(C69=0,0,VLOOKUP(C69,'Auditoría inicial'!$D$20:$I$37,5))</f>
        <v>3.4</v>
      </c>
      <c r="E69" s="54" t="str">
        <f>IF(C69=0,0,VLOOKUP(C69,'Auditoría inicial'!$D$20:$I$37,6))</f>
        <v>3.6.7</v>
      </c>
      <c r="F69" s="54"/>
      <c r="G69" s="35"/>
      <c r="H69" s="217">
        <f>IF('Auditoría inicial'!K26=0,0,'Auditoría inicial'!K26)</f>
        <v>0</v>
      </c>
      <c r="I69" s="217"/>
      <c r="J69" s="217"/>
      <c r="K69" s="35"/>
      <c r="L69" s="42">
        <f>'Auditoría inicial'!O26</f>
        <v>0</v>
      </c>
      <c r="M69" s="42">
        <f>'Auditoría inicial'!Q26</f>
        <v>0</v>
      </c>
      <c r="N69" s="42">
        <f>'Auditoría inicial'!R26</f>
        <v>0</v>
      </c>
    </row>
    <row r="70" spans="2:14" ht="40.5">
      <c r="B70" s="35"/>
      <c r="C70" s="53" t="str">
        <f>IF(AND('Auditoría inicial'!H26&lt;&gt;'Auditoría inicial'!I26,'Reporte auditoría inicial'!C69&lt;&gt;'Auditoría inicial'!D26),'Auditoría inicial'!D26,0)</f>
        <v>Photo Gallery by Supsystic(activo)</v>
      </c>
      <c r="D70" s="54" t="str">
        <f>IF(C70=0,0,VLOOKUP(C70,'Auditoría inicial'!$D$20:$I$37,5))</f>
        <v>1.9.10</v>
      </c>
      <c r="E70" s="54" t="str">
        <f>IF(C70=0,0,VLOOKUP(C70,'Auditoría inicial'!$D$20:$I$37,6))</f>
        <v>1.10.12</v>
      </c>
      <c r="F70" s="54"/>
      <c r="G70" s="35"/>
      <c r="H70" s="217">
        <f>IF('Auditoría inicial'!K27=0,0,'Auditoría inicial'!K27)</f>
        <v>0</v>
      </c>
      <c r="I70" s="217"/>
      <c r="J70" s="217"/>
      <c r="K70" s="35"/>
      <c r="L70" s="42">
        <f>'Auditoría inicial'!O27</f>
        <v>0</v>
      </c>
      <c r="M70" s="42">
        <f>'Auditoría inicial'!Q27</f>
        <v>0</v>
      </c>
      <c r="N70" s="42">
        <f>'Auditoría inicial'!R27</f>
        <v>0</v>
      </c>
    </row>
    <row r="71" spans="2:14" ht="20.25">
      <c r="B71" s="35"/>
      <c r="C71" s="53" t="str">
        <f>IF(AND('Auditoría inicial'!H27&lt;&gt;'Auditoría inicial'!I27,'Reporte auditoría inicial'!C70&lt;&gt;'Auditoría inicial'!D27),'Auditoría inicial'!D27,0)</f>
        <v>PixCodes(activo)</v>
      </c>
      <c r="D71" s="54" t="str">
        <f>IF(C71=0,0,VLOOKUP(C71,'Auditoría inicial'!$D$20:$I$37,5))</f>
        <v>2.3.3</v>
      </c>
      <c r="E71" s="54" t="str">
        <f>IF(C71=0,0,VLOOKUP(C71,'Auditoría inicial'!$D$20:$I$37,6))</f>
        <v>2.3.4</v>
      </c>
      <c r="F71" s="54"/>
      <c r="G71" s="35"/>
      <c r="H71" s="217">
        <f>IF('Auditoría inicial'!K28=0,0,'Auditoría inicial'!K28)</f>
        <v>0</v>
      </c>
      <c r="I71" s="217"/>
      <c r="J71" s="217"/>
      <c r="K71" s="35"/>
      <c r="L71" s="42">
        <f>'Auditoría inicial'!O28</f>
        <v>0</v>
      </c>
      <c r="M71" s="42">
        <f>'Auditoría inicial'!Q28</f>
        <v>0</v>
      </c>
      <c r="N71" s="42">
        <f>'Auditoría inicial'!R28</f>
        <v>0</v>
      </c>
    </row>
    <row r="72" spans="2:14" ht="20.25">
      <c r="B72" s="35"/>
      <c r="C72" s="53" t="str">
        <f>IF(AND('Auditoría inicial'!H28&lt;&gt;'Auditoría inicial'!I28,'Reporte auditoría inicial'!C71&lt;&gt;'Auditoría inicial'!D28),'Auditoría inicial'!D28,0)</f>
        <v>PixLikes</v>
      </c>
      <c r="D72" s="54" t="str">
        <f>IF(C72=0,0,VLOOKUP(C72,'Auditoría inicial'!$D$20:$I$37,5))</f>
        <v>1.1.2</v>
      </c>
      <c r="E72" s="54" t="str">
        <f>IF(C72=0,0,VLOOKUP(C72,'Auditoría inicial'!$D$20:$I$37,6))</f>
        <v>1.1.3</v>
      </c>
      <c r="F72" s="54"/>
      <c r="G72" s="35"/>
      <c r="H72" s="217">
        <f>IF('Auditoría inicial'!K29=0,0,'Auditoría inicial'!K29)</f>
        <v>0</v>
      </c>
      <c r="I72" s="217"/>
      <c r="J72" s="217"/>
      <c r="K72" s="35"/>
      <c r="L72" s="42">
        <f>'Auditoría inicial'!O29</f>
        <v>0</v>
      </c>
      <c r="M72" s="42">
        <f>'Auditoría inicial'!Q29</f>
        <v>0</v>
      </c>
      <c r="N72" s="42">
        <f>'Auditoría inicial'!R29</f>
        <v>0</v>
      </c>
    </row>
    <row r="73" spans="2:14" ht="20.25">
      <c r="B73" s="35"/>
      <c r="C73" s="53" t="str">
        <f>IF(AND('Auditoría inicial'!H29&lt;&gt;'Auditoría inicial'!I29,'Reporte auditoría inicial'!C72&lt;&gt;'Auditoría inicial'!D29),'Auditoría inicial'!D29,0)</f>
        <v>PixTypes</v>
      </c>
      <c r="D73" s="54" t="str">
        <f>IF(C73=0,0,VLOOKUP(C73,'Auditoría inicial'!$D$20:$I$37,5))</f>
        <v>1.4.4</v>
      </c>
      <c r="E73" s="54" t="str">
        <f>IF(C73=0,0,VLOOKUP(C73,'Auditoría inicial'!$D$20:$I$37,6))</f>
        <v>1.4.9</v>
      </c>
      <c r="F73" s="54"/>
      <c r="G73" s="35"/>
      <c r="H73" s="217">
        <f>IF('Auditoría inicial'!K30=0,0,'Auditoría inicial'!K30)</f>
        <v>0</v>
      </c>
      <c r="I73" s="217"/>
      <c r="J73" s="217"/>
      <c r="K73" s="35"/>
      <c r="L73" s="35"/>
      <c r="M73" s="35"/>
      <c r="N73" s="35"/>
    </row>
    <row r="74" spans="2:14" ht="20.25">
      <c r="B74" s="35"/>
      <c r="C74" s="53" t="str">
        <f>IF(AND('Auditoría inicial'!H30&lt;&gt;'Auditoría inicial'!I30,'Reporte auditoría inicial'!C73&lt;&gt;'Auditoría inicial'!D30),'Auditoría inicial'!D30,0)</f>
        <v xml:space="preserve">Slider </v>
      </c>
      <c r="D74" s="54" t="str">
        <f>IF(C74=0,0,VLOOKUP(C74,'Auditoría inicial'!$D$20:$I$37,5))</f>
        <v>3.1.98</v>
      </c>
      <c r="E74" s="54" t="str">
        <f>IF(C74=0,0,VLOOKUP(C74,'Auditoría inicial'!$D$20:$I$37,6))</f>
        <v>4.0.6</v>
      </c>
      <c r="F74" s="54"/>
      <c r="G74" s="35"/>
      <c r="H74" s="217">
        <f>IF('Auditoría inicial'!K31=0,0,'Auditoría inicial'!K31)</f>
        <v>0</v>
      </c>
      <c r="I74" s="217"/>
      <c r="J74" s="217"/>
      <c r="K74" s="35"/>
      <c r="L74" s="35"/>
      <c r="M74" s="35"/>
      <c r="N74" s="35"/>
    </row>
    <row r="75" spans="2:14" ht="20.25">
      <c r="B75" s="35"/>
      <c r="C75" s="53" t="str">
        <f>IF(AND('Auditoría inicial'!H31&lt;&gt;'Auditoría inicial'!I31,'Reporte auditoría inicial'!C74&lt;&gt;'Auditoría inicial'!D31),'Auditoría inicial'!D31,0)</f>
        <v>Slider WD</v>
      </c>
      <c r="D75" s="54" t="str">
        <f>IF(C75=0,0,VLOOKUP(C75,'Auditoría inicial'!$D$20:$I$37,5))</f>
        <v>1.1.68</v>
      </c>
      <c r="E75" s="54" t="str">
        <f>IF(C75=0,0,VLOOKUP(C75,'Auditoría inicial'!$D$20:$I$37,6))</f>
        <v>1.2.2</v>
      </c>
      <c r="F75" s="54"/>
      <c r="G75" s="35"/>
      <c r="H75" s="35"/>
      <c r="I75" s="35"/>
      <c r="J75" s="35"/>
      <c r="K75" s="35"/>
      <c r="L75" s="35"/>
      <c r="M75" s="35"/>
      <c r="N75" s="35"/>
    </row>
    <row r="76" spans="2:14" ht="20.25">
      <c r="B76" s="35"/>
      <c r="C76" s="53" t="str">
        <f>IF(AND('Auditoría inicial'!H32&lt;&gt;'Auditoría inicial'!I32,'Reporte auditoría inicial'!C75&lt;&gt;'Auditoría inicial'!D32),'Auditoría inicial'!D32,0)</f>
        <v xml:space="preserve">Use Any Font </v>
      </c>
      <c r="D76" s="54" t="str">
        <f>IF(C76=0,0,VLOOKUP(C76,'Auditoría inicial'!$D$20:$I$37,5))</f>
        <v>4.6</v>
      </c>
      <c r="E76" s="54" t="str">
        <f>IF(C76=0,0,VLOOKUP(C76,'Auditoría inicial'!$D$20:$I$37,6))</f>
        <v>4.7.3</v>
      </c>
      <c r="F76" s="54"/>
      <c r="G76" s="35"/>
      <c r="H76" s="35"/>
      <c r="I76" s="35"/>
      <c r="J76" s="35"/>
      <c r="K76" s="35"/>
      <c r="L76" s="35"/>
      <c r="M76" s="35"/>
      <c r="N76" s="35"/>
    </row>
    <row r="77" spans="2:14" ht="40.5">
      <c r="B77" s="35"/>
      <c r="C77" s="53" t="str">
        <f>IF(AND('Auditoría inicial'!H33&lt;&gt;'Auditoría inicial'!I33,'Reporte auditoría inicial'!C76&lt;&gt;'Auditoría inicial'!D33),'Auditoría inicial'!D33,0)</f>
        <v>WP Simple Booking Calendar</v>
      </c>
      <c r="D77" s="54" t="str">
        <f>IF(C77=0,0,VLOOKUP(C77,'Auditoría inicial'!$D$20:$I$37,5))</f>
        <v>1.5</v>
      </c>
      <c r="E77" s="54" t="str">
        <f>IF(C77=0,0,VLOOKUP(C77,'Auditoría inicial'!$D$20:$I$37,6))</f>
        <v>1.5.1</v>
      </c>
      <c r="F77" s="54"/>
      <c r="G77" s="35"/>
      <c r="H77" s="56" t="s">
        <v>43</v>
      </c>
      <c r="I77" s="56"/>
      <c r="J77" s="56"/>
      <c r="K77" s="35"/>
      <c r="L77" s="35"/>
      <c r="M77" s="35"/>
      <c r="N77" s="35"/>
    </row>
    <row r="78" spans="2:14" ht="40.5">
      <c r="B78" s="35"/>
      <c r="C78" s="53" t="str">
        <f>IF(AND('Auditoría inicial'!H34&lt;&gt;'Auditoría inicial'!I34,'Reporte auditoría inicial'!C77&lt;&gt;'Auditoría inicial'!D34),'Auditoría inicial'!D34,0)</f>
        <v>Wptouch Mobile Plugin</v>
      </c>
      <c r="D78" s="54" t="str">
        <f>IF(C78=0,0,VLOOKUP(C78,'Auditoría inicial'!$D$20:$I$37,5))</f>
        <v>4.7</v>
      </c>
      <c r="E78" s="54" t="str">
        <f>IF(C78=0,0,VLOOKUP(C78,'Auditoría inicial'!$D$20:$I$37,6))</f>
        <v>4.9.2</v>
      </c>
      <c r="F78" s="54"/>
      <c r="G78" s="35"/>
      <c r="H78" s="57"/>
      <c r="I78" s="58"/>
      <c r="J78" s="58"/>
      <c r="K78" s="58"/>
      <c r="L78" s="58"/>
      <c r="M78" s="58"/>
      <c r="N78" s="59"/>
    </row>
    <row r="79" spans="2:14" ht="20.25">
      <c r="B79" s="35"/>
      <c r="C79" s="53" t="str">
        <f>IF(AND('Auditoría inicial'!H35&lt;&gt;'Auditoría inicial'!I35,'Reporte auditoría inicial'!C78&lt;&gt;'Auditoría inicial'!D35),'Auditoría inicial'!D35,0)</f>
        <v>Contact Form 7</v>
      </c>
      <c r="D79" s="54" t="str">
        <f>IF(C79=0,0,VLOOKUP(C79,'Auditoría inicial'!$D$20:$I$37,5))</f>
        <v>1.10.10</v>
      </c>
      <c r="E79" s="54" t="str">
        <f>IF(C79=0,0,VLOOKUP(C79,'Auditoría inicial'!$D$20:$I$37,6))</f>
        <v>1.11.1</v>
      </c>
      <c r="F79" s="54"/>
      <c r="G79" s="35"/>
      <c r="H79" s="60"/>
      <c r="I79" s="50"/>
      <c r="J79" s="50"/>
      <c r="K79" s="50"/>
      <c r="L79" s="50"/>
      <c r="M79" s="50"/>
      <c r="N79" s="61"/>
    </row>
    <row r="80" spans="2:14" ht="20.25">
      <c r="B80" s="62"/>
      <c r="C80" s="53">
        <f>IF(AND('Auditoría inicial'!H36&lt;&gt;'Auditoría inicial'!I36,'Reporte auditoría inicial'!C79&lt;&gt;'Auditoría inicial'!D36),'Auditoría inicial'!D36,0)</f>
        <v>0</v>
      </c>
      <c r="D80" s="54">
        <f>IF(C80=0,0,VLOOKUP(C80,'Auditoría inicial'!$D$20:$I$37,5))</f>
        <v>0</v>
      </c>
      <c r="E80" s="54">
        <f>IF(C80=0,0,VLOOKUP(C80,'Auditoría inicial'!$D$20:$I$37,6))</f>
        <v>0</v>
      </c>
      <c r="F80" s="54"/>
      <c r="G80" s="35"/>
      <c r="H80" s="60"/>
      <c r="I80" s="50"/>
      <c r="J80" s="50"/>
      <c r="K80" s="50"/>
      <c r="L80" s="50"/>
      <c r="M80" s="50"/>
      <c r="N80" s="61"/>
    </row>
    <row r="81" spans="2:14" ht="20.25">
      <c r="B81" s="35"/>
      <c r="C81" s="53">
        <f>IF(AND('Auditoría inicial'!H37&lt;&gt;'Auditoría inicial'!I37,'Reporte auditoría inicial'!C80&lt;&gt;'Auditoría inicial'!D37),'Auditoría inicial'!D37,0)</f>
        <v>0</v>
      </c>
      <c r="D81" s="54">
        <f>IF(C81=0,0,VLOOKUP(C81,'Auditoría inicial'!$D$20:$I$37,5))</f>
        <v>0</v>
      </c>
      <c r="E81" s="54">
        <f>IF(C81=0,0,VLOOKUP(C81,'Auditoría inicial'!$D$20:$I$37,6))</f>
        <v>0</v>
      </c>
      <c r="F81" s="54"/>
      <c r="G81" s="35"/>
      <c r="H81" s="60"/>
      <c r="I81" s="50"/>
      <c r="J81" s="50"/>
      <c r="K81" s="50"/>
      <c r="L81" s="50"/>
      <c r="M81" s="50"/>
      <c r="N81" s="61"/>
    </row>
    <row r="82" spans="2:14" ht="20.25">
      <c r="B82" s="35"/>
      <c r="C82" s="53"/>
      <c r="D82" s="54"/>
      <c r="E82" s="54"/>
      <c r="F82" s="54"/>
      <c r="G82" s="35"/>
      <c r="H82" s="60"/>
      <c r="I82" s="50"/>
      <c r="J82" s="50"/>
      <c r="K82" s="50"/>
      <c r="L82" s="50"/>
      <c r="M82" s="50"/>
      <c r="N82" s="61"/>
    </row>
    <row r="83" spans="2:14" ht="20.25">
      <c r="B83" s="35"/>
      <c r="C83" s="53"/>
      <c r="D83" s="54"/>
      <c r="E83" s="54"/>
      <c r="F83" s="54"/>
      <c r="G83" s="35"/>
      <c r="H83" s="60"/>
      <c r="I83" s="50"/>
      <c r="J83" s="50"/>
      <c r="K83" s="50"/>
      <c r="L83" s="50"/>
      <c r="M83" s="50"/>
      <c r="N83" s="61"/>
    </row>
    <row r="84" spans="2:14" ht="20.25">
      <c r="B84" s="35"/>
      <c r="C84" s="35"/>
      <c r="D84" s="35"/>
      <c r="E84" s="35"/>
      <c r="F84" s="35"/>
      <c r="G84" s="35"/>
      <c r="H84" s="63"/>
      <c r="I84" s="64"/>
      <c r="J84" s="64"/>
      <c r="K84" s="64"/>
      <c r="L84" s="64"/>
      <c r="M84" s="64"/>
      <c r="N84" s="65"/>
    </row>
    <row r="85" spans="2:14" ht="20.25">
      <c r="B85" s="35"/>
      <c r="C85" s="35"/>
      <c r="D85" s="35"/>
      <c r="E85" s="35"/>
      <c r="F85" s="35"/>
      <c r="G85" s="35"/>
      <c r="H85" s="50"/>
      <c r="I85" s="50"/>
      <c r="J85" s="50"/>
      <c r="K85" s="50"/>
      <c r="L85" s="50"/>
      <c r="M85" s="50"/>
      <c r="N85" s="50"/>
    </row>
    <row r="86" spans="2:14" ht="20.25"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</row>
    <row r="87" spans="2:14" ht="33" customHeight="1"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</row>
    <row r="88" spans="2:14" ht="33" customHeight="1" thickBot="1">
      <c r="B88" s="67" t="s">
        <v>33</v>
      </c>
      <c r="C88" s="68"/>
      <c r="D88" s="68"/>
      <c r="E88" s="68"/>
      <c r="F88" s="68"/>
      <c r="G88" s="68"/>
      <c r="H88" s="68"/>
      <c r="I88" s="68"/>
      <c r="J88" s="68"/>
      <c r="K88" s="68"/>
      <c r="L88" s="68"/>
      <c r="M88" s="35"/>
      <c r="N88" s="35"/>
    </row>
    <row r="89" spans="2:14" ht="24" customHeight="1" thickTop="1"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</row>
    <row r="90" spans="2:14" ht="47.1" customHeight="1">
      <c r="B90" s="222" t="s">
        <v>116</v>
      </c>
      <c r="C90" s="222"/>
      <c r="D90" s="222"/>
      <c r="E90" s="222"/>
      <c r="F90" s="222"/>
      <c r="G90" s="222"/>
      <c r="H90" s="222"/>
      <c r="I90" s="222"/>
      <c r="J90" s="222"/>
      <c r="K90" s="222"/>
      <c r="L90" s="222"/>
      <c r="M90" s="222"/>
      <c r="N90" s="222"/>
    </row>
    <row r="91" spans="2:14" s="3" customFormat="1" ht="48" customHeight="1">
      <c r="B91" s="222" t="s">
        <v>46</v>
      </c>
      <c r="C91" s="222"/>
      <c r="D91" s="222"/>
      <c r="E91" s="222"/>
      <c r="F91" s="222"/>
      <c r="G91" s="222"/>
      <c r="H91" s="222"/>
      <c r="I91" s="222"/>
      <c r="J91" s="222"/>
      <c r="K91" s="222"/>
      <c r="L91" s="222"/>
      <c r="M91" s="222"/>
      <c r="N91" s="33"/>
    </row>
    <row r="92" spans="2:14" ht="27.95" customHeight="1"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</row>
    <row r="93" spans="2:14" ht="20.25">
      <c r="B93" s="223" t="str">
        <f>'Auditoría inicial'!D45</f>
        <v>Recomendaciones por Gtmetrix</v>
      </c>
      <c r="C93" s="224"/>
      <c r="D93" s="224"/>
      <c r="E93" s="224"/>
      <c r="F93" s="58"/>
      <c r="G93" s="59"/>
      <c r="H93" s="35"/>
      <c r="I93" s="35"/>
      <c r="J93" s="79" t="str">
        <f>'Auditoría inicial'!D43</f>
        <v>Puntuación de PageSpeed</v>
      </c>
      <c r="K93" s="79"/>
      <c r="L93" s="69"/>
      <c r="M93" s="69">
        <f>'Auditoría inicial'!H43</f>
        <v>0.74</v>
      </c>
      <c r="N93" s="35"/>
    </row>
    <row r="94" spans="2:14" ht="20.25">
      <c r="B94" s="60"/>
      <c r="C94" s="50"/>
      <c r="D94" s="50"/>
      <c r="E94" s="50"/>
      <c r="F94" s="50"/>
      <c r="G94" s="61"/>
      <c r="H94" s="35"/>
      <c r="I94" s="35"/>
      <c r="J94" s="35"/>
      <c r="K94" s="35"/>
      <c r="L94" s="35"/>
      <c r="M94" s="35"/>
      <c r="N94" s="35"/>
    </row>
    <row r="95" spans="2:14" ht="36" customHeight="1">
      <c r="B95" s="60"/>
      <c r="C95" s="211" t="str">
        <f>'Auditoría inicial'!D47</f>
        <v>- Minificar CSS y JavaScript</v>
      </c>
      <c r="D95" s="211"/>
      <c r="E95" s="211"/>
      <c r="F95" s="211"/>
      <c r="G95" s="212"/>
      <c r="H95" s="35"/>
      <c r="I95" s="71" t="s">
        <v>57</v>
      </c>
      <c r="J95" s="72"/>
      <c r="K95" s="72"/>
      <c r="L95" s="72"/>
      <c r="M95" s="72"/>
      <c r="N95" s="72"/>
    </row>
    <row r="96" spans="2:14" ht="39.950000000000003" customHeight="1">
      <c r="B96" s="60"/>
      <c r="C96" s="211" t="str">
        <f>'Auditoría inicial'!D48</f>
        <v>- Optimización de imágenes</v>
      </c>
      <c r="D96" s="211"/>
      <c r="E96" s="211"/>
      <c r="F96" s="211"/>
      <c r="G96" s="212"/>
      <c r="H96" s="35"/>
      <c r="I96" s="219" t="str">
        <f>IF(OR(AND('Auditoría inicial'!G57="No",'Auditoría inicial'!G58="No",'Auditoría inicial'!G59="Si"),AND('Auditoría inicial'!G57="No",'Auditoría inicial'!G58="Si",'Auditoría inicial'!G59="No"),AND('Auditoría inicial'!G57="No",'Auditoría inicial'!G58="No",'Auditoría inicial'!G59="No")),"Se ha instalado el plugin W3 Total Caché para el almacenamiento caché y favorecimiento del SEO",0)</f>
        <v>Se ha instalado el plugin W3 Total Caché para el almacenamiento caché y favorecimiento del SEO</v>
      </c>
      <c r="J96" s="220"/>
      <c r="K96" s="220"/>
      <c r="L96" s="220"/>
      <c r="M96" s="220"/>
      <c r="N96" s="221"/>
    </row>
    <row r="97" spans="2:14" ht="32.1" customHeight="1">
      <c r="B97" s="60"/>
      <c r="C97" s="211" t="str">
        <f>'Auditoría inicial'!D49</f>
        <v>- Establecer fecha de expiración del almacenamiento caché</v>
      </c>
      <c r="D97" s="211"/>
      <c r="E97" s="211"/>
      <c r="F97" s="211"/>
      <c r="G97" s="212"/>
      <c r="H97" s="35"/>
      <c r="I97" s="208">
        <f>IF(AND('Auditoría inicial'!G58="Si",'Auditoría inicial'!G59="No",'Auditoría inicial'!G57="No",I96=0),"Se ha instalado el pugin Autoptimize para la optimización de los archivos html,CSS y JavaScript",0)</f>
        <v>0</v>
      </c>
      <c r="J97" s="209"/>
      <c r="K97" s="209"/>
      <c r="L97" s="209"/>
      <c r="M97" s="209"/>
      <c r="N97" s="210"/>
    </row>
    <row r="98" spans="2:14" ht="51" customHeight="1">
      <c r="B98" s="60"/>
      <c r="C98" s="211">
        <f>'Auditoría inicial'!D50</f>
        <v>0</v>
      </c>
      <c r="D98" s="211"/>
      <c r="E98" s="211"/>
      <c r="F98" s="211"/>
      <c r="G98" s="212"/>
      <c r="H98" s="35"/>
      <c r="I98" s="213">
        <f>IF(OR(AND('Auditoría inicial'!G57="Si",'Auditoría inicial'!G59="Si"),AND('Auditoría inicial'!G57="No",'Auditoría inicial'!G59="Si")),"Se ha quitado el plugin Autoptimize ya que el plugin W3 Total Caché ya implementa las funciones de este plugin",0)</f>
        <v>0</v>
      </c>
      <c r="J98" s="214"/>
      <c r="K98" s="214"/>
      <c r="L98" s="214"/>
      <c r="M98" s="214"/>
      <c r="N98" s="215"/>
    </row>
    <row r="99" spans="2:14" ht="20.25">
      <c r="B99" s="60"/>
      <c r="C99" s="211">
        <f>'Auditoría inicial'!D51</f>
        <v>0</v>
      </c>
      <c r="D99" s="211"/>
      <c r="E99" s="211"/>
      <c r="F99" s="211"/>
      <c r="G99" s="212"/>
      <c r="H99" s="35"/>
      <c r="I99" s="213">
        <f>IF(AND('Auditoría inicial'!G57="Si",'Auditoría inicial'!G58="Si"),"Se ha quitado el plugin WP Super caché quedando en uso el plugin W3 Total Caché",0)</f>
        <v>0</v>
      </c>
      <c r="J99" s="214"/>
      <c r="K99" s="214"/>
      <c r="L99" s="214"/>
      <c r="M99" s="214"/>
      <c r="N99" s="215"/>
    </row>
    <row r="100" spans="2:14" ht="20.25">
      <c r="B100" s="60"/>
      <c r="C100" s="211">
        <f>'Auditoría inicial'!D52</f>
        <v>0</v>
      </c>
      <c r="D100" s="211"/>
      <c r="E100" s="211"/>
      <c r="F100" s="211"/>
      <c r="G100" s="212"/>
      <c r="H100" s="35"/>
      <c r="I100" s="213"/>
      <c r="J100" s="214"/>
      <c r="K100" s="214"/>
      <c r="L100" s="214"/>
      <c r="M100" s="214"/>
      <c r="N100" s="215"/>
    </row>
    <row r="101" spans="2:14" ht="20.25">
      <c r="B101" s="60"/>
      <c r="C101" s="211">
        <f>'Auditoría inicial'!D53</f>
        <v>0</v>
      </c>
      <c r="D101" s="211"/>
      <c r="E101" s="211"/>
      <c r="F101" s="211"/>
      <c r="G101" s="212"/>
      <c r="H101" s="35"/>
      <c r="I101" s="63"/>
      <c r="J101" s="64"/>
      <c r="K101" s="64"/>
      <c r="L101" s="64"/>
      <c r="M101" s="64"/>
      <c r="N101" s="65"/>
    </row>
    <row r="102" spans="2:14" ht="20.25">
      <c r="B102" s="63"/>
      <c r="C102" s="206">
        <f>'Auditoría inicial'!D54</f>
        <v>0</v>
      </c>
      <c r="D102" s="206"/>
      <c r="E102" s="206"/>
      <c r="F102" s="206"/>
      <c r="G102" s="207"/>
      <c r="H102" s="35"/>
      <c r="I102" s="35"/>
      <c r="J102" s="35"/>
      <c r="K102" s="35"/>
      <c r="L102" s="35"/>
      <c r="M102" s="35"/>
      <c r="N102" s="35"/>
    </row>
    <row r="103" spans="2:14" ht="20.25"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</row>
    <row r="104" spans="2:14" ht="20.25"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</row>
    <row r="105" spans="2:14" ht="20.25"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</row>
    <row r="106" spans="2:14" ht="20.25"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</row>
    <row r="107" spans="2:14" ht="20.25"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</row>
    <row r="108" spans="2:14" ht="20.25"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</row>
    <row r="109" spans="2:14" ht="20.25"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</row>
    <row r="110" spans="2:14" ht="20.25"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</row>
    <row r="111" spans="2:14" ht="20.25"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</row>
    <row r="112" spans="2:14" ht="20.25"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</row>
    <row r="113" spans="2:14" ht="20.25"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</row>
    <row r="114" spans="2:14" ht="20.25"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</row>
    <row r="115" spans="2:14" ht="20.25"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</row>
    <row r="116" spans="2:14" ht="20.25"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</row>
    <row r="117" spans="2:14" ht="20.25"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</row>
    <row r="118" spans="2:14" ht="20.25"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</row>
    <row r="119" spans="2:14" ht="20.25"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</row>
    <row r="120" spans="2:14" ht="20.25"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</row>
    <row r="121" spans="2:14" ht="20.25"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</row>
    <row r="122" spans="2:14" ht="20.25"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</row>
    <row r="123" spans="2:14" ht="20.25"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</row>
    <row r="124" spans="2:14" ht="20.25"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</row>
    <row r="125" spans="2:14" ht="20.25"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</row>
    <row r="126" spans="2:14" ht="20.25"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</row>
    <row r="127" spans="2:14" ht="20.25"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</row>
    <row r="128" spans="2:14" ht="20.25"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</row>
    <row r="129" spans="2:14" ht="20.25"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</row>
    <row r="130" spans="2:14" ht="20.25"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</row>
    <row r="131" spans="2:14" ht="20.25"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</row>
    <row r="132" spans="2:14" ht="20.25"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</row>
    <row r="133" spans="2:14" ht="20.25"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</row>
    <row r="134" spans="2:14" ht="21" thickBot="1">
      <c r="B134" s="78" t="s">
        <v>31</v>
      </c>
      <c r="C134" s="68"/>
      <c r="D134" s="68"/>
      <c r="E134" s="68"/>
      <c r="F134" s="68"/>
      <c r="G134" s="68"/>
      <c r="H134" s="76"/>
      <c r="I134" s="68" t="s">
        <v>45</v>
      </c>
      <c r="J134" s="68"/>
      <c r="K134" s="68"/>
      <c r="L134" s="68"/>
      <c r="M134" s="68"/>
      <c r="N134" s="68"/>
    </row>
    <row r="135" spans="2:14" ht="21" thickTop="1"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</row>
    <row r="136" spans="2:14" ht="36.950000000000003" customHeight="1">
      <c r="B136" s="204" t="str">
        <f>IF('Auditoría inicial'!J45&lt;&gt;0,"Se ha instalado el plugin All in one SEO pack para la integración SEO de comercio electrónico",0)</f>
        <v>Se ha instalado el plugin All in one SEO pack para la integración SEO de comercio electrónico</v>
      </c>
      <c r="C136" s="204"/>
      <c r="D136" s="204"/>
      <c r="E136" s="204"/>
      <c r="F136" s="204"/>
      <c r="G136" s="204"/>
      <c r="H136" s="35"/>
      <c r="I136" s="216">
        <f>IF(AND('Auditoría inicial'!I62="No",'Auditoría inicial'!I64="No"),"No se ha contratado el servicio de seguimiento del registro de los emails tanto enviados por WordPress ni entregados",0)</f>
        <v>0</v>
      </c>
      <c r="J136" s="216"/>
      <c r="K136" s="216"/>
      <c r="L136" s="216"/>
      <c r="M136" s="216"/>
      <c r="N136" s="216"/>
    </row>
    <row r="137" spans="2:14" ht="48.95" customHeight="1">
      <c r="B137" s="218">
        <f>IF('Auditoría inicial'!N45&lt;&gt;0,"Se ha instalado el plugin Yoast SEO para favorecer el posicionamiento SEO",0)</f>
        <v>0</v>
      </c>
      <c r="C137" s="218"/>
      <c r="D137" s="218"/>
      <c r="E137" s="218"/>
      <c r="F137" s="218"/>
      <c r="G137" s="218"/>
      <c r="H137" s="35"/>
      <c r="I137" s="205" t="str">
        <f>IF(AND('Auditoría inicial'!J62&lt;&gt;0,'Auditoría inicial'!M44="Si"),"Se ha instalado el plugin WP mail Logging para realizar un registro de los correos electrónicos que se envían desde WordPress",IF(AND('Auditoría inicial'!J62&lt;&gt;0,'Auditoría inicial'!M44="No")," Se ha instalado el plugin Email Log para realizar un registro de los correos electrónicos que se envían desde WordPress",0))</f>
        <v>Se ha instalado el plugin WP mail Logging para realizar un registro de los correos electrónicos que se envían desde WordPress</v>
      </c>
      <c r="J137" s="205"/>
      <c r="K137" s="205"/>
      <c r="L137" s="205"/>
      <c r="M137" s="205"/>
      <c r="N137" s="205"/>
    </row>
    <row r="138" spans="2:14" ht="45" customHeight="1">
      <c r="B138" s="218" t="str">
        <f>IF('Auditoría inicial'!N48&lt;&gt;0,"Se han instalado certificados de seguridad en todas las páginas de la web")</f>
        <v>Se han instalado certificados de seguridad en todas las páginas de la web</v>
      </c>
      <c r="C138" s="218"/>
      <c r="D138" s="218"/>
      <c r="E138" s="218"/>
      <c r="F138" s="218"/>
      <c r="G138" s="218"/>
      <c r="H138" s="35"/>
      <c r="I138" s="204" t="str">
        <f>IF('Auditoría inicial'!I64="Si","Se ha instalado el plugin de Sendgrid y se ha dado de alta la web en una cuenta de Sendgrid,una herramienta externa que ofrece un registro de los emails entregrados y poder detectar si los emails se almacenan en listas negras o se entregan como spam",0)</f>
        <v>Se ha instalado el plugin de Sendgrid y se ha dado de alta la web en una cuenta de Sendgrid,una herramienta externa que ofrece un registro de los emails entregrados y poder detectar si los emails se almacenan en listas negras o se entregan como spam</v>
      </c>
      <c r="J138" s="204"/>
      <c r="K138" s="204"/>
      <c r="L138" s="204"/>
      <c r="M138" s="204"/>
      <c r="N138" s="204"/>
    </row>
    <row r="139" spans="2:14" ht="54.95" customHeight="1">
      <c r="B139" s="218" t="str">
        <f>IF('Auditoría inicial'!M50="Si","Se ha realizado la re-indexación de la web en Google Search para que todas las páginas de la web aparezcan en los resultados del buscador",0)</f>
        <v>Se ha realizado la re-indexación de la web en Google Search para que todas las páginas de la web aparezcan en los resultados del buscador</v>
      </c>
      <c r="C139" s="218"/>
      <c r="D139" s="218"/>
      <c r="E139" s="218"/>
      <c r="F139" s="218"/>
      <c r="G139" s="218"/>
      <c r="H139" s="35"/>
      <c r="I139" s="204"/>
      <c r="J139" s="204"/>
      <c r="K139" s="204"/>
      <c r="L139" s="204"/>
      <c r="M139" s="204"/>
      <c r="N139" s="204"/>
    </row>
    <row r="140" spans="2:14" ht="35.1" customHeight="1">
      <c r="B140" s="42"/>
      <c r="C140" s="42"/>
      <c r="D140" s="42"/>
      <c r="E140" s="42"/>
      <c r="F140" s="42"/>
      <c r="G140" s="42"/>
      <c r="H140" s="35"/>
      <c r="I140" s="73"/>
      <c r="J140" s="73"/>
      <c r="K140" s="73"/>
      <c r="L140" s="73"/>
      <c r="M140" s="73"/>
      <c r="N140" s="73"/>
    </row>
    <row r="141" spans="2:14" ht="21" thickBot="1">
      <c r="B141" s="68" t="s">
        <v>117</v>
      </c>
      <c r="C141" s="68"/>
      <c r="D141" s="68"/>
      <c r="E141" s="68"/>
      <c r="F141" s="68"/>
      <c r="G141" s="68"/>
      <c r="H141" s="68"/>
      <c r="I141" s="68"/>
      <c r="J141" s="68"/>
      <c r="K141" s="68"/>
      <c r="L141" s="68"/>
      <c r="M141" s="35"/>
      <c r="N141" s="35"/>
    </row>
    <row r="142" spans="2:14" ht="21" thickTop="1"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</row>
    <row r="143" spans="2:14" ht="20.25"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</row>
    <row r="144" spans="2:14" ht="20.25">
      <c r="B144" s="35"/>
      <c r="C144" s="35" t="str">
        <f>IF('Auditoría inicial'!H71="Si","La web se encuentra alojada en el servidor de Brooktec","La web no se encuentra alojada en el servidor de Brooktec")</f>
        <v>La web no se encuentra alojada en el servidor de Brooktec</v>
      </c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</row>
    <row r="145" spans="2:14" ht="20.25">
      <c r="B145" s="35"/>
      <c r="C145" s="35" t="str">
        <f>IF(AND(C144&lt;&gt;0,'Auditoría inicial'!H71="Si",'Auditoría inicial'!K72="1 semana"),"Se realizarán copias de seguridad cada semana",IF(AND(C144&lt;&gt;0,'Auditoría inicial'!H71="Si",'Auditoría inicial'!K72="2 semanas"),"Se realizarán copias de seguridad cada dos semanas",IF(AND(C144&lt;&gt;0,'Auditoría inicial'!H71="Si",'Auditoría inicial'!K72="1 mes"),"Se realizarán copias de seguridad cada mes",IF(AND(C144&lt;&gt;0,'Auditoría inicial'!H71="Si",'Auditoría inicial'!K72='Auditoría inicial'!B73),"Se realizarán copias de seguridad cada trimestre","No se realizarán copias de seguridad de la web"))))</f>
        <v>No se realizarán copias de seguridad de la web</v>
      </c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</row>
    <row r="146" spans="2:14" ht="20.25"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</row>
    <row r="147" spans="2:14" ht="20.25"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</row>
    <row r="148" spans="2:14" ht="20.25"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</row>
    <row r="149" spans="2:14" ht="20.25"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</row>
    <row r="150" spans="2:14" ht="20.25"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</row>
    <row r="151" spans="2:14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</row>
    <row r="152" spans="2:14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</row>
    <row r="153" spans="2:14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</row>
    <row r="154" spans="2:14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</row>
    <row r="155" spans="2:14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</row>
    <row r="156" spans="2:14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</row>
    <row r="157" spans="2:14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</row>
    <row r="158" spans="2:14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</row>
    <row r="159" spans="2:14"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</row>
    <row r="160" spans="2:14"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</row>
    <row r="161" spans="2:14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</row>
    <row r="162" spans="2:14"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</row>
    <row r="163" spans="2:14"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</row>
    <row r="164" spans="2:14"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</row>
    <row r="165" spans="2:14"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</row>
    <row r="166" spans="2:14"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</row>
    <row r="167" spans="2:14"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</row>
    <row r="168" spans="2:14"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</row>
    <row r="169" spans="2:14"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</row>
    <row r="170" spans="2:14"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</row>
    <row r="171" spans="2:14"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</row>
    <row r="172" spans="2:14"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</row>
    <row r="173" spans="2:14"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</row>
    <row r="174" spans="2:14"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</row>
    <row r="175" spans="2:14"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</row>
    <row r="176" spans="2:14"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</row>
    <row r="177" spans="2:14"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</row>
    <row r="178" spans="2:14"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</row>
    <row r="179" spans="2:14"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</row>
    <row r="180" spans="2:14"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</row>
    <row r="181" spans="2:14"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</row>
    <row r="182" spans="2:14"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</row>
    <row r="183" spans="2:14"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</row>
    <row r="184" spans="2:14"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</row>
    <row r="185" spans="2:14"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</row>
    <row r="186" spans="2:14"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</row>
    <row r="187" spans="2:14"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</row>
    <row r="188" spans="2:14"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</row>
    <row r="189" spans="2:14"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</row>
    <row r="190" spans="2:14"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</row>
    <row r="191" spans="2:14"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</row>
    <row r="192" spans="2:14"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</row>
    <row r="193" spans="2:14"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</row>
    <row r="194" spans="2:14"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</row>
    <row r="195" spans="2:14"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</row>
    <row r="196" spans="2:14"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</row>
    <row r="197" spans="2:14"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</row>
    <row r="198" spans="2:14"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</row>
    <row r="199" spans="2:14"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</row>
    <row r="200" spans="2:14"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</row>
    <row r="201" spans="2:14"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</row>
    <row r="202" spans="2:14"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</row>
    <row r="203" spans="2:14"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</row>
    <row r="204" spans="2:14"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</row>
    <row r="205" spans="2:14"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</row>
    <row r="206" spans="2:14"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</row>
    <row r="207" spans="2:14"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</row>
    <row r="208" spans="2:14"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</row>
    <row r="209" spans="2:14"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</row>
    <row r="210" spans="2:14"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</row>
    <row r="211" spans="2:14"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</row>
    <row r="212" spans="2:14"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</row>
    <row r="213" spans="2:14"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</row>
    <row r="214" spans="2:14"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</row>
    <row r="215" spans="2:14"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</row>
    <row r="216" spans="2:14"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</row>
    <row r="217" spans="2:14"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</row>
    <row r="218" spans="2:14"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</row>
    <row r="219" spans="2:14"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</row>
    <row r="220" spans="2:14"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</row>
    <row r="221" spans="2:14"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</row>
    <row r="222" spans="2:14"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</row>
    <row r="223" spans="2:14"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</row>
    <row r="224" spans="2:14"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</row>
    <row r="225" spans="2:14"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</row>
    <row r="226" spans="2:14"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</row>
    <row r="227" spans="2:14"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</row>
    <row r="228" spans="2:14"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</row>
  </sheetData>
  <mergeCells count="43">
    <mergeCell ref="H64:J64"/>
    <mergeCell ref="G2:I4"/>
    <mergeCell ref="B10:N10"/>
    <mergeCell ref="B11:N11"/>
    <mergeCell ref="B12:N12"/>
    <mergeCell ref="H63:J63"/>
    <mergeCell ref="B16:M16"/>
    <mergeCell ref="B7:E7"/>
    <mergeCell ref="B19:M19"/>
    <mergeCell ref="B59:E59"/>
    <mergeCell ref="H7:I7"/>
    <mergeCell ref="H70:J70"/>
    <mergeCell ref="B137:G137"/>
    <mergeCell ref="B138:G138"/>
    <mergeCell ref="B139:G139"/>
    <mergeCell ref="B136:G136"/>
    <mergeCell ref="C95:G95"/>
    <mergeCell ref="C96:G96"/>
    <mergeCell ref="H71:J71"/>
    <mergeCell ref="H72:J72"/>
    <mergeCell ref="H73:J73"/>
    <mergeCell ref="I98:N98"/>
    <mergeCell ref="I96:N96"/>
    <mergeCell ref="H74:J74"/>
    <mergeCell ref="B90:N90"/>
    <mergeCell ref="B91:M91"/>
    <mergeCell ref="B93:E93"/>
    <mergeCell ref="H65:J65"/>
    <mergeCell ref="H66:J66"/>
    <mergeCell ref="H67:J67"/>
    <mergeCell ref="H68:J68"/>
    <mergeCell ref="H69:J69"/>
    <mergeCell ref="I138:N139"/>
    <mergeCell ref="I137:N137"/>
    <mergeCell ref="C102:G102"/>
    <mergeCell ref="I97:N97"/>
    <mergeCell ref="C101:G101"/>
    <mergeCell ref="I99:N100"/>
    <mergeCell ref="C97:G97"/>
    <mergeCell ref="C98:G98"/>
    <mergeCell ref="C99:G99"/>
    <mergeCell ref="C100:G100"/>
    <mergeCell ref="I136:N136"/>
  </mergeCells>
  <phoneticPr fontId="7" type="noConversion"/>
  <conditionalFormatting sqref="B136:G140">
    <cfRule type="cellIs" dxfId="22" priority="7" operator="notEqual">
      <formula>0</formula>
    </cfRule>
  </conditionalFormatting>
  <conditionalFormatting sqref="H63:J74">
    <cfRule type="cellIs" dxfId="21" priority="10" operator="notEqual">
      <formula>0</formula>
    </cfRule>
  </conditionalFormatting>
  <conditionalFormatting sqref="C64:C81">
    <cfRule type="cellIs" dxfId="20" priority="9" operator="notEqual">
      <formula>0</formula>
    </cfRule>
  </conditionalFormatting>
  <conditionalFormatting sqref="D64:F81">
    <cfRule type="cellIs" dxfId="19" priority="8" operator="notEqual">
      <formula>0</formula>
    </cfRule>
  </conditionalFormatting>
  <conditionalFormatting sqref="I136:N139">
    <cfRule type="cellIs" dxfId="18" priority="6" operator="notEqual">
      <formula>0</formula>
    </cfRule>
  </conditionalFormatting>
  <conditionalFormatting sqref="L63:N72">
    <cfRule type="cellIs" dxfId="17" priority="3" operator="notEqual">
      <formula>0</formula>
    </cfRule>
  </conditionalFormatting>
  <conditionalFormatting sqref="J7">
    <cfRule type="cellIs" dxfId="16" priority="1" operator="greaterThanOrEqual">
      <formula>50</formula>
    </cfRule>
    <cfRule type="cellIs" dxfId="15" priority="2" operator="lessThan">
      <formula>0.5</formula>
    </cfRule>
  </conditionalFormatting>
  <pageMargins left="4.6875E-2" right="0.87174479166666663" top="0.828125" bottom="1" header="0.5" footer="0.5"/>
  <pageSetup paperSize="9" scale="39" orientation="portrait" r:id="rId1"/>
  <headerFooter>
    <oddHeader>&amp;R&amp;G</oddHeader>
    <oddFooter>&amp;L&amp;"Calibri,Negrita Cursiva"&amp;14&amp;D&amp;C&amp;"Calibri,Negrita"&amp;14&amp;K000000&amp;P</oddFooter>
  </headerFooter>
  <rowBreaks count="3" manualBreakCount="3">
    <brk id="71" min="1" max="13" man="1"/>
    <brk id="130" min="1" max="13" man="1"/>
    <brk id="158" min="1" max="13" man="1"/>
  </rowBreaks>
  <colBreaks count="2" manualBreakCount="2">
    <brk id="1" max="1048575" man="1"/>
    <brk id="14" max="1048575" man="1"/>
  </colBreaks>
  <drawing r:id="rId2"/>
  <legacyDrawingHF r:id="rId3"/>
  <extLst>
    <ext xmlns:mx="http://schemas.microsoft.com/office/mac/excel/2008/main" uri="{64002731-A6B0-56B0-2670-7721B7C09600}">
      <mx:PLV Mode="0" OnePage="0" WScale="49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S79"/>
  <sheetViews>
    <sheetView showZeros="0" zoomScale="66" zoomScaleNormal="66" zoomScalePageLayoutView="75" workbookViewId="0">
      <selection activeCell="T65" sqref="T65"/>
    </sheetView>
  </sheetViews>
  <sheetFormatPr baseColWidth="10" defaultRowHeight="17.25"/>
  <cols>
    <col min="1" max="1" width="8.33203125" customWidth="1"/>
    <col min="2" max="2" width="9.88671875" hidden="1" customWidth="1"/>
    <col min="3" max="3" width="10.6640625" customWidth="1"/>
    <col min="5" max="5" width="11.44140625" customWidth="1"/>
    <col min="6" max="6" width="11" customWidth="1"/>
    <col min="9" max="9" width="13.5546875" customWidth="1"/>
    <col min="10" max="10" width="14.109375" customWidth="1"/>
    <col min="12" max="12" width="17.33203125" customWidth="1"/>
    <col min="14" max="14" width="10.6640625" customWidth="1"/>
    <col min="16" max="16" width="10.6640625" customWidth="1"/>
    <col min="21" max="21" width="10.5546875" customWidth="1"/>
    <col min="23" max="23" width="7.33203125" customWidth="1"/>
    <col min="24" max="24" width="5.6640625" customWidth="1"/>
    <col min="25" max="25" width="11.88671875" customWidth="1"/>
    <col min="26" max="26" width="8.5546875" customWidth="1"/>
  </cols>
  <sheetData>
    <row r="2" spans="2:19" ht="17.100000000000001" customHeight="1"/>
    <row r="3" spans="2:19" ht="18" customHeight="1" thickBot="1">
      <c r="C3" s="1"/>
      <c r="D3" s="1"/>
      <c r="E3" s="1"/>
      <c r="F3" s="1"/>
      <c r="G3" s="1"/>
      <c r="H3" s="190" t="s">
        <v>123</v>
      </c>
      <c r="I3" s="190"/>
      <c r="J3" s="190"/>
      <c r="K3" s="190"/>
      <c r="L3" s="1"/>
      <c r="M3" s="1"/>
      <c r="N3" s="1"/>
      <c r="O3" s="1"/>
      <c r="P3" s="1"/>
      <c r="Q3" s="1"/>
      <c r="R3" s="1"/>
      <c r="S3" s="1"/>
    </row>
    <row r="4" spans="2:19" ht="18" customHeight="1" thickTop="1" thickBot="1">
      <c r="C4" s="231"/>
      <c r="D4" s="231"/>
      <c r="E4" s="231"/>
      <c r="F4" s="1"/>
      <c r="G4" s="1"/>
      <c r="H4" s="190"/>
      <c r="I4" s="190"/>
      <c r="J4" s="190"/>
      <c r="K4" s="190"/>
      <c r="L4" s="1"/>
      <c r="M4" s="1"/>
      <c r="N4" s="1"/>
      <c r="O4" s="1"/>
      <c r="P4" s="1"/>
      <c r="Q4" s="1"/>
      <c r="R4" s="1"/>
      <c r="S4" s="1"/>
    </row>
    <row r="5" spans="2:19" ht="15" customHeight="1" thickTop="1">
      <c r="B5" t="s">
        <v>2</v>
      </c>
      <c r="C5" s="231"/>
      <c r="D5" s="231"/>
      <c r="E5" s="23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2:19" ht="15" customHeight="1">
      <c r="B6" t="s">
        <v>3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2:19" ht="18.95" customHeight="1">
      <c r="C7" s="1"/>
      <c r="D7" s="232" t="s">
        <v>0</v>
      </c>
      <c r="E7" s="232"/>
      <c r="F7" s="1"/>
      <c r="G7" s="4" t="s">
        <v>1</v>
      </c>
      <c r="H7" s="233" t="s">
        <v>124</v>
      </c>
      <c r="I7" s="234"/>
      <c r="J7" s="234"/>
      <c r="K7" s="234"/>
      <c r="L7" s="1"/>
      <c r="M7" s="1"/>
      <c r="N7" s="1"/>
      <c r="O7" s="1"/>
      <c r="P7" s="1"/>
      <c r="Q7" s="1"/>
      <c r="R7" s="1"/>
      <c r="S7" s="1"/>
    </row>
    <row r="8" spans="2:19" ht="18.75">
      <c r="C8" s="1"/>
      <c r="D8" s="18"/>
      <c r="E8" s="18"/>
      <c r="F8" s="1"/>
      <c r="G8" s="4"/>
      <c r="H8" s="5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2:19">
      <c r="B9" t="s">
        <v>21</v>
      </c>
      <c r="C9" s="235"/>
      <c r="D9" s="235"/>
      <c r="E9" s="235"/>
      <c r="F9" s="24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2:19" ht="21">
      <c r="B10" t="s">
        <v>22</v>
      </c>
      <c r="C10" s="1"/>
      <c r="D10" s="140" t="s">
        <v>44</v>
      </c>
      <c r="E10" s="21"/>
      <c r="F10" s="2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2:19">
      <c r="B11" t="s">
        <v>23</v>
      </c>
      <c r="C11" s="1"/>
      <c r="D11" s="243" t="s">
        <v>41</v>
      </c>
      <c r="E11" s="243"/>
      <c r="F11" s="243"/>
      <c r="G11" s="17" t="s">
        <v>3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2:19" s="3" customFormat="1" ht="30" customHeight="1">
      <c r="B12" s="3" t="s">
        <v>24</v>
      </c>
      <c r="C12" s="238"/>
      <c r="D12" s="238"/>
      <c r="E12" s="238"/>
      <c r="F12" s="24"/>
      <c r="G12" s="2"/>
      <c r="H12" s="2"/>
      <c r="I12" s="2"/>
      <c r="J12" s="2"/>
      <c r="K12" s="2"/>
      <c r="L12" s="2"/>
      <c r="M12" s="1"/>
      <c r="N12" s="1"/>
      <c r="O12" s="1"/>
      <c r="P12" s="1"/>
      <c r="Q12" s="1"/>
      <c r="R12" s="1"/>
      <c r="S12" s="1"/>
    </row>
    <row r="13" spans="2:19">
      <c r="B13" t="s">
        <v>25</v>
      </c>
      <c r="C13" s="1"/>
      <c r="D13" s="235"/>
      <c r="E13" s="235"/>
      <c r="F13" s="235"/>
      <c r="G13" s="235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2:19" ht="21">
      <c r="C14" s="1"/>
      <c r="D14" s="185" t="s">
        <v>37</v>
      </c>
      <c r="E14" s="185"/>
      <c r="F14" s="185"/>
      <c r="G14" s="185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1"/>
      <c r="S14" s="1"/>
    </row>
    <row r="15" spans="2:19">
      <c r="C15" s="1"/>
      <c r="D15" s="235"/>
      <c r="E15" s="235"/>
      <c r="F15" s="235"/>
      <c r="G15" s="235"/>
      <c r="H15" s="4" t="s">
        <v>5</v>
      </c>
      <c r="I15" s="4" t="s">
        <v>6</v>
      </c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2:19">
      <c r="C16" s="1"/>
      <c r="D16" s="235" t="s">
        <v>4</v>
      </c>
      <c r="E16" s="235"/>
      <c r="F16" s="235"/>
      <c r="G16" s="235"/>
      <c r="H16" s="1" t="s">
        <v>128</v>
      </c>
      <c r="I16" s="1" t="s">
        <v>129</v>
      </c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3:19">
      <c r="C17" s="1"/>
      <c r="D17" s="235"/>
      <c r="E17" s="235"/>
      <c r="F17" s="235"/>
      <c r="G17" s="235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3:19">
      <c r="C18" s="1"/>
      <c r="D18" s="235"/>
      <c r="E18" s="235"/>
      <c r="F18" s="235"/>
      <c r="G18" s="235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3:19" ht="37.5">
      <c r="C19" s="1"/>
      <c r="D19" s="201" t="s">
        <v>8</v>
      </c>
      <c r="E19" s="201"/>
      <c r="F19" s="201"/>
      <c r="G19" s="201"/>
      <c r="H19" s="97" t="s">
        <v>5</v>
      </c>
      <c r="I19" s="97" t="s">
        <v>6</v>
      </c>
      <c r="J19" s="1"/>
      <c r="K19" s="186" t="s">
        <v>27</v>
      </c>
      <c r="L19" s="186"/>
      <c r="M19" s="186"/>
      <c r="N19" s="93"/>
      <c r="O19" s="186" t="s">
        <v>99</v>
      </c>
      <c r="P19" s="186"/>
      <c r="Q19" s="103" t="s">
        <v>5</v>
      </c>
      <c r="R19" s="104" t="s">
        <v>6</v>
      </c>
      <c r="S19" s="1"/>
    </row>
    <row r="20" spans="3:19" ht="20.100000000000001" customHeight="1">
      <c r="C20" s="1"/>
      <c r="D20" s="236" t="s">
        <v>130</v>
      </c>
      <c r="E20" s="237"/>
      <c r="F20" s="237"/>
      <c r="G20" s="237"/>
      <c r="H20" s="20" t="s">
        <v>141</v>
      </c>
      <c r="I20" s="6" t="s">
        <v>153</v>
      </c>
      <c r="J20" s="1"/>
      <c r="K20" s="162"/>
      <c r="L20" s="163"/>
      <c r="M20" s="173"/>
      <c r="N20" s="22"/>
      <c r="O20" s="162" t="s">
        <v>101</v>
      </c>
      <c r="P20" s="173"/>
      <c r="Q20" s="108" t="s">
        <v>110</v>
      </c>
      <c r="R20" s="109" t="s">
        <v>110</v>
      </c>
      <c r="S20" s="1"/>
    </row>
    <row r="21" spans="3:19" ht="21.95" customHeight="1">
      <c r="C21" s="1"/>
      <c r="D21" s="239" t="s">
        <v>131</v>
      </c>
      <c r="E21" s="240"/>
      <c r="F21" s="240"/>
      <c r="G21" s="240"/>
      <c r="H21" s="19" t="s">
        <v>142</v>
      </c>
      <c r="I21" s="7" t="s">
        <v>160</v>
      </c>
      <c r="J21" s="1"/>
      <c r="K21" s="164"/>
      <c r="L21" s="165"/>
      <c r="M21" s="172"/>
      <c r="N21" s="22"/>
      <c r="O21" s="164" t="s">
        <v>159</v>
      </c>
      <c r="P21" s="172"/>
      <c r="Q21" s="111" t="s">
        <v>108</v>
      </c>
      <c r="R21" s="112" t="s">
        <v>83</v>
      </c>
      <c r="S21" s="1"/>
    </row>
    <row r="22" spans="3:19" ht="18.95" customHeight="1">
      <c r="C22" s="1"/>
      <c r="D22" s="239" t="s">
        <v>132</v>
      </c>
      <c r="E22" s="240"/>
      <c r="F22" s="240"/>
      <c r="G22" s="240"/>
      <c r="H22" s="19" t="s">
        <v>143</v>
      </c>
      <c r="I22" s="7" t="s">
        <v>154</v>
      </c>
      <c r="J22" s="1"/>
      <c r="K22" s="164"/>
      <c r="L22" s="165"/>
      <c r="M22" s="172"/>
      <c r="N22" s="22"/>
      <c r="O22" s="164" t="s">
        <v>103</v>
      </c>
      <c r="P22" s="172"/>
      <c r="Q22" s="111" t="s">
        <v>108</v>
      </c>
      <c r="R22" s="112" t="s">
        <v>168</v>
      </c>
      <c r="S22" s="1"/>
    </row>
    <row r="23" spans="3:19" ht="21" customHeight="1">
      <c r="C23" s="1"/>
      <c r="D23" s="239" t="s">
        <v>133</v>
      </c>
      <c r="E23" s="240"/>
      <c r="F23" s="240"/>
      <c r="G23" s="240"/>
      <c r="H23" s="19" t="s">
        <v>144</v>
      </c>
      <c r="I23" s="7" t="s">
        <v>144</v>
      </c>
      <c r="J23" s="1"/>
      <c r="K23" s="164"/>
      <c r="L23" s="165"/>
      <c r="M23" s="172"/>
      <c r="N23" s="22"/>
      <c r="O23" s="127"/>
      <c r="P23" s="96"/>
      <c r="Q23" s="128"/>
      <c r="R23" s="96"/>
      <c r="S23" s="1"/>
    </row>
    <row r="24" spans="3:19" ht="18.75">
      <c r="C24" s="1"/>
      <c r="D24" s="239" t="s">
        <v>134</v>
      </c>
      <c r="E24" s="240"/>
      <c r="F24" s="240"/>
      <c r="G24" s="240"/>
      <c r="H24" s="19" t="s">
        <v>145</v>
      </c>
      <c r="I24" s="7" t="s">
        <v>145</v>
      </c>
      <c r="J24" s="1"/>
      <c r="K24" s="164"/>
      <c r="L24" s="165"/>
      <c r="M24" s="172"/>
      <c r="N24" s="22"/>
      <c r="O24" s="164"/>
      <c r="P24" s="172"/>
      <c r="Q24" s="111"/>
      <c r="R24" s="112"/>
      <c r="S24" s="1"/>
    </row>
    <row r="25" spans="3:19" ht="27" customHeight="1">
      <c r="C25" s="1"/>
      <c r="D25" s="239" t="s">
        <v>135</v>
      </c>
      <c r="E25" s="240"/>
      <c r="F25" s="240"/>
      <c r="G25" s="240"/>
      <c r="H25" s="19" t="s">
        <v>146</v>
      </c>
      <c r="I25" s="7" t="s">
        <v>146</v>
      </c>
      <c r="J25" s="1"/>
      <c r="K25" s="164"/>
      <c r="L25" s="165"/>
      <c r="M25" s="172"/>
      <c r="N25" s="22"/>
      <c r="O25" s="164"/>
      <c r="P25" s="172"/>
      <c r="Q25" s="111"/>
      <c r="R25" s="112"/>
      <c r="S25" s="1"/>
    </row>
    <row r="26" spans="3:19" ht="18.75">
      <c r="C26" s="1"/>
      <c r="D26" s="239" t="s">
        <v>10</v>
      </c>
      <c r="E26" s="240"/>
      <c r="F26" s="240"/>
      <c r="G26" s="240"/>
      <c r="H26" s="19" t="s">
        <v>147</v>
      </c>
      <c r="I26" s="7" t="s">
        <v>155</v>
      </c>
      <c r="J26" s="1"/>
      <c r="K26" s="164"/>
      <c r="L26" s="165"/>
      <c r="M26" s="172"/>
      <c r="N26" s="22"/>
      <c r="O26" s="111"/>
      <c r="P26" s="112"/>
      <c r="Q26" s="111"/>
      <c r="R26" s="112"/>
      <c r="S26" s="1"/>
    </row>
    <row r="27" spans="3:19" ht="30.95" customHeight="1">
      <c r="C27" s="1"/>
      <c r="D27" s="239" t="s">
        <v>136</v>
      </c>
      <c r="E27" s="240"/>
      <c r="F27" s="240"/>
      <c r="G27" s="240"/>
      <c r="H27" s="19" t="s">
        <v>148</v>
      </c>
      <c r="I27" s="7" t="s">
        <v>156</v>
      </c>
      <c r="J27" s="1"/>
      <c r="K27" s="164"/>
      <c r="L27" s="165"/>
      <c r="M27" s="172"/>
      <c r="N27" s="22"/>
      <c r="O27" s="111"/>
      <c r="P27" s="112"/>
      <c r="Q27" s="111"/>
      <c r="R27" s="112"/>
      <c r="S27" s="1"/>
    </row>
    <row r="28" spans="3:19" ht="18.95" customHeight="1">
      <c r="C28" s="1"/>
      <c r="D28" s="239" t="s">
        <v>137</v>
      </c>
      <c r="E28" s="240"/>
      <c r="F28" s="240"/>
      <c r="G28" s="240"/>
      <c r="H28" s="19" t="s">
        <v>149</v>
      </c>
      <c r="I28" s="7" t="s">
        <v>149</v>
      </c>
      <c r="J28" s="1"/>
      <c r="K28" s="164"/>
      <c r="L28" s="165"/>
      <c r="M28" s="172"/>
      <c r="N28" s="22"/>
      <c r="O28" s="111"/>
      <c r="P28" s="112"/>
      <c r="Q28" s="111"/>
      <c r="R28" s="112"/>
      <c r="S28" s="1"/>
    </row>
    <row r="29" spans="3:19" ht="18" customHeight="1">
      <c r="C29" s="1"/>
      <c r="D29" s="239" t="s">
        <v>138</v>
      </c>
      <c r="E29" s="240"/>
      <c r="F29" s="240"/>
      <c r="G29" s="240"/>
      <c r="H29" s="19" t="s">
        <v>150</v>
      </c>
      <c r="I29" s="7" t="s">
        <v>150</v>
      </c>
      <c r="J29" s="1"/>
      <c r="K29" s="164"/>
      <c r="L29" s="165"/>
      <c r="M29" s="172"/>
      <c r="N29" s="22"/>
      <c r="O29" s="113"/>
      <c r="P29" s="115"/>
      <c r="Q29" s="113"/>
      <c r="R29" s="115"/>
      <c r="S29" s="1"/>
    </row>
    <row r="30" spans="3:19" ht="18.95" customHeight="1">
      <c r="C30" s="1"/>
      <c r="D30" s="239" t="s">
        <v>139</v>
      </c>
      <c r="E30" s="240"/>
      <c r="F30" s="240"/>
      <c r="G30" s="240"/>
      <c r="H30" s="19" t="s">
        <v>151</v>
      </c>
      <c r="I30" s="7" t="s">
        <v>157</v>
      </c>
      <c r="J30" s="1"/>
      <c r="K30" s="164"/>
      <c r="L30" s="165"/>
      <c r="M30" s="172"/>
      <c r="N30" s="22"/>
      <c r="O30" s="22"/>
      <c r="P30" s="22"/>
      <c r="Q30" s="22"/>
      <c r="R30" s="22"/>
      <c r="S30" s="1"/>
    </row>
    <row r="31" spans="3:19" ht="20.100000000000001" customHeight="1">
      <c r="C31" s="1"/>
      <c r="D31" s="239" t="s">
        <v>140</v>
      </c>
      <c r="E31" s="240"/>
      <c r="F31" s="240"/>
      <c r="G31" s="240"/>
      <c r="H31" s="19" t="s">
        <v>152</v>
      </c>
      <c r="I31" s="7" t="s">
        <v>158</v>
      </c>
      <c r="J31" s="1"/>
      <c r="K31" s="164"/>
      <c r="L31" s="165"/>
      <c r="M31" s="172"/>
      <c r="N31" s="22"/>
      <c r="O31" s="22"/>
      <c r="P31" s="22"/>
      <c r="Q31" s="22"/>
      <c r="R31" s="22"/>
      <c r="S31" s="1"/>
    </row>
    <row r="32" spans="3:19" ht="17.100000000000001" customHeight="1">
      <c r="C32" s="1"/>
      <c r="D32" s="239"/>
      <c r="E32" s="240"/>
      <c r="F32" s="240"/>
      <c r="G32" s="240"/>
      <c r="H32" s="19"/>
      <c r="I32" s="7"/>
      <c r="J32" s="1"/>
      <c r="K32" s="178"/>
      <c r="L32" s="179"/>
      <c r="M32" s="180"/>
      <c r="N32" s="22"/>
      <c r="O32" s="22"/>
      <c r="P32" s="22"/>
      <c r="Q32" s="22"/>
      <c r="R32" s="22"/>
      <c r="S32" s="1"/>
    </row>
    <row r="33" spans="2:19" ht="21" customHeight="1">
      <c r="C33" s="1"/>
      <c r="D33" s="239"/>
      <c r="E33" s="240"/>
      <c r="F33" s="240"/>
      <c r="G33" s="240"/>
      <c r="H33" s="19"/>
      <c r="I33" s="7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2:19" ht="24.95" customHeight="1">
      <c r="C34" s="1"/>
      <c r="D34" s="239"/>
      <c r="E34" s="240"/>
      <c r="F34" s="240"/>
      <c r="G34" s="240"/>
      <c r="H34" s="19"/>
      <c r="I34" s="7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2:19" ht="24" customHeight="1">
      <c r="C35" s="1"/>
      <c r="D35" s="239"/>
      <c r="E35" s="240"/>
      <c r="F35" s="240"/>
      <c r="G35" s="240"/>
      <c r="H35" s="19"/>
      <c r="I35" s="7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2:19">
      <c r="C36" s="1"/>
      <c r="D36" s="239"/>
      <c r="E36" s="240"/>
      <c r="F36" s="240"/>
      <c r="G36" s="240"/>
      <c r="H36" s="19"/>
      <c r="I36" s="7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2:19">
      <c r="C37" s="1"/>
      <c r="D37" s="248"/>
      <c r="E37" s="249"/>
      <c r="F37" s="249"/>
      <c r="G37" s="249"/>
      <c r="H37" s="26"/>
      <c r="I37" s="8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2:19"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2:19"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2:19"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2:19" ht="21">
      <c r="C41" s="1"/>
      <c r="D41" s="185" t="s">
        <v>19</v>
      </c>
      <c r="E41" s="185"/>
      <c r="F41" s="185"/>
      <c r="G41" s="21"/>
      <c r="H41" s="2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2:19" ht="30" customHeight="1">
      <c r="B42" t="s">
        <v>47</v>
      </c>
      <c r="C42" s="1"/>
      <c r="D42" s="1"/>
      <c r="E42" s="1"/>
      <c r="F42" s="1"/>
      <c r="G42" s="1"/>
      <c r="H42" s="17" t="s">
        <v>26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2:19" ht="33.950000000000003" customHeight="1">
      <c r="B43" t="s">
        <v>48</v>
      </c>
      <c r="C43" s="1"/>
      <c r="D43" s="161" t="s">
        <v>20</v>
      </c>
      <c r="E43" s="161"/>
      <c r="F43" s="161"/>
      <c r="G43" s="119" t="str">
        <f>IF(H43&lt;=32%,"F",IF(H43&lt;=64%,"E",IF(H43&lt;=73%,"D",IF(H43&lt;=84%,"C",IF(H43&lt;=92%,"B","A")))))</f>
        <v>E</v>
      </c>
      <c r="H43" s="120">
        <v>0.36</v>
      </c>
      <c r="I43" s="2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2:19" ht="30" customHeight="1">
      <c r="C44" s="1"/>
      <c r="D44" s="14"/>
      <c r="E44" s="14"/>
      <c r="F44" s="14"/>
      <c r="G44" s="2"/>
      <c r="H44" s="2"/>
      <c r="I44" s="2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2:19" ht="15" customHeight="1">
      <c r="C45" s="1"/>
      <c r="D45" s="193" t="s">
        <v>28</v>
      </c>
      <c r="E45" s="194"/>
      <c r="F45" s="194"/>
      <c r="G45" s="166"/>
      <c r="H45" s="167"/>
      <c r="I45" s="2"/>
      <c r="J45" s="235"/>
      <c r="K45" s="1"/>
      <c r="L45" s="1"/>
      <c r="M45" s="1"/>
      <c r="N45" s="1"/>
      <c r="O45" s="1"/>
      <c r="P45" s="1"/>
      <c r="Q45" s="1"/>
      <c r="R45" s="1"/>
      <c r="S45" s="1"/>
    </row>
    <row r="46" spans="2:19">
      <c r="B46" s="15" t="s">
        <v>49</v>
      </c>
      <c r="C46" s="1"/>
      <c r="D46" s="195"/>
      <c r="E46" s="196"/>
      <c r="F46" s="196"/>
      <c r="G46" s="168"/>
      <c r="H46" s="169"/>
      <c r="I46" s="2"/>
      <c r="J46" s="235"/>
      <c r="K46" s="1"/>
      <c r="L46" s="1"/>
      <c r="M46" s="1"/>
      <c r="N46" s="1"/>
      <c r="O46" s="1"/>
      <c r="P46" s="1"/>
      <c r="Q46" s="1"/>
      <c r="R46" s="1"/>
      <c r="S46" s="1"/>
    </row>
    <row r="47" spans="2:19" ht="18.75">
      <c r="B47" s="15" t="s">
        <v>50</v>
      </c>
      <c r="C47" s="1"/>
      <c r="D47" s="183"/>
      <c r="E47" s="184"/>
      <c r="F47" s="184"/>
      <c r="G47" s="170"/>
      <c r="H47" s="171"/>
      <c r="I47" s="2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2:19" ht="15" customHeight="1">
      <c r="B48" s="16" t="s">
        <v>51</v>
      </c>
      <c r="C48" s="9"/>
      <c r="D48" s="241" t="s">
        <v>50</v>
      </c>
      <c r="E48" s="242"/>
      <c r="F48" s="242"/>
      <c r="G48" s="170"/>
      <c r="H48" s="171"/>
      <c r="I48" s="2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pans="3:19" ht="32.1" customHeight="1">
      <c r="C49" s="1"/>
      <c r="D49" s="246" t="s">
        <v>51</v>
      </c>
      <c r="E49" s="247"/>
      <c r="F49" s="247"/>
      <c r="G49" s="170"/>
      <c r="H49" s="171"/>
      <c r="I49" s="2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3:19" ht="38.1" customHeight="1">
      <c r="C50" s="1"/>
      <c r="D50" s="241" t="s">
        <v>171</v>
      </c>
      <c r="E50" s="242"/>
      <c r="F50" s="242"/>
      <c r="G50" s="170"/>
      <c r="H50" s="171"/>
      <c r="I50" s="2"/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3:19" ht="18.75">
      <c r="C51" s="1"/>
      <c r="D51" s="241" t="s">
        <v>173</v>
      </c>
      <c r="E51" s="242"/>
      <c r="F51" s="242"/>
      <c r="G51" s="170"/>
      <c r="H51" s="171"/>
      <c r="I51" s="2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3:19" ht="33" customHeight="1">
      <c r="C52" s="1"/>
      <c r="D52" s="241"/>
      <c r="E52" s="242"/>
      <c r="F52" s="242"/>
      <c r="G52" s="170"/>
      <c r="H52" s="171"/>
      <c r="I52" s="2"/>
      <c r="J52" s="1"/>
      <c r="K52" s="1"/>
      <c r="L52" s="1"/>
      <c r="M52" s="1"/>
      <c r="N52" s="1"/>
      <c r="O52" s="1"/>
      <c r="P52" s="1"/>
      <c r="Q52" s="1"/>
      <c r="R52" s="1"/>
      <c r="S52" s="1"/>
    </row>
    <row r="53" spans="3:19" ht="18.75">
      <c r="C53" s="1"/>
      <c r="D53" s="241"/>
      <c r="E53" s="242"/>
      <c r="F53" s="242"/>
      <c r="G53" s="170"/>
      <c r="H53" s="171"/>
      <c r="I53" s="2"/>
      <c r="J53" s="2"/>
      <c r="K53" s="2"/>
      <c r="L53" s="2"/>
      <c r="M53" s="2"/>
      <c r="N53" s="2"/>
      <c r="O53" s="2"/>
      <c r="P53" s="2"/>
      <c r="Q53" s="2"/>
      <c r="R53" s="2"/>
      <c r="S53" s="1"/>
    </row>
    <row r="54" spans="3:19" ht="18.75">
      <c r="C54" s="1"/>
      <c r="D54" s="241"/>
      <c r="E54" s="242"/>
      <c r="F54" s="242"/>
      <c r="G54" s="170"/>
      <c r="H54" s="171"/>
      <c r="I54" s="2"/>
      <c r="J54" s="2"/>
      <c r="K54" s="2"/>
      <c r="L54" s="2"/>
      <c r="M54" s="2"/>
      <c r="N54" s="2"/>
      <c r="O54" s="2"/>
      <c r="P54" s="2"/>
      <c r="Q54" s="2"/>
      <c r="R54" s="2"/>
      <c r="S54" s="1"/>
    </row>
    <row r="55" spans="3:19" ht="18.75">
      <c r="C55" s="1"/>
      <c r="D55" s="244"/>
      <c r="E55" s="245"/>
      <c r="F55" s="245"/>
      <c r="G55" s="155"/>
      <c r="H55" s="156"/>
      <c r="I55" s="2"/>
      <c r="J55" s="2"/>
      <c r="K55" s="2"/>
      <c r="L55" s="2"/>
      <c r="M55" s="2"/>
      <c r="N55" s="2"/>
      <c r="O55" s="2"/>
      <c r="P55" s="2"/>
      <c r="Q55" s="2"/>
      <c r="R55" s="2"/>
      <c r="S55" s="1"/>
    </row>
    <row r="56" spans="3:19">
      <c r="C56" s="1"/>
      <c r="D56" s="23"/>
      <c r="E56" s="23"/>
      <c r="F56" s="23"/>
      <c r="G56" s="25"/>
      <c r="H56" s="25"/>
      <c r="I56" s="2"/>
      <c r="J56" s="2"/>
      <c r="K56" s="2"/>
      <c r="L56" s="2"/>
      <c r="M56" s="2"/>
      <c r="N56" s="2"/>
      <c r="O56" s="2"/>
      <c r="P56" s="2"/>
      <c r="Q56" s="2"/>
      <c r="R56" s="2"/>
      <c r="S56" s="1"/>
    </row>
    <row r="57" spans="3:19"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spans="3:19" ht="21">
      <c r="C58" s="1"/>
      <c r="D58" s="147" t="s">
        <v>45</v>
      </c>
      <c r="E58" s="147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1"/>
      <c r="Q58" s="1"/>
      <c r="R58" s="1"/>
      <c r="S58" s="1"/>
    </row>
    <row r="59" spans="3:19" ht="18.75">
      <c r="C59" s="1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1"/>
      <c r="Q59" s="1"/>
      <c r="R59" s="1"/>
      <c r="S59" s="1"/>
    </row>
    <row r="60" spans="3:19" ht="49.5" customHeight="1">
      <c r="C60" s="1"/>
      <c r="D60" s="158" t="s">
        <v>125</v>
      </c>
      <c r="E60" s="158"/>
      <c r="F60" s="158"/>
      <c r="G60" s="158"/>
      <c r="H60" s="158"/>
      <c r="I60" s="99" t="s">
        <v>2</v>
      </c>
      <c r="J60" s="93"/>
      <c r="K60" s="93"/>
      <c r="L60" s="93"/>
      <c r="M60" s="93"/>
      <c r="N60" s="93"/>
      <c r="O60" s="93"/>
      <c r="P60" s="1"/>
      <c r="Q60" s="1"/>
      <c r="R60" s="1"/>
      <c r="S60" s="1"/>
    </row>
    <row r="61" spans="3:19" ht="18.75">
      <c r="C61" s="1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1"/>
      <c r="Q61" s="1"/>
      <c r="R61" s="1"/>
      <c r="S61" s="1"/>
    </row>
    <row r="62" spans="3:19" ht="18.75">
      <c r="C62" s="1"/>
      <c r="D62" s="250" t="s">
        <v>113</v>
      </c>
      <c r="E62" s="250"/>
      <c r="F62" s="250"/>
      <c r="G62" s="250"/>
      <c r="H62" s="129">
        <v>43198</v>
      </c>
      <c r="I62" s="118" t="s">
        <v>112</v>
      </c>
      <c r="J62" s="129">
        <v>43228</v>
      </c>
      <c r="K62" s="93"/>
      <c r="L62" s="93"/>
      <c r="M62" s="93"/>
      <c r="N62" s="93"/>
      <c r="O62" s="93"/>
      <c r="P62" s="1"/>
      <c r="Q62" s="1"/>
      <c r="R62" s="1"/>
      <c r="S62" s="1"/>
    </row>
    <row r="63" spans="3:19" ht="18.75">
      <c r="C63" s="1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1"/>
      <c r="Q63" s="1"/>
      <c r="R63" s="1"/>
      <c r="S63" s="1"/>
    </row>
    <row r="64" spans="3:19" ht="18.75">
      <c r="C64" s="1"/>
      <c r="D64" s="200" t="str">
        <f>IF(I60="Si","EMAILS ENTREGADOS",0)</f>
        <v>EMAILS ENTREGADOS</v>
      </c>
      <c r="E64" s="200"/>
      <c r="F64" s="200"/>
      <c r="G64" s="200"/>
      <c r="H64" s="200"/>
      <c r="I64" s="200"/>
      <c r="J64" s="200"/>
      <c r="K64" s="200"/>
      <c r="L64" s="200"/>
      <c r="M64" s="200"/>
      <c r="N64" s="93"/>
      <c r="O64" s="93"/>
      <c r="P64" s="1"/>
      <c r="Q64" s="1"/>
      <c r="R64" s="1"/>
      <c r="S64" s="1"/>
    </row>
    <row r="65" spans="2:19" s="3" customFormat="1" ht="66" customHeight="1">
      <c r="C65" s="2"/>
      <c r="D65" s="130" t="str">
        <f>IF(D64&lt;&gt;0,"Peticiones",0)</f>
        <v>Peticiones</v>
      </c>
      <c r="E65" s="130" t="str">
        <f>IF(D64&lt;&gt;0,"Descenso (%)",0)</f>
        <v>Descenso (%)</v>
      </c>
      <c r="F65" s="130" t="str">
        <f>IF(D64&lt;&gt;0,"Tasa de entrega (%)",0)</f>
        <v>Tasa de entrega (%)</v>
      </c>
      <c r="G65" s="130" t="str">
        <f>IF(D64&lt;&gt;0,"Reportes de spam (%)",0)</f>
        <v>Reportes de spam (%)</v>
      </c>
      <c r="H65" s="130" t="str">
        <f>IF(D64&lt;&gt;0,"Tasa de rebotes (%)",0)</f>
        <v>Tasa de rebotes (%)</v>
      </c>
      <c r="I65" s="130" t="str">
        <f>IF(D64&lt;&gt;0,"Bloqueos (%)",0)</f>
        <v>Bloqueos (%)</v>
      </c>
      <c r="J65" s="130" t="str">
        <f>IF(D64&lt;&gt;0,"Cancelaciones de subscripción (%)",0)</f>
        <v>Cancelaciones de subscripción (%)</v>
      </c>
      <c r="K65" s="130" t="str">
        <f>IF(D64&lt;&gt;0,"Apertura única (%)",0)</f>
        <v>Apertura única (%)</v>
      </c>
      <c r="L65" s="130" t="str">
        <f>IF(D64&lt;&gt;0,"Tasa de apertura (%)",0)</f>
        <v>Tasa de apertura (%)</v>
      </c>
      <c r="M65" s="130" t="str">
        <f>IF(D64&lt;&gt;0,"Tasa de clicks (%)",0)</f>
        <v>Tasa de clicks (%)</v>
      </c>
      <c r="N65" s="102"/>
      <c r="O65" s="102"/>
      <c r="P65" s="2"/>
      <c r="Q65" s="2"/>
      <c r="R65" s="2"/>
      <c r="S65" s="2"/>
    </row>
    <row r="66" spans="2:19" ht="18.75">
      <c r="C66" s="1"/>
      <c r="D66" s="99">
        <v>11278</v>
      </c>
      <c r="E66" s="131">
        <v>0</v>
      </c>
      <c r="F66" s="132">
        <v>99.75</v>
      </c>
      <c r="G66" s="131">
        <v>0</v>
      </c>
      <c r="H66" s="132">
        <v>0.18</v>
      </c>
      <c r="I66" s="131">
        <v>0</v>
      </c>
      <c r="J66" s="131">
        <v>0</v>
      </c>
      <c r="K66" s="132">
        <v>33</v>
      </c>
      <c r="L66" s="132">
        <v>66.08</v>
      </c>
      <c r="M66" s="132">
        <v>0.19</v>
      </c>
      <c r="N66" s="93"/>
      <c r="O66" s="93"/>
      <c r="P66" s="1"/>
      <c r="Q66" s="1"/>
      <c r="R66" s="1"/>
      <c r="S66" s="1"/>
    </row>
    <row r="67" spans="2:19" ht="18.75">
      <c r="C67" s="1"/>
      <c r="D67" s="93"/>
      <c r="E67" s="93"/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1"/>
      <c r="Q67" s="1"/>
      <c r="R67" s="1"/>
      <c r="S67" s="1"/>
    </row>
    <row r="68" spans="2:19" ht="18.75">
      <c r="C68" s="1"/>
      <c r="D68" s="93"/>
      <c r="E68" s="93"/>
      <c r="F68" s="93"/>
      <c r="G68" s="93"/>
      <c r="H68" s="93"/>
      <c r="I68" s="93"/>
      <c r="J68" s="93"/>
      <c r="K68" s="93"/>
      <c r="L68" s="93"/>
      <c r="M68" s="93"/>
      <c r="N68" s="93"/>
      <c r="O68" s="93"/>
      <c r="P68" s="1"/>
      <c r="Q68" s="1"/>
      <c r="R68" s="1"/>
      <c r="S68" s="1"/>
    </row>
    <row r="69" spans="2:19" ht="18.75">
      <c r="C69" s="1"/>
      <c r="D69" s="93"/>
      <c r="E69" s="93"/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1"/>
      <c r="Q69" s="1"/>
      <c r="R69" s="1"/>
      <c r="S69" s="1"/>
    </row>
    <row r="70" spans="2:19" ht="18.75">
      <c r="B70" t="s">
        <v>118</v>
      </c>
      <c r="C70" s="1"/>
      <c r="D70" s="93"/>
      <c r="E70" s="93"/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1"/>
      <c r="Q70" s="1"/>
      <c r="R70" s="1"/>
      <c r="S70" s="1"/>
    </row>
    <row r="71" spans="2:19" ht="21">
      <c r="B71" t="s">
        <v>119</v>
      </c>
      <c r="C71" s="1"/>
      <c r="D71" s="147" t="s">
        <v>117</v>
      </c>
      <c r="E71" s="147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"/>
      <c r="Q71" s="1"/>
      <c r="R71" s="1"/>
      <c r="S71" s="1"/>
    </row>
    <row r="72" spans="2:19" ht="18.75">
      <c r="B72" t="s">
        <v>126</v>
      </c>
      <c r="C72" s="1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  <c r="P72" s="1"/>
      <c r="Q72" s="1"/>
      <c r="R72" s="1"/>
      <c r="S72" s="1"/>
    </row>
    <row r="73" spans="2:19" ht="36.75" customHeight="1">
      <c r="B73" t="s">
        <v>127</v>
      </c>
      <c r="C73" s="1"/>
      <c r="D73" s="150" t="s">
        <v>120</v>
      </c>
      <c r="E73" s="150"/>
      <c r="F73" s="150"/>
      <c r="G73" s="150"/>
      <c r="H73" s="100" t="s">
        <v>2</v>
      </c>
      <c r="I73" s="93"/>
      <c r="J73" s="93"/>
      <c r="K73" s="93"/>
      <c r="L73" s="93"/>
      <c r="M73" s="93"/>
      <c r="N73" s="93"/>
      <c r="O73" s="93"/>
      <c r="P73" s="1"/>
      <c r="Q73" s="1"/>
      <c r="R73" s="1"/>
      <c r="S73" s="1"/>
    </row>
    <row r="74" spans="2:19" ht="57.75" customHeight="1">
      <c r="C74" s="1"/>
      <c r="D74" s="150" t="str">
        <f>IF(H73="Si","¿Se quiere que se hagan copias de seguridad periódicas?",0)</f>
        <v>¿Se quiere que se hagan copias de seguridad periódicas?</v>
      </c>
      <c r="E74" s="150"/>
      <c r="F74" s="150"/>
      <c r="G74" s="150"/>
      <c r="H74" s="100" t="s">
        <v>2</v>
      </c>
      <c r="I74" s="157" t="str">
        <f>IF(AND(H74="si",D74&lt;&gt;0),"¿Cada cuánto tiempo?",0)</f>
        <v>¿Cada cuánto tiempo?</v>
      </c>
      <c r="J74" s="157"/>
      <c r="K74" s="133" t="s">
        <v>126</v>
      </c>
      <c r="L74" s="93"/>
      <c r="M74" s="93"/>
      <c r="N74" s="93"/>
      <c r="O74" s="93"/>
      <c r="P74" s="1"/>
      <c r="Q74" s="1"/>
      <c r="R74" s="1"/>
      <c r="S74" s="1"/>
    </row>
    <row r="75" spans="2:19" ht="18.75">
      <c r="C75" s="1"/>
      <c r="D75" s="93"/>
      <c r="E75" s="93"/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1"/>
      <c r="Q75" s="1"/>
      <c r="R75" s="1"/>
      <c r="S75" s="1"/>
    </row>
    <row r="76" spans="2:19" ht="18.75">
      <c r="C76" s="1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  <c r="O76" s="93"/>
      <c r="P76" s="1"/>
      <c r="Q76" s="1"/>
      <c r="R76" s="1"/>
      <c r="S76" s="1"/>
    </row>
    <row r="77" spans="2:19" ht="18.75">
      <c r="C77" s="1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  <c r="O77" s="93"/>
      <c r="P77" s="1"/>
      <c r="Q77" s="1"/>
      <c r="R77" s="1"/>
      <c r="S77" s="1"/>
    </row>
    <row r="78" spans="2:19" ht="18.75">
      <c r="C78" s="1"/>
      <c r="D78" s="93"/>
      <c r="E78" s="93"/>
      <c r="F78" s="93"/>
      <c r="G78" s="93"/>
      <c r="H78" s="93"/>
      <c r="I78" s="93"/>
      <c r="J78" s="93"/>
      <c r="K78" s="93"/>
      <c r="L78" s="93"/>
      <c r="M78" s="93"/>
      <c r="N78" s="93"/>
      <c r="O78" s="93"/>
      <c r="P78" s="1"/>
      <c r="Q78" s="1"/>
      <c r="R78" s="1"/>
      <c r="S78" s="1"/>
    </row>
    <row r="79" spans="2:19"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</row>
  </sheetData>
  <mergeCells count="83">
    <mergeCell ref="D73:G73"/>
    <mergeCell ref="D74:G74"/>
    <mergeCell ref="I74:J74"/>
    <mergeCell ref="D71:E71"/>
    <mergeCell ref="D60:H60"/>
    <mergeCell ref="D62:G62"/>
    <mergeCell ref="D64:M64"/>
    <mergeCell ref="D11:F11"/>
    <mergeCell ref="D55:F55"/>
    <mergeCell ref="G55:H55"/>
    <mergeCell ref="D50:F50"/>
    <mergeCell ref="G50:H50"/>
    <mergeCell ref="D51:F51"/>
    <mergeCell ref="G51:H51"/>
    <mergeCell ref="D49:F49"/>
    <mergeCell ref="G49:H49"/>
    <mergeCell ref="D43:F43"/>
    <mergeCell ref="D35:G35"/>
    <mergeCell ref="D36:G36"/>
    <mergeCell ref="D37:G37"/>
    <mergeCell ref="D41:F41"/>
    <mergeCell ref="D34:G34"/>
    <mergeCell ref="D28:G28"/>
    <mergeCell ref="D58:E58"/>
    <mergeCell ref="D52:F52"/>
    <mergeCell ref="G52:H52"/>
    <mergeCell ref="D53:F53"/>
    <mergeCell ref="G53:H53"/>
    <mergeCell ref="D54:F54"/>
    <mergeCell ref="G54:H54"/>
    <mergeCell ref="J45:J46"/>
    <mergeCell ref="D47:F47"/>
    <mergeCell ref="G47:H47"/>
    <mergeCell ref="D48:F48"/>
    <mergeCell ref="G48:H48"/>
    <mergeCell ref="D45:F46"/>
    <mergeCell ref="G45:H46"/>
    <mergeCell ref="K28:M28"/>
    <mergeCell ref="D29:G29"/>
    <mergeCell ref="K29:M29"/>
    <mergeCell ref="D30:G30"/>
    <mergeCell ref="K30:M30"/>
    <mergeCell ref="D31:G31"/>
    <mergeCell ref="K31:M31"/>
    <mergeCell ref="D32:G32"/>
    <mergeCell ref="K32:M32"/>
    <mergeCell ref="D33:G33"/>
    <mergeCell ref="O22:P22"/>
    <mergeCell ref="D24:G24"/>
    <mergeCell ref="K24:M24"/>
    <mergeCell ref="O24:P24"/>
    <mergeCell ref="D25:G25"/>
    <mergeCell ref="K25:M25"/>
    <mergeCell ref="O25:P25"/>
    <mergeCell ref="D22:G22"/>
    <mergeCell ref="K22:M22"/>
    <mergeCell ref="D27:G27"/>
    <mergeCell ref="K27:M27"/>
    <mergeCell ref="D23:G23"/>
    <mergeCell ref="K23:M23"/>
    <mergeCell ref="D26:G26"/>
    <mergeCell ref="K26:M26"/>
    <mergeCell ref="D18:G18"/>
    <mergeCell ref="D19:G19"/>
    <mergeCell ref="K19:M19"/>
    <mergeCell ref="D21:G21"/>
    <mergeCell ref="K21:M21"/>
    <mergeCell ref="O21:P21"/>
    <mergeCell ref="H3:K4"/>
    <mergeCell ref="C4:E5"/>
    <mergeCell ref="D7:E7"/>
    <mergeCell ref="H7:K7"/>
    <mergeCell ref="C9:E9"/>
    <mergeCell ref="O19:P19"/>
    <mergeCell ref="D20:G20"/>
    <mergeCell ref="K20:M20"/>
    <mergeCell ref="O20:P20"/>
    <mergeCell ref="C12:E12"/>
    <mergeCell ref="D13:G13"/>
    <mergeCell ref="D14:G14"/>
    <mergeCell ref="D15:G15"/>
    <mergeCell ref="D16:G16"/>
    <mergeCell ref="D17:G17"/>
  </mergeCells>
  <conditionalFormatting sqref="G43">
    <cfRule type="cellIs" dxfId="14" priority="4" operator="equal">
      <formula>"B"</formula>
    </cfRule>
    <cfRule type="cellIs" dxfId="13" priority="6" operator="equal">
      <formula>"A"</formula>
    </cfRule>
    <cfRule type="containsText" dxfId="12" priority="7" operator="containsText" text="D">
      <formula>NOT(ISERROR(SEARCH("D",G43)))</formula>
    </cfRule>
    <cfRule type="containsText" dxfId="11" priority="8" operator="containsText" text="C">
      <formula>NOT(ISERROR(SEARCH("C",G43)))</formula>
    </cfRule>
    <cfRule type="containsText" dxfId="10" priority="9" operator="containsText" text="E">
      <formula>NOT(ISERROR(SEARCH("E",G43)))</formula>
    </cfRule>
    <cfRule type="containsText" dxfId="9" priority="10" operator="containsText" text="F">
      <formula>NOT(ISERROR(SEARCH("F",G43)))</formula>
    </cfRule>
  </conditionalFormatting>
  <conditionalFormatting sqref="H44">
    <cfRule type="cellIs" dxfId="8" priority="5" operator="equal">
      <formula>"A"</formula>
    </cfRule>
  </conditionalFormatting>
  <conditionalFormatting sqref="D65:M65">
    <cfRule type="cellIs" dxfId="7" priority="3" operator="notEqual">
      <formula>0</formula>
    </cfRule>
  </conditionalFormatting>
  <conditionalFormatting sqref="D66:M66">
    <cfRule type="expression" dxfId="6" priority="1">
      <formula>"si($D$68:$M$68&lt;&gt;0;;0)"</formula>
    </cfRule>
  </conditionalFormatting>
  <dataValidations count="5">
    <dataValidation type="list" allowBlank="1" showInputMessage="1" showErrorMessage="1" sqref="D49:F49" xr:uid="{00000000-0002-0000-0200-000000000000}">
      <formula1>$B$46:$B$48</formula1>
    </dataValidation>
    <dataValidation type="list" allowBlank="1" showInputMessage="1" showErrorMessage="1" sqref="D47:F48" xr:uid="{00000000-0002-0000-0200-000001000000}">
      <formula1>$B$45:$B$48</formula1>
    </dataValidation>
    <dataValidation type="list" allowBlank="1" showInputMessage="1" showErrorMessage="1" sqref="G11 H73 I60" xr:uid="{00000000-0002-0000-0200-000002000000}">
      <formula1>$B$5:$B$6</formula1>
    </dataValidation>
    <dataValidation type="list" allowBlank="1" showInputMessage="1" showErrorMessage="1" sqref="K74" xr:uid="{00000000-0002-0000-0200-000003000000}">
      <formula1>IF(I74=0,0,$B$70:$B$73)</formula1>
    </dataValidation>
    <dataValidation type="list" allowBlank="1" showInputMessage="1" showErrorMessage="1" sqref="H74" xr:uid="{00000000-0002-0000-0200-000004000000}">
      <formula1>IF(D74=0,D74,$B$5:$B$6)</formula1>
    </dataValidation>
  </dataValidations>
  <hyperlinks>
    <hyperlink ref="H7" r:id="rId1" xr:uid="{00000000-0004-0000-0200-000000000000}"/>
  </hyperlinks>
  <pageMargins left="0.75" right="0.75" top="1" bottom="1" header="0.5" footer="0.5"/>
  <colBreaks count="1" manualBreakCount="1">
    <brk id="32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O238"/>
  <sheetViews>
    <sheetView showZeros="0" showRuler="0" view="pageLayout" topLeftCell="B186" zoomScale="53" zoomScaleNormal="65" zoomScalePageLayoutView="53" workbookViewId="0">
      <selection activeCell="P139" sqref="P139"/>
    </sheetView>
  </sheetViews>
  <sheetFormatPr baseColWidth="10" defaultRowHeight="17.25"/>
  <cols>
    <col min="3" max="3" width="14.88671875" customWidth="1"/>
    <col min="4" max="4" width="13.88671875" customWidth="1"/>
    <col min="5" max="5" width="13.6640625" customWidth="1"/>
    <col min="6" max="6" width="14.88671875" customWidth="1"/>
    <col min="7" max="7" width="14.109375" customWidth="1"/>
    <col min="8" max="8" width="21.109375" customWidth="1"/>
    <col min="9" max="9" width="25.5546875" customWidth="1"/>
    <col min="10" max="10" width="13.88671875" customWidth="1"/>
    <col min="11" max="11" width="12" customWidth="1"/>
    <col min="12" max="12" width="10.109375" customWidth="1"/>
    <col min="13" max="13" width="15.44140625" customWidth="1"/>
    <col min="14" max="14" width="11.88671875" customWidth="1"/>
  </cols>
  <sheetData>
    <row r="1" spans="2:15" ht="24.75" customHeight="1"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2:15" ht="15.95" customHeight="1">
      <c r="B2" s="28"/>
      <c r="C2" s="28"/>
      <c r="D2" s="28"/>
      <c r="E2" s="28"/>
      <c r="F2" s="256" t="s">
        <v>172</v>
      </c>
      <c r="G2" s="256"/>
      <c r="H2" s="256"/>
      <c r="I2" s="28"/>
      <c r="J2" s="28"/>
      <c r="K2" s="28"/>
      <c r="L2" s="28"/>
      <c r="M2" s="28"/>
      <c r="N2" s="10"/>
      <c r="O2" s="10"/>
    </row>
    <row r="3" spans="2:15" ht="15.95" customHeight="1">
      <c r="B3" s="28"/>
      <c r="C3" s="28"/>
      <c r="D3" s="28"/>
      <c r="E3" s="28"/>
      <c r="F3" s="256"/>
      <c r="G3" s="256"/>
      <c r="H3" s="256"/>
      <c r="I3" s="28"/>
      <c r="J3" s="28"/>
      <c r="K3" s="28"/>
      <c r="L3" s="28"/>
      <c r="M3" s="28"/>
      <c r="N3" s="10"/>
      <c r="O3" s="10"/>
    </row>
    <row r="4" spans="2:15" ht="17.100000000000001" customHeight="1" thickBot="1">
      <c r="B4" s="28"/>
      <c r="C4" s="28"/>
      <c r="D4" s="28"/>
      <c r="E4" s="28"/>
      <c r="F4" s="257"/>
      <c r="G4" s="257"/>
      <c r="H4" s="257"/>
      <c r="I4" s="28"/>
      <c r="J4" s="28"/>
      <c r="K4" s="28"/>
      <c r="L4" s="28"/>
      <c r="M4" s="28"/>
      <c r="N4" s="10"/>
      <c r="O4" s="10"/>
    </row>
    <row r="5" spans="2:15" ht="21.75" thickTop="1">
      <c r="B5" s="28"/>
      <c r="C5" s="28"/>
      <c r="D5" s="29"/>
      <c r="E5" s="29"/>
      <c r="F5" s="29"/>
      <c r="G5" s="29"/>
      <c r="H5" s="29"/>
      <c r="I5" s="28"/>
      <c r="J5" s="28"/>
      <c r="K5" s="28"/>
      <c r="L5" s="28"/>
      <c r="M5" s="28"/>
      <c r="N5" s="10"/>
      <c r="O5" s="10"/>
    </row>
    <row r="6" spans="2:15" ht="21">
      <c r="B6" s="28"/>
      <c r="C6" s="29"/>
      <c r="D6" s="29"/>
      <c r="E6" s="29"/>
      <c r="F6" s="29"/>
      <c r="G6" s="29"/>
      <c r="H6" s="29"/>
      <c r="I6" s="28"/>
      <c r="J6" s="28"/>
      <c r="K6" s="28"/>
      <c r="L6" s="28"/>
      <c r="M6" s="28"/>
      <c r="N6" s="10"/>
      <c r="O6" s="10"/>
    </row>
    <row r="7" spans="2:15" ht="21">
      <c r="B7" s="251" t="str">
        <f>'Auditoría inicial'!H7</f>
        <v>http://www.EJEMPLO.com</v>
      </c>
      <c r="C7" s="251"/>
      <c r="D7" s="251"/>
      <c r="E7" s="251"/>
      <c r="F7" s="28"/>
      <c r="G7" s="28"/>
      <c r="H7" s="28"/>
      <c r="I7" s="28"/>
      <c r="J7" s="28"/>
      <c r="K7" s="28"/>
      <c r="L7" s="28"/>
      <c r="M7" s="28"/>
      <c r="N7" s="10"/>
      <c r="O7" s="10"/>
    </row>
    <row r="8" spans="2:15" ht="21">
      <c r="B8" s="30"/>
      <c r="C8" s="28"/>
      <c r="D8" s="30"/>
      <c r="E8" s="30"/>
      <c r="F8" s="30"/>
      <c r="G8" s="30"/>
      <c r="H8" s="28"/>
      <c r="I8" s="28"/>
      <c r="J8" s="28"/>
      <c r="K8" s="28"/>
      <c r="L8" s="28"/>
      <c r="M8" s="28"/>
      <c r="N8" s="10"/>
      <c r="O8" s="10"/>
    </row>
    <row r="9" spans="2:15" ht="21.75" thickBot="1">
      <c r="B9" s="31" t="s">
        <v>40</v>
      </c>
      <c r="C9" s="31"/>
      <c r="D9" s="32"/>
      <c r="E9" s="32"/>
      <c r="F9" s="32"/>
      <c r="G9" s="32"/>
      <c r="H9" s="32"/>
      <c r="I9" s="32"/>
      <c r="J9" s="32"/>
      <c r="K9" s="32"/>
      <c r="L9" s="32"/>
      <c r="M9" s="32"/>
      <c r="N9" s="10"/>
      <c r="O9" s="10"/>
    </row>
    <row r="10" spans="2:15" ht="21.75" thickTop="1"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10"/>
      <c r="O10" s="10"/>
    </row>
    <row r="11" spans="2:15" ht="20.25">
      <c r="B11" s="217" t="str">
        <f>IF('Actuaciones periódicas'!G11="Si","    Se adjunta la información acerca del análisis de seguridad realizado,habiendo aparecido los siguientes problemas:","No hay problemas de seguridad en la web ")</f>
        <v xml:space="preserve">No hay problemas de seguridad en la web </v>
      </c>
      <c r="C11" s="217"/>
      <c r="D11" s="217"/>
      <c r="E11" s="217"/>
      <c r="F11" s="217"/>
      <c r="G11" s="217"/>
      <c r="H11" s="217"/>
      <c r="I11" s="217"/>
      <c r="J11" s="217"/>
      <c r="K11" s="217"/>
      <c r="L11" s="217"/>
      <c r="M11" s="217"/>
      <c r="N11" s="34"/>
      <c r="O11" s="10"/>
    </row>
    <row r="12" spans="2:15" ht="20.25"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6"/>
      <c r="O12" s="10"/>
    </row>
    <row r="13" spans="2:15" ht="14.1" customHeight="1">
      <c r="B13" s="252" t="s">
        <v>57</v>
      </c>
      <c r="C13" s="252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6"/>
      <c r="O13" s="10"/>
    </row>
    <row r="14" spans="2:15" ht="5.0999999999999996" hidden="1" customHeight="1">
      <c r="B14" s="222" t="s">
        <v>114</v>
      </c>
      <c r="C14" s="222"/>
      <c r="D14" s="222"/>
      <c r="E14" s="222"/>
      <c r="F14" s="222"/>
      <c r="G14" s="222"/>
      <c r="H14" s="222"/>
      <c r="I14" s="222"/>
      <c r="J14" s="222"/>
      <c r="K14" s="222"/>
      <c r="L14" s="222"/>
      <c r="M14" s="222"/>
      <c r="N14" s="222"/>
      <c r="O14" s="10"/>
    </row>
    <row r="15" spans="2:15" ht="20.25" hidden="1">
      <c r="B15" s="38" t="s">
        <v>115</v>
      </c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6"/>
      <c r="O15" s="10"/>
    </row>
    <row r="16" spans="2:15" hidden="1">
      <c r="B16" s="39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10"/>
    </row>
    <row r="17" spans="2:15" hidden="1"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10"/>
    </row>
    <row r="18" spans="2:15" hidden="1"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2:15" hidden="1"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2:15" hidden="1"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2:15" hidden="1"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</row>
    <row r="22" spans="2:15" hidden="1"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</row>
    <row r="23" spans="2:15" hidden="1"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spans="2:15" hidden="1"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</row>
    <row r="25" spans="2:15" hidden="1"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spans="2:15" hidden="1"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2:15" hidden="1"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2:15" hidden="1"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</row>
    <row r="29" spans="2:15" hidden="1"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</row>
    <row r="30" spans="2:15" hidden="1"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</row>
    <row r="31" spans="2:15" hidden="1"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</row>
    <row r="32" spans="2:15" hidden="1"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spans="2:15" hidden="1"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</row>
    <row r="34" spans="2:15" ht="0.95" hidden="1" customHeight="1"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spans="2:15" hidden="1"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2:15" hidden="1"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2:15" hidden="1"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2:15" hidden="1"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2:15" hidden="1"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2:15" hidden="1"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2:15" hidden="1"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2:15" hidden="1"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2:15" hidden="1"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2:15" hidden="1"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2:15" hidden="1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2:15" hidden="1"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2:15" hidden="1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2:15" hidden="1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2:15" hidden="1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2:15" hidden="1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2:15" hidden="1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2:15" hidden="1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2:15" hidden="1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2:15" hidden="1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2:15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2:15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2:15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2:15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2:15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2:15" ht="21.75" thickBot="1">
      <c r="B60" s="31" t="s">
        <v>32</v>
      </c>
      <c r="C60" s="12"/>
      <c r="D60" s="12"/>
      <c r="E60" s="13"/>
      <c r="F60" s="13"/>
      <c r="G60" s="13"/>
      <c r="H60" s="13"/>
      <c r="I60" s="13"/>
      <c r="J60" s="13"/>
      <c r="K60" s="13"/>
      <c r="L60" s="13"/>
      <c r="M60" s="13"/>
      <c r="N60" s="11"/>
      <c r="O60" s="10"/>
    </row>
    <row r="61" spans="2:15" ht="23.1" customHeight="1" thickTop="1"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</row>
    <row r="62" spans="2:15" ht="39.950000000000003" customHeight="1">
      <c r="B62" s="35" t="str">
        <f>IF('Actuaciones periódicas'!H16&lt;&gt;'Actuaciones periódicas'!I16,"   Se ha actualizado la versión de WordPress de","No es necesaria ninguna actualización ya que ")</f>
        <v xml:space="preserve">   Se ha actualizado la versión de WordPress de</v>
      </c>
      <c r="C62" s="35"/>
      <c r="D62" s="35"/>
      <c r="E62" s="43"/>
      <c r="F62" s="44" t="str">
        <f>IF('Actuaciones periódicas'!H16&lt;&gt;'Actuaciones periódicas'!I16,'Actuaciones periódicas'!H16,'Actuaciones periódicas'!I16)</f>
        <v>4.9.4</v>
      </c>
      <c r="G62" s="45" t="str">
        <f>IF('Actuaciones periódicas'!H16&lt;&gt;'Actuaciones periódicas'!I16,"a","es la última versión")</f>
        <v>a</v>
      </c>
      <c r="H62" s="46" t="str">
        <f>IF('Auditoría inicial'!H16&lt;&gt;'Auditoría inicial'!I16,'Auditoría inicial'!I16,0)</f>
        <v>4.9.1</v>
      </c>
      <c r="I62" s="47" t="str">
        <f>IF('Actuaciones periódicas'!H16&lt;&gt;'Actuaciones periódicas'!I16,"para garantizar un correcto funcionamiento de la web",0)</f>
        <v>para garantizar un correcto funcionamiento de la web</v>
      </c>
      <c r="J62" s="47"/>
      <c r="K62" s="47"/>
      <c r="L62" s="35"/>
      <c r="M62" s="35"/>
      <c r="N62" s="35"/>
      <c r="O62" s="35"/>
    </row>
    <row r="63" spans="2:15" ht="32.1" customHeight="1">
      <c r="B63" s="35"/>
      <c r="C63" s="35"/>
      <c r="D63" s="35"/>
      <c r="E63" s="35"/>
      <c r="F63" s="44"/>
      <c r="G63" s="44"/>
      <c r="H63" s="45"/>
      <c r="I63" s="48"/>
      <c r="J63" s="35"/>
      <c r="K63" s="35"/>
      <c r="L63" s="35"/>
      <c r="M63" s="35"/>
      <c r="N63" s="35"/>
      <c r="O63" s="35"/>
    </row>
    <row r="64" spans="2:15" ht="40.5">
      <c r="B64" s="35" t="s">
        <v>39</v>
      </c>
      <c r="C64" s="35"/>
      <c r="D64" s="35"/>
      <c r="E64" s="35"/>
      <c r="F64" s="35"/>
      <c r="G64" s="35"/>
      <c r="H64" s="35"/>
      <c r="I64" s="35">
        <f>IF('Actuaciones periódicas'!K20=0,0,'Actuaciones periódicas'!K19)</f>
        <v>0</v>
      </c>
      <c r="J64" s="35"/>
      <c r="K64" s="35"/>
      <c r="L64" s="35"/>
      <c r="M64" s="49" t="str">
        <f>IF('Actuaciones periódicas'!O20&lt;&gt;0,'Actuaciones periódicas'!O19,0)</f>
        <v>Temas actualizados</v>
      </c>
      <c r="N64" s="49" t="str">
        <f>IF('Actuaciones periódicas'!Q20&lt;&gt;0,'Actuaciones periódicas'!Q19,0)</f>
        <v>Instalada</v>
      </c>
      <c r="O64" s="49" t="str">
        <f>IF('Actuaciones periódicas'!R20&lt;&gt;0,'Actuaciones periódicas'!R19,0)</f>
        <v>Última versión</v>
      </c>
    </row>
    <row r="65" spans="2:15" ht="20.25"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</row>
    <row r="66" spans="2:15" ht="40.5">
      <c r="B66" s="35"/>
      <c r="C66" s="50"/>
      <c r="D66" s="51" t="s">
        <v>5</v>
      </c>
      <c r="E66" s="52" t="s">
        <v>6</v>
      </c>
      <c r="F66" s="35"/>
      <c r="G66" s="35"/>
      <c r="H66" s="35"/>
      <c r="I66" s="226">
        <f>IF('Actuaciones periódicas'!K20=0,0,'Actuaciones periódicas'!K20)</f>
        <v>0</v>
      </c>
      <c r="J66" s="226"/>
      <c r="K66" s="226"/>
      <c r="L66" s="35"/>
      <c r="M66" s="80">
        <f>IF(AND('Actuaciones periódicas'!Q20&lt;&gt;'Actuaciones periódicas'!R20,'Reporte Act.Periódicas'!M65&lt;&gt;'Actuaciones periódicas'!O20),'Actuaciones periódicas'!O20,0)</f>
        <v>0</v>
      </c>
      <c r="N66" s="42">
        <f>IF($M66=0,0,VLOOKUP(M66,'Actuaciones periódicas'!$O$20:$R$29,3))</f>
        <v>0</v>
      </c>
      <c r="O66" s="88">
        <f>IF($M66=0,0,VLOOKUP(M66,'Actuaciones periódicas'!$O$20:$R$29,4))</f>
        <v>0</v>
      </c>
    </row>
    <row r="67" spans="2:15" ht="60.75">
      <c r="B67" s="35"/>
      <c r="C67" s="53" t="str">
        <f>IF(AND('Actuaciones periódicas'!H20&lt;&gt;'Actuaciones periódicas'!I20,'Reporte Act.Periódicas'!C66&lt;&gt;'Actuaciones periódicas'!D20),'Actuaciones periódicas'!D20,0)</f>
        <v>Accelerated  Mobile Pages</v>
      </c>
      <c r="D67" s="54" t="str">
        <f>IF(C67=0,0,VLOOKUP(C67,'Actuaciones periódicas'!$D$20:$I$37,5))</f>
        <v>0.9.84.1</v>
      </c>
      <c r="E67" s="54" t="str">
        <f>IF(C67=0,0,VLOOKUP(C67,'Actuaciones periódicas'!$D$20:$I$37,6))</f>
        <v>09..85.5</v>
      </c>
      <c r="F67" s="54"/>
      <c r="G67" s="54"/>
      <c r="H67" s="35"/>
      <c r="I67" s="226">
        <f>IF('Actuaciones periódicas'!K21=0,0,'Actuaciones periódicas'!K21)</f>
        <v>0</v>
      </c>
      <c r="J67" s="226"/>
      <c r="K67" s="226"/>
      <c r="L67" s="35"/>
      <c r="M67" s="80" t="str">
        <f>IF(AND('Actuaciones periódicas'!Q21&lt;&gt;'Actuaciones periódicas'!R21,'Reporte Act.Periódicas'!M66&lt;&gt;'Actuaciones periódicas'!O21),'Actuaciones periódicas'!O21,0)</f>
        <v>Twenty Seventeen</v>
      </c>
      <c r="N67" s="88" t="str">
        <f>IF($M67=0,0,VLOOKUP(M67,'Actuaciones periódicas'!$O$20:$R$29,3))</f>
        <v>1.4</v>
      </c>
      <c r="O67" s="88" t="str">
        <f>IF($M67=0,0,VLOOKUP(M67,'Actuaciones periódicas'!$O$20:$R$29,4))</f>
        <v>1.5</v>
      </c>
    </row>
    <row r="68" spans="2:15" ht="60.75">
      <c r="B68" s="35"/>
      <c r="C68" s="53" t="str">
        <f>IF(AND('Actuaciones periódicas'!H21&lt;&gt;'Actuaciones periódicas'!I21,'Reporte Act.Periódicas'!C67&lt;&gt;'Actuaciones periódicas'!D21),'Actuaciones periódicas'!D21,0)</f>
        <v>Advanced Custom Fields PRO</v>
      </c>
      <c r="D68" s="54" t="str">
        <f>IF(C68=0,0,VLOOKUP(C68,'Actuaciones periódicas'!$D$20:$I$37,5))</f>
        <v>5.6.9</v>
      </c>
      <c r="E68" s="54" t="str">
        <f>IF(C68=0,0,VLOOKUP(C68,'Actuaciones periódicas'!$D$20:$I$37,6))</f>
        <v>5.6.10</v>
      </c>
      <c r="F68" s="54"/>
      <c r="G68" s="54"/>
      <c r="H68" s="35"/>
      <c r="I68" s="226">
        <f>IF('Actuaciones periódicas'!K22=0,0,'Actuaciones periódicas'!K22)</f>
        <v>0</v>
      </c>
      <c r="J68" s="226"/>
      <c r="K68" s="226"/>
      <c r="L68" s="35"/>
      <c r="M68" s="80" t="str">
        <f>IF(AND('Actuaciones periódicas'!Q22&lt;&gt;'Actuaciones periódicas'!R22,'Reporte Act.Periódicas'!M67&lt;&gt;'Actuaciones periódicas'!O22),'Actuaciones periódicas'!O22,0)</f>
        <v>Twenty Sixteen</v>
      </c>
      <c r="N68" s="88" t="str">
        <f>IF($M68=0,0,VLOOKUP(M68,'Actuaciones periódicas'!$O$20:$R$29,3))</f>
        <v>1.4</v>
      </c>
      <c r="O68" s="88" t="str">
        <f>IF($M68=0,0,VLOOKUP(M68,'Actuaciones periódicas'!$O$20:$R$29,4))</f>
        <v>1.4.3</v>
      </c>
    </row>
    <row r="69" spans="2:15" ht="36" customHeight="1">
      <c r="B69" s="35"/>
      <c r="C69" s="53" t="str">
        <f>IF(AND('Actuaciones periódicas'!H22&lt;&gt;'Actuaciones periódicas'!I22,'Reporte Act.Periódicas'!C68&lt;&gt;'Actuaciones periódicas'!D22),'Actuaciones periódicas'!D22,0)</f>
        <v>All in One SEO Pack</v>
      </c>
      <c r="D69" s="54" t="str">
        <f>IF(C69=0,0,VLOOKUP(C69,'Actuaciones periódicas'!$D$20:$I$37,5))</f>
        <v>2.4.6.1</v>
      </c>
      <c r="E69" s="54" t="str">
        <f>IF(C69=0,0,VLOOKUP(C69,'Actuaciones periódicas'!$D$20:$I$37,6))</f>
        <v>2.5</v>
      </c>
      <c r="F69" s="54"/>
      <c r="G69" s="54"/>
      <c r="H69" s="35"/>
      <c r="I69" s="226">
        <f>IF('Actuaciones periódicas'!K23=0,0,'Actuaciones periódicas'!K23)</f>
        <v>0</v>
      </c>
      <c r="J69" s="226"/>
      <c r="K69" s="226"/>
      <c r="L69" s="35"/>
      <c r="M69" s="80">
        <f>IF(AND('Actuaciones periódicas'!Q23&lt;&gt;'Actuaciones periódicas'!R23,'Reporte Act.Periódicas'!M68&lt;&gt;'Actuaciones periódicas'!O23),'Actuaciones periódicas'!O23,0)</f>
        <v>0</v>
      </c>
      <c r="N69" s="88">
        <f>IF($M69=0,0,VLOOKUP(M69,'Actuaciones periódicas'!$O$20:$R$29,3))</f>
        <v>0</v>
      </c>
      <c r="O69" s="88">
        <f>IF($M69=0,0,VLOOKUP(M69,'Actuaciones periódicas'!$O$20:$R$29,4))</f>
        <v>0</v>
      </c>
    </row>
    <row r="70" spans="2:15" ht="18" customHeight="1">
      <c r="B70" s="35"/>
      <c r="C70" s="53">
        <f>IF(AND('Actuaciones periódicas'!H23&lt;&gt;'Actuaciones periódicas'!I23,'Reporte Act.Periódicas'!C69&lt;&gt;'Actuaciones periódicas'!D23),'Actuaciones periódicas'!D23,0)</f>
        <v>0</v>
      </c>
      <c r="D70" s="54">
        <f>IF(C70=0,0,VLOOKUP(C70,'Actuaciones periódicas'!$D$20:$I$37,5))</f>
        <v>0</v>
      </c>
      <c r="E70" s="54">
        <f>IF(C70=0,0,VLOOKUP(C70,'Actuaciones periódicas'!$D$20:$I$37,6))</f>
        <v>0</v>
      </c>
      <c r="F70" s="54"/>
      <c r="G70" s="54"/>
      <c r="H70" s="35"/>
      <c r="I70" s="226">
        <f>IF('Actuaciones periódicas'!K24=0,0,'Actuaciones periódicas'!K24)</f>
        <v>0</v>
      </c>
      <c r="J70" s="226"/>
      <c r="K70" s="226"/>
      <c r="L70" s="35"/>
      <c r="M70" s="80">
        <f>IF(AND('Actuaciones periódicas'!Q24&lt;&gt;'Actuaciones periódicas'!R24,'Reporte Act.Periódicas'!M69&lt;&gt;'Actuaciones periódicas'!O24),'Actuaciones periódicas'!O24,0)</f>
        <v>0</v>
      </c>
      <c r="N70" s="88">
        <f>IF($M70=0,0,VLOOKUP(M70,'Actuaciones periódicas'!$O$20:$R$29,3))</f>
        <v>0</v>
      </c>
      <c r="O70" s="88">
        <f>IF($M70=0,0,VLOOKUP(M70,'Actuaciones periódicas'!$O$20:$R$29,4))</f>
        <v>0</v>
      </c>
    </row>
    <row r="71" spans="2:15" ht="18" customHeight="1">
      <c r="B71" s="35"/>
      <c r="C71" s="53">
        <f>IF(AND('Actuaciones periódicas'!H24&lt;&gt;'Actuaciones periódicas'!I24,'Reporte Act.Periódicas'!C70&lt;&gt;'Actuaciones periódicas'!D24),'Actuaciones periódicas'!D24,0)</f>
        <v>0</v>
      </c>
      <c r="D71" s="54">
        <f>IF(C71=0,0,VLOOKUP(C71,'Actuaciones periódicas'!$D$20:$I$37,5))</f>
        <v>0</v>
      </c>
      <c r="E71" s="54">
        <f>IF(C71=0,0,VLOOKUP(C71,'Actuaciones periódicas'!$D$20:$I$37,6))</f>
        <v>0</v>
      </c>
      <c r="F71" s="55"/>
      <c r="G71" s="55"/>
      <c r="H71" s="35"/>
      <c r="I71" s="226">
        <f>IF('Actuaciones periódicas'!K25=0,0,'Actuaciones periódicas'!K25)</f>
        <v>0</v>
      </c>
      <c r="J71" s="226"/>
      <c r="K71" s="226"/>
      <c r="L71" s="35"/>
      <c r="M71" s="80">
        <f>IF(AND('Actuaciones periódicas'!Q25&lt;&gt;'Actuaciones periódicas'!R25,'Reporte Act.Periódicas'!M70&lt;&gt;'Actuaciones periódicas'!O25),'Actuaciones periódicas'!O25,0)</f>
        <v>0</v>
      </c>
      <c r="N71" s="88">
        <f>IF($M71=0,0,VLOOKUP(M71,'Actuaciones periódicas'!$O$20:$R$29,3))</f>
        <v>0</v>
      </c>
      <c r="O71" s="88">
        <f>IF($M71=0,0,VLOOKUP(M71,'Actuaciones periódicas'!$O$20:$R$29,4))</f>
        <v>0</v>
      </c>
    </row>
    <row r="72" spans="2:15" ht="18" customHeight="1">
      <c r="B72" s="35"/>
      <c r="C72" s="53">
        <f>IF(AND('Actuaciones periódicas'!H25&lt;&gt;'Actuaciones periódicas'!I25,'Reporte Act.Periódicas'!C71&lt;&gt;'Actuaciones periódicas'!D25),'Actuaciones periódicas'!D25,0)</f>
        <v>0</v>
      </c>
      <c r="D72" s="54">
        <f>IF(C72=0,0,VLOOKUP(C72,'Actuaciones periódicas'!$D$20:$I$37,5))</f>
        <v>0</v>
      </c>
      <c r="E72" s="54">
        <f>IF(C72=0,0,VLOOKUP(C72,'Actuaciones periódicas'!$D$20:$I$37,6))</f>
        <v>0</v>
      </c>
      <c r="F72" s="54"/>
      <c r="G72" s="54"/>
      <c r="H72" s="35"/>
      <c r="I72" s="226">
        <f>IF('Actuaciones periódicas'!K26=0,0,'Actuaciones periódicas'!K26)</f>
        <v>0</v>
      </c>
      <c r="J72" s="226"/>
      <c r="K72" s="226"/>
      <c r="L72" s="35"/>
      <c r="M72" s="80">
        <f>IF(AND('Actuaciones periódicas'!Q26&lt;&gt;'Actuaciones periódicas'!R26,'Reporte Act.Periódicas'!M71&lt;&gt;'Actuaciones periódicas'!O26),'Actuaciones periódicas'!O26,0)</f>
        <v>0</v>
      </c>
      <c r="N72" s="88">
        <f>IF($M72=0,0,VLOOKUP(M72,'Actuaciones periódicas'!$O$20:$R$29,3))</f>
        <v>0</v>
      </c>
      <c r="O72" s="88">
        <f>IF($M72=0,0,VLOOKUP(M72,'Actuaciones periódicas'!$O$20:$R$29,4))</f>
        <v>0</v>
      </c>
    </row>
    <row r="73" spans="2:15" ht="18" customHeight="1">
      <c r="B73" s="35"/>
      <c r="C73" s="53" t="str">
        <f>IF(AND('Actuaciones periódicas'!H26&lt;&gt;'Actuaciones periódicas'!I26,'Reporte Act.Periódicas'!C72&lt;&gt;'Actuaciones periódicas'!D26),'Actuaciones periódicas'!D26,0)</f>
        <v>Instagram Feed</v>
      </c>
      <c r="D73" s="54" t="str">
        <f>IF(C73=0,0,VLOOKUP(C73,'Actuaciones periódicas'!$D$20:$I$37,5))</f>
        <v>1.6.2</v>
      </c>
      <c r="E73" s="54" t="str">
        <f>IF(C73=0,0,VLOOKUP(C73,'Actuaciones periódicas'!$D$20:$I$37,6))</f>
        <v>1.8.2</v>
      </c>
      <c r="F73" s="54"/>
      <c r="G73" s="54"/>
      <c r="H73" s="35"/>
      <c r="I73" s="226">
        <f>IF('Actuaciones periódicas'!K27=0,0,'Actuaciones periódicas'!K27)</f>
        <v>0</v>
      </c>
      <c r="J73" s="226"/>
      <c r="K73" s="226"/>
      <c r="L73" s="35"/>
      <c r="M73" s="80">
        <f>IF(AND('Actuaciones periódicas'!Q27&lt;&gt;'Actuaciones periódicas'!R27,'Reporte Act.Periódicas'!M72&lt;&gt;'Actuaciones periódicas'!O27),'Actuaciones periódicas'!O27,0)</f>
        <v>0</v>
      </c>
      <c r="N73" s="88">
        <f>IF($M73=0,0,VLOOKUP(M73,'Actuaciones periódicas'!$O$20:$R$29,3))</f>
        <v>0</v>
      </c>
      <c r="O73" s="88">
        <f>IF($M73=0,0,VLOOKUP(M73,'Actuaciones periódicas'!$O$20:$R$29,4))</f>
        <v>0</v>
      </c>
    </row>
    <row r="74" spans="2:15" ht="18" customHeight="1">
      <c r="B74" s="35"/>
      <c r="C74" s="53" t="str">
        <f>IF(AND('Actuaciones periódicas'!H27&lt;&gt;'Actuaciones periódicas'!I27,'Reporte Act.Periódicas'!C73&lt;&gt;'Actuaciones periódicas'!D27),'Actuaciones periódicas'!D27,0)</f>
        <v>Mailchimp for WordPress</v>
      </c>
      <c r="D74" s="54" t="str">
        <f>IF(C74=0,0,VLOOKUP(C74,'Actuaciones periódicas'!$D$20:$I$37,5))</f>
        <v>4.2</v>
      </c>
      <c r="E74" s="54" t="str">
        <f>IF(C74=0,0,VLOOKUP(C74,'Actuaciones periódicas'!$D$20:$I$37,6))</f>
        <v>4.2.1</v>
      </c>
      <c r="F74" s="54"/>
      <c r="G74" s="54"/>
      <c r="H74" s="35"/>
      <c r="I74" s="226">
        <f>IF('Actuaciones periódicas'!K28=0,0,'Actuaciones periódicas'!K28)</f>
        <v>0</v>
      </c>
      <c r="J74" s="226"/>
      <c r="K74" s="226"/>
      <c r="L74" s="35"/>
      <c r="M74" s="80">
        <f>IF(AND('Actuaciones periódicas'!Q28&lt;&gt;'Actuaciones periódicas'!R28,'Reporte Act.Periódicas'!M73&lt;&gt;'Actuaciones periódicas'!O28),'Actuaciones periódicas'!O28,0)</f>
        <v>0</v>
      </c>
      <c r="N74" s="88">
        <f>IF($M74=0,0,VLOOKUP(M74,'Actuaciones periódicas'!$O$20:$R$29,3))</f>
        <v>0</v>
      </c>
      <c r="O74" s="88">
        <f>IF($M74=0,0,VLOOKUP(M74,'Actuaciones periódicas'!$O$20:$R$29,4))</f>
        <v>0</v>
      </c>
    </row>
    <row r="75" spans="2:15" ht="20.25">
      <c r="B75" s="35"/>
      <c r="C75" s="53">
        <f>IF(AND('Actuaciones periódicas'!H28&lt;&gt;'Actuaciones periódicas'!I28,'Reporte Act.Periódicas'!C74&lt;&gt;'Actuaciones periódicas'!D28),'Actuaciones periódicas'!D28,0)</f>
        <v>0</v>
      </c>
      <c r="D75" s="54">
        <f>IF(C75=0,0,VLOOKUP(C75,'Actuaciones periódicas'!$D$20:$I$37,5))</f>
        <v>0</v>
      </c>
      <c r="E75" s="54">
        <f>IF(C75=0,0,VLOOKUP(C75,'Actuaciones periódicas'!$D$20:$I$37,6))</f>
        <v>0</v>
      </c>
      <c r="F75" s="54"/>
      <c r="G75" s="54"/>
      <c r="H75" s="35"/>
      <c r="I75" s="226">
        <f>IF('Actuaciones periódicas'!K29=0,0,'Actuaciones periódicas'!K29)</f>
        <v>0</v>
      </c>
      <c r="J75" s="226"/>
      <c r="K75" s="226"/>
      <c r="L75" s="35"/>
      <c r="M75" s="80">
        <f>IF(AND('Actuaciones periódicas'!Q29&lt;&gt;'Actuaciones periódicas'!R29,'Reporte Act.Periódicas'!M74&lt;&gt;'Actuaciones periódicas'!O29),'Actuaciones periódicas'!O29,0)</f>
        <v>0</v>
      </c>
      <c r="N75" s="88">
        <f>IF($M75=0,0,VLOOKUP(M75,'Actuaciones periódicas'!$O$20:$R$29,3))</f>
        <v>0</v>
      </c>
      <c r="O75" s="88">
        <f>IF($M75=0,0,VLOOKUP(M75,'Actuaciones periódicas'!$O$20:$R$29,4))</f>
        <v>0</v>
      </c>
    </row>
    <row r="76" spans="2:15" ht="20.25">
      <c r="B76" s="35"/>
      <c r="C76" s="53">
        <f>IF(AND('Actuaciones periódicas'!H29&lt;&gt;'Actuaciones periódicas'!I29,'Reporte Act.Periódicas'!C75&lt;&gt;'Actuaciones periódicas'!D29),'Actuaciones periódicas'!D29,0)</f>
        <v>0</v>
      </c>
      <c r="D76" s="54">
        <f>IF(C76=0,0,VLOOKUP(C76,'Actuaciones periódicas'!$D$20:$I$37,5))</f>
        <v>0</v>
      </c>
      <c r="E76" s="54">
        <f>IF(C76=0,0,VLOOKUP(C76,'Actuaciones periódicas'!$D$20:$I$37,6))</f>
        <v>0</v>
      </c>
      <c r="F76" s="54"/>
      <c r="G76" s="54"/>
      <c r="H76" s="35"/>
      <c r="I76" s="226">
        <f>IF('Actuaciones periódicas'!K30=0,0,'Actuaciones periódicas'!K30)</f>
        <v>0</v>
      </c>
      <c r="J76" s="226"/>
      <c r="K76" s="226"/>
      <c r="L76" s="35"/>
      <c r="M76" s="80">
        <f>IF(AND('Actuaciones periódicas'!Q30&lt;&gt;'Actuaciones periódicas'!R30,'Reporte Act.Periódicas'!M75&lt;&gt;'Actuaciones periódicas'!O30),'Actuaciones periódicas'!O30,0)</f>
        <v>0</v>
      </c>
      <c r="N76" s="88">
        <f>IF($M76=0,0,VLOOKUP(M76,'Actuaciones periódicas'!$O$20:$R$29,3))</f>
        <v>0</v>
      </c>
      <c r="O76" s="88">
        <f>IF($M76=0,0,VLOOKUP(M76,'Actuaciones periódicas'!$O$20:$R$29,4))</f>
        <v>0</v>
      </c>
    </row>
    <row r="77" spans="2:15" ht="40.5">
      <c r="B77" s="35"/>
      <c r="C77" s="53" t="str">
        <f>IF(AND('Actuaciones periódicas'!H30&lt;&gt;'Actuaciones periódicas'!I30,'Reporte Act.Periódicas'!C76&lt;&gt;'Actuaciones periódicas'!D30),'Actuaciones periódicas'!D30,0)</f>
        <v>WordPress SEO</v>
      </c>
      <c r="D77" s="54" t="str">
        <f>IF(C77=0,0,VLOOKUP(C77,'Actuaciones periódicas'!$D$20:$I$37,5))</f>
        <v>7.1</v>
      </c>
      <c r="E77" s="54" t="str">
        <f>IF(C77=0,0,VLOOKUP(C77,'Actuaciones periódicas'!$D$20:$I$37,6))</f>
        <v>7.3</v>
      </c>
      <c r="F77" s="54"/>
      <c r="G77" s="54"/>
      <c r="H77" s="35"/>
      <c r="I77" s="226">
        <f>IF('Actuaciones periódicas'!K31=0,0,'Actuaciones periódicas'!K31)</f>
        <v>0</v>
      </c>
      <c r="J77" s="226"/>
      <c r="K77" s="226"/>
      <c r="L77" s="35"/>
      <c r="M77" s="80">
        <f>IF(AND('Actuaciones periódicas'!Q31&lt;&gt;'Actuaciones periódicas'!R31,'Reporte Act.Periódicas'!M76&lt;&gt;'Actuaciones periódicas'!O31),'Actuaciones periódicas'!O31,0)</f>
        <v>0</v>
      </c>
      <c r="N77" s="88">
        <f>IF($M77=0,0,VLOOKUP(M77,'Actuaciones periódicas'!$O$20:$R$29,3))</f>
        <v>0</v>
      </c>
      <c r="O77" s="88">
        <f>IF($M77=0,0,VLOOKUP(M77,'Actuaciones periódicas'!$O$20:$R$29,4))</f>
        <v>0</v>
      </c>
    </row>
    <row r="78" spans="2:15" ht="40.5">
      <c r="B78" s="35"/>
      <c r="C78" s="53" t="str">
        <f>IF(AND('Actuaciones periódicas'!H31&lt;&gt;'Actuaciones periódicas'!I31,'Reporte Act.Periódicas'!C77&lt;&gt;'Actuaciones periódicas'!D31),'Actuaciones periódicas'!D31,0)</f>
        <v>Wordfence security</v>
      </c>
      <c r="D78" s="54" t="str">
        <f>IF(C78=0,0,VLOOKUP(C78,'Actuaciones periódicas'!$D$20:$I$37,5))</f>
        <v>3.0.2</v>
      </c>
      <c r="E78" s="54" t="str">
        <f>IF(C78=0,0,VLOOKUP(C78,'Actuaciones periódicas'!$D$20:$I$37,6))</f>
        <v>3.0.2</v>
      </c>
      <c r="F78" s="54"/>
      <c r="G78" s="54"/>
      <c r="H78" s="35"/>
      <c r="I78" s="35"/>
      <c r="J78" s="35"/>
      <c r="K78" s="35"/>
      <c r="L78" s="35"/>
      <c r="M78" s="35"/>
      <c r="N78" s="35"/>
      <c r="O78" s="35"/>
    </row>
    <row r="79" spans="2:15" ht="20.25">
      <c r="B79" s="35"/>
      <c r="C79" s="53">
        <f>IF(AND('Actuaciones periódicas'!H32&lt;&gt;'Actuaciones periódicas'!I32,'Reporte Act.Periódicas'!C78&lt;&gt;'Actuaciones periódicas'!D32),'Actuaciones periódicas'!D32,0)</f>
        <v>0</v>
      </c>
      <c r="D79" s="54">
        <f>IF(C79=0,0,VLOOKUP(C79,'Actuaciones periódicas'!$D$20:$I$37,5))</f>
        <v>0</v>
      </c>
      <c r="E79" s="54">
        <f>IF(C79=0,0,VLOOKUP(C79,'Actuaciones periódicas'!$D$20:$I$37,6))</f>
        <v>0</v>
      </c>
      <c r="F79" s="54"/>
      <c r="G79" s="54"/>
      <c r="H79" s="35"/>
      <c r="I79" s="35"/>
      <c r="J79" s="35"/>
      <c r="K79" s="35"/>
      <c r="L79" s="35"/>
      <c r="M79" s="35"/>
      <c r="N79" s="35"/>
      <c r="O79" s="35"/>
    </row>
    <row r="80" spans="2:15" ht="20.25">
      <c r="B80" s="35"/>
      <c r="C80" s="53">
        <f>IF(AND('Actuaciones periódicas'!H33&lt;&gt;'Actuaciones periódicas'!I33,'Reporte Act.Periódicas'!C79&lt;&gt;'Actuaciones periódicas'!D33),'Actuaciones periódicas'!D33,0)</f>
        <v>0</v>
      </c>
      <c r="D80" s="54">
        <f>IF(C80=0,0,VLOOKUP(C80,'Actuaciones periódicas'!$D$20:$I$37,5))</f>
        <v>0</v>
      </c>
      <c r="E80" s="54">
        <f>IF(C80=0,0,VLOOKUP(C80,'Actuaciones periódicas'!$D$20:$I$37,6))</f>
        <v>0</v>
      </c>
      <c r="F80" s="54"/>
      <c r="G80" s="54"/>
      <c r="H80" s="35"/>
      <c r="I80" s="56" t="s">
        <v>43</v>
      </c>
      <c r="J80" s="56"/>
      <c r="K80" s="56"/>
      <c r="L80" s="35"/>
      <c r="M80" s="35"/>
      <c r="N80" s="35"/>
      <c r="O80" s="35"/>
    </row>
    <row r="81" spans="2:15" ht="20.25">
      <c r="B81" s="35"/>
      <c r="C81" s="53">
        <f>IF(AND('Actuaciones periódicas'!H34&lt;&gt;'Actuaciones periódicas'!I34,'Reporte Act.Periódicas'!C80&lt;&gt;'Actuaciones periódicas'!D34),'Actuaciones periódicas'!D34,0)</f>
        <v>0</v>
      </c>
      <c r="D81" s="54">
        <f>IF(C81=0,0,VLOOKUP(C81,'Actuaciones periódicas'!$D$20:$I$37,5))</f>
        <v>0</v>
      </c>
      <c r="E81" s="54">
        <f>IF(C81=0,0,VLOOKUP(C81,'Actuaciones periódicas'!$D$20:$I$37,6))</f>
        <v>0</v>
      </c>
      <c r="F81" s="54"/>
      <c r="G81" s="54"/>
      <c r="H81" s="35"/>
      <c r="I81" s="57"/>
      <c r="J81" s="58"/>
      <c r="K81" s="58"/>
      <c r="L81" s="58"/>
      <c r="M81" s="58"/>
      <c r="N81" s="58"/>
      <c r="O81" s="59"/>
    </row>
    <row r="82" spans="2:15" ht="20.25">
      <c r="B82" s="35"/>
      <c r="C82" s="53">
        <f>IF(AND('Actuaciones periódicas'!H35&lt;&gt;'Actuaciones periódicas'!I35,'Reporte Act.Periódicas'!C81&lt;&gt;'Actuaciones periódicas'!D35),'Actuaciones periódicas'!D35,0)</f>
        <v>0</v>
      </c>
      <c r="D82" s="54">
        <f>IF(C82=0,0,VLOOKUP(C82,'Actuaciones periódicas'!$D$20:$I$37,5))</f>
        <v>0</v>
      </c>
      <c r="E82" s="54">
        <f>IF(C82=0,0,VLOOKUP(C82,'Actuaciones periódicas'!$D$20:$I$37,6))</f>
        <v>0</v>
      </c>
      <c r="F82" s="54"/>
      <c r="G82" s="54"/>
      <c r="H82" s="35"/>
      <c r="I82" s="60"/>
      <c r="J82" s="50"/>
      <c r="K82" s="50"/>
      <c r="L82" s="50"/>
      <c r="M82" s="50"/>
      <c r="N82" s="50"/>
      <c r="O82" s="61"/>
    </row>
    <row r="83" spans="2:15" ht="20.25">
      <c r="B83" s="62"/>
      <c r="C83" s="53">
        <f>IF(AND('Auditoría inicial'!H36&lt;&gt;'Auditoría inicial'!I36,'Reporte Act.Periódicas'!C82&lt;&gt;'Auditoría inicial'!D36),'Auditoría inicial'!D36,0)</f>
        <v>0</v>
      </c>
      <c r="D83" s="54">
        <f>IF(C83=0,0,VLOOKUP(C83,'Auditoría inicial'!$D$20:$I$37,5))</f>
        <v>0</v>
      </c>
      <c r="E83" s="54">
        <f>IF(C83=0,0,VLOOKUP(C83,'Auditoría inicial'!$D$20:$I$37,6))</f>
        <v>0</v>
      </c>
      <c r="F83" s="54"/>
      <c r="G83" s="54"/>
      <c r="H83" s="35"/>
      <c r="I83" s="60"/>
      <c r="J83" s="50"/>
      <c r="K83" s="50"/>
      <c r="L83" s="50"/>
      <c r="M83" s="50"/>
      <c r="N83" s="50"/>
      <c r="O83" s="61"/>
    </row>
    <row r="84" spans="2:15" ht="20.25">
      <c r="B84" s="35"/>
      <c r="C84" s="53">
        <f>IF(AND('Auditoría inicial'!H37&lt;&gt;'Auditoría inicial'!I37,'Reporte Act.Periódicas'!C83&lt;&gt;'Auditoría inicial'!D37),'Auditoría inicial'!D37,0)</f>
        <v>0</v>
      </c>
      <c r="D84" s="54">
        <f>IF(C84=0,0,VLOOKUP(C84,'Auditoría inicial'!$D$20:$I$37,5))</f>
        <v>0</v>
      </c>
      <c r="E84" s="54">
        <f>IF(C84=0,0,VLOOKUP(C84,'Auditoría inicial'!$D$20:$I$37,6))</f>
        <v>0</v>
      </c>
      <c r="F84" s="54"/>
      <c r="G84" s="54"/>
      <c r="H84" s="35"/>
      <c r="I84" s="60"/>
      <c r="J84" s="50"/>
      <c r="K84" s="50"/>
      <c r="L84" s="50"/>
      <c r="M84" s="50"/>
      <c r="N84" s="50"/>
      <c r="O84" s="61"/>
    </row>
    <row r="85" spans="2:15" ht="20.25">
      <c r="B85" s="35"/>
      <c r="C85" s="53"/>
      <c r="D85" s="54"/>
      <c r="E85" s="54"/>
      <c r="F85" s="54"/>
      <c r="G85" s="54"/>
      <c r="H85" s="35"/>
      <c r="I85" s="60"/>
      <c r="J85" s="50"/>
      <c r="K85" s="50"/>
      <c r="L85" s="50"/>
      <c r="M85" s="50"/>
      <c r="N85" s="50"/>
      <c r="O85" s="61"/>
    </row>
    <row r="86" spans="2:15" ht="20.25">
      <c r="B86" s="35"/>
      <c r="C86" s="53"/>
      <c r="D86" s="54"/>
      <c r="E86" s="54"/>
      <c r="F86" s="54"/>
      <c r="G86" s="54"/>
      <c r="H86" s="35"/>
      <c r="I86" s="60"/>
      <c r="J86" s="50"/>
      <c r="K86" s="50"/>
      <c r="L86" s="50"/>
      <c r="M86" s="50"/>
      <c r="N86" s="50"/>
      <c r="O86" s="61"/>
    </row>
    <row r="87" spans="2:15" ht="20.25">
      <c r="B87" s="35"/>
      <c r="C87" s="35"/>
      <c r="D87" s="35"/>
      <c r="E87" s="35"/>
      <c r="F87" s="35"/>
      <c r="G87" s="35"/>
      <c r="H87" s="35"/>
      <c r="I87" s="63"/>
      <c r="J87" s="64"/>
      <c r="K87" s="64"/>
      <c r="L87" s="64"/>
      <c r="M87" s="64"/>
      <c r="N87" s="64"/>
      <c r="O87" s="65"/>
    </row>
    <row r="88" spans="2:15">
      <c r="B88" s="10"/>
      <c r="C88" s="10"/>
      <c r="D88" s="10"/>
      <c r="E88" s="10"/>
      <c r="F88" s="10"/>
      <c r="G88" s="10"/>
      <c r="H88" s="10"/>
      <c r="I88" s="11"/>
      <c r="J88" s="11"/>
      <c r="K88" s="11"/>
      <c r="L88" s="11"/>
      <c r="M88" s="11"/>
      <c r="N88" s="11"/>
      <c r="O88" s="11"/>
    </row>
    <row r="89" spans="2:15"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</row>
    <row r="90" spans="2:15" ht="33" customHeight="1"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</row>
    <row r="91" spans="2:15" ht="33" customHeight="1" thickBot="1">
      <c r="B91" s="66" t="s">
        <v>33</v>
      </c>
      <c r="C91" s="68"/>
      <c r="D91" s="68"/>
      <c r="E91" s="68"/>
      <c r="F91" s="68"/>
      <c r="G91" s="68"/>
      <c r="H91" s="68"/>
      <c r="I91" s="68"/>
      <c r="J91" s="68"/>
      <c r="K91" s="68"/>
      <c r="L91" s="68"/>
      <c r="M91" s="68"/>
      <c r="N91" s="35"/>
      <c r="O91" s="35"/>
    </row>
    <row r="92" spans="2:15" ht="24" customHeight="1" thickTop="1"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</row>
    <row r="93" spans="2:15" ht="42" customHeight="1">
      <c r="B93" s="222" t="s">
        <v>116</v>
      </c>
      <c r="C93" s="222"/>
      <c r="D93" s="222"/>
      <c r="E93" s="222"/>
      <c r="F93" s="222"/>
      <c r="G93" s="222"/>
      <c r="H93" s="222"/>
      <c r="I93" s="222"/>
      <c r="J93" s="222"/>
      <c r="K93" s="222"/>
      <c r="L93" s="222"/>
      <c r="M93" s="222"/>
      <c r="N93" s="222"/>
      <c r="O93" s="222"/>
    </row>
    <row r="94" spans="2:15" s="3" customFormat="1" ht="42.95" customHeight="1">
      <c r="B94" s="222" t="s">
        <v>46</v>
      </c>
      <c r="C94" s="222"/>
      <c r="D94" s="222"/>
      <c r="E94" s="222"/>
      <c r="F94" s="222"/>
      <c r="G94" s="222"/>
      <c r="H94" s="222"/>
      <c r="I94" s="222"/>
      <c r="J94" s="222"/>
      <c r="K94" s="222"/>
      <c r="L94" s="222"/>
      <c r="M94" s="222"/>
      <c r="N94" s="222"/>
      <c r="O94" s="33"/>
    </row>
    <row r="95" spans="2:15" ht="20.25"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</row>
    <row r="96" spans="2:15" ht="20.25">
      <c r="B96" s="223" t="str">
        <f>'Actuaciones periódicas'!D45</f>
        <v>Recomendaciones por Gtmetrix</v>
      </c>
      <c r="C96" s="224"/>
      <c r="D96" s="224"/>
      <c r="E96" s="224"/>
      <c r="F96" s="58"/>
      <c r="G96" s="58"/>
      <c r="H96" s="59"/>
      <c r="I96" s="35"/>
      <c r="J96" s="253" t="str">
        <f>'Actuaciones periódicas'!D43</f>
        <v>Puntuación de PageSpeed</v>
      </c>
      <c r="K96" s="253"/>
      <c r="L96" s="253"/>
      <c r="M96" s="69">
        <f>'Actuaciones periódicas'!H43</f>
        <v>0.36</v>
      </c>
      <c r="N96" s="70"/>
      <c r="O96" s="35"/>
    </row>
    <row r="97" spans="2:15" ht="20.25">
      <c r="B97" s="60"/>
      <c r="C97" s="50"/>
      <c r="D97" s="50"/>
      <c r="E97" s="50"/>
      <c r="F97" s="50"/>
      <c r="G97" s="50"/>
      <c r="H97" s="61"/>
      <c r="I97" s="35"/>
      <c r="J97" s="35"/>
      <c r="K97" s="35"/>
      <c r="L97" s="35"/>
      <c r="M97" s="35"/>
      <c r="N97" s="35"/>
      <c r="O97" s="35"/>
    </row>
    <row r="98" spans="2:15" ht="36" customHeight="1">
      <c r="B98" s="60"/>
      <c r="C98" s="211">
        <f>'Actuaciones periódicas'!D47</f>
        <v>0</v>
      </c>
      <c r="D98" s="211"/>
      <c r="E98" s="211"/>
      <c r="F98" s="211"/>
      <c r="G98" s="211"/>
      <c r="H98" s="212"/>
      <c r="I98" s="35"/>
      <c r="J98" s="71" t="s">
        <v>57</v>
      </c>
      <c r="K98" s="72"/>
      <c r="L98" s="72"/>
      <c r="M98" s="72"/>
      <c r="N98" s="72"/>
      <c r="O98" s="72"/>
    </row>
    <row r="99" spans="2:15" ht="33" customHeight="1">
      <c r="B99" s="60"/>
      <c r="C99" s="211" t="str">
        <f>'Actuaciones periódicas'!D48</f>
        <v>- Optimización de imágenes</v>
      </c>
      <c r="D99" s="211"/>
      <c r="E99" s="211"/>
      <c r="F99" s="211"/>
      <c r="G99" s="211"/>
      <c r="H99" s="212"/>
      <c r="I99" s="35"/>
      <c r="J99" s="219"/>
      <c r="K99" s="220"/>
      <c r="L99" s="220"/>
      <c r="M99" s="220"/>
      <c r="N99" s="220"/>
      <c r="O99" s="221"/>
    </row>
    <row r="100" spans="2:15" ht="32.1" customHeight="1">
      <c r="B100" s="60"/>
      <c r="C100" s="211" t="str">
        <f>'Actuaciones periódicas'!D49</f>
        <v>- Establecer fecha de expiración del almacenamiento caché</v>
      </c>
      <c r="D100" s="211"/>
      <c r="E100" s="211"/>
      <c r="F100" s="211"/>
      <c r="G100" s="211"/>
      <c r="H100" s="212"/>
      <c r="I100" s="35"/>
      <c r="J100" s="208">
        <f>IF(AND('Auditoría inicial'!G58="Si",'Auditoría inicial'!G59="No",'Auditoría inicial'!G57="No",J99=0),"Se ha instalado el pugin Autoptimize para la optimización de los archivos html,CSS y JavaScript",0)</f>
        <v>0</v>
      </c>
      <c r="K100" s="209"/>
      <c r="L100" s="209"/>
      <c r="M100" s="209"/>
      <c r="N100" s="209"/>
      <c r="O100" s="210"/>
    </row>
    <row r="101" spans="2:15" ht="51" customHeight="1">
      <c r="B101" s="60"/>
      <c r="C101" s="211" t="str">
        <f>'Actuaciones periódicas'!D50</f>
        <v>- Minimizar el tamaño de las peticiones</v>
      </c>
      <c r="D101" s="211"/>
      <c r="E101" s="211"/>
      <c r="F101" s="211"/>
      <c r="G101" s="211"/>
      <c r="H101" s="212"/>
      <c r="I101" s="35"/>
      <c r="J101" s="213">
        <f>IF(OR(AND('Auditoría inicial'!G57="Si",'Auditoría inicial'!G59="Si"),AND('Auditoría inicial'!G57="No",'Auditoría inicial'!G59="Si")),"Se ha quitado el plugin Autoptimize ya que el plugin W3 Total Caché ya implementa las funciones de este plugin",0)</f>
        <v>0</v>
      </c>
      <c r="K101" s="214"/>
      <c r="L101" s="214"/>
      <c r="M101" s="214"/>
      <c r="N101" s="214"/>
      <c r="O101" s="215"/>
    </row>
    <row r="102" spans="2:15" ht="20.25">
      <c r="B102" s="60"/>
      <c r="C102" s="211" t="str">
        <f>'Actuaciones periódicas'!D51</f>
        <v>- Minimizar las redirecciones</v>
      </c>
      <c r="D102" s="211"/>
      <c r="E102" s="211"/>
      <c r="F102" s="211"/>
      <c r="G102" s="211"/>
      <c r="H102" s="212"/>
      <c r="I102" s="35"/>
      <c r="J102" s="213">
        <f>IF(AND('Auditoría inicial'!G57="Si",'Auditoría inicial'!G58="Si"),"Se ha quitado el plugin WP Super caché quedando en uso el plugin W3 Total Caché",0)</f>
        <v>0</v>
      </c>
      <c r="K102" s="214"/>
      <c r="L102" s="214"/>
      <c r="M102" s="214"/>
      <c r="N102" s="214"/>
      <c r="O102" s="215"/>
    </row>
    <row r="103" spans="2:15" ht="20.25">
      <c r="B103" s="60"/>
      <c r="C103" s="211">
        <f>'Actuaciones periódicas'!D52</f>
        <v>0</v>
      </c>
      <c r="D103" s="211"/>
      <c r="E103" s="211"/>
      <c r="F103" s="211"/>
      <c r="G103" s="211"/>
      <c r="H103" s="212"/>
      <c r="I103" s="35"/>
      <c r="J103" s="213"/>
      <c r="K103" s="214"/>
      <c r="L103" s="214"/>
      <c r="M103" s="214"/>
      <c r="N103" s="214"/>
      <c r="O103" s="215"/>
    </row>
    <row r="104" spans="2:15" ht="20.25">
      <c r="B104" s="60"/>
      <c r="C104" s="211">
        <f>'Actuaciones periódicas'!D53</f>
        <v>0</v>
      </c>
      <c r="D104" s="211"/>
      <c r="E104" s="211"/>
      <c r="F104" s="211"/>
      <c r="G104" s="211"/>
      <c r="H104" s="212"/>
      <c r="I104" s="35"/>
      <c r="J104" s="63"/>
      <c r="K104" s="64"/>
      <c r="L104" s="64"/>
      <c r="M104" s="64"/>
      <c r="N104" s="64"/>
      <c r="O104" s="65"/>
    </row>
    <row r="105" spans="2:15" ht="20.25">
      <c r="B105" s="63"/>
      <c r="C105" s="206">
        <f>'Actuaciones periódicas'!D54</f>
        <v>0</v>
      </c>
      <c r="D105" s="206"/>
      <c r="E105" s="206"/>
      <c r="F105" s="206"/>
      <c r="G105" s="206"/>
      <c r="H105" s="207"/>
      <c r="I105" s="35"/>
      <c r="J105" s="35"/>
      <c r="K105" s="35"/>
      <c r="L105" s="35"/>
      <c r="M105" s="35"/>
      <c r="N105" s="35"/>
      <c r="O105" s="35"/>
    </row>
    <row r="106" spans="2:15" ht="20.25"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</row>
    <row r="107" spans="2:15" ht="20.25"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</row>
    <row r="108" spans="2:15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</row>
    <row r="109" spans="2:15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</row>
    <row r="110" spans="2:15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</row>
    <row r="111" spans="2:15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</row>
    <row r="112" spans="2:15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</row>
    <row r="113" spans="2:15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</row>
    <row r="114" spans="2:15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</row>
    <row r="115" spans="2:15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</row>
    <row r="116" spans="2:15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</row>
    <row r="117" spans="2:15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</row>
    <row r="118" spans="2:15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</row>
    <row r="119" spans="2:15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</row>
    <row r="120" spans="2:15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</row>
    <row r="121" spans="2:15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</row>
    <row r="122" spans="2:15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</row>
    <row r="123" spans="2:15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</row>
    <row r="124" spans="2:15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</row>
    <row r="125" spans="2:15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</row>
    <row r="126" spans="2:15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</row>
    <row r="127" spans="2:15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</row>
    <row r="128" spans="2:15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</row>
    <row r="129" spans="2:15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</row>
    <row r="130" spans="2:15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</row>
    <row r="131" spans="2:15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</row>
    <row r="132" spans="2:15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</row>
    <row r="133" spans="2:15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</row>
    <row r="134" spans="2:15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</row>
    <row r="135" spans="2:15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</row>
    <row r="136" spans="2:15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</row>
    <row r="137" spans="2:15" ht="21.75" thickBot="1">
      <c r="B137" s="32" t="s">
        <v>45</v>
      </c>
      <c r="C137" s="81"/>
      <c r="D137" s="32"/>
      <c r="E137" s="32"/>
      <c r="F137" s="32"/>
      <c r="G137" s="32"/>
      <c r="H137" s="13"/>
      <c r="I137" s="13"/>
      <c r="J137" s="13"/>
      <c r="K137" s="13"/>
      <c r="L137" s="13"/>
      <c r="M137" s="13"/>
      <c r="N137" s="10"/>
      <c r="O137" s="10"/>
    </row>
    <row r="138" spans="2:15" ht="21.75" thickTop="1">
      <c r="B138" s="28"/>
      <c r="C138" s="28"/>
      <c r="D138" s="28"/>
      <c r="E138" s="28"/>
      <c r="F138" s="28"/>
      <c r="G138" s="28"/>
      <c r="H138" s="28"/>
      <c r="I138" s="10"/>
      <c r="J138" s="10"/>
      <c r="K138" s="10"/>
      <c r="L138" s="10"/>
      <c r="M138" s="10"/>
      <c r="N138" s="10"/>
      <c r="O138" s="10"/>
    </row>
    <row r="139" spans="2:15" ht="36.950000000000003" customHeight="1">
      <c r="B139" s="40"/>
      <c r="C139" s="255" t="str">
        <f>IF('Actuaciones periódicas'!I60="Si","Informe datos de entrega de emails de la fecha",0)</f>
        <v>Informe datos de entrega de emails de la fecha</v>
      </c>
      <c r="D139" s="255"/>
      <c r="E139" s="255"/>
      <c r="F139" s="40"/>
      <c r="G139" s="92">
        <f>IF('Reporte Act.Periódicas'!$C$139&lt;&gt;0,'Actuaciones periódicas'!H62,0)</f>
        <v>43198</v>
      </c>
      <c r="H139" s="83" t="str">
        <f>IF('Reporte Act.Periódicas'!$C$139&lt;&gt;0,'Actuaciones periódicas'!I62,0)</f>
        <v>a</v>
      </c>
      <c r="I139" s="92">
        <f>IF('Reporte Act.Periódicas'!$C$139&lt;&gt;0,'Actuaciones periódicas'!J62,0)</f>
        <v>43228</v>
      </c>
      <c r="J139" s="10"/>
      <c r="K139" s="10"/>
      <c r="L139" s="10"/>
      <c r="M139" s="10"/>
      <c r="N139" s="10"/>
      <c r="O139" s="10"/>
    </row>
    <row r="140" spans="2:15" ht="47.1" customHeight="1">
      <c r="B140" s="35"/>
      <c r="C140" s="35">
        <f>IF(C139=0,"No se ha contratado el servicio de registro de envío y entrega de emails",0)</f>
        <v>0</v>
      </c>
      <c r="D140" s="35"/>
      <c r="E140" s="35"/>
      <c r="F140" s="35"/>
      <c r="G140" s="35"/>
      <c r="H140" s="35"/>
      <c r="I140" s="10"/>
      <c r="J140" s="10"/>
      <c r="K140" s="10"/>
      <c r="L140" s="10"/>
      <c r="M140" s="10"/>
      <c r="N140" s="10"/>
      <c r="O140" s="10"/>
    </row>
    <row r="141" spans="2:15" ht="83.1" customHeight="1">
      <c r="B141" s="75"/>
      <c r="C141" s="254" t="str">
        <f>IF('Actuaciones periódicas'!D64&lt;&gt;0,'Actuaciones periódicas'!D64,0)</f>
        <v>EMAILS ENTREGADOS</v>
      </c>
      <c r="D141" s="254"/>
      <c r="E141" s="254"/>
      <c r="F141" s="254"/>
      <c r="G141" s="254"/>
      <c r="H141" s="254"/>
      <c r="I141" s="254"/>
      <c r="J141" s="254"/>
      <c r="K141" s="254"/>
      <c r="L141" s="254"/>
      <c r="M141" s="10"/>
      <c r="N141" s="10"/>
      <c r="O141" s="10"/>
    </row>
    <row r="142" spans="2:15" ht="69" customHeight="1">
      <c r="B142" s="76"/>
      <c r="C142" s="85" t="str">
        <f>IF($C$141&lt;&gt;0,'Actuaciones periódicas'!D65,0)</f>
        <v>Peticiones</v>
      </c>
      <c r="D142" s="85" t="str">
        <f>IF($C$141&lt;&gt;0,'Actuaciones periódicas'!E65,0)</f>
        <v>Descenso (%)</v>
      </c>
      <c r="E142" s="85" t="str">
        <f>IF($C$141&lt;&gt;0,'Actuaciones periódicas'!F65,0)</f>
        <v>Tasa de entrega (%)</v>
      </c>
      <c r="F142" s="85" t="str">
        <f>IF($C$141&lt;&gt;0,'Actuaciones periódicas'!G65,0)</f>
        <v>Reportes de spam (%)</v>
      </c>
      <c r="G142" s="85" t="str">
        <f>IF($C$141&lt;&gt;0,'Actuaciones periódicas'!H65,0)</f>
        <v>Tasa de rebotes (%)</v>
      </c>
      <c r="H142" s="85" t="str">
        <f>IF($C$141&lt;&gt;0,'Actuaciones periódicas'!I65,0)</f>
        <v>Bloqueos (%)</v>
      </c>
      <c r="I142" s="85" t="str">
        <f>IF($C$141&lt;&gt;0,'Actuaciones periódicas'!J65,0)</f>
        <v>Cancelaciones de subscripción (%)</v>
      </c>
      <c r="J142" s="85" t="str">
        <f>IF($C$141&lt;&gt;0,'Actuaciones periódicas'!K65,0)</f>
        <v>Apertura única (%)</v>
      </c>
      <c r="K142" s="85" t="str">
        <f>IF($C$141&lt;&gt;0,'Actuaciones periódicas'!L65,0)</f>
        <v>Tasa de apertura (%)</v>
      </c>
      <c r="L142" s="85" t="str">
        <f>IF($C$141&lt;&gt;0,'Actuaciones periódicas'!M65,0)</f>
        <v>Tasa de clicks (%)</v>
      </c>
      <c r="M142" s="10"/>
      <c r="N142" s="10"/>
      <c r="O142" s="10"/>
    </row>
    <row r="143" spans="2:15" ht="47.1" customHeight="1">
      <c r="B143" s="35"/>
      <c r="C143" s="86">
        <f>IF(C142&lt;&gt;0,'Actuaciones periódicas'!D66,0)</f>
        <v>11278</v>
      </c>
      <c r="D143" s="87" t="str">
        <f>IF('Actuaciones periódicas'!E66&lt;&gt;0,'Actuaciones periódicas'!E66/100,IF(AND(C143=0,'Actuaciones periódicas'!E66=0),0,"0%"))</f>
        <v>0%</v>
      </c>
      <c r="E143" s="87">
        <f>IF('Actuaciones periódicas'!F66&lt;&gt;0,'Actuaciones periódicas'!F66/100,IF(AND(D143=0,'Actuaciones periódicas'!F66=0),0,"0%"))</f>
        <v>0.99750000000000005</v>
      </c>
      <c r="F143" s="87" t="str">
        <f>IF('Actuaciones periódicas'!G66&lt;&gt;0,'Actuaciones periódicas'!G66/100,IF(AND(E143=0,'Actuaciones periódicas'!G66=0),0,"0%"))</f>
        <v>0%</v>
      </c>
      <c r="G143" s="87">
        <f>IF('Actuaciones periódicas'!H66&lt;&gt;0,'Actuaciones periódicas'!H66/100,IF(AND(F143=0,'Actuaciones periódicas'!H66=0),0,"0%"))</f>
        <v>1.8E-3</v>
      </c>
      <c r="H143" s="87" t="str">
        <f>IF('Actuaciones periódicas'!I66&lt;&gt;0,'Actuaciones periódicas'!I66/100,IF(AND(G143=0,'Actuaciones periódicas'!I66=0),0,"0%"))</f>
        <v>0%</v>
      </c>
      <c r="I143" s="87" t="str">
        <f>IF('Actuaciones periódicas'!J66&lt;&gt;0,'Actuaciones periódicas'!J66/100,IF(AND(H143=0,'Actuaciones periódicas'!J66=0),0,"0%"))</f>
        <v>0%</v>
      </c>
      <c r="J143" s="87">
        <f>IF('Actuaciones periódicas'!K66&lt;&gt;0,'Actuaciones periódicas'!K66/100,IF(AND(I143=0,'Actuaciones periódicas'!K66=0),0,"0%"))</f>
        <v>0.33</v>
      </c>
      <c r="K143" s="87">
        <f>IF('Actuaciones periódicas'!L66&lt;&gt;0,'Actuaciones periódicas'!L66/100,IF(AND(J143=0,'Actuaciones periódicas'!L66=0),0,"0%"))</f>
        <v>0.66079999999999994</v>
      </c>
      <c r="L143" s="87">
        <f>IF('Actuaciones periódicas'!M66&lt;&gt;0,'Actuaciones periódicas'!M66/100,IF(AND(K143=0,'Actuaciones periódicas'!M66=0),0,"0%"))</f>
        <v>1.9E-3</v>
      </c>
      <c r="M143" s="10"/>
      <c r="N143" s="10"/>
      <c r="O143" s="10"/>
    </row>
    <row r="144" spans="2:15" ht="33" customHeight="1">
      <c r="B144" s="41"/>
      <c r="C144" s="10"/>
      <c r="D144" s="10"/>
      <c r="E144" s="10"/>
      <c r="F144" s="10"/>
      <c r="G144" s="10"/>
      <c r="H144" s="10"/>
      <c r="I144" s="74"/>
      <c r="J144" s="35"/>
      <c r="K144" s="35"/>
      <c r="L144" s="10"/>
      <c r="M144" s="10"/>
      <c r="N144" s="10"/>
      <c r="O144" s="10"/>
    </row>
    <row r="145" spans="2:15" ht="30" customHeight="1">
      <c r="B145" s="27"/>
      <c r="C145" s="10"/>
      <c r="D145" s="10"/>
      <c r="E145" s="10"/>
      <c r="F145" s="10"/>
      <c r="G145" s="10"/>
      <c r="H145" s="10"/>
      <c r="I145" s="35"/>
      <c r="J145" s="35"/>
      <c r="K145" s="35"/>
      <c r="L145" s="10"/>
      <c r="M145" s="10"/>
      <c r="N145" s="10"/>
      <c r="O145" s="10"/>
    </row>
    <row r="146" spans="2:15" ht="20.100000000000001" customHeight="1">
      <c r="B146" s="10"/>
      <c r="C146" s="10"/>
      <c r="D146" s="10"/>
      <c r="E146" s="10"/>
      <c r="F146" s="10"/>
      <c r="G146" s="10"/>
      <c r="H146" s="10"/>
      <c r="I146" s="35"/>
      <c r="J146" s="35"/>
      <c r="K146" s="35"/>
      <c r="L146" s="10"/>
      <c r="M146" s="10"/>
      <c r="N146" s="10"/>
      <c r="O146" s="10"/>
    </row>
    <row r="147" spans="2:15" ht="48" customHeight="1">
      <c r="B147" s="10"/>
      <c r="C147" s="35" t="str">
        <f>IF(C139&lt;&gt;0,"A continuación se adjuntan las gráficas de los resultados obtenidos",0)</f>
        <v>A continuación se adjuntan las gráficas de los resultados obtenidos</v>
      </c>
      <c r="D147" s="35"/>
      <c r="E147" s="35"/>
      <c r="F147" s="35"/>
      <c r="G147" s="10"/>
      <c r="H147" s="10"/>
      <c r="I147" s="80"/>
      <c r="J147" s="35"/>
      <c r="K147" s="35"/>
      <c r="L147" s="10"/>
      <c r="M147" s="10"/>
      <c r="N147" s="10"/>
      <c r="O147" s="10"/>
    </row>
    <row r="148" spans="2:15" ht="48" customHeight="1">
      <c r="B148" s="10"/>
      <c r="C148" s="35"/>
      <c r="D148" s="35"/>
      <c r="E148" s="35"/>
      <c r="F148" s="35"/>
      <c r="G148" s="10"/>
      <c r="H148" s="10"/>
      <c r="I148" s="80"/>
      <c r="J148" s="35"/>
      <c r="K148" s="35"/>
      <c r="L148" s="10"/>
      <c r="M148" s="10"/>
      <c r="N148" s="10"/>
      <c r="O148" s="10"/>
    </row>
    <row r="149" spans="2:15" ht="48" customHeight="1">
      <c r="B149" s="10"/>
      <c r="C149" s="35"/>
      <c r="D149" s="35"/>
      <c r="E149" s="35"/>
      <c r="F149" s="35"/>
      <c r="G149" s="10"/>
      <c r="H149" s="10"/>
      <c r="I149" s="80"/>
      <c r="J149" s="35"/>
      <c r="K149" s="35"/>
      <c r="L149" s="10"/>
      <c r="M149" s="10"/>
      <c r="N149" s="10"/>
      <c r="O149" s="10"/>
    </row>
    <row r="150" spans="2:15" ht="48" customHeight="1">
      <c r="B150" s="10"/>
      <c r="C150" s="35"/>
      <c r="D150" s="35"/>
      <c r="E150" s="35"/>
      <c r="F150" s="35"/>
      <c r="G150" s="10"/>
      <c r="H150" s="10"/>
      <c r="I150" s="80"/>
      <c r="J150" s="35"/>
      <c r="K150" s="35"/>
      <c r="L150" s="10"/>
      <c r="M150" s="10"/>
      <c r="N150" s="10"/>
      <c r="O150" s="10"/>
    </row>
    <row r="151" spans="2:15" ht="48" customHeight="1">
      <c r="B151" s="10"/>
      <c r="C151" s="35"/>
      <c r="D151" s="35"/>
      <c r="E151" s="35"/>
      <c r="F151" s="35"/>
      <c r="G151" s="10"/>
      <c r="H151" s="10"/>
      <c r="I151" s="80"/>
      <c r="J151" s="35"/>
      <c r="K151" s="35"/>
      <c r="L151" s="10"/>
      <c r="M151" s="10"/>
      <c r="N151" s="10"/>
      <c r="O151" s="10"/>
    </row>
    <row r="152" spans="2:15" ht="48" customHeight="1">
      <c r="B152" s="10"/>
      <c r="C152" s="35"/>
      <c r="D152" s="35"/>
      <c r="E152" s="35"/>
      <c r="F152" s="35"/>
      <c r="G152" s="10"/>
      <c r="H152" s="10"/>
      <c r="I152" s="80"/>
      <c r="J152" s="35"/>
      <c r="K152" s="35"/>
      <c r="L152" s="10"/>
      <c r="M152" s="10"/>
      <c r="N152" s="10"/>
      <c r="O152" s="10"/>
    </row>
    <row r="153" spans="2:15" ht="48" customHeight="1">
      <c r="B153" s="10"/>
      <c r="C153" s="35"/>
      <c r="D153" s="35"/>
      <c r="E153" s="35"/>
      <c r="F153" s="35"/>
      <c r="G153" s="10"/>
      <c r="H153" s="10"/>
      <c r="I153" s="80"/>
      <c r="J153" s="35"/>
      <c r="K153" s="35"/>
      <c r="L153" s="10"/>
      <c r="M153" s="10"/>
      <c r="N153" s="10"/>
      <c r="O153" s="10"/>
    </row>
    <row r="154" spans="2:15" ht="48" customHeight="1">
      <c r="B154" s="10"/>
      <c r="C154" s="35"/>
      <c r="D154" s="35"/>
      <c r="E154" s="35"/>
      <c r="F154" s="35"/>
      <c r="G154" s="10"/>
      <c r="H154" s="10"/>
      <c r="I154" s="80"/>
      <c r="J154" s="35"/>
      <c r="K154" s="35"/>
      <c r="L154" s="10"/>
      <c r="M154" s="10"/>
      <c r="N154" s="10"/>
      <c r="O154" s="10"/>
    </row>
    <row r="155" spans="2:15" ht="48" customHeight="1">
      <c r="B155" s="10"/>
      <c r="C155" s="35"/>
      <c r="D155" s="35"/>
      <c r="E155" s="35"/>
      <c r="F155" s="35"/>
      <c r="G155" s="10"/>
      <c r="H155" s="10"/>
      <c r="I155" s="80"/>
      <c r="J155" s="35"/>
      <c r="K155" s="35"/>
      <c r="L155" s="10"/>
      <c r="M155" s="10"/>
      <c r="N155" s="10"/>
      <c r="O155" s="10"/>
    </row>
    <row r="156" spans="2:15" ht="48" customHeight="1">
      <c r="B156" s="10"/>
      <c r="C156" s="35"/>
      <c r="D156" s="35"/>
      <c r="E156" s="35"/>
      <c r="F156" s="35"/>
      <c r="G156" s="10"/>
      <c r="H156" s="10"/>
      <c r="I156" s="80"/>
      <c r="J156" s="35"/>
      <c r="K156" s="35"/>
      <c r="L156" s="10"/>
      <c r="M156" s="10"/>
      <c r="N156" s="10"/>
      <c r="O156" s="10"/>
    </row>
    <row r="157" spans="2:15" ht="48" customHeight="1">
      <c r="B157" s="10"/>
      <c r="C157" s="35"/>
      <c r="D157" s="35"/>
      <c r="E157" s="35"/>
      <c r="F157" s="35"/>
      <c r="G157" s="10"/>
      <c r="H157" s="10"/>
      <c r="I157" s="80"/>
      <c r="J157" s="35"/>
      <c r="K157" s="35"/>
      <c r="L157" s="10"/>
      <c r="M157" s="10"/>
      <c r="N157" s="10"/>
      <c r="O157" s="10"/>
    </row>
    <row r="158" spans="2:15" ht="48" customHeight="1">
      <c r="B158" s="10"/>
      <c r="C158" s="35"/>
      <c r="D158" s="35"/>
      <c r="E158" s="35"/>
      <c r="F158" s="35"/>
      <c r="G158" s="10"/>
      <c r="H158" s="10"/>
      <c r="I158" s="80"/>
      <c r="J158" s="35"/>
      <c r="K158" s="35"/>
      <c r="L158" s="10"/>
      <c r="M158" s="10"/>
      <c r="N158" s="10"/>
      <c r="O158" s="10"/>
    </row>
    <row r="159" spans="2:15" ht="48" customHeight="1">
      <c r="B159" s="10"/>
      <c r="C159" s="35"/>
      <c r="D159" s="35"/>
      <c r="E159" s="35"/>
      <c r="F159" s="35"/>
      <c r="G159" s="10"/>
      <c r="H159" s="10"/>
      <c r="I159" s="80"/>
      <c r="J159" s="35"/>
      <c r="K159" s="35"/>
      <c r="L159" s="10"/>
      <c r="M159" s="10"/>
      <c r="N159" s="10"/>
      <c r="O159" s="10"/>
    </row>
    <row r="160" spans="2:15" ht="48" customHeight="1">
      <c r="B160" s="10"/>
      <c r="C160" s="35"/>
      <c r="D160" s="35"/>
      <c r="E160" s="35"/>
      <c r="F160" s="35"/>
      <c r="G160" s="10"/>
      <c r="H160" s="10"/>
      <c r="I160" s="80"/>
      <c r="J160" s="35"/>
      <c r="K160" s="35"/>
      <c r="L160" s="10"/>
      <c r="M160" s="10"/>
      <c r="N160" s="10"/>
      <c r="O160" s="10"/>
    </row>
    <row r="161" spans="2:15" ht="48" customHeight="1">
      <c r="B161" s="10"/>
      <c r="C161" s="35"/>
      <c r="D161" s="35"/>
      <c r="E161" s="35"/>
      <c r="F161" s="35"/>
      <c r="G161" s="10"/>
      <c r="H161" s="10"/>
      <c r="I161" s="80"/>
      <c r="J161" s="35"/>
      <c r="K161" s="35"/>
      <c r="L161" s="10"/>
      <c r="M161" s="10"/>
      <c r="N161" s="10"/>
      <c r="O161" s="10"/>
    </row>
    <row r="162" spans="2:15" ht="48" customHeight="1">
      <c r="B162" s="10"/>
      <c r="C162" s="35"/>
      <c r="D162" s="35"/>
      <c r="E162" s="35"/>
      <c r="F162" s="35"/>
      <c r="G162" s="10"/>
      <c r="H162" s="10"/>
      <c r="I162" s="80"/>
      <c r="J162" s="35"/>
      <c r="K162" s="35"/>
      <c r="L162" s="10"/>
      <c r="M162" s="10"/>
      <c r="N162" s="10"/>
      <c r="O162" s="10"/>
    </row>
    <row r="163" spans="2:15" ht="48" customHeight="1">
      <c r="B163" s="10"/>
      <c r="C163" s="35"/>
      <c r="D163" s="35"/>
      <c r="E163" s="35"/>
      <c r="F163" s="35"/>
      <c r="G163" s="10"/>
      <c r="H163" s="10"/>
      <c r="I163" s="80"/>
      <c r="J163" s="35"/>
      <c r="K163" s="35"/>
      <c r="L163" s="10"/>
      <c r="M163" s="10"/>
      <c r="N163" s="10"/>
      <c r="O163" s="10"/>
    </row>
    <row r="164" spans="2:15" ht="48" customHeight="1">
      <c r="B164" s="10"/>
      <c r="C164" s="35"/>
      <c r="D164" s="35"/>
      <c r="E164" s="35"/>
      <c r="F164" s="35"/>
      <c r="G164" s="10"/>
      <c r="H164" s="10"/>
      <c r="I164" s="80"/>
      <c r="J164" s="35"/>
      <c r="K164" s="35"/>
      <c r="L164" s="10"/>
      <c r="M164" s="10"/>
      <c r="N164" s="10"/>
      <c r="O164" s="10"/>
    </row>
    <row r="165" spans="2:15" ht="48" customHeight="1">
      <c r="B165" s="10"/>
      <c r="C165" s="35"/>
      <c r="D165" s="35"/>
      <c r="E165" s="35"/>
      <c r="F165" s="35"/>
      <c r="G165" s="10"/>
      <c r="H165" s="10"/>
      <c r="I165" s="80"/>
      <c r="J165" s="35"/>
      <c r="K165" s="35"/>
      <c r="L165" s="10"/>
      <c r="M165" s="10"/>
      <c r="N165" s="10"/>
      <c r="O165" s="10"/>
    </row>
    <row r="166" spans="2:15" ht="48" customHeight="1">
      <c r="B166" s="10"/>
      <c r="C166" s="35"/>
      <c r="D166" s="35"/>
      <c r="E166" s="35"/>
      <c r="F166" s="35"/>
      <c r="G166" s="10"/>
      <c r="H166" s="10"/>
      <c r="I166" s="80"/>
      <c r="J166" s="35"/>
      <c r="K166" s="35"/>
      <c r="L166" s="10"/>
      <c r="M166" s="10"/>
      <c r="N166" s="10"/>
      <c r="O166" s="10"/>
    </row>
    <row r="167" spans="2:15" ht="48" customHeight="1">
      <c r="B167" s="10"/>
      <c r="C167" s="35"/>
      <c r="D167" s="35"/>
      <c r="E167" s="35"/>
      <c r="F167" s="35"/>
      <c r="G167" s="10"/>
      <c r="H167" s="10"/>
      <c r="I167" s="80"/>
      <c r="J167" s="35"/>
      <c r="K167" s="35"/>
      <c r="L167" s="10"/>
      <c r="M167" s="10"/>
      <c r="N167" s="10"/>
      <c r="O167" s="10"/>
    </row>
    <row r="168" spans="2:15" ht="48" customHeight="1">
      <c r="B168" s="10"/>
      <c r="C168" s="35"/>
      <c r="D168" s="35"/>
      <c r="E168" s="35"/>
      <c r="F168" s="35"/>
      <c r="G168" s="10"/>
      <c r="H168" s="10"/>
      <c r="I168" s="80"/>
      <c r="J168" s="35"/>
      <c r="K168" s="35"/>
      <c r="L168" s="10"/>
      <c r="M168" s="10"/>
      <c r="N168" s="10"/>
      <c r="O168" s="10"/>
    </row>
    <row r="169" spans="2:15" ht="48" customHeight="1">
      <c r="B169" s="10"/>
      <c r="C169" s="35"/>
      <c r="D169" s="35"/>
      <c r="E169" s="35"/>
      <c r="F169" s="35"/>
      <c r="G169" s="10"/>
      <c r="H169" s="10"/>
      <c r="I169" s="80"/>
      <c r="J169" s="35"/>
      <c r="K169" s="35"/>
      <c r="L169" s="10"/>
      <c r="M169" s="10"/>
      <c r="N169" s="10"/>
      <c r="O169" s="10"/>
    </row>
    <row r="170" spans="2:15" ht="48" customHeight="1">
      <c r="B170" s="10"/>
      <c r="C170" s="35"/>
      <c r="D170" s="35"/>
      <c r="E170" s="35"/>
      <c r="F170" s="35"/>
      <c r="G170" s="10"/>
      <c r="H170" s="10"/>
      <c r="I170" s="80"/>
      <c r="J170" s="35"/>
      <c r="K170" s="35"/>
      <c r="L170" s="10"/>
      <c r="M170" s="10"/>
      <c r="N170" s="10"/>
      <c r="O170" s="10"/>
    </row>
    <row r="171" spans="2:15" ht="48" customHeight="1">
      <c r="B171" s="10"/>
      <c r="C171" s="35"/>
      <c r="D171" s="35"/>
      <c r="E171" s="35"/>
      <c r="F171" s="35"/>
      <c r="G171" s="10"/>
      <c r="H171" s="10"/>
      <c r="I171" s="80"/>
      <c r="J171" s="35"/>
      <c r="K171" s="35"/>
      <c r="L171" s="10"/>
      <c r="M171" s="10"/>
      <c r="N171" s="10"/>
      <c r="O171" s="10"/>
    </row>
    <row r="172" spans="2:15" ht="48" customHeight="1">
      <c r="B172" s="10"/>
      <c r="C172" s="35"/>
      <c r="D172" s="35"/>
      <c r="E172" s="35"/>
      <c r="F172" s="35"/>
      <c r="G172" s="10"/>
      <c r="H172" s="10"/>
      <c r="I172" s="80"/>
      <c r="J172" s="35"/>
      <c r="K172" s="35"/>
      <c r="L172" s="10"/>
      <c r="M172" s="10"/>
      <c r="N172" s="10"/>
      <c r="O172" s="10"/>
    </row>
    <row r="173" spans="2:15" ht="48" customHeight="1">
      <c r="B173" s="10"/>
      <c r="C173" s="35"/>
      <c r="D173" s="35"/>
      <c r="E173" s="35"/>
      <c r="F173" s="35"/>
      <c r="G173" s="10"/>
      <c r="H173" s="10"/>
      <c r="I173" s="80"/>
      <c r="J173" s="35"/>
      <c r="K173" s="35"/>
      <c r="L173" s="10"/>
      <c r="M173" s="10"/>
      <c r="N173" s="10"/>
      <c r="O173" s="10"/>
    </row>
    <row r="174" spans="2:15"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</row>
    <row r="175" spans="2:15"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</row>
    <row r="176" spans="2:15"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</row>
    <row r="177" spans="2:15"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</row>
    <row r="178" spans="2:15" ht="21.75" thickBot="1">
      <c r="B178" s="32" t="str">
        <f>IF('Actuaciones periódicas'!H73="Si","HOSTING",0)</f>
        <v>HOSTING</v>
      </c>
      <c r="C178" s="32"/>
      <c r="D178" s="32"/>
      <c r="E178" s="32"/>
      <c r="F178" s="32"/>
      <c r="G178" s="32"/>
      <c r="H178" s="32"/>
      <c r="I178" s="32"/>
      <c r="J178" s="32"/>
      <c r="K178" s="32"/>
      <c r="L178" s="32"/>
      <c r="M178" s="32"/>
      <c r="N178" s="10"/>
      <c r="O178" s="10"/>
    </row>
    <row r="179" spans="2:15" ht="18" thickTop="1"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</row>
    <row r="180" spans="2:15" ht="20.25">
      <c r="B180" s="10"/>
      <c r="C180" s="35" t="str">
        <f>IF('Actuaciones periódicas'!H73="Si","La web se encuentra alojada en el servidor de Brooktec","La web no se encuentra alojada en el servidor de Brooktec")</f>
        <v>La web se encuentra alojada en el servidor de Brooktec</v>
      </c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</row>
    <row r="181" spans="2:15" ht="20.25">
      <c r="B181" s="10"/>
      <c r="C181" s="35" t="str">
        <f>IF(AND(C180&lt;&gt;0,'Actuaciones periódicas'!H74="Si",'Actuaciones periódicas'!K74="1 semana"),"Se están realizando copias de seguridad cada semana",IF(AND(C180&lt;&gt;0,'Actuaciones periódicas'!H74="Si",'Actuaciones periódicas'!K74="2 semanas"),"Se están realizando copias de seguridad cada 2 semanas",IF(AND(C180&lt;&gt;0,'Actuaciones periódicas'!H74="Si",'Actuaciones periódicas'!K74="1 mes"),"Se están realizando copias de seguridad cada mes",IF(AND(C180&lt;&gt;0,'Actuaciones periódicas'!H74="Si",'Actuaciones periódicas'!K74="Trimestral"),"Se están realizando copias de seguridad trimestralmente","No se realizan copias de seguridad"))))</f>
        <v>Se están realizando copias de seguridad cada mes</v>
      </c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</row>
    <row r="182" spans="2:15"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</row>
    <row r="183" spans="2:15"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</row>
    <row r="184" spans="2:15"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</row>
    <row r="185" spans="2:15" ht="20.25">
      <c r="B185" s="10"/>
      <c r="C185" s="84" t="str">
        <f>IF(C180&lt;&gt;0,"Se adjuntan las gráficas de capacidad de la CPU",0)</f>
        <v>Se adjuntan las gráficas de capacidad de la CPU</v>
      </c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</row>
    <row r="186" spans="2:15"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</row>
    <row r="187" spans="2:15"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</row>
    <row r="188" spans="2:15"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</row>
    <row r="189" spans="2:15"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</row>
    <row r="190" spans="2:15"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</row>
    <row r="191" spans="2:15"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</row>
    <row r="192" spans="2:15"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</row>
    <row r="193" spans="2:15"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</row>
    <row r="194" spans="2:15"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</row>
    <row r="195" spans="2:15"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</row>
    <row r="196" spans="2:15"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</row>
    <row r="197" spans="2:15"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</row>
    <row r="198" spans="2:15"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</row>
    <row r="199" spans="2:15"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</row>
    <row r="200" spans="2:15"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</row>
    <row r="201" spans="2:15"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</row>
    <row r="202" spans="2:15"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</row>
    <row r="203" spans="2:15"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</row>
    <row r="204" spans="2:15"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</row>
    <row r="205" spans="2:15"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</row>
    <row r="206" spans="2:15"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</row>
    <row r="207" spans="2:15"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</row>
    <row r="208" spans="2:15"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</row>
    <row r="209" spans="2:15"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</row>
    <row r="210" spans="2:15"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</row>
    <row r="211" spans="2:15"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</row>
    <row r="212" spans="2:15"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</row>
    <row r="213" spans="2:15"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</row>
    <row r="214" spans="2:15"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</row>
    <row r="215" spans="2:15"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</row>
    <row r="216" spans="2:15"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</row>
    <row r="217" spans="2:15"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</row>
    <row r="218" spans="2:15"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</row>
    <row r="219" spans="2:15"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</row>
    <row r="220" spans="2:15"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</row>
    <row r="221" spans="2:15" ht="20.25">
      <c r="B221" s="10"/>
      <c r="C221" s="84" t="s">
        <v>169</v>
      </c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</row>
    <row r="222" spans="2:15" ht="20.25">
      <c r="B222" s="10"/>
      <c r="C222" s="35" t="s">
        <v>170</v>
      </c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</row>
    <row r="223" spans="2:15"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</row>
    <row r="224" spans="2:15"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</row>
    <row r="225" spans="2:15"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</row>
    <row r="226" spans="2:15"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</row>
    <row r="227" spans="2:15"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</row>
    <row r="228" spans="2:15"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</row>
    <row r="229" spans="2:15"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</row>
    <row r="230" spans="2:15"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</row>
    <row r="231" spans="2:15"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</row>
    <row r="232" spans="2:15"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</row>
    <row r="233" spans="2:15"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</row>
    <row r="234" spans="2:15"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</row>
    <row r="235" spans="2:15"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</row>
    <row r="236" spans="2:15"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</row>
    <row r="237" spans="2:15"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</row>
    <row r="238" spans="2:15"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</row>
  </sheetData>
  <mergeCells count="35">
    <mergeCell ref="C141:L141"/>
    <mergeCell ref="C139:E139"/>
    <mergeCell ref="F2:H4"/>
    <mergeCell ref="B11:M11"/>
    <mergeCell ref="B14:N14"/>
    <mergeCell ref="C99:H99"/>
    <mergeCell ref="J99:O99"/>
    <mergeCell ref="C100:H100"/>
    <mergeCell ref="J100:O100"/>
    <mergeCell ref="C101:H101"/>
    <mergeCell ref="J101:O101"/>
    <mergeCell ref="C102:H102"/>
    <mergeCell ref="J102:O103"/>
    <mergeCell ref="C103:H103"/>
    <mergeCell ref="C104:H104"/>
    <mergeCell ref="C105:H105"/>
    <mergeCell ref="C98:H98"/>
    <mergeCell ref="I71:K71"/>
    <mergeCell ref="I72:K72"/>
    <mergeCell ref="I73:K73"/>
    <mergeCell ref="I74:K74"/>
    <mergeCell ref="I75:K75"/>
    <mergeCell ref="I76:K76"/>
    <mergeCell ref="I77:K77"/>
    <mergeCell ref="B93:O93"/>
    <mergeCell ref="B94:N94"/>
    <mergeCell ref="B96:E96"/>
    <mergeCell ref="J96:L96"/>
    <mergeCell ref="I70:K70"/>
    <mergeCell ref="B7:E7"/>
    <mergeCell ref="I66:K66"/>
    <mergeCell ref="I67:K67"/>
    <mergeCell ref="I68:K68"/>
    <mergeCell ref="I69:K69"/>
    <mergeCell ref="B13:C13"/>
  </mergeCells>
  <phoneticPr fontId="7" type="noConversion"/>
  <conditionalFormatting sqref="I66:K77">
    <cfRule type="cellIs" dxfId="5" priority="10" operator="notEqual">
      <formula>0</formula>
    </cfRule>
  </conditionalFormatting>
  <conditionalFormatting sqref="C67:C84">
    <cfRule type="cellIs" dxfId="4" priority="9" operator="notEqual">
      <formula>0</formula>
    </cfRule>
  </conditionalFormatting>
  <conditionalFormatting sqref="D67:G84">
    <cfRule type="cellIs" dxfId="3" priority="8" operator="notEqual">
      <formula>0</formula>
    </cfRule>
  </conditionalFormatting>
  <conditionalFormatting sqref="M66:O77">
    <cfRule type="cellIs" dxfId="2" priority="3" operator="notEqual">
      <formula>0</formula>
    </cfRule>
  </conditionalFormatting>
  <conditionalFormatting sqref="C142:L142">
    <cfRule type="cellIs" dxfId="1" priority="2" operator="notEqual">
      <formula>0</formula>
    </cfRule>
  </conditionalFormatting>
  <conditionalFormatting sqref="C143:L143">
    <cfRule type="cellIs" dxfId="0" priority="1" operator="notEqual">
      <formula>0</formula>
    </cfRule>
  </conditionalFormatting>
  <pageMargins left="0.36000000000000004" right="0.36000000000000004" top="0.83708333333333329" bottom="0.6100000000000001" header="0.5" footer="0.5"/>
  <pageSetup paperSize="9" scale="39" orientation="portrait" horizontalDpi="4294967292" verticalDpi="4294967292" r:id="rId1"/>
  <headerFooter>
    <oddHeader>&amp;R&amp;G</oddHeader>
    <oddFooter>&amp;L&amp;"Calibri,Negrita Cursiva"&amp;14&amp;D&amp;C&amp;"Calibri,Negrita"&amp;14&amp;K000000&amp;P</oddFooter>
  </headerFooter>
  <rowBreaks count="2" manualBreakCount="2">
    <brk id="89" min="1" max="14" man="1"/>
    <brk id="156" min="1" max="14" man="1"/>
  </rowBreaks>
  <colBreaks count="3" manualBreakCount="3">
    <brk id="1" max="1048575" man="1"/>
    <brk id="15" max="230" man="1"/>
    <brk id="16" max="249" man="1"/>
  </colBreaks>
  <drawing r:id="rId2"/>
  <legacyDrawingHF r:id="rId3"/>
  <extLst>
    <ext xmlns:mx="http://schemas.microsoft.com/office/mac/excel/2008/main" uri="{64002731-A6B0-56B0-2670-7721B7C09600}">
      <mx:PLV Mode="0" OnePage="0" WScale="49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Auditoría inicial</vt:lpstr>
      <vt:lpstr>Reporte auditoría inicial</vt:lpstr>
      <vt:lpstr>Actuaciones periódicas</vt:lpstr>
      <vt:lpstr>Reporte Act.Periódicas</vt:lpstr>
      <vt:lpstr>'Reporte Act.Periódicas'!Área_de_impresión</vt:lpstr>
      <vt:lpstr>'Reporte auditoría inicial'!Área_de_impresión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Leyre</dc:creator>
  <cp:lastModifiedBy>leyre sancho cambeses</cp:lastModifiedBy>
  <cp:lastPrinted>2018-06-20T07:06:44Z</cp:lastPrinted>
  <dcterms:created xsi:type="dcterms:W3CDTF">2018-04-11T09:47:05Z</dcterms:created>
  <dcterms:modified xsi:type="dcterms:W3CDTF">2018-06-26T11:05:18Z</dcterms:modified>
</cp:coreProperties>
</file>