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queryTables/queryTable1.xml" ContentType="application/vnd.openxmlformats-officedocument.spreadsheetml.query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2.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drawings/drawing8.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27mar\Desktop\TFG\TFG Final\"/>
    </mc:Choice>
  </mc:AlternateContent>
  <xr:revisionPtr revIDLastSave="0" documentId="13_ncr:1_{ECA9C6C2-307B-47A7-ADE4-8DCBC006BEB5}" xr6:coauthVersionLast="47" xr6:coauthVersionMax="47" xr10:uidLastSave="{00000000-0000-0000-0000-000000000000}"/>
  <bookViews>
    <workbookView xWindow="-108" yWindow="-108" windowWidth="23256" windowHeight="12576" firstSheet="1" activeTab="1" xr2:uid="{00000000-000D-0000-FFFF-FFFF00000000}"/>
  </bookViews>
  <sheets>
    <sheet name="Notas" sheetId="18" state="hidden" r:id="rId1"/>
    <sheet name="INICIO" sheetId="28" r:id="rId2"/>
    <sheet name="Formulario" sheetId="34" r:id="rId3"/>
    <sheet name="RESUMEN" sheetId="15" r:id="rId4"/>
    <sheet name="Resumen Auxiliar" sheetId="22" state="hidden" r:id="rId5"/>
    <sheet name="Hoja Cliente" sheetId="27" r:id="rId6"/>
    <sheet name="Hoja Cliente Aux" sheetId="19" state="hidden" r:id="rId7"/>
    <sheet name="Hoja BIPV" sheetId="20" r:id="rId8"/>
    <sheet name="Tipos Tarifas" sheetId="24" state="hidden" r:id="rId9"/>
    <sheet name="Datos Instalación" sheetId="5" state="hidden" r:id="rId10"/>
    <sheet name="Datos Consumo " sheetId="7" state="hidden" r:id="rId11"/>
    <sheet name="Rendimiento Paneles" sheetId="13" state="hidden" r:id="rId12"/>
    <sheet name="Auxiliares" sheetId="8" state="hidden" r:id="rId13"/>
    <sheet name="Recálculo" sheetId="26" state="hidden" r:id="rId14"/>
    <sheet name="Producción" sheetId="11" state="hidden" r:id="rId15"/>
    <sheet name="Ingresos" sheetId="12" state="hidden" r:id="rId16"/>
    <sheet name="CostesNoGeneración" sheetId="4" state="hidden" r:id="rId17"/>
    <sheet name="VAN_Nuevos" sheetId="2" state="hidden" r:id="rId18"/>
    <sheet name="VAN_Usados" sheetId="21" state="hidden" r:id="rId19"/>
    <sheet name="Estándares" sheetId="14" state="hidden" r:id="rId20"/>
    <sheet name="Cálculo Préstamo" sheetId="17" state="hidden" r:id="rId21"/>
    <sheet name="horas_de_luz_por_provinci" sheetId="10" state="hidden" r:id="rId22"/>
  </sheets>
  <definedNames>
    <definedName name="DatosExternos_2" localSheetId="2" hidden="1">Formulario!$A$1:$AR$9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7" l="1"/>
  <c r="F4" i="7"/>
  <c r="A19" i="27"/>
  <c r="A20" i="27"/>
  <c r="A21" i="27"/>
  <c r="C24" i="2"/>
  <c r="G6" i="26"/>
  <c r="H6" i="26"/>
  <c r="D25" i="19"/>
  <c r="C58" i="19"/>
  <c r="C53" i="19"/>
  <c r="E38" i="19"/>
  <c r="E37" i="19"/>
  <c r="C49" i="19"/>
  <c r="C34" i="19"/>
  <c r="C48" i="19"/>
  <c r="C47" i="19"/>
  <c r="C46" i="19"/>
  <c r="C45" i="19"/>
  <c r="C44" i="19"/>
  <c r="C43" i="19"/>
  <c r="C42" i="19"/>
  <c r="C41" i="19"/>
  <c r="C40" i="19"/>
  <c r="C39" i="19"/>
  <c r="C38" i="19"/>
  <c r="C36" i="19"/>
  <c r="D29" i="19"/>
  <c r="D28" i="19"/>
  <c r="D27" i="19"/>
  <c r="D26" i="19"/>
  <c r="D24" i="19"/>
  <c r="D23" i="19"/>
  <c r="D22" i="19"/>
  <c r="D21" i="19"/>
  <c r="D20" i="19"/>
  <c r="D19" i="19"/>
  <c r="D18" i="19"/>
  <c r="B20" i="19"/>
  <c r="B19" i="19"/>
  <c r="B18" i="19"/>
  <c r="C15" i="19"/>
  <c r="C11" i="19"/>
  <c r="C10" i="19"/>
  <c r="C5" i="19"/>
  <c r="E13" i="28"/>
  <c r="A28" i="27"/>
  <c r="C19" i="27"/>
  <c r="C20" i="27"/>
  <c r="C21" i="27"/>
  <c r="C22" i="27"/>
  <c r="C23" i="27"/>
  <c r="C24" i="27"/>
  <c r="C25" i="27"/>
  <c r="C26" i="27"/>
  <c r="C27" i="27"/>
  <c r="C28" i="27"/>
  <c r="C29" i="27"/>
  <c r="C30" i="27"/>
  <c r="D38" i="27"/>
  <c r="C25" i="5"/>
  <c r="C26" i="5"/>
  <c r="D33" i="15"/>
  <c r="D32" i="15"/>
  <c r="C27" i="5" l="1"/>
  <c r="H19" i="15"/>
  <c r="H18" i="15"/>
  <c r="C17" i="5"/>
  <c r="C16" i="5"/>
  <c r="C15" i="5"/>
  <c r="C14" i="5"/>
  <c r="C18" i="19"/>
  <c r="B22" i="19"/>
  <c r="B23" i="19"/>
  <c r="B24" i="19"/>
  <c r="B26" i="19"/>
  <c r="B50" i="27"/>
  <c r="B49" i="27"/>
  <c r="B48" i="27"/>
  <c r="B47" i="27"/>
  <c r="B46" i="27"/>
  <c r="B45" i="27"/>
  <c r="B44" i="27"/>
  <c r="B43" i="27"/>
  <c r="B42" i="27"/>
  <c r="B41" i="27"/>
  <c r="B40" i="27"/>
  <c r="D39" i="27"/>
  <c r="B39" i="27"/>
  <c r="A38" i="27"/>
  <c r="A24" i="27"/>
  <c r="A23" i="27"/>
  <c r="C123" i="26"/>
  <c r="AB122" i="26"/>
  <c r="AC122" i="26"/>
  <c r="AD122" i="26"/>
  <c r="AE122" i="26"/>
  <c r="AF122" i="26"/>
  <c r="AG122" i="26"/>
  <c r="F128" i="26"/>
  <c r="G128" i="26" s="1"/>
  <c r="H128" i="26" s="1"/>
  <c r="I128" i="26" s="1"/>
  <c r="J128" i="26" s="1"/>
  <c r="K128" i="26" s="1"/>
  <c r="L128" i="26" s="1"/>
  <c r="M128" i="26" s="1"/>
  <c r="N128" i="26" s="1"/>
  <c r="O128" i="26" s="1"/>
  <c r="P128" i="26" s="1"/>
  <c r="Q128" i="26" s="1"/>
  <c r="R128" i="26" s="1"/>
  <c r="S128" i="26" s="1"/>
  <c r="T128" i="26" s="1"/>
  <c r="U128" i="26" s="1"/>
  <c r="V128" i="26" s="1"/>
  <c r="W128" i="26" s="1"/>
  <c r="X128" i="26" s="1"/>
  <c r="Y128" i="26" s="1"/>
  <c r="Z128" i="26" s="1"/>
  <c r="AA128" i="26" s="1"/>
  <c r="AB128" i="26" s="1"/>
  <c r="AC128" i="26" s="1"/>
  <c r="AD128" i="26" s="1"/>
  <c r="AE128" i="26" s="1"/>
  <c r="AF128" i="26" s="1"/>
  <c r="AG128" i="26" s="1"/>
  <c r="AH128" i="26" s="1"/>
  <c r="AI128" i="26" s="1"/>
  <c r="AG115" i="26"/>
  <c r="AG114" i="26"/>
  <c r="AG113" i="26"/>
  <c r="AG112" i="26"/>
  <c r="AG111" i="26"/>
  <c r="AG110" i="26"/>
  <c r="AG109" i="26"/>
  <c r="AG108" i="26"/>
  <c r="AG107" i="26"/>
  <c r="AG106" i="26"/>
  <c r="AG105" i="26"/>
  <c r="AG104" i="26"/>
  <c r="AB92" i="26"/>
  <c r="AC92" i="26"/>
  <c r="AD92" i="26"/>
  <c r="AE92" i="26"/>
  <c r="AF92" i="26"/>
  <c r="AG92" i="26"/>
  <c r="C93" i="26"/>
  <c r="B29" i="2"/>
  <c r="AO99" i="26"/>
  <c r="AN99" i="26"/>
  <c r="AM99" i="26"/>
  <c r="AL99" i="26"/>
  <c r="AK99" i="26"/>
  <c r="AJ99" i="26"/>
  <c r="F98" i="26"/>
  <c r="G98" i="26" s="1"/>
  <c r="H98" i="26" s="1"/>
  <c r="I98" i="26" s="1"/>
  <c r="J98" i="26" s="1"/>
  <c r="K98" i="26" s="1"/>
  <c r="L98" i="26" s="1"/>
  <c r="M98" i="26" s="1"/>
  <c r="N98" i="26" s="1"/>
  <c r="O98" i="26" s="1"/>
  <c r="P98" i="26" s="1"/>
  <c r="Q98" i="26" s="1"/>
  <c r="R98" i="26" s="1"/>
  <c r="S98" i="26" s="1"/>
  <c r="T98" i="26" s="1"/>
  <c r="U98" i="26" s="1"/>
  <c r="V98" i="26" s="1"/>
  <c r="W98" i="26" s="1"/>
  <c r="X98" i="26" s="1"/>
  <c r="Y98" i="26" s="1"/>
  <c r="Z98" i="26" s="1"/>
  <c r="AA98" i="26" s="1"/>
  <c r="AB98" i="26" s="1"/>
  <c r="AC98" i="26" s="1"/>
  <c r="AD98" i="26" s="1"/>
  <c r="AE98" i="26" s="1"/>
  <c r="AF98" i="26" s="1"/>
  <c r="AG98" i="26" s="1"/>
  <c r="AH98" i="26" s="1"/>
  <c r="AI98" i="26" s="1"/>
  <c r="AG86" i="26"/>
  <c r="AG85" i="26"/>
  <c r="AG84" i="26"/>
  <c r="AG83" i="26"/>
  <c r="AG82" i="26"/>
  <c r="AG81" i="26"/>
  <c r="AG80" i="26"/>
  <c r="AG79" i="26"/>
  <c r="AG78" i="26"/>
  <c r="AG77" i="26"/>
  <c r="AG76" i="26"/>
  <c r="AG75" i="26"/>
  <c r="B67" i="4"/>
  <c r="B66" i="4"/>
  <c r="B65" i="4"/>
  <c r="B64" i="4"/>
  <c r="B63" i="4"/>
  <c r="B62" i="4"/>
  <c r="B61" i="4"/>
  <c r="B60" i="4"/>
  <c r="B59" i="4"/>
  <c r="B58" i="4"/>
  <c r="B57" i="4"/>
  <c r="B56" i="4"/>
  <c r="H24" i="4"/>
  <c r="H25" i="4"/>
  <c r="H26" i="4"/>
  <c r="H27" i="4"/>
  <c r="H28" i="4"/>
  <c r="H29" i="4"/>
  <c r="H30" i="4"/>
  <c r="H31" i="4"/>
  <c r="H32" i="4"/>
  <c r="H33" i="4"/>
  <c r="H23" i="4"/>
  <c r="P7" i="26"/>
  <c r="P8" i="26"/>
  <c r="P6" i="26"/>
  <c r="P4" i="26"/>
  <c r="P3" i="26"/>
  <c r="V5" i="8"/>
  <c r="V4" i="8"/>
  <c r="V3" i="8"/>
  <c r="U5" i="8"/>
  <c r="U4" i="8"/>
  <c r="U3" i="8"/>
  <c r="S5" i="8"/>
  <c r="S4" i="8"/>
  <c r="S3" i="8"/>
  <c r="J22" i="8"/>
  <c r="H25" i="15"/>
  <c r="H24" i="15"/>
  <c r="H23" i="15"/>
  <c r="H7" i="24"/>
  <c r="H3" i="24"/>
  <c r="H4" i="24"/>
  <c r="H5" i="24"/>
  <c r="H6" i="24"/>
  <c r="H8" i="24"/>
  <c r="C6" i="26" l="1"/>
  <c r="K6" i="26" s="1"/>
  <c r="D88" i="26" s="1"/>
  <c r="D6" i="26"/>
  <c r="D56" i="7"/>
  <c r="C44" i="7" s="1"/>
  <c r="A20" i="19"/>
  <c r="O8" i="26" s="1"/>
  <c r="C24" i="19"/>
  <c r="C23" i="19"/>
  <c r="A18" i="19"/>
  <c r="O6" i="26" s="1"/>
  <c r="C22" i="19"/>
  <c r="C29" i="19"/>
  <c r="C21" i="19"/>
  <c r="C25" i="19"/>
  <c r="A22" i="19"/>
  <c r="I8" i="15"/>
  <c r="C28" i="19"/>
  <c r="A23" i="19"/>
  <c r="C20" i="19"/>
  <c r="C27" i="19"/>
  <c r="A26" i="19"/>
  <c r="C19" i="19"/>
  <c r="A19" i="19"/>
  <c r="O7" i="26" s="1"/>
  <c r="C26" i="19"/>
  <c r="AG116" i="26"/>
  <c r="AG118" i="26" s="1"/>
  <c r="AG87" i="26"/>
  <c r="AG89" i="26" s="1"/>
  <c r="P10" i="26"/>
  <c r="C50" i="7" l="1"/>
  <c r="I31" i="4" s="1"/>
  <c r="C49" i="7"/>
  <c r="I30" i="4" s="1"/>
  <c r="C48" i="7"/>
  <c r="I29" i="4" s="1"/>
  <c r="C47" i="7"/>
  <c r="I28" i="4" s="1"/>
  <c r="C53" i="7"/>
  <c r="I34" i="4" s="1"/>
  <c r="C42" i="7"/>
  <c r="I23" i="4" s="1"/>
  <c r="C45" i="7"/>
  <c r="I26" i="4" s="1"/>
  <c r="C46" i="7"/>
  <c r="I27" i="4" s="1"/>
  <c r="C51" i="7"/>
  <c r="I32" i="4" s="1"/>
  <c r="C52" i="7"/>
  <c r="I33" i="4" s="1"/>
  <c r="C43" i="7"/>
  <c r="I24" i="4" s="1"/>
  <c r="D117" i="26"/>
  <c r="I25" i="4"/>
  <c r="N5" i="8"/>
  <c r="N4" i="8"/>
  <c r="K5" i="8"/>
  <c r="B16" i="7"/>
  <c r="B15" i="7"/>
  <c r="B14" i="7"/>
  <c r="C15" i="7"/>
  <c r="C16" i="7"/>
  <c r="C21" i="7"/>
  <c r="C22" i="7"/>
  <c r="C23" i="7"/>
  <c r="C24" i="7"/>
  <c r="C25" i="7"/>
  <c r="C26" i="7"/>
  <c r="C27" i="7"/>
  <c r="C28" i="7"/>
  <c r="C29" i="7"/>
  <c r="C30" i="7"/>
  <c r="C31" i="7"/>
  <c r="C20" i="7"/>
  <c r="C20" i="5"/>
  <c r="F11" i="7"/>
  <c r="O6" i="14"/>
  <c r="O7" i="14"/>
  <c r="O8" i="14"/>
  <c r="O9" i="14"/>
  <c r="O10" i="14"/>
  <c r="O11" i="14"/>
  <c r="O12" i="14"/>
  <c r="O13" i="14"/>
  <c r="O14" i="14"/>
  <c r="O15" i="14"/>
  <c r="O16" i="14"/>
  <c r="N16" i="14"/>
  <c r="N6" i="14"/>
  <c r="N7" i="14"/>
  <c r="N8" i="14"/>
  <c r="N9" i="14"/>
  <c r="N10" i="14"/>
  <c r="N11" i="14"/>
  <c r="N12" i="14"/>
  <c r="N13" i="14"/>
  <c r="N14" i="14"/>
  <c r="N15" i="14"/>
  <c r="O5" i="14"/>
  <c r="N5" i="14"/>
  <c r="C39" i="7"/>
  <c r="B30" i="21"/>
  <c r="AI44" i="2"/>
  <c r="T12" i="7"/>
  <c r="G30" i="5"/>
  <c r="H30" i="5" s="1"/>
  <c r="I30" i="5" s="1"/>
  <c r="G28" i="5"/>
  <c r="H28" i="5" s="1"/>
  <c r="I28" i="5" s="1"/>
  <c r="G29" i="5"/>
  <c r="G27" i="5"/>
  <c r="H27" i="5" s="1"/>
  <c r="I27" i="5" s="1"/>
  <c r="G25" i="5"/>
  <c r="H25" i="5" s="1"/>
  <c r="I25" i="5" s="1"/>
  <c r="F20" i="5"/>
  <c r="D3" i="13" s="1"/>
  <c r="F6" i="5"/>
  <c r="C8" i="5"/>
  <c r="C7" i="5"/>
  <c r="D38" i="19"/>
  <c r="D37" i="19"/>
  <c r="A37" i="19"/>
  <c r="B49" i="19"/>
  <c r="B46" i="19"/>
  <c r="B47" i="19"/>
  <c r="B48" i="19"/>
  <c r="B39" i="19"/>
  <c r="B40" i="19"/>
  <c r="B41" i="19"/>
  <c r="B42" i="19"/>
  <c r="B43" i="19"/>
  <c r="B44" i="19"/>
  <c r="B45" i="19"/>
  <c r="B38" i="19"/>
  <c r="C17" i="13"/>
  <c r="C18" i="13"/>
  <c r="D17" i="13"/>
  <c r="E17" i="13"/>
  <c r="F17" i="13"/>
  <c r="G17" i="13"/>
  <c r="H17" i="13"/>
  <c r="I17" i="13"/>
  <c r="J17" i="13"/>
  <c r="K17" i="13"/>
  <c r="L17" i="13"/>
  <c r="M17" i="13"/>
  <c r="N17" i="13"/>
  <c r="O17" i="13"/>
  <c r="P17" i="13"/>
  <c r="Q17" i="13"/>
  <c r="R17" i="13"/>
  <c r="S17" i="13"/>
  <c r="T17" i="13"/>
  <c r="U17" i="13"/>
  <c r="B18" i="13"/>
  <c r="E44" i="21"/>
  <c r="F44" i="21" s="1"/>
  <c r="G44" i="21" s="1"/>
  <c r="H44" i="21" s="1"/>
  <c r="I44" i="21" s="1"/>
  <c r="J44" i="21" s="1"/>
  <c r="K44" i="21" s="1"/>
  <c r="L44" i="21" s="1"/>
  <c r="M44" i="21" s="1"/>
  <c r="N44" i="21" s="1"/>
  <c r="O44" i="21" s="1"/>
  <c r="P44" i="21" s="1"/>
  <c r="Q44" i="21" s="1"/>
  <c r="R44" i="21" s="1"/>
  <c r="S44" i="21" s="1"/>
  <c r="T44" i="21" s="1"/>
  <c r="U44" i="21" s="1"/>
  <c r="V44" i="21" s="1"/>
  <c r="W44" i="21" s="1"/>
  <c r="X44" i="21" s="1"/>
  <c r="Y44" i="21" s="1"/>
  <c r="Z44" i="21" s="1"/>
  <c r="AA44" i="21" s="1"/>
  <c r="AB44" i="21" s="1"/>
  <c r="AC44" i="21" s="1"/>
  <c r="AD44" i="21" s="1"/>
  <c r="AE44" i="21" s="1"/>
  <c r="AF44" i="21" s="1"/>
  <c r="AG44" i="21" s="1"/>
  <c r="AH44" i="21" s="1"/>
  <c r="AI44" i="21" s="1"/>
  <c r="AJ44" i="21" s="1"/>
  <c r="AF28" i="21"/>
  <c r="AE28" i="21"/>
  <c r="AD28" i="21"/>
  <c r="AC28" i="21"/>
  <c r="AB28" i="21"/>
  <c r="AA28" i="21"/>
  <c r="E59" i="12"/>
  <c r="F59" i="12"/>
  <c r="G59" i="12"/>
  <c r="H59" i="12"/>
  <c r="I59" i="12"/>
  <c r="J59" i="12"/>
  <c r="K59" i="12"/>
  <c r="L59" i="12"/>
  <c r="M59" i="12"/>
  <c r="N59" i="12"/>
  <c r="O59" i="12"/>
  <c r="P59" i="12"/>
  <c r="Q59" i="12"/>
  <c r="R59" i="12"/>
  <c r="S59" i="12"/>
  <c r="T59" i="12"/>
  <c r="U59" i="12"/>
  <c r="V59" i="12"/>
  <c r="W59" i="12"/>
  <c r="X59" i="12"/>
  <c r="Y59" i="12"/>
  <c r="Z59" i="12"/>
  <c r="AA59" i="12"/>
  <c r="AB59" i="12"/>
  <c r="AC59" i="12"/>
  <c r="AD59" i="12"/>
  <c r="AE59" i="12"/>
  <c r="AF59" i="12"/>
  <c r="AG59" i="12"/>
  <c r="AH59" i="12"/>
  <c r="D59" i="12"/>
  <c r="C71" i="12"/>
  <c r="C61" i="12"/>
  <c r="C62" i="12"/>
  <c r="C63" i="12"/>
  <c r="C64" i="12"/>
  <c r="C65" i="12"/>
  <c r="C66" i="12"/>
  <c r="C67" i="12"/>
  <c r="C68" i="12"/>
  <c r="C69" i="12"/>
  <c r="C70" i="12"/>
  <c r="C60" i="12"/>
  <c r="E22" i="12"/>
  <c r="F22" i="12"/>
  <c r="G22" i="12"/>
  <c r="H22" i="12"/>
  <c r="I22" i="12"/>
  <c r="J22" i="12"/>
  <c r="K22" i="12"/>
  <c r="L22" i="12"/>
  <c r="M22" i="12"/>
  <c r="N22" i="12"/>
  <c r="O22" i="12"/>
  <c r="P22" i="12"/>
  <c r="Q22" i="12"/>
  <c r="R22" i="12"/>
  <c r="S22" i="12"/>
  <c r="T22" i="12"/>
  <c r="U22" i="12"/>
  <c r="V22" i="12"/>
  <c r="W22" i="12"/>
  <c r="X22" i="12"/>
  <c r="Y22" i="12"/>
  <c r="Z22" i="12"/>
  <c r="AA22" i="12"/>
  <c r="AB22" i="12"/>
  <c r="AC22" i="12"/>
  <c r="AD22" i="12"/>
  <c r="AE22" i="12"/>
  <c r="AF22" i="12"/>
  <c r="AG22" i="12"/>
  <c r="AH22" i="12"/>
  <c r="D22" i="12"/>
  <c r="C24" i="12"/>
  <c r="C25" i="12"/>
  <c r="C26" i="12"/>
  <c r="C27" i="12"/>
  <c r="C28" i="12"/>
  <c r="C29" i="12"/>
  <c r="C30" i="12"/>
  <c r="C31" i="12"/>
  <c r="C32" i="12"/>
  <c r="C33" i="12"/>
  <c r="C34" i="12"/>
  <c r="C23" i="12"/>
  <c r="D62" i="11"/>
  <c r="E62" i="11" s="1"/>
  <c r="F62" i="11" s="1"/>
  <c r="G62" i="11" s="1"/>
  <c r="H62" i="11" s="1"/>
  <c r="I62" i="11" s="1"/>
  <c r="J62" i="11" s="1"/>
  <c r="K62" i="11" s="1"/>
  <c r="L62" i="11" s="1"/>
  <c r="M62" i="11" s="1"/>
  <c r="N62" i="11" s="1"/>
  <c r="O62" i="11" s="1"/>
  <c r="P62" i="11" s="1"/>
  <c r="Q62" i="11" s="1"/>
  <c r="R62" i="11" s="1"/>
  <c r="S62" i="11" s="1"/>
  <c r="T62" i="11" s="1"/>
  <c r="U62" i="11" s="1"/>
  <c r="V62" i="11" s="1"/>
  <c r="W62" i="11" s="1"/>
  <c r="X62" i="11" s="1"/>
  <c r="Y62" i="11" s="1"/>
  <c r="Z62" i="11" s="1"/>
  <c r="AA62" i="11" s="1"/>
  <c r="AB62" i="11" s="1"/>
  <c r="AC62" i="11" s="1"/>
  <c r="AD62" i="11" s="1"/>
  <c r="AE62" i="11" s="1"/>
  <c r="AF62" i="11" s="1"/>
  <c r="AG62" i="11" s="1"/>
  <c r="D25" i="11"/>
  <c r="E25" i="11" s="1"/>
  <c r="F25" i="11" s="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F12" i="5"/>
  <c r="AA28" i="2"/>
  <c r="AB28" i="2"/>
  <c r="AC28" i="2"/>
  <c r="AD28" i="2"/>
  <c r="AE28" i="2"/>
  <c r="AF28" i="2"/>
  <c r="E75" i="17"/>
  <c r="F75" i="17" s="1"/>
  <c r="G75" i="17" s="1"/>
  <c r="H75" i="17" s="1"/>
  <c r="I75" i="17" s="1"/>
  <c r="J75" i="17" s="1"/>
  <c r="K75" i="17" s="1"/>
  <c r="L75" i="17" s="1"/>
  <c r="M75" i="17" s="1"/>
  <c r="N75" i="17" s="1"/>
  <c r="O75" i="17" s="1"/>
  <c r="P75" i="17" s="1"/>
  <c r="Q75" i="17" s="1"/>
  <c r="R75" i="17" s="1"/>
  <c r="S75" i="17" s="1"/>
  <c r="T75" i="17" s="1"/>
  <c r="U75" i="17" s="1"/>
  <c r="V75" i="17" s="1"/>
  <c r="W75" i="17" s="1"/>
  <c r="X75" i="17" s="1"/>
  <c r="Y75" i="17" s="1"/>
  <c r="D75" i="17"/>
  <c r="X42" i="12"/>
  <c r="Y42" i="12" s="1"/>
  <c r="Z42" i="12" s="1"/>
  <c r="AA42" i="12" s="1"/>
  <c r="AB42" i="12" s="1"/>
  <c r="AC42" i="12" s="1"/>
  <c r="AD42" i="12" s="1"/>
  <c r="AE42" i="12" s="1"/>
  <c r="AF42" i="12" s="1"/>
  <c r="AG42" i="12" s="1"/>
  <c r="AH42" i="12" s="1"/>
  <c r="V7" i="13"/>
  <c r="V17" i="13" s="1"/>
  <c r="B13" i="17"/>
  <c r="B12" i="17"/>
  <c r="I3" i="17"/>
  <c r="I4" i="17"/>
  <c r="J4" i="17"/>
  <c r="J3" i="17"/>
  <c r="B27" i="17"/>
  <c r="B24" i="17"/>
  <c r="B25" i="17"/>
  <c r="B26" i="17"/>
  <c r="B5" i="17"/>
  <c r="B6" i="17"/>
  <c r="B7" i="17"/>
  <c r="B8" i="17"/>
  <c r="B9" i="17"/>
  <c r="B10" i="17"/>
  <c r="B11" i="17"/>
  <c r="B14" i="17"/>
  <c r="B15" i="17"/>
  <c r="B16" i="17"/>
  <c r="B17" i="17"/>
  <c r="B18" i="17"/>
  <c r="B19" i="17"/>
  <c r="B20" i="17"/>
  <c r="B21" i="17"/>
  <c r="B22" i="17"/>
  <c r="B23" i="17"/>
  <c r="B4" i="17"/>
  <c r="J16" i="8"/>
  <c r="J15" i="8"/>
  <c r="C22" i="4"/>
  <c r="C72" i="4" s="1"/>
  <c r="B31" i="4"/>
  <c r="B48" i="4" s="1"/>
  <c r="B81" i="4" s="1"/>
  <c r="B32" i="4"/>
  <c r="B49" i="4" s="1"/>
  <c r="B82" i="4" s="1"/>
  <c r="B33" i="4"/>
  <c r="B50" i="4" s="1"/>
  <c r="B83" i="4" s="1"/>
  <c r="B34" i="4"/>
  <c r="B51" i="4" s="1"/>
  <c r="B84" i="4" s="1"/>
  <c r="B24" i="4"/>
  <c r="B41" i="4" s="1"/>
  <c r="B74" i="4" s="1"/>
  <c r="B25" i="4"/>
  <c r="B42" i="4" s="1"/>
  <c r="B75" i="4" s="1"/>
  <c r="B26" i="4"/>
  <c r="B43" i="4" s="1"/>
  <c r="B76" i="4" s="1"/>
  <c r="B27" i="4"/>
  <c r="B44" i="4" s="1"/>
  <c r="B77" i="4" s="1"/>
  <c r="B28" i="4"/>
  <c r="B45" i="4" s="1"/>
  <c r="B78" i="4" s="1"/>
  <c r="B29" i="4"/>
  <c r="B46" i="4" s="1"/>
  <c r="B79" i="4" s="1"/>
  <c r="B30" i="4"/>
  <c r="B47" i="4" s="1"/>
  <c r="B80" i="4" s="1"/>
  <c r="B23" i="4"/>
  <c r="B40" i="4" s="1"/>
  <c r="B73" i="4" s="1"/>
  <c r="C8" i="13"/>
  <c r="D8" i="13" s="1"/>
  <c r="E8" i="13" s="1"/>
  <c r="F8" i="13" s="1"/>
  <c r="G8" i="13" s="1"/>
  <c r="H8" i="13" s="1"/>
  <c r="I8" i="13" s="1"/>
  <c r="J8" i="13" s="1"/>
  <c r="K8" i="13" s="1"/>
  <c r="L8" i="13" s="1"/>
  <c r="M8" i="13" s="1"/>
  <c r="N8" i="13" s="1"/>
  <c r="O8" i="13" s="1"/>
  <c r="P8" i="13" s="1"/>
  <c r="Q8" i="13" s="1"/>
  <c r="R8" i="13" s="1"/>
  <c r="S8" i="13" s="1"/>
  <c r="T8" i="13" s="1"/>
  <c r="U8" i="13" s="1"/>
  <c r="V8" i="13" s="1"/>
  <c r="E42" i="12"/>
  <c r="F42" i="12" s="1"/>
  <c r="G42" i="12" s="1"/>
  <c r="H42" i="12" s="1"/>
  <c r="I42" i="12" s="1"/>
  <c r="J42" i="12" s="1"/>
  <c r="K42" i="12" s="1"/>
  <c r="L42" i="12" s="1"/>
  <c r="M42" i="12" s="1"/>
  <c r="N42" i="12" s="1"/>
  <c r="O42" i="12" s="1"/>
  <c r="P42" i="12" s="1"/>
  <c r="Q42" i="12" s="1"/>
  <c r="R42" i="12" s="1"/>
  <c r="S42" i="12" s="1"/>
  <c r="T42" i="12" s="1"/>
  <c r="U42" i="12" s="1"/>
  <c r="V42" i="12" s="1"/>
  <c r="W42" i="12" s="1"/>
  <c r="E3" i="12"/>
  <c r="F3" i="12" s="1"/>
  <c r="G3" i="12" s="1"/>
  <c r="H3" i="12" s="1"/>
  <c r="I3" i="12" s="1"/>
  <c r="J3" i="12" s="1"/>
  <c r="K3" i="12" s="1"/>
  <c r="L3" i="12" s="1"/>
  <c r="M3" i="12" s="1"/>
  <c r="N3" i="12" s="1"/>
  <c r="O3" i="12" s="1"/>
  <c r="P3" i="12" s="1"/>
  <c r="Q3" i="12" s="1"/>
  <c r="R3" i="12" s="1"/>
  <c r="S3" i="12" s="1"/>
  <c r="T3" i="12" s="1"/>
  <c r="U3" i="12" s="1"/>
  <c r="V3" i="12" s="1"/>
  <c r="W3" i="12" s="1"/>
  <c r="X3" i="12" s="1"/>
  <c r="Y3" i="12" s="1"/>
  <c r="Z3" i="12" s="1"/>
  <c r="AA3" i="12" s="1"/>
  <c r="AB3" i="12" s="1"/>
  <c r="AC3" i="12" s="1"/>
  <c r="AD3" i="12" s="1"/>
  <c r="AE3" i="12" s="1"/>
  <c r="AF3" i="12" s="1"/>
  <c r="AG3" i="12" s="1"/>
  <c r="AH3" i="12" s="1"/>
  <c r="T3" i="10"/>
  <c r="T4" i="10"/>
  <c r="T5" i="10"/>
  <c r="T6" i="10"/>
  <c r="T7" i="10"/>
  <c r="T8" i="10"/>
  <c r="T9" i="10"/>
  <c r="T10" i="10"/>
  <c r="T11" i="10"/>
  <c r="T12" i="10"/>
  <c r="T13" i="10"/>
  <c r="T14" i="10"/>
  <c r="T15" i="10"/>
  <c r="T16" i="10"/>
  <c r="T17" i="10"/>
  <c r="T18" i="10"/>
  <c r="T19" i="10"/>
  <c r="T20" i="10"/>
  <c r="T21" i="10"/>
  <c r="T22" i="10"/>
  <c r="T23" i="10"/>
  <c r="T24" i="10"/>
  <c r="T25" i="10"/>
  <c r="T26" i="10"/>
  <c r="T27" i="10"/>
  <c r="T28" i="10"/>
  <c r="T29" i="10"/>
  <c r="T30" i="10"/>
  <c r="T31" i="10"/>
  <c r="T32" i="10"/>
  <c r="T33" i="10"/>
  <c r="T34" i="10"/>
  <c r="T35" i="10"/>
  <c r="T36" i="10"/>
  <c r="T37" i="10"/>
  <c r="T38" i="10"/>
  <c r="T39" i="10"/>
  <c r="T40" i="10"/>
  <c r="T41" i="10"/>
  <c r="T42" i="10"/>
  <c r="T43" i="10"/>
  <c r="T44" i="10"/>
  <c r="T45" i="10"/>
  <c r="T46" i="10"/>
  <c r="T47" i="10"/>
  <c r="T48" i="10"/>
  <c r="T49" i="10"/>
  <c r="T50" i="10"/>
  <c r="T51" i="10"/>
  <c r="T52" i="10"/>
  <c r="T53" i="10"/>
  <c r="T2" i="10"/>
  <c r="D42" i="11"/>
  <c r="E42" i="11" s="1"/>
  <c r="F42" i="11" s="1"/>
  <c r="G42" i="11" s="1"/>
  <c r="H42" i="11" s="1"/>
  <c r="I42" i="11" s="1"/>
  <c r="J42" i="11" s="1"/>
  <c r="K42" i="11" s="1"/>
  <c r="L42" i="11" s="1"/>
  <c r="M42" i="11" s="1"/>
  <c r="N42" i="11" s="1"/>
  <c r="O42" i="11" s="1"/>
  <c r="P42" i="11" s="1"/>
  <c r="Q42" i="11" s="1"/>
  <c r="R42" i="11" s="1"/>
  <c r="S42" i="11" s="1"/>
  <c r="T42" i="11" s="1"/>
  <c r="U42" i="11" s="1"/>
  <c r="V42" i="11" s="1"/>
  <c r="W42" i="11" s="1"/>
  <c r="X42" i="11" s="1"/>
  <c r="Y42" i="11" s="1"/>
  <c r="Z42" i="11" s="1"/>
  <c r="AA42" i="11" s="1"/>
  <c r="AB42" i="11" s="1"/>
  <c r="AC42" i="11" s="1"/>
  <c r="AD42" i="11" s="1"/>
  <c r="AE42" i="11" s="1"/>
  <c r="AF42" i="11" s="1"/>
  <c r="AG42" i="11" s="1"/>
  <c r="D6" i="8"/>
  <c r="D5" i="8"/>
  <c r="F4" i="10"/>
  <c r="F5" i="10"/>
  <c r="F6" i="10"/>
  <c r="F7" i="10"/>
  <c r="F8" i="10" s="1"/>
  <c r="F9" i="10" s="1"/>
  <c r="F10" i="10" s="1"/>
  <c r="F11" i="10" s="1"/>
  <c r="F12" i="10" s="1"/>
  <c r="F13" i="10" s="1"/>
  <c r="F14" i="10" s="1"/>
  <c r="F15" i="10" s="1"/>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3" i="10"/>
  <c r="D6" i="11"/>
  <c r="E6" i="11" s="1"/>
  <c r="F6" i="11" s="1"/>
  <c r="G6" i="11" s="1"/>
  <c r="H6" i="11" s="1"/>
  <c r="I6" i="11" s="1"/>
  <c r="J6" i="11" s="1"/>
  <c r="K6" i="11" s="1"/>
  <c r="L6" i="11" s="1"/>
  <c r="M6" i="11" s="1"/>
  <c r="N6" i="11" s="1"/>
  <c r="O6" i="11" s="1"/>
  <c r="P6" i="11" s="1"/>
  <c r="Q6" i="11" s="1"/>
  <c r="R6" i="11" s="1"/>
  <c r="S6" i="11" s="1"/>
  <c r="T6" i="11" s="1"/>
  <c r="U6" i="11" s="1"/>
  <c r="V6" i="11" s="1"/>
  <c r="W6" i="11" s="1"/>
  <c r="X6" i="11" s="1"/>
  <c r="Y6" i="11" s="1"/>
  <c r="Z6" i="11" s="1"/>
  <c r="AA6" i="11" s="1"/>
  <c r="AB6" i="11" s="1"/>
  <c r="AC6" i="11" s="1"/>
  <c r="AD6" i="11" s="1"/>
  <c r="AE6" i="11" s="1"/>
  <c r="AF6" i="11" s="1"/>
  <c r="AG6" i="11" s="1"/>
  <c r="B41" i="7"/>
  <c r="B53" i="7"/>
  <c r="B43" i="7"/>
  <c r="B44" i="7"/>
  <c r="B45" i="7"/>
  <c r="B46" i="7"/>
  <c r="B47" i="7"/>
  <c r="B48" i="7"/>
  <c r="B49" i="7"/>
  <c r="B50" i="7"/>
  <c r="B51" i="7"/>
  <c r="B52" i="7"/>
  <c r="B42" i="7"/>
  <c r="E43" i="2"/>
  <c r="F43" i="2" s="1"/>
  <c r="G43" i="2" s="1"/>
  <c r="H43" i="2" s="1"/>
  <c r="I43" i="2" s="1"/>
  <c r="J43" i="2" s="1"/>
  <c r="K43" i="2" s="1"/>
  <c r="L43" i="2" s="1"/>
  <c r="M43" i="2" s="1"/>
  <c r="N43" i="2" s="1"/>
  <c r="O43" i="2" s="1"/>
  <c r="P43" i="2" s="1"/>
  <c r="Q43" i="2" s="1"/>
  <c r="R43" i="2" s="1"/>
  <c r="S43" i="2" s="1"/>
  <c r="T43" i="2" s="1"/>
  <c r="U43" i="2" s="1"/>
  <c r="V43" i="2" s="1"/>
  <c r="W43" i="2" s="1"/>
  <c r="X43" i="2" s="1"/>
  <c r="Y43" i="2" s="1"/>
  <c r="Z43" i="2" s="1"/>
  <c r="AA43" i="2" s="1"/>
  <c r="AB43" i="2" s="1"/>
  <c r="AC43" i="2" s="1"/>
  <c r="AD43" i="2" s="1"/>
  <c r="AE43" i="2" s="1"/>
  <c r="AF43" i="2" s="1"/>
  <c r="AG43" i="2" s="1"/>
  <c r="AH43" i="2" s="1"/>
  <c r="AI45" i="21" l="1"/>
  <c r="C11" i="7"/>
  <c r="C12" i="7"/>
  <c r="B29" i="7" s="1"/>
  <c r="D22" i="8"/>
  <c r="AH69" i="11" s="1"/>
  <c r="F17" i="5"/>
  <c r="F16" i="5"/>
  <c r="E3" i="15" s="1"/>
  <c r="Y28" i="2"/>
  <c r="Z122" i="26"/>
  <c r="Z92" i="26"/>
  <c r="S28" i="2"/>
  <c r="T92" i="26"/>
  <c r="T122" i="26"/>
  <c r="F24" i="17"/>
  <c r="X92" i="26"/>
  <c r="X122" i="26"/>
  <c r="P28" i="2"/>
  <c r="Q122" i="26"/>
  <c r="Q92" i="26"/>
  <c r="E22" i="17"/>
  <c r="V92" i="26"/>
  <c r="V122" i="26"/>
  <c r="R28" i="2"/>
  <c r="S122" i="26"/>
  <c r="S92" i="26"/>
  <c r="Z28" i="2"/>
  <c r="AA122" i="26"/>
  <c r="AA92" i="26"/>
  <c r="Q28" i="2"/>
  <c r="R122" i="26"/>
  <c r="R92" i="26"/>
  <c r="O28" i="2"/>
  <c r="P92" i="26"/>
  <c r="P122" i="26"/>
  <c r="D23" i="17"/>
  <c r="W92" i="26"/>
  <c r="W122" i="26"/>
  <c r="N28" i="2"/>
  <c r="O122" i="26"/>
  <c r="O92" i="26"/>
  <c r="M28" i="2"/>
  <c r="N92" i="26"/>
  <c r="N122" i="26"/>
  <c r="E21" i="17"/>
  <c r="U92" i="26"/>
  <c r="U122" i="26"/>
  <c r="C25" i="17"/>
  <c r="Y122" i="26"/>
  <c r="Y92" i="26"/>
  <c r="B15" i="13"/>
  <c r="E21" i="13" s="1"/>
  <c r="E22" i="13" s="1"/>
  <c r="I35" i="4"/>
  <c r="Z72" i="4"/>
  <c r="V72" i="4"/>
  <c r="Q72" i="4"/>
  <c r="N72" i="4"/>
  <c r="F72" i="4"/>
  <c r="AD72" i="4"/>
  <c r="R72" i="4"/>
  <c r="J72" i="4"/>
  <c r="AE72" i="4"/>
  <c r="O72" i="4"/>
  <c r="Y72" i="4"/>
  <c r="I72" i="4"/>
  <c r="W72" i="4"/>
  <c r="G72" i="4"/>
  <c r="X72" i="4"/>
  <c r="P72" i="4"/>
  <c r="H72" i="4"/>
  <c r="AC72" i="4"/>
  <c r="U72" i="4"/>
  <c r="M72" i="4"/>
  <c r="E72" i="4"/>
  <c r="AG72" i="4"/>
  <c r="AF72" i="4"/>
  <c r="AB72" i="4"/>
  <c r="T72" i="4"/>
  <c r="L72" i="4"/>
  <c r="D72" i="4"/>
  <c r="AA72" i="4"/>
  <c r="S72" i="4"/>
  <c r="K72" i="4"/>
  <c r="D20" i="8"/>
  <c r="D23" i="8"/>
  <c r="AH70" i="11" s="1"/>
  <c r="D21" i="8"/>
  <c r="D27" i="8"/>
  <c r="D19" i="8"/>
  <c r="D16" i="8"/>
  <c r="D26" i="8"/>
  <c r="D18" i="8"/>
  <c r="D24" i="8"/>
  <c r="D25" i="8"/>
  <c r="D17" i="8"/>
  <c r="C9" i="13"/>
  <c r="C20" i="13"/>
  <c r="D20" i="13" s="1"/>
  <c r="AL44" i="2"/>
  <c r="AK44" i="2"/>
  <c r="W7" i="13"/>
  <c r="X7" i="13" s="1"/>
  <c r="Y7" i="13" s="1"/>
  <c r="Z7" i="13" s="1"/>
  <c r="AA7" i="13" s="1"/>
  <c r="AB7" i="13" s="1"/>
  <c r="AC7" i="13" s="1"/>
  <c r="AD7" i="13" s="1"/>
  <c r="AE7" i="13" s="1"/>
  <c r="AE17" i="13" s="1"/>
  <c r="P18" i="13"/>
  <c r="H18" i="13"/>
  <c r="W8" i="13"/>
  <c r="V18" i="13"/>
  <c r="O18" i="13"/>
  <c r="G18" i="13"/>
  <c r="N18" i="13"/>
  <c r="F18" i="13"/>
  <c r="U18" i="13"/>
  <c r="M18" i="13"/>
  <c r="E18" i="13"/>
  <c r="T18" i="13"/>
  <c r="L18" i="13"/>
  <c r="D18" i="13"/>
  <c r="S18" i="13"/>
  <c r="K18" i="13"/>
  <c r="AD17" i="13"/>
  <c r="R18" i="13"/>
  <c r="J18" i="13"/>
  <c r="Q18" i="13"/>
  <c r="I18" i="13"/>
  <c r="AB17" i="13"/>
  <c r="AN44" i="2"/>
  <c r="AM44" i="2"/>
  <c r="AJ44" i="2"/>
  <c r="AJ45" i="21"/>
  <c r="P28" i="21"/>
  <c r="S28" i="21"/>
  <c r="X28" i="21"/>
  <c r="Y28" i="21"/>
  <c r="R28" i="21"/>
  <c r="Z28" i="21"/>
  <c r="T28" i="21"/>
  <c r="M28" i="21"/>
  <c r="U28" i="21"/>
  <c r="N28" i="21"/>
  <c r="V28" i="21"/>
  <c r="Q28" i="21"/>
  <c r="O28" i="21"/>
  <c r="W28" i="21"/>
  <c r="AK44" i="21"/>
  <c r="X28" i="2"/>
  <c r="W28" i="2"/>
  <c r="V28" i="2"/>
  <c r="U28" i="2"/>
  <c r="T28" i="2"/>
  <c r="Z75" i="17"/>
  <c r="E16" i="17"/>
  <c r="E15" i="17"/>
  <c r="E20" i="17"/>
  <c r="E19" i="17"/>
  <c r="E23" i="17"/>
  <c r="F23" i="17"/>
  <c r="E14" i="17"/>
  <c r="C24" i="17"/>
  <c r="C23" i="17"/>
  <c r="E24" i="17"/>
  <c r="D25" i="17"/>
  <c r="F22" i="17"/>
  <c r="E18" i="17"/>
  <c r="D24" i="17"/>
  <c r="C22" i="17"/>
  <c r="F21" i="17"/>
  <c r="E25" i="17"/>
  <c r="E17" i="17"/>
  <c r="C21" i="17"/>
  <c r="D22" i="17"/>
  <c r="D21" i="17"/>
  <c r="F25" i="17"/>
  <c r="C10" i="11" l="1"/>
  <c r="C19" i="26" s="1"/>
  <c r="C17" i="11"/>
  <c r="C53" i="11" s="1"/>
  <c r="C11" i="11"/>
  <c r="C20" i="26" s="1"/>
  <c r="B23" i="7"/>
  <c r="B28" i="7"/>
  <c r="B22" i="7"/>
  <c r="B26" i="7"/>
  <c r="B31" i="7"/>
  <c r="B25" i="7"/>
  <c r="B27" i="7"/>
  <c r="B24" i="7"/>
  <c r="B20" i="7"/>
  <c r="B21" i="7"/>
  <c r="B30" i="7"/>
  <c r="H29" i="5"/>
  <c r="C12" i="11"/>
  <c r="C18" i="11"/>
  <c r="C16" i="11"/>
  <c r="C9" i="11"/>
  <c r="C8" i="11"/>
  <c r="C7" i="11"/>
  <c r="C15" i="11"/>
  <c r="C13" i="11"/>
  <c r="H26" i="5"/>
  <c r="C14" i="11"/>
  <c r="I33" i="5"/>
  <c r="E4" i="15"/>
  <c r="I21" i="13"/>
  <c r="I22" i="13" s="1"/>
  <c r="G21" i="13"/>
  <c r="G22" i="13" s="1"/>
  <c r="H21" i="13"/>
  <c r="H22" i="13" s="1"/>
  <c r="J21" i="13"/>
  <c r="J22" i="13" s="1"/>
  <c r="K21" i="13"/>
  <c r="K22" i="13" s="1"/>
  <c r="D21" i="13"/>
  <c r="D22" i="13" s="1"/>
  <c r="B21" i="13"/>
  <c r="C21" i="13"/>
  <c r="C22" i="13" s="1"/>
  <c r="D121" i="26"/>
  <c r="C29" i="21"/>
  <c r="D11" i="11"/>
  <c r="E103" i="26"/>
  <c r="E117" i="26" s="1"/>
  <c r="D10" i="2"/>
  <c r="E74" i="26"/>
  <c r="F21" i="13"/>
  <c r="F22" i="13" s="1"/>
  <c r="D8" i="11"/>
  <c r="D9" i="11"/>
  <c r="D12" i="11"/>
  <c r="D16" i="11"/>
  <c r="D13" i="11"/>
  <c r="D7" i="11"/>
  <c r="D17" i="11"/>
  <c r="D15" i="11"/>
  <c r="D10" i="11"/>
  <c r="D18" i="11"/>
  <c r="D14" i="11"/>
  <c r="AH66" i="11"/>
  <c r="AH65" i="11"/>
  <c r="AH74" i="11"/>
  <c r="AH63" i="11"/>
  <c r="AH68" i="11"/>
  <c r="AH72" i="11"/>
  <c r="AH67" i="11"/>
  <c r="AH73" i="11"/>
  <c r="Y21" i="13"/>
  <c r="S21" i="13"/>
  <c r="M21" i="13"/>
  <c r="AG21" i="13"/>
  <c r="B19" i="13"/>
  <c r="AD21" i="13"/>
  <c r="Z21" i="13"/>
  <c r="AH21" i="13"/>
  <c r="AI21" i="13"/>
  <c r="AE21" i="13"/>
  <c r="R21" i="13"/>
  <c r="T21" i="13"/>
  <c r="V21" i="13"/>
  <c r="AF21" i="13"/>
  <c r="AB21" i="13"/>
  <c r="AA21" i="13"/>
  <c r="N21" i="13"/>
  <c r="Q21" i="13"/>
  <c r="AJ21" i="13"/>
  <c r="U21" i="13"/>
  <c r="O21" i="13"/>
  <c r="P21" i="13"/>
  <c r="AC21" i="13"/>
  <c r="W21" i="13"/>
  <c r="X21" i="13"/>
  <c r="L21" i="13"/>
  <c r="AH71" i="11"/>
  <c r="AH64" i="11"/>
  <c r="D9" i="13"/>
  <c r="D10" i="21"/>
  <c r="D29" i="21" s="1"/>
  <c r="E20" i="13"/>
  <c r="K19" i="13"/>
  <c r="S19" i="13"/>
  <c r="AA19" i="13"/>
  <c r="D19" i="13"/>
  <c r="L19" i="13"/>
  <c r="T19" i="13"/>
  <c r="AB19" i="13"/>
  <c r="AJ19" i="13"/>
  <c r="E19" i="13"/>
  <c r="M19" i="13"/>
  <c r="U19" i="13"/>
  <c r="AC19" i="13"/>
  <c r="F19" i="13"/>
  <c r="N19" i="13"/>
  <c r="V19" i="13"/>
  <c r="AD19" i="13"/>
  <c r="G19" i="13"/>
  <c r="O19" i="13"/>
  <c r="W19" i="13"/>
  <c r="AE19" i="13"/>
  <c r="AI19" i="13"/>
  <c r="H19" i="13"/>
  <c r="P19" i="13"/>
  <c r="X19" i="13"/>
  <c r="AF19" i="13"/>
  <c r="AH19" i="13"/>
  <c r="I19" i="13"/>
  <c r="Q19" i="13"/>
  <c r="Y19" i="13"/>
  <c r="AG19" i="13"/>
  <c r="J19" i="13"/>
  <c r="R19" i="13"/>
  <c r="Z19" i="13"/>
  <c r="C19" i="13"/>
  <c r="AC17" i="13"/>
  <c r="W17" i="13"/>
  <c r="Y17" i="13"/>
  <c r="AA17" i="13"/>
  <c r="AF7" i="13"/>
  <c r="Z17" i="13"/>
  <c r="X17" i="13"/>
  <c r="AF17" i="13"/>
  <c r="X8" i="13"/>
  <c r="W18" i="13"/>
  <c r="I26" i="5"/>
  <c r="I29" i="5"/>
  <c r="AK45" i="21"/>
  <c r="AL44" i="21"/>
  <c r="AA75" i="17"/>
  <c r="C46" i="11" l="1"/>
  <c r="C47" i="11"/>
  <c r="C26" i="26"/>
  <c r="C16" i="26"/>
  <c r="C43" i="11"/>
  <c r="C40" i="4" s="1"/>
  <c r="D23" i="26"/>
  <c r="D91" i="26" s="1"/>
  <c r="D27" i="26"/>
  <c r="D19" i="26"/>
  <c r="D24" i="26"/>
  <c r="D18" i="26"/>
  <c r="D26" i="26"/>
  <c r="D21" i="26"/>
  <c r="D20" i="26"/>
  <c r="D17" i="26"/>
  <c r="D16" i="26"/>
  <c r="D22" i="26"/>
  <c r="D25" i="26"/>
  <c r="C22" i="26"/>
  <c r="C24" i="26"/>
  <c r="C17" i="26"/>
  <c r="C18" i="26"/>
  <c r="C25" i="26"/>
  <c r="C27" i="26"/>
  <c r="C21" i="26"/>
  <c r="C23" i="26"/>
  <c r="C26" i="2"/>
  <c r="D44" i="2" s="1"/>
  <c r="D90" i="26"/>
  <c r="E99" i="26" s="1"/>
  <c r="C48" i="11"/>
  <c r="C45" i="4" s="1"/>
  <c r="D119" i="26"/>
  <c r="E129" i="26" s="1"/>
  <c r="C50" i="11"/>
  <c r="C47" i="4" s="1"/>
  <c r="C49" i="11"/>
  <c r="C46" i="4" s="1"/>
  <c r="C44" i="11"/>
  <c r="C41" i="4" s="1"/>
  <c r="F103" i="26"/>
  <c r="F117" i="26" s="1"/>
  <c r="E121" i="26"/>
  <c r="L22" i="13"/>
  <c r="M22" i="13" s="1"/>
  <c r="N22" i="13" s="1"/>
  <c r="O22" i="13" s="1"/>
  <c r="P22" i="13" s="1"/>
  <c r="Q22" i="13" s="1"/>
  <c r="R22" i="13" s="1"/>
  <c r="S22" i="13" s="1"/>
  <c r="T22" i="13" s="1"/>
  <c r="U22" i="13" s="1"/>
  <c r="V22" i="13" s="1"/>
  <c r="W22" i="13" s="1"/>
  <c r="X22" i="13" s="1"/>
  <c r="Y22" i="13" s="1"/>
  <c r="Z22" i="13" s="1"/>
  <c r="AA22" i="13" s="1"/>
  <c r="AB22" i="13" s="1"/>
  <c r="AC22" i="13" s="1"/>
  <c r="AD22" i="13" s="1"/>
  <c r="AE22" i="13" s="1"/>
  <c r="AF22" i="13" s="1"/>
  <c r="AG22" i="13" s="1"/>
  <c r="AH22" i="13" s="1"/>
  <c r="AI22" i="13" s="1"/>
  <c r="AJ22" i="13" s="1"/>
  <c r="F74" i="26"/>
  <c r="F88" i="26" s="1"/>
  <c r="E88" i="26"/>
  <c r="C32" i="11"/>
  <c r="C33" i="11"/>
  <c r="C35" i="11"/>
  <c r="C34" i="11"/>
  <c r="C27" i="11"/>
  <c r="C36" i="11"/>
  <c r="C28" i="11"/>
  <c r="C31" i="26" s="1"/>
  <c r="C29" i="11"/>
  <c r="C37" i="11"/>
  <c r="C40" i="26" s="1"/>
  <c r="C31" i="11"/>
  <c r="C30" i="11"/>
  <c r="E28" i="11"/>
  <c r="E31" i="26" s="1"/>
  <c r="E32" i="11"/>
  <c r="E35" i="26" s="1"/>
  <c r="E36" i="11"/>
  <c r="E39" i="26" s="1"/>
  <c r="E27" i="11"/>
  <c r="E30" i="26" s="1"/>
  <c r="E31" i="11"/>
  <c r="E34" i="26" s="1"/>
  <c r="E35" i="11"/>
  <c r="E38" i="26" s="1"/>
  <c r="E26" i="11"/>
  <c r="E29" i="26" s="1"/>
  <c r="E30" i="11"/>
  <c r="E33" i="26" s="1"/>
  <c r="E34" i="11"/>
  <c r="E37" i="26" s="1"/>
  <c r="E37" i="11"/>
  <c r="E40" i="26" s="1"/>
  <c r="E29" i="11"/>
  <c r="E32" i="26" s="1"/>
  <c r="E33" i="11"/>
  <c r="E36" i="26" s="1"/>
  <c r="D27" i="11"/>
  <c r="D30" i="26" s="1"/>
  <c r="D31" i="11"/>
  <c r="D34" i="26" s="1"/>
  <c r="D35" i="11"/>
  <c r="D38" i="26" s="1"/>
  <c r="D26" i="11"/>
  <c r="D29" i="26" s="1"/>
  <c r="D30" i="11"/>
  <c r="D33" i="26" s="1"/>
  <c r="D34" i="11"/>
  <c r="D37" i="26" s="1"/>
  <c r="D29" i="11"/>
  <c r="D32" i="26" s="1"/>
  <c r="D33" i="11"/>
  <c r="D36" i="26" s="1"/>
  <c r="D37" i="11"/>
  <c r="D40" i="26" s="1"/>
  <c r="D28" i="11"/>
  <c r="D32" i="11"/>
  <c r="D35" i="26" s="1"/>
  <c r="D36" i="11"/>
  <c r="D39" i="26" s="1"/>
  <c r="F28" i="11"/>
  <c r="F31" i="26" s="1"/>
  <c r="F32" i="11"/>
  <c r="F35" i="26" s="1"/>
  <c r="F36" i="11"/>
  <c r="F39" i="26" s="1"/>
  <c r="F27" i="11"/>
  <c r="F30" i="26" s="1"/>
  <c r="F31" i="11"/>
  <c r="F34" i="26" s="1"/>
  <c r="F35" i="11"/>
  <c r="F38" i="26" s="1"/>
  <c r="F26" i="11"/>
  <c r="F29" i="26" s="1"/>
  <c r="F30" i="11"/>
  <c r="F33" i="26" s="1"/>
  <c r="F34" i="11"/>
  <c r="F37" i="26" s="1"/>
  <c r="F29" i="11"/>
  <c r="F32" i="26" s="1"/>
  <c r="F33" i="11"/>
  <c r="F36" i="26" s="1"/>
  <c r="F37" i="11"/>
  <c r="F40" i="26" s="1"/>
  <c r="E17" i="11"/>
  <c r="E18" i="11"/>
  <c r="E13" i="11"/>
  <c r="E14" i="11"/>
  <c r="E15" i="11"/>
  <c r="E9" i="11"/>
  <c r="E16" i="11"/>
  <c r="E10" i="11"/>
  <c r="E7" i="11"/>
  <c r="E12" i="11"/>
  <c r="E8" i="11"/>
  <c r="E11" i="11"/>
  <c r="C26" i="11"/>
  <c r="C63" i="11" s="1"/>
  <c r="E10" i="21"/>
  <c r="E9" i="13"/>
  <c r="E10" i="2"/>
  <c r="F20" i="13"/>
  <c r="G32" i="11" s="1"/>
  <c r="AG7" i="13"/>
  <c r="Y8" i="13"/>
  <c r="X18" i="13"/>
  <c r="C26" i="21"/>
  <c r="D45" i="21" s="1"/>
  <c r="AL45" i="21"/>
  <c r="AM44" i="21"/>
  <c r="G31" i="5"/>
  <c r="C52" i="11"/>
  <c r="C49" i="4" s="1"/>
  <c r="C45" i="11"/>
  <c r="C42" i="4" s="1"/>
  <c r="C54" i="11"/>
  <c r="C51" i="4" s="1"/>
  <c r="C51" i="11"/>
  <c r="C48" i="4" s="1"/>
  <c r="D46" i="11"/>
  <c r="D43" i="4" s="1"/>
  <c r="AB75" i="17"/>
  <c r="D49" i="11"/>
  <c r="D46" i="4" s="1"/>
  <c r="D53" i="11"/>
  <c r="D50" i="4" s="1"/>
  <c r="D51" i="11"/>
  <c r="D48" i="4" s="1"/>
  <c r="D44" i="11"/>
  <c r="D41" i="4" s="1"/>
  <c r="D45" i="11"/>
  <c r="D42" i="4" s="1"/>
  <c r="D52" i="11"/>
  <c r="D49" i="4" s="1"/>
  <c r="D43" i="11"/>
  <c r="D40" i="4" s="1"/>
  <c r="D47" i="11"/>
  <c r="D54" i="11"/>
  <c r="D51" i="4" s="1"/>
  <c r="D48" i="11"/>
  <c r="D45" i="4" s="1"/>
  <c r="D19" i="11"/>
  <c r="D50" i="11"/>
  <c r="D47" i="4" s="1"/>
  <c r="C43" i="4"/>
  <c r="C44" i="4"/>
  <c r="C50" i="4"/>
  <c r="E25" i="26" l="1"/>
  <c r="E20" i="26"/>
  <c r="E23" i="26"/>
  <c r="E91" i="26" s="1"/>
  <c r="E18" i="26"/>
  <c r="E19" i="26"/>
  <c r="E22" i="26"/>
  <c r="E21" i="26"/>
  <c r="E27" i="26"/>
  <c r="E24" i="26"/>
  <c r="E17" i="26"/>
  <c r="E16" i="26"/>
  <c r="E26" i="26"/>
  <c r="C38" i="26"/>
  <c r="C34" i="26"/>
  <c r="C36" i="26"/>
  <c r="C35" i="26"/>
  <c r="C39" i="26"/>
  <c r="C37" i="26"/>
  <c r="G30" i="11"/>
  <c r="G33" i="26" s="1"/>
  <c r="G37" i="11"/>
  <c r="G40" i="26" s="1"/>
  <c r="G34" i="11"/>
  <c r="G37" i="26" s="1"/>
  <c r="G28" i="11"/>
  <c r="G31" i="26" s="1"/>
  <c r="G26" i="11"/>
  <c r="G29" i="26" s="1"/>
  <c r="G33" i="11"/>
  <c r="G36" i="26" s="1"/>
  <c r="G35" i="11"/>
  <c r="G38" i="26" s="1"/>
  <c r="G29" i="11"/>
  <c r="G32" i="26" s="1"/>
  <c r="G31" i="11"/>
  <c r="G34" i="26" s="1"/>
  <c r="G74" i="26"/>
  <c r="G88" i="26" s="1"/>
  <c r="G103" i="26"/>
  <c r="G117" i="26" s="1"/>
  <c r="G27" i="11"/>
  <c r="G30" i="26" s="1"/>
  <c r="E29" i="21"/>
  <c r="F121" i="26"/>
  <c r="G36" i="11"/>
  <c r="G39" i="26" s="1"/>
  <c r="D65" i="11"/>
  <c r="D58" i="4" s="1"/>
  <c r="D31" i="26"/>
  <c r="C66" i="11"/>
  <c r="C59" i="4" s="1"/>
  <c r="C32" i="26"/>
  <c r="C64" i="11"/>
  <c r="C57" i="4" s="1"/>
  <c r="C30" i="26"/>
  <c r="C67" i="11"/>
  <c r="C60" i="4" s="1"/>
  <c r="C33" i="26"/>
  <c r="C29" i="26"/>
  <c r="F10" i="21"/>
  <c r="G35" i="26"/>
  <c r="F17" i="11"/>
  <c r="F13" i="11"/>
  <c r="F18" i="11"/>
  <c r="F9" i="11"/>
  <c r="F14" i="11"/>
  <c r="F12" i="11"/>
  <c r="F10" i="11"/>
  <c r="F15" i="11"/>
  <c r="F7" i="11"/>
  <c r="F11" i="11"/>
  <c r="F16" i="11"/>
  <c r="F8" i="11"/>
  <c r="C69" i="11"/>
  <c r="C62" i="4" s="1"/>
  <c r="C68" i="11"/>
  <c r="C61" i="4" s="1"/>
  <c r="C71" i="11"/>
  <c r="C64" i="4" s="1"/>
  <c r="C74" i="11"/>
  <c r="C67" i="4" s="1"/>
  <c r="C70" i="11"/>
  <c r="C63" i="4" s="1"/>
  <c r="C65" i="11"/>
  <c r="C58" i="4" s="1"/>
  <c r="C72" i="11"/>
  <c r="C65" i="4" s="1"/>
  <c r="C73" i="11"/>
  <c r="C66" i="4" s="1"/>
  <c r="D63" i="11"/>
  <c r="D56" i="4" s="1"/>
  <c r="C56" i="4"/>
  <c r="C38" i="11"/>
  <c r="D66" i="11"/>
  <c r="D59" i="4" s="1"/>
  <c r="D71" i="11"/>
  <c r="D64" i="4" s="1"/>
  <c r="D74" i="11"/>
  <c r="D67" i="4" s="1"/>
  <c r="D64" i="11"/>
  <c r="D57" i="4" s="1"/>
  <c r="D69" i="11"/>
  <c r="D62" i="4" s="1"/>
  <c r="D67" i="11"/>
  <c r="D60" i="4" s="1"/>
  <c r="D68" i="11"/>
  <c r="D61" i="4" s="1"/>
  <c r="D72" i="11"/>
  <c r="D65" i="4" s="1"/>
  <c r="F9" i="13"/>
  <c r="F10" i="2"/>
  <c r="D73" i="11"/>
  <c r="D66" i="4" s="1"/>
  <c r="D70" i="11"/>
  <c r="D63" i="4" s="1"/>
  <c r="D38" i="11"/>
  <c r="G20" i="13"/>
  <c r="AH7" i="13"/>
  <c r="AG17" i="13"/>
  <c r="Z8" i="13"/>
  <c r="Y18" i="13"/>
  <c r="E66" i="11"/>
  <c r="E59" i="4" s="1"/>
  <c r="F71" i="11"/>
  <c r="F64" i="4" s="1"/>
  <c r="F66" i="11"/>
  <c r="F59" i="4" s="1"/>
  <c r="E64" i="11"/>
  <c r="E57" i="4" s="1"/>
  <c r="F64" i="11"/>
  <c r="F57" i="4" s="1"/>
  <c r="F67" i="11"/>
  <c r="F60" i="4" s="1"/>
  <c r="F74" i="11"/>
  <c r="F67" i="4" s="1"/>
  <c r="E71" i="11"/>
  <c r="E64" i="4" s="1"/>
  <c r="E73" i="11"/>
  <c r="E66" i="4" s="1"/>
  <c r="E68" i="11"/>
  <c r="E61" i="4" s="1"/>
  <c r="F63" i="11"/>
  <c r="F56" i="4" s="1"/>
  <c r="F38" i="11"/>
  <c r="F73" i="11"/>
  <c r="F66" i="4" s="1"/>
  <c r="E67" i="11"/>
  <c r="E60" i="4" s="1"/>
  <c r="E69" i="11"/>
  <c r="E62" i="4" s="1"/>
  <c r="F70" i="11"/>
  <c r="F63" i="4" s="1"/>
  <c r="F69" i="11"/>
  <c r="F62" i="4" s="1"/>
  <c r="E63" i="11"/>
  <c r="E56" i="4" s="1"/>
  <c r="E38" i="11"/>
  <c r="E65" i="11"/>
  <c r="E58" i="4" s="1"/>
  <c r="F65" i="11"/>
  <c r="F58" i="4" s="1"/>
  <c r="F72" i="11"/>
  <c r="F65" i="4" s="1"/>
  <c r="E74" i="11"/>
  <c r="E67" i="4" s="1"/>
  <c r="F68" i="11"/>
  <c r="F61" i="4" s="1"/>
  <c r="E70" i="11"/>
  <c r="E63" i="4" s="1"/>
  <c r="E72" i="11"/>
  <c r="E65" i="4" s="1"/>
  <c r="AM45" i="21"/>
  <c r="AN44" i="21"/>
  <c r="AN45" i="21" s="1"/>
  <c r="AC75" i="17"/>
  <c r="D44" i="4"/>
  <c r="E53" i="11"/>
  <c r="E50" i="4" s="1"/>
  <c r="E52" i="11"/>
  <c r="E49" i="4" s="1"/>
  <c r="E19" i="11"/>
  <c r="E43" i="11"/>
  <c r="E40" i="4" s="1"/>
  <c r="E46" i="11"/>
  <c r="E43" i="4" s="1"/>
  <c r="E51" i="11"/>
  <c r="E48" i="4" s="1"/>
  <c r="E45" i="11"/>
  <c r="E42" i="4" s="1"/>
  <c r="E50" i="11"/>
  <c r="E47" i="4" s="1"/>
  <c r="E49" i="11"/>
  <c r="E46" i="4" s="1"/>
  <c r="E44" i="11"/>
  <c r="E41" i="4" s="1"/>
  <c r="E48" i="11"/>
  <c r="E45" i="4" s="1"/>
  <c r="E47" i="11"/>
  <c r="E44" i="4" s="1"/>
  <c r="E54" i="11"/>
  <c r="E51" i="4" s="1"/>
  <c r="F25" i="26" l="1"/>
  <c r="F16" i="26"/>
  <c r="F26" i="26"/>
  <c r="F20" i="26"/>
  <c r="F24" i="26"/>
  <c r="F19" i="26"/>
  <c r="F22" i="26"/>
  <c r="F21" i="26"/>
  <c r="F23" i="26"/>
  <c r="F91" i="26" s="1"/>
  <c r="F17" i="26"/>
  <c r="F18" i="26"/>
  <c r="F27" i="26"/>
  <c r="F29" i="21"/>
  <c r="G121" i="26"/>
  <c r="H35" i="11"/>
  <c r="H38" i="26" s="1"/>
  <c r="H26" i="11"/>
  <c r="H29" i="26" s="1"/>
  <c r="H29" i="11"/>
  <c r="H32" i="26" s="1"/>
  <c r="H33" i="11"/>
  <c r="H36" i="26" s="1"/>
  <c r="H30" i="11"/>
  <c r="H33" i="26" s="1"/>
  <c r="H37" i="11"/>
  <c r="H40" i="26" s="1"/>
  <c r="H34" i="11"/>
  <c r="H37" i="26" s="1"/>
  <c r="H28" i="11"/>
  <c r="H31" i="26" s="1"/>
  <c r="H36" i="11"/>
  <c r="H39" i="26" s="1"/>
  <c r="H32" i="11"/>
  <c r="H35" i="26" s="1"/>
  <c r="H27" i="11"/>
  <c r="H30" i="26" s="1"/>
  <c r="H31" i="11"/>
  <c r="H34" i="26" s="1"/>
  <c r="H74" i="26"/>
  <c r="H88" i="26" s="1"/>
  <c r="H103" i="26"/>
  <c r="H117" i="26" s="1"/>
  <c r="G14" i="11"/>
  <c r="G15" i="11"/>
  <c r="G10" i="11"/>
  <c r="G17" i="11"/>
  <c r="G11" i="11"/>
  <c r="G12" i="11"/>
  <c r="G13" i="11"/>
  <c r="G7" i="11"/>
  <c r="G9" i="11"/>
  <c r="G16" i="11"/>
  <c r="G18" i="11"/>
  <c r="G8" i="11"/>
  <c r="F44" i="11"/>
  <c r="F41" i="4" s="1"/>
  <c r="F50" i="11"/>
  <c r="F47" i="4" s="1"/>
  <c r="F51" i="11"/>
  <c r="F48" i="4" s="1"/>
  <c r="F48" i="11"/>
  <c r="F45" i="4" s="1"/>
  <c r="F52" i="11"/>
  <c r="F49" i="4" s="1"/>
  <c r="F46" i="11"/>
  <c r="F43" i="4" s="1"/>
  <c r="F43" i="11"/>
  <c r="F40" i="4" s="1"/>
  <c r="F47" i="11"/>
  <c r="F44" i="4" s="1"/>
  <c r="F45" i="11"/>
  <c r="F42" i="4" s="1"/>
  <c r="F49" i="11"/>
  <c r="F46" i="4" s="1"/>
  <c r="F53" i="11"/>
  <c r="F50" i="4" s="1"/>
  <c r="F54" i="11"/>
  <c r="F51" i="4" s="1"/>
  <c r="F19" i="11"/>
  <c r="G10" i="2"/>
  <c r="G9" i="13"/>
  <c r="G10" i="21"/>
  <c r="H20" i="13"/>
  <c r="AI7" i="13"/>
  <c r="AH17" i="13"/>
  <c r="AA8" i="13"/>
  <c r="Z18" i="13"/>
  <c r="G73" i="11"/>
  <c r="G66" i="4" s="1"/>
  <c r="G69" i="11"/>
  <c r="G62" i="4" s="1"/>
  <c r="G65" i="11"/>
  <c r="G58" i="4" s="1"/>
  <c r="G71" i="11"/>
  <c r="G64" i="4" s="1"/>
  <c r="G67" i="11"/>
  <c r="G60" i="4" s="1"/>
  <c r="G63" i="11"/>
  <c r="G56" i="4" s="1"/>
  <c r="G38" i="11"/>
  <c r="G72" i="11"/>
  <c r="G65" i="4" s="1"/>
  <c r="G74" i="11"/>
  <c r="G67" i="4" s="1"/>
  <c r="G70" i="11"/>
  <c r="G63" i="4" s="1"/>
  <c r="G68" i="11"/>
  <c r="G61" i="4" s="1"/>
  <c r="G64" i="11"/>
  <c r="G57" i="4" s="1"/>
  <c r="G66" i="11"/>
  <c r="G59" i="4" s="1"/>
  <c r="AD75" i="17"/>
  <c r="G27" i="26" l="1"/>
  <c r="G23" i="26"/>
  <c r="G91" i="26" s="1"/>
  <c r="G22" i="26"/>
  <c r="G25" i="26"/>
  <c r="G16" i="26"/>
  <c r="G21" i="26"/>
  <c r="G19" i="26"/>
  <c r="G20" i="26"/>
  <c r="G17" i="26"/>
  <c r="G26" i="26"/>
  <c r="G24" i="26"/>
  <c r="G18" i="26"/>
  <c r="I103" i="26"/>
  <c r="I117" i="26" s="1"/>
  <c r="I74" i="26"/>
  <c r="I88" i="26" s="1"/>
  <c r="I30" i="11"/>
  <c r="I33" i="26" s="1"/>
  <c r="I27" i="11"/>
  <c r="I30" i="26" s="1"/>
  <c r="I34" i="11"/>
  <c r="I37" i="26" s="1"/>
  <c r="I31" i="11"/>
  <c r="I34" i="26" s="1"/>
  <c r="I29" i="11"/>
  <c r="I32" i="26" s="1"/>
  <c r="I35" i="11"/>
  <c r="I38" i="26" s="1"/>
  <c r="I33" i="11"/>
  <c r="I36" i="26" s="1"/>
  <c r="I37" i="11"/>
  <c r="I40" i="26" s="1"/>
  <c r="I28" i="11"/>
  <c r="I31" i="26" s="1"/>
  <c r="I32" i="11"/>
  <c r="I35" i="26" s="1"/>
  <c r="I26" i="11"/>
  <c r="I29" i="26" s="1"/>
  <c r="I36" i="11"/>
  <c r="I39" i="26" s="1"/>
  <c r="G29" i="21"/>
  <c r="H121" i="26"/>
  <c r="H7" i="11"/>
  <c r="H12" i="11"/>
  <c r="H17" i="11"/>
  <c r="H9" i="11"/>
  <c r="H18" i="11"/>
  <c r="H14" i="11"/>
  <c r="H10" i="11"/>
  <c r="H13" i="11"/>
  <c r="H15" i="11"/>
  <c r="H16" i="11"/>
  <c r="H8" i="11"/>
  <c r="H11" i="11"/>
  <c r="G50" i="11"/>
  <c r="G47" i="4" s="1"/>
  <c r="G43" i="11"/>
  <c r="G40" i="4" s="1"/>
  <c r="G48" i="11"/>
  <c r="G45" i="4" s="1"/>
  <c r="G45" i="11"/>
  <c r="G42" i="4" s="1"/>
  <c r="G49" i="11"/>
  <c r="G46" i="4" s="1"/>
  <c r="G54" i="11"/>
  <c r="G51" i="4" s="1"/>
  <c r="G52" i="11"/>
  <c r="G49" i="4" s="1"/>
  <c r="G46" i="11"/>
  <c r="G43" i="4" s="1"/>
  <c r="G47" i="11"/>
  <c r="G44" i="4" s="1"/>
  <c r="G19" i="11"/>
  <c r="G53" i="11"/>
  <c r="G50" i="4" s="1"/>
  <c r="G44" i="11"/>
  <c r="G41" i="4" s="1"/>
  <c r="H10" i="21"/>
  <c r="H9" i="13"/>
  <c r="H10" i="2"/>
  <c r="G51" i="11"/>
  <c r="G48" i="4" s="1"/>
  <c r="I20" i="13"/>
  <c r="AJ7" i="13"/>
  <c r="AI17" i="13"/>
  <c r="AB8" i="13"/>
  <c r="AA18" i="13"/>
  <c r="H63" i="11"/>
  <c r="H56" i="4" s="1"/>
  <c r="H38" i="11"/>
  <c r="H65" i="11"/>
  <c r="H58" i="4" s="1"/>
  <c r="H67" i="11"/>
  <c r="H60" i="4" s="1"/>
  <c r="H74" i="11"/>
  <c r="H67" i="4" s="1"/>
  <c r="H72" i="11"/>
  <c r="H65" i="4" s="1"/>
  <c r="H70" i="11"/>
  <c r="H63" i="4" s="1"/>
  <c r="H68" i="11"/>
  <c r="H61" i="4" s="1"/>
  <c r="H66" i="11"/>
  <c r="H59" i="4" s="1"/>
  <c r="H64" i="11"/>
  <c r="H57" i="4" s="1"/>
  <c r="H71" i="11"/>
  <c r="H64" i="4" s="1"/>
  <c r="H73" i="11"/>
  <c r="H66" i="4" s="1"/>
  <c r="H69" i="11"/>
  <c r="H62" i="4" s="1"/>
  <c r="AE75" i="17"/>
  <c r="H26" i="26" l="1"/>
  <c r="H24" i="26"/>
  <c r="H22" i="26"/>
  <c r="H19" i="26"/>
  <c r="H25" i="26"/>
  <c r="H23" i="26"/>
  <c r="H91" i="26" s="1"/>
  <c r="H16" i="26"/>
  <c r="H27" i="26"/>
  <c r="H21" i="26"/>
  <c r="H20" i="26"/>
  <c r="H18" i="26"/>
  <c r="H17" i="26"/>
  <c r="J26" i="11"/>
  <c r="J29" i="26" s="1"/>
  <c r="J36" i="11"/>
  <c r="J39" i="26" s="1"/>
  <c r="J30" i="11"/>
  <c r="J33" i="26" s="1"/>
  <c r="J27" i="11"/>
  <c r="J30" i="26" s="1"/>
  <c r="J34" i="11"/>
  <c r="J37" i="26" s="1"/>
  <c r="J31" i="11"/>
  <c r="J34" i="26" s="1"/>
  <c r="J29" i="11"/>
  <c r="J32" i="26" s="1"/>
  <c r="J35" i="11"/>
  <c r="J38" i="26" s="1"/>
  <c r="J28" i="11"/>
  <c r="J31" i="26" s="1"/>
  <c r="J33" i="11"/>
  <c r="J36" i="26" s="1"/>
  <c r="J37" i="11"/>
  <c r="J40" i="26" s="1"/>
  <c r="J32" i="11"/>
  <c r="J35" i="26" s="1"/>
  <c r="J74" i="26"/>
  <c r="J88" i="26" s="1"/>
  <c r="J103" i="26"/>
  <c r="J117" i="26" s="1"/>
  <c r="H29" i="21"/>
  <c r="I121" i="26"/>
  <c r="I17" i="11"/>
  <c r="I9" i="11"/>
  <c r="I13" i="11"/>
  <c r="I15" i="11"/>
  <c r="I16" i="11"/>
  <c r="I11" i="11"/>
  <c r="I18" i="11"/>
  <c r="I12" i="11"/>
  <c r="I7" i="11"/>
  <c r="I14" i="11"/>
  <c r="I8" i="11"/>
  <c r="I10" i="11"/>
  <c r="H52" i="11"/>
  <c r="H49" i="4" s="1"/>
  <c r="H48" i="11"/>
  <c r="H45" i="4" s="1"/>
  <c r="H45" i="11"/>
  <c r="H42" i="4" s="1"/>
  <c r="H43" i="11"/>
  <c r="H40" i="4" s="1"/>
  <c r="H50" i="11"/>
  <c r="H47" i="4" s="1"/>
  <c r="H46" i="11"/>
  <c r="H43" i="4" s="1"/>
  <c r="H44" i="11"/>
  <c r="H41" i="4" s="1"/>
  <c r="H51" i="11"/>
  <c r="H48" i="4" s="1"/>
  <c r="H47" i="11"/>
  <c r="H44" i="4" s="1"/>
  <c r="H53" i="11"/>
  <c r="H50" i="4" s="1"/>
  <c r="I9" i="13"/>
  <c r="I10" i="21"/>
  <c r="I10" i="2"/>
  <c r="H54" i="11"/>
  <c r="H51" i="4" s="1"/>
  <c r="H49" i="11"/>
  <c r="H46" i="4" s="1"/>
  <c r="H19" i="11"/>
  <c r="J20" i="13"/>
  <c r="AJ17" i="13"/>
  <c r="AC8" i="13"/>
  <c r="AB18" i="13"/>
  <c r="I66" i="11"/>
  <c r="I59" i="4" s="1"/>
  <c r="I68" i="11"/>
  <c r="I61" i="4" s="1"/>
  <c r="I73" i="11"/>
  <c r="I66" i="4" s="1"/>
  <c r="I71" i="11"/>
  <c r="I64" i="4" s="1"/>
  <c r="I69" i="11"/>
  <c r="I62" i="4" s="1"/>
  <c r="I65" i="11"/>
  <c r="I58" i="4" s="1"/>
  <c r="I63" i="11"/>
  <c r="I56" i="4" s="1"/>
  <c r="I38" i="11"/>
  <c r="I67" i="11"/>
  <c r="I60" i="4" s="1"/>
  <c r="I72" i="11"/>
  <c r="I65" i="4" s="1"/>
  <c r="I74" i="11"/>
  <c r="I67" i="4" s="1"/>
  <c r="I64" i="11"/>
  <c r="I57" i="4" s="1"/>
  <c r="I70" i="11"/>
  <c r="I63" i="4" s="1"/>
  <c r="AF75" i="17"/>
  <c r="I23" i="26" l="1"/>
  <c r="I91" i="26" s="1"/>
  <c r="I21" i="26"/>
  <c r="I27" i="26"/>
  <c r="I16" i="26"/>
  <c r="I26" i="26"/>
  <c r="I20" i="26"/>
  <c r="I25" i="26"/>
  <c r="I17" i="26"/>
  <c r="I18" i="26"/>
  <c r="I19" i="26"/>
  <c r="I24" i="26"/>
  <c r="I22" i="26"/>
  <c r="K26" i="11"/>
  <c r="K29" i="26" s="1"/>
  <c r="K36" i="11"/>
  <c r="K39" i="26" s="1"/>
  <c r="K30" i="11"/>
  <c r="K33" i="26" s="1"/>
  <c r="K34" i="11"/>
  <c r="K37" i="26" s="1"/>
  <c r="K31" i="11"/>
  <c r="K34" i="26" s="1"/>
  <c r="K29" i="11"/>
  <c r="K32" i="26" s="1"/>
  <c r="K28" i="11"/>
  <c r="K31" i="26" s="1"/>
  <c r="K33" i="11"/>
  <c r="K36" i="26" s="1"/>
  <c r="K27" i="11"/>
  <c r="K30" i="26" s="1"/>
  <c r="K37" i="11"/>
  <c r="K40" i="26" s="1"/>
  <c r="K35" i="11"/>
  <c r="K38" i="26" s="1"/>
  <c r="K32" i="11"/>
  <c r="K35" i="26" s="1"/>
  <c r="I29" i="21"/>
  <c r="J121" i="26"/>
  <c r="K74" i="26"/>
  <c r="K88" i="26" s="1"/>
  <c r="K103" i="26"/>
  <c r="K117" i="26" s="1"/>
  <c r="J17" i="11"/>
  <c r="J9" i="11"/>
  <c r="J16" i="11"/>
  <c r="J13" i="11"/>
  <c r="J18" i="11"/>
  <c r="J12" i="11"/>
  <c r="J10" i="11"/>
  <c r="J8" i="11"/>
  <c r="J15" i="11"/>
  <c r="J11" i="11"/>
  <c r="J7" i="11"/>
  <c r="J14" i="11"/>
  <c r="I44" i="11"/>
  <c r="I41" i="4" s="1"/>
  <c r="I43" i="11"/>
  <c r="I40" i="4" s="1"/>
  <c r="I53" i="11"/>
  <c r="I50" i="4" s="1"/>
  <c r="I51" i="11"/>
  <c r="I48" i="4" s="1"/>
  <c r="I49" i="11"/>
  <c r="I46" i="4" s="1"/>
  <c r="I50" i="11"/>
  <c r="I47" i="4" s="1"/>
  <c r="I47" i="11"/>
  <c r="I44" i="4" s="1"/>
  <c r="I48" i="11"/>
  <c r="I45" i="4" s="1"/>
  <c r="I52" i="11"/>
  <c r="I49" i="4" s="1"/>
  <c r="I45" i="11"/>
  <c r="I42" i="4" s="1"/>
  <c r="I54" i="11"/>
  <c r="I51" i="4" s="1"/>
  <c r="I19" i="11"/>
  <c r="I46" i="11"/>
  <c r="I43" i="4" s="1"/>
  <c r="J10" i="21"/>
  <c r="J9" i="13"/>
  <c r="J10" i="2"/>
  <c r="K20" i="13"/>
  <c r="AD8" i="13"/>
  <c r="AC18" i="13"/>
  <c r="J71" i="11"/>
  <c r="J64" i="4" s="1"/>
  <c r="J67" i="11"/>
  <c r="J60" i="4" s="1"/>
  <c r="J72" i="11"/>
  <c r="J65" i="4" s="1"/>
  <c r="J63" i="11"/>
  <c r="J56" i="4" s="1"/>
  <c r="J38" i="11"/>
  <c r="J68" i="11"/>
  <c r="J61" i="4" s="1"/>
  <c r="J74" i="11"/>
  <c r="J67" i="4" s="1"/>
  <c r="J69" i="11"/>
  <c r="J62" i="4" s="1"/>
  <c r="J70" i="11"/>
  <c r="J63" i="4" s="1"/>
  <c r="J65" i="11"/>
  <c r="J58" i="4" s="1"/>
  <c r="J66" i="11"/>
  <c r="J59" i="4" s="1"/>
  <c r="J73" i="11"/>
  <c r="J66" i="4" s="1"/>
  <c r="J64" i="11"/>
  <c r="J57" i="4" s="1"/>
  <c r="AG75" i="17"/>
  <c r="AH75" i="17" s="1"/>
  <c r="AI75" i="17" s="1"/>
  <c r="AJ75" i="17" s="1"/>
  <c r="AK75" i="17" s="1"/>
  <c r="AL75" i="17" s="1"/>
  <c r="AM75" i="17" s="1"/>
  <c r="AN75" i="17" s="1"/>
  <c r="AO75" i="17" s="1"/>
  <c r="AP75" i="17" s="1"/>
  <c r="AQ75" i="17" s="1"/>
  <c r="AR75" i="17" s="1"/>
  <c r="AS75" i="17" s="1"/>
  <c r="AT75" i="17" s="1"/>
  <c r="AU75" i="17" s="1"/>
  <c r="J18" i="26" l="1"/>
  <c r="J24" i="26"/>
  <c r="J17" i="26"/>
  <c r="J19" i="26"/>
  <c r="J21" i="26"/>
  <c r="J16" i="26"/>
  <c r="J26" i="26"/>
  <c r="J27" i="26"/>
  <c r="J25" i="26"/>
  <c r="J20" i="26"/>
  <c r="J23" i="26"/>
  <c r="J91" i="26" s="1"/>
  <c r="J22" i="26"/>
  <c r="L74" i="26"/>
  <c r="L88" i="26" s="1"/>
  <c r="L103" i="26"/>
  <c r="L117" i="26" s="1"/>
  <c r="J29" i="21"/>
  <c r="K121" i="26"/>
  <c r="L29" i="11"/>
  <c r="L32" i="26" s="1"/>
  <c r="L33" i="11"/>
  <c r="L36" i="26" s="1"/>
  <c r="L27" i="11"/>
  <c r="L30" i="26" s="1"/>
  <c r="L37" i="11"/>
  <c r="L40" i="26" s="1"/>
  <c r="L31" i="11"/>
  <c r="L34" i="26" s="1"/>
  <c r="L28" i="11"/>
  <c r="L31" i="26" s="1"/>
  <c r="L30" i="11"/>
  <c r="L33" i="26" s="1"/>
  <c r="L35" i="11"/>
  <c r="L38" i="26" s="1"/>
  <c r="L32" i="11"/>
  <c r="L35" i="26" s="1"/>
  <c r="L26" i="11"/>
  <c r="L29" i="26" s="1"/>
  <c r="L36" i="11"/>
  <c r="L39" i="26" s="1"/>
  <c r="L34" i="11"/>
  <c r="L37" i="26" s="1"/>
  <c r="K16" i="11"/>
  <c r="K17" i="11"/>
  <c r="K12" i="11"/>
  <c r="K13" i="11"/>
  <c r="K8" i="11"/>
  <c r="K15" i="11"/>
  <c r="K9" i="11"/>
  <c r="K18" i="11"/>
  <c r="K11" i="11"/>
  <c r="K10" i="11"/>
  <c r="K7" i="11"/>
  <c r="K14" i="11"/>
  <c r="J47" i="11"/>
  <c r="J44" i="4" s="1"/>
  <c r="J45" i="11"/>
  <c r="J42" i="4" s="1"/>
  <c r="J43" i="11"/>
  <c r="J40" i="4" s="1"/>
  <c r="J54" i="11"/>
  <c r="J51" i="4" s="1"/>
  <c r="J49" i="11"/>
  <c r="J46" i="4" s="1"/>
  <c r="J52" i="11"/>
  <c r="J49" i="4" s="1"/>
  <c r="J48" i="11"/>
  <c r="J45" i="4" s="1"/>
  <c r="J51" i="11"/>
  <c r="J48" i="4" s="1"/>
  <c r="J50" i="11"/>
  <c r="J47" i="4" s="1"/>
  <c r="J53" i="11"/>
  <c r="J50" i="4" s="1"/>
  <c r="J19" i="11"/>
  <c r="J46" i="11"/>
  <c r="J43" i="4" s="1"/>
  <c r="K10" i="2"/>
  <c r="K10" i="21"/>
  <c r="K9" i="13"/>
  <c r="J44" i="11"/>
  <c r="J41" i="4" s="1"/>
  <c r="L20" i="13"/>
  <c r="AE8" i="13"/>
  <c r="AD18" i="13"/>
  <c r="K73" i="11"/>
  <c r="K66" i="4" s="1"/>
  <c r="K63" i="11"/>
  <c r="K56" i="4" s="1"/>
  <c r="K38" i="11"/>
  <c r="K69" i="11"/>
  <c r="K62" i="4" s="1"/>
  <c r="K65" i="11"/>
  <c r="K58" i="4" s="1"/>
  <c r="K72" i="11"/>
  <c r="K65" i="4" s="1"/>
  <c r="K67" i="11"/>
  <c r="K60" i="4" s="1"/>
  <c r="K74" i="11"/>
  <c r="K67" i="4" s="1"/>
  <c r="K68" i="11"/>
  <c r="K61" i="4" s="1"/>
  <c r="K70" i="11"/>
  <c r="K63" i="4" s="1"/>
  <c r="K64" i="11"/>
  <c r="K57" i="4" s="1"/>
  <c r="K66" i="11"/>
  <c r="K59" i="4" s="1"/>
  <c r="K71" i="11"/>
  <c r="K64" i="4" s="1"/>
  <c r="K25" i="26" l="1"/>
  <c r="K18" i="26"/>
  <c r="K19" i="26"/>
  <c r="K20" i="26"/>
  <c r="K24" i="26"/>
  <c r="K17" i="26"/>
  <c r="K26" i="26"/>
  <c r="K27" i="26"/>
  <c r="K23" i="26"/>
  <c r="K91" i="26" s="1"/>
  <c r="K22" i="26"/>
  <c r="K16" i="26"/>
  <c r="K21" i="26"/>
  <c r="M74" i="26"/>
  <c r="M88" i="26" s="1"/>
  <c r="M103" i="26"/>
  <c r="M117" i="26" s="1"/>
  <c r="M28" i="11"/>
  <c r="M31" i="26" s="1"/>
  <c r="M34" i="11"/>
  <c r="M37" i="26" s="1"/>
  <c r="M26" i="11"/>
  <c r="M29" i="26" s="1"/>
  <c r="M32" i="11"/>
  <c r="M35" i="26" s="1"/>
  <c r="M29" i="11"/>
  <c r="M32" i="26" s="1"/>
  <c r="M36" i="11"/>
  <c r="M39" i="26" s="1"/>
  <c r="M33" i="11"/>
  <c r="M36" i="26" s="1"/>
  <c r="M27" i="11"/>
  <c r="M30" i="26" s="1"/>
  <c r="M37" i="11"/>
  <c r="M40" i="26" s="1"/>
  <c r="M31" i="11"/>
  <c r="M34" i="26" s="1"/>
  <c r="M35" i="11"/>
  <c r="M38" i="26" s="1"/>
  <c r="M30" i="11"/>
  <c r="M33" i="26" s="1"/>
  <c r="K29" i="21"/>
  <c r="L121" i="26"/>
  <c r="L9" i="11"/>
  <c r="L15" i="11"/>
  <c r="L7" i="11"/>
  <c r="L18" i="11"/>
  <c r="L10" i="11"/>
  <c r="L14" i="11"/>
  <c r="L11" i="11"/>
  <c r="L17" i="11"/>
  <c r="L16" i="11"/>
  <c r="L13" i="11"/>
  <c r="L12" i="11"/>
  <c r="L8" i="11"/>
  <c r="K52" i="11"/>
  <c r="K49" i="4" s="1"/>
  <c r="K51" i="11"/>
  <c r="K48" i="4" s="1"/>
  <c r="K48" i="11"/>
  <c r="K45" i="4" s="1"/>
  <c r="K43" i="11"/>
  <c r="K40" i="4" s="1"/>
  <c r="K54" i="11"/>
  <c r="K51" i="4" s="1"/>
  <c r="K46" i="11"/>
  <c r="K43" i="4" s="1"/>
  <c r="K49" i="11"/>
  <c r="K46" i="4" s="1"/>
  <c r="K45" i="11"/>
  <c r="K42" i="4" s="1"/>
  <c r="K47" i="11"/>
  <c r="K44" i="4" s="1"/>
  <c r="K53" i="11"/>
  <c r="K50" i="4" s="1"/>
  <c r="K19" i="11"/>
  <c r="K50" i="11"/>
  <c r="K47" i="4" s="1"/>
  <c r="L10" i="21"/>
  <c r="L9" i="13"/>
  <c r="L10" i="2"/>
  <c r="K44" i="11"/>
  <c r="K41" i="4" s="1"/>
  <c r="M20" i="13"/>
  <c r="AF8" i="13"/>
  <c r="AE18" i="13"/>
  <c r="L63" i="11"/>
  <c r="L56" i="4" s="1"/>
  <c r="L38" i="11"/>
  <c r="L74" i="11"/>
  <c r="L67" i="4" s="1"/>
  <c r="L72" i="11"/>
  <c r="L65" i="4" s="1"/>
  <c r="L70" i="11"/>
  <c r="L63" i="4" s="1"/>
  <c r="L68" i="11"/>
  <c r="L61" i="4" s="1"/>
  <c r="L73" i="11"/>
  <c r="L66" i="4" s="1"/>
  <c r="L66" i="11"/>
  <c r="L59" i="4" s="1"/>
  <c r="L69" i="11"/>
  <c r="L62" i="4" s="1"/>
  <c r="L64" i="11"/>
  <c r="L57" i="4" s="1"/>
  <c r="L71" i="11"/>
  <c r="L64" i="4" s="1"/>
  <c r="L67" i="11"/>
  <c r="L60" i="4" s="1"/>
  <c r="L65" i="11"/>
  <c r="L58" i="4" s="1"/>
  <c r="C19" i="11"/>
  <c r="L20" i="26" l="1"/>
  <c r="L26" i="26"/>
  <c r="L19" i="26"/>
  <c r="L23" i="26"/>
  <c r="L91" i="26" s="1"/>
  <c r="L17" i="26"/>
  <c r="L27" i="26"/>
  <c r="L16" i="26"/>
  <c r="L22" i="26"/>
  <c r="L24" i="26"/>
  <c r="L21" i="26"/>
  <c r="L25" i="26"/>
  <c r="L18" i="26"/>
  <c r="L29" i="21"/>
  <c r="M121" i="26"/>
  <c r="N74" i="26"/>
  <c r="N88" i="26" s="1"/>
  <c r="N103" i="26"/>
  <c r="N117" i="26" s="1"/>
  <c r="N28" i="11"/>
  <c r="N31" i="26" s="1"/>
  <c r="N34" i="11"/>
  <c r="N37" i="26" s="1"/>
  <c r="N35" i="11"/>
  <c r="N38" i="26" s="1"/>
  <c r="N31" i="11"/>
  <c r="N34" i="26" s="1"/>
  <c r="N37" i="11"/>
  <c r="N40" i="26" s="1"/>
  <c r="N33" i="11"/>
  <c r="N36" i="26" s="1"/>
  <c r="N29" i="11"/>
  <c r="N32" i="26" s="1"/>
  <c r="N32" i="11"/>
  <c r="N35" i="26" s="1"/>
  <c r="N27" i="11"/>
  <c r="N30" i="26" s="1"/>
  <c r="N36" i="11"/>
  <c r="N39" i="26" s="1"/>
  <c r="N30" i="11"/>
  <c r="N33" i="26" s="1"/>
  <c r="N26" i="11"/>
  <c r="N29" i="26" s="1"/>
  <c r="M8" i="11"/>
  <c r="M7" i="11"/>
  <c r="M17" i="11"/>
  <c r="M18" i="11"/>
  <c r="M13" i="11"/>
  <c r="M14" i="11"/>
  <c r="M11" i="11"/>
  <c r="M9" i="11"/>
  <c r="M16" i="11"/>
  <c r="M10" i="11"/>
  <c r="M12" i="11"/>
  <c r="M15" i="11"/>
  <c r="L51" i="11"/>
  <c r="L48" i="4" s="1"/>
  <c r="L54" i="11"/>
  <c r="L51" i="4" s="1"/>
  <c r="L44" i="11"/>
  <c r="L41" i="4" s="1"/>
  <c r="L49" i="11"/>
  <c r="L46" i="4" s="1"/>
  <c r="L47" i="11"/>
  <c r="L44" i="4" s="1"/>
  <c r="L45" i="11"/>
  <c r="L42" i="4" s="1"/>
  <c r="L50" i="11"/>
  <c r="L47" i="4" s="1"/>
  <c r="L48" i="11"/>
  <c r="L45" i="4" s="1"/>
  <c r="L46" i="11"/>
  <c r="L43" i="4" s="1"/>
  <c r="L53" i="11"/>
  <c r="L50" i="4" s="1"/>
  <c r="L43" i="11"/>
  <c r="L40" i="4" s="1"/>
  <c r="L19" i="11"/>
  <c r="L52" i="11"/>
  <c r="L49" i="4" s="1"/>
  <c r="M10" i="21"/>
  <c r="M9" i="13"/>
  <c r="M10" i="2"/>
  <c r="N20" i="13"/>
  <c r="AG8" i="13"/>
  <c r="AF18" i="13"/>
  <c r="M73" i="11"/>
  <c r="M66" i="4" s="1"/>
  <c r="M63" i="11"/>
  <c r="M56" i="4" s="1"/>
  <c r="M38" i="11"/>
  <c r="M65" i="11"/>
  <c r="M58" i="4" s="1"/>
  <c r="M71" i="11"/>
  <c r="M64" i="4" s="1"/>
  <c r="M69" i="11"/>
  <c r="M62" i="4" s="1"/>
  <c r="M74" i="11"/>
  <c r="M67" i="4" s="1"/>
  <c r="M70" i="11"/>
  <c r="M63" i="4" s="1"/>
  <c r="M72" i="11"/>
  <c r="M65" i="4" s="1"/>
  <c r="M67" i="11"/>
  <c r="M60" i="4" s="1"/>
  <c r="M66" i="11"/>
  <c r="M59" i="4" s="1"/>
  <c r="M68" i="11"/>
  <c r="M61" i="4" s="1"/>
  <c r="M64" i="11"/>
  <c r="M57" i="4" s="1"/>
  <c r="M20" i="26" l="1"/>
  <c r="M22" i="26"/>
  <c r="M24" i="26"/>
  <c r="M27" i="26"/>
  <c r="M21" i="26"/>
  <c r="M26" i="26"/>
  <c r="M19" i="26"/>
  <c r="M16" i="26"/>
  <c r="M18" i="26"/>
  <c r="M23" i="26"/>
  <c r="M91" i="26" s="1"/>
  <c r="M25" i="26"/>
  <c r="M17" i="26"/>
  <c r="M29" i="21"/>
  <c r="N121" i="26"/>
  <c r="O28" i="11"/>
  <c r="O31" i="26" s="1"/>
  <c r="O34" i="11"/>
  <c r="O37" i="26" s="1"/>
  <c r="O30" i="11"/>
  <c r="O33" i="26" s="1"/>
  <c r="O37" i="11"/>
  <c r="O40" i="26" s="1"/>
  <c r="O26" i="11"/>
  <c r="O29" i="26" s="1"/>
  <c r="O33" i="11"/>
  <c r="O36" i="26" s="1"/>
  <c r="O35" i="11"/>
  <c r="O38" i="26" s="1"/>
  <c r="O32" i="11"/>
  <c r="O35" i="26" s="1"/>
  <c r="O29" i="11"/>
  <c r="O32" i="26" s="1"/>
  <c r="O31" i="11"/>
  <c r="O34" i="26" s="1"/>
  <c r="O27" i="11"/>
  <c r="O30" i="26" s="1"/>
  <c r="O36" i="11"/>
  <c r="O39" i="26" s="1"/>
  <c r="O74" i="26"/>
  <c r="O88" i="26" s="1"/>
  <c r="O103" i="26"/>
  <c r="O117" i="26" s="1"/>
  <c r="N17" i="11"/>
  <c r="N13" i="11"/>
  <c r="N9" i="11"/>
  <c r="N18" i="11"/>
  <c r="N16" i="11"/>
  <c r="N14" i="11"/>
  <c r="N8" i="11"/>
  <c r="N10" i="11"/>
  <c r="N11" i="11"/>
  <c r="N15" i="11"/>
  <c r="N7" i="11"/>
  <c r="N12" i="11"/>
  <c r="M52" i="11"/>
  <c r="M49" i="4" s="1"/>
  <c r="M43" i="11"/>
  <c r="M40" i="4" s="1"/>
  <c r="M46" i="11"/>
  <c r="M43" i="4" s="1"/>
  <c r="M49" i="11"/>
  <c r="M46" i="4" s="1"/>
  <c r="M50" i="11"/>
  <c r="M47" i="4" s="1"/>
  <c r="M51" i="11"/>
  <c r="M48" i="4" s="1"/>
  <c r="M44" i="11"/>
  <c r="M41" i="4" s="1"/>
  <c r="M54" i="11"/>
  <c r="M51" i="4" s="1"/>
  <c r="M48" i="11"/>
  <c r="M45" i="4" s="1"/>
  <c r="M45" i="11"/>
  <c r="M42" i="4" s="1"/>
  <c r="M53" i="11"/>
  <c r="M50" i="4" s="1"/>
  <c r="M19" i="11"/>
  <c r="N10" i="21"/>
  <c r="N9" i="13"/>
  <c r="N10" i="2"/>
  <c r="M47" i="11"/>
  <c r="M44" i="4" s="1"/>
  <c r="O20" i="13"/>
  <c r="AH8" i="13"/>
  <c r="AG18" i="13"/>
  <c r="N71" i="11"/>
  <c r="N64" i="4" s="1"/>
  <c r="N73" i="11"/>
  <c r="N66" i="4" s="1"/>
  <c r="N67" i="11"/>
  <c r="N60" i="4" s="1"/>
  <c r="N69" i="11"/>
  <c r="N62" i="4" s="1"/>
  <c r="N66" i="11"/>
  <c r="N59" i="4" s="1"/>
  <c r="N65" i="11"/>
  <c r="N58" i="4" s="1"/>
  <c r="N74" i="11"/>
  <c r="N67" i="4" s="1"/>
  <c r="N70" i="11"/>
  <c r="N63" i="4" s="1"/>
  <c r="N72" i="11"/>
  <c r="N65" i="4" s="1"/>
  <c r="N63" i="11"/>
  <c r="N56" i="4" s="1"/>
  <c r="N38" i="11"/>
  <c r="N68" i="11"/>
  <c r="N61" i="4" s="1"/>
  <c r="N64" i="11"/>
  <c r="N57" i="4" s="1"/>
  <c r="N19" i="26" l="1"/>
  <c r="N17" i="26"/>
  <c r="N25" i="26"/>
  <c r="N21" i="26"/>
  <c r="N27" i="26"/>
  <c r="N16" i="26"/>
  <c r="N18" i="26"/>
  <c r="N24" i="26"/>
  <c r="N22" i="26"/>
  <c r="N23" i="26"/>
  <c r="N91" i="26" s="1"/>
  <c r="N20" i="26"/>
  <c r="N26" i="26"/>
  <c r="P74" i="26"/>
  <c r="P88" i="26" s="1"/>
  <c r="P103" i="26"/>
  <c r="P117" i="26" s="1"/>
  <c r="N29" i="21"/>
  <c r="O121" i="26"/>
  <c r="P32" i="11"/>
  <c r="P35" i="26" s="1"/>
  <c r="P28" i="11"/>
  <c r="P31" i="26" s="1"/>
  <c r="P30" i="11"/>
  <c r="P33" i="26" s="1"/>
  <c r="P37" i="11"/>
  <c r="P40" i="26" s="1"/>
  <c r="P26" i="11"/>
  <c r="P29" i="26" s="1"/>
  <c r="P33" i="11"/>
  <c r="P36" i="26" s="1"/>
  <c r="P35" i="11"/>
  <c r="P38" i="26" s="1"/>
  <c r="P29" i="11"/>
  <c r="P32" i="26" s="1"/>
  <c r="P36" i="11"/>
  <c r="P39" i="26" s="1"/>
  <c r="P31" i="11"/>
  <c r="P34" i="26" s="1"/>
  <c r="P27" i="11"/>
  <c r="P30" i="26" s="1"/>
  <c r="P34" i="11"/>
  <c r="P37" i="26" s="1"/>
  <c r="O18" i="11"/>
  <c r="O14" i="11"/>
  <c r="O15" i="11"/>
  <c r="O16" i="11"/>
  <c r="O10" i="11"/>
  <c r="O17" i="11"/>
  <c r="O11" i="11"/>
  <c r="O8" i="11"/>
  <c r="O13" i="11"/>
  <c r="O7" i="11"/>
  <c r="O9" i="11"/>
  <c r="O12" i="11"/>
  <c r="O10" i="2"/>
  <c r="N45" i="11"/>
  <c r="N42" i="4" s="1"/>
  <c r="N46" i="11"/>
  <c r="N43" i="4" s="1"/>
  <c r="N43" i="11"/>
  <c r="N40" i="4" s="1"/>
  <c r="N54" i="11"/>
  <c r="N51" i="4" s="1"/>
  <c r="N44" i="11"/>
  <c r="N41" i="4" s="1"/>
  <c r="N50" i="11"/>
  <c r="N47" i="4" s="1"/>
  <c r="N49" i="11"/>
  <c r="N46" i="4" s="1"/>
  <c r="N51" i="11"/>
  <c r="N48" i="4" s="1"/>
  <c r="N52" i="11"/>
  <c r="N49" i="4" s="1"/>
  <c r="N48" i="11"/>
  <c r="N45" i="4" s="1"/>
  <c r="N19" i="11"/>
  <c r="N47" i="11"/>
  <c r="N44" i="4" s="1"/>
  <c r="N53" i="11"/>
  <c r="N50" i="4" s="1"/>
  <c r="O10" i="21"/>
  <c r="O9" i="13"/>
  <c r="P20" i="13"/>
  <c r="AI8" i="13"/>
  <c r="AH18" i="13"/>
  <c r="O69" i="11"/>
  <c r="O62" i="4" s="1"/>
  <c r="O63" i="11"/>
  <c r="O56" i="4" s="1"/>
  <c r="O38" i="11"/>
  <c r="O65" i="11"/>
  <c r="O58" i="4" s="1"/>
  <c r="O71" i="11"/>
  <c r="O64" i="4" s="1"/>
  <c r="O67" i="11"/>
  <c r="O60" i="4" s="1"/>
  <c r="O72" i="11"/>
  <c r="O65" i="4" s="1"/>
  <c r="O74" i="11"/>
  <c r="O67" i="4" s="1"/>
  <c r="O68" i="11"/>
  <c r="O61" i="4" s="1"/>
  <c r="O70" i="11"/>
  <c r="O63" i="4" s="1"/>
  <c r="O64" i="11"/>
  <c r="O57" i="4" s="1"/>
  <c r="O66" i="11"/>
  <c r="O59" i="4" s="1"/>
  <c r="O73" i="11"/>
  <c r="O66" i="4" s="1"/>
  <c r="O20" i="26" l="1"/>
  <c r="O19" i="26"/>
  <c r="O26" i="26"/>
  <c r="O21" i="26"/>
  <c r="O25" i="26"/>
  <c r="O17" i="26"/>
  <c r="O18" i="26"/>
  <c r="O24" i="26"/>
  <c r="O16" i="26"/>
  <c r="O23" i="26"/>
  <c r="O91" i="26" s="1"/>
  <c r="O22" i="26"/>
  <c r="O27" i="26"/>
  <c r="Q74" i="26"/>
  <c r="Q88" i="26" s="1"/>
  <c r="Q103" i="26"/>
  <c r="Q117" i="26" s="1"/>
  <c r="O29" i="21"/>
  <c r="P121" i="26"/>
  <c r="Q26" i="11"/>
  <c r="Q29" i="26" s="1"/>
  <c r="Q36" i="11"/>
  <c r="Q39" i="26" s="1"/>
  <c r="Q32" i="11"/>
  <c r="Q35" i="26" s="1"/>
  <c r="Q27" i="11"/>
  <c r="Q30" i="26" s="1"/>
  <c r="Q28" i="11"/>
  <c r="Q31" i="26" s="1"/>
  <c r="Q30" i="11"/>
  <c r="Q33" i="26" s="1"/>
  <c r="Q33" i="11"/>
  <c r="Q36" i="26" s="1"/>
  <c r="Q35" i="11"/>
  <c r="Q38" i="26" s="1"/>
  <c r="Q31" i="11"/>
  <c r="Q34" i="26" s="1"/>
  <c r="Q29" i="11"/>
  <c r="Q32" i="26" s="1"/>
  <c r="Q37" i="11"/>
  <c r="Q40" i="26" s="1"/>
  <c r="Q34" i="11"/>
  <c r="Q37" i="26" s="1"/>
  <c r="P11" i="11"/>
  <c r="P16" i="11"/>
  <c r="P7" i="11"/>
  <c r="P8" i="11"/>
  <c r="P13" i="11"/>
  <c r="P18" i="11"/>
  <c r="P14" i="11"/>
  <c r="P10" i="11"/>
  <c r="P17" i="11"/>
  <c r="P9" i="11"/>
  <c r="P15" i="11"/>
  <c r="P12" i="11"/>
  <c r="O43" i="11"/>
  <c r="O40" i="4" s="1"/>
  <c r="O50" i="11"/>
  <c r="O47" i="4" s="1"/>
  <c r="O45" i="11"/>
  <c r="O42" i="4" s="1"/>
  <c r="O46" i="11"/>
  <c r="O43" i="4" s="1"/>
  <c r="O51" i="11"/>
  <c r="O48" i="4" s="1"/>
  <c r="O54" i="11"/>
  <c r="O51" i="4" s="1"/>
  <c r="O47" i="11"/>
  <c r="O44" i="4" s="1"/>
  <c r="O49" i="11"/>
  <c r="O46" i="4" s="1"/>
  <c r="O44" i="11"/>
  <c r="O41" i="4" s="1"/>
  <c r="O52" i="11"/>
  <c r="O49" i="4" s="1"/>
  <c r="O53" i="11"/>
  <c r="O50" i="4" s="1"/>
  <c r="P10" i="21"/>
  <c r="P10" i="2"/>
  <c r="P9" i="13"/>
  <c r="O19" i="11"/>
  <c r="O48" i="11"/>
  <c r="O45" i="4" s="1"/>
  <c r="Q20" i="13"/>
  <c r="AJ8" i="13"/>
  <c r="AJ18" i="13" s="1"/>
  <c r="AI18" i="13"/>
  <c r="P65" i="11"/>
  <c r="P58" i="4" s="1"/>
  <c r="P63" i="11"/>
  <c r="P56" i="4" s="1"/>
  <c r="P38" i="11"/>
  <c r="P67" i="11"/>
  <c r="P60" i="4" s="1"/>
  <c r="P71" i="11"/>
  <c r="P64" i="4" s="1"/>
  <c r="P72" i="11"/>
  <c r="P65" i="4" s="1"/>
  <c r="P70" i="11"/>
  <c r="P63" i="4" s="1"/>
  <c r="P74" i="11"/>
  <c r="P67" i="4" s="1"/>
  <c r="P68" i="11"/>
  <c r="P61" i="4" s="1"/>
  <c r="P66" i="11"/>
  <c r="P59" i="4" s="1"/>
  <c r="P64" i="11"/>
  <c r="P57" i="4" s="1"/>
  <c r="P73" i="11"/>
  <c r="P66" i="4" s="1"/>
  <c r="P69" i="11"/>
  <c r="P62" i="4" s="1"/>
  <c r="P23" i="26" l="1"/>
  <c r="P91" i="26" s="1"/>
  <c r="P22" i="26"/>
  <c r="P19" i="26"/>
  <c r="P21" i="26"/>
  <c r="P17" i="26"/>
  <c r="P24" i="26"/>
  <c r="P16" i="26"/>
  <c r="P27" i="26"/>
  <c r="P18" i="26"/>
  <c r="P25" i="26"/>
  <c r="P26" i="26"/>
  <c r="P20" i="26"/>
  <c r="R29" i="11"/>
  <c r="R32" i="26" s="1"/>
  <c r="R35" i="11"/>
  <c r="R38" i="26" s="1"/>
  <c r="R34" i="11"/>
  <c r="R37" i="26" s="1"/>
  <c r="R31" i="11"/>
  <c r="R34" i="26" s="1"/>
  <c r="R33" i="11"/>
  <c r="R36" i="26" s="1"/>
  <c r="R30" i="11"/>
  <c r="R33" i="26" s="1"/>
  <c r="R27" i="11"/>
  <c r="R30" i="26" s="1"/>
  <c r="R26" i="11"/>
  <c r="R29" i="26" s="1"/>
  <c r="R36" i="11"/>
  <c r="R39" i="26" s="1"/>
  <c r="R32" i="11"/>
  <c r="R35" i="26" s="1"/>
  <c r="R28" i="11"/>
  <c r="R31" i="26" s="1"/>
  <c r="R37" i="11"/>
  <c r="R40" i="26" s="1"/>
  <c r="R74" i="26"/>
  <c r="R88" i="26" s="1"/>
  <c r="R103" i="26"/>
  <c r="R117" i="26" s="1"/>
  <c r="P29" i="21"/>
  <c r="Q121" i="26"/>
  <c r="Q10" i="11"/>
  <c r="Q13" i="11"/>
  <c r="Q17" i="11"/>
  <c r="Q9" i="11"/>
  <c r="Q15" i="11"/>
  <c r="Q16" i="11"/>
  <c r="Q11" i="11"/>
  <c r="Q18" i="11"/>
  <c r="Q12" i="11"/>
  <c r="Q7" i="11"/>
  <c r="Q14" i="11"/>
  <c r="Q8" i="11"/>
  <c r="P54" i="11"/>
  <c r="P51" i="4" s="1"/>
  <c r="P48" i="11"/>
  <c r="P45" i="4" s="1"/>
  <c r="P43" i="11"/>
  <c r="P40" i="4" s="1"/>
  <c r="P52" i="11"/>
  <c r="P49" i="4" s="1"/>
  <c r="P51" i="11"/>
  <c r="P48" i="4" s="1"/>
  <c r="P50" i="11"/>
  <c r="P47" i="4" s="1"/>
  <c r="P47" i="11"/>
  <c r="P44" i="4" s="1"/>
  <c r="P49" i="11"/>
  <c r="P46" i="4" s="1"/>
  <c r="P53" i="11"/>
  <c r="P50" i="4" s="1"/>
  <c r="P45" i="11"/>
  <c r="P42" i="4" s="1"/>
  <c r="P46" i="11"/>
  <c r="P43" i="4" s="1"/>
  <c r="P19" i="11"/>
  <c r="Q10" i="21"/>
  <c r="Q9" i="13"/>
  <c r="Q10" i="2"/>
  <c r="P44" i="11"/>
  <c r="P41" i="4" s="1"/>
  <c r="R20" i="13"/>
  <c r="Q72" i="11"/>
  <c r="Q65" i="4" s="1"/>
  <c r="Q74" i="11"/>
  <c r="Q67" i="4" s="1"/>
  <c r="Q68" i="11"/>
  <c r="Q61" i="4" s="1"/>
  <c r="Q70" i="11"/>
  <c r="Q63" i="4" s="1"/>
  <c r="Q64" i="11"/>
  <c r="Q57" i="4" s="1"/>
  <c r="Q66" i="11"/>
  <c r="Q59" i="4" s="1"/>
  <c r="Q73" i="11"/>
  <c r="Q66" i="4" s="1"/>
  <c r="Q71" i="11"/>
  <c r="Q64" i="4" s="1"/>
  <c r="Q69" i="11"/>
  <c r="Q62" i="4" s="1"/>
  <c r="Q67" i="11"/>
  <c r="Q60" i="4" s="1"/>
  <c r="Q65" i="11"/>
  <c r="Q58" i="4" s="1"/>
  <c r="Q63" i="11"/>
  <c r="Q56" i="4" s="1"/>
  <c r="Q38" i="11"/>
  <c r="Q20" i="26" l="1"/>
  <c r="Q24" i="26"/>
  <c r="Q27" i="26"/>
  <c r="Q25" i="26"/>
  <c r="Q17" i="26"/>
  <c r="Q18" i="26"/>
  <c r="Q23" i="26"/>
  <c r="Q91" i="26" s="1"/>
  <c r="Q26" i="26"/>
  <c r="Q16" i="26"/>
  <c r="Q22" i="26"/>
  <c r="Q21" i="26"/>
  <c r="Q19" i="26"/>
  <c r="S27" i="11"/>
  <c r="S30" i="26" s="1"/>
  <c r="S37" i="11"/>
  <c r="S40" i="26" s="1"/>
  <c r="S30" i="11"/>
  <c r="S33" i="26" s="1"/>
  <c r="S26" i="11"/>
  <c r="S29" i="26" s="1"/>
  <c r="S35" i="11"/>
  <c r="S38" i="26" s="1"/>
  <c r="S28" i="11"/>
  <c r="S31" i="26" s="1"/>
  <c r="S34" i="11"/>
  <c r="S37" i="26" s="1"/>
  <c r="S32" i="11"/>
  <c r="S35" i="26" s="1"/>
  <c r="S33" i="11"/>
  <c r="S36" i="26" s="1"/>
  <c r="S36" i="11"/>
  <c r="S39" i="26" s="1"/>
  <c r="S29" i="11"/>
  <c r="S32" i="26" s="1"/>
  <c r="S31" i="11"/>
  <c r="S34" i="26" s="1"/>
  <c r="S103" i="26"/>
  <c r="S117" i="26" s="1"/>
  <c r="S74" i="26"/>
  <c r="S88" i="26" s="1"/>
  <c r="Q29" i="21"/>
  <c r="R121" i="26"/>
  <c r="R13" i="11"/>
  <c r="R17" i="11"/>
  <c r="R16" i="11"/>
  <c r="R9" i="11"/>
  <c r="R14" i="11"/>
  <c r="R12" i="11"/>
  <c r="R8" i="11"/>
  <c r="R15" i="11"/>
  <c r="R11" i="11"/>
  <c r="R18" i="11"/>
  <c r="R7" i="11"/>
  <c r="R10" i="11"/>
  <c r="Q48" i="11"/>
  <c r="Q45" i="4" s="1"/>
  <c r="Q47" i="11"/>
  <c r="Q44" i="4" s="1"/>
  <c r="Q54" i="11"/>
  <c r="Q51" i="4" s="1"/>
  <c r="Q45" i="11"/>
  <c r="Q42" i="4" s="1"/>
  <c r="Q53" i="11"/>
  <c r="Q50" i="4" s="1"/>
  <c r="Q50" i="11"/>
  <c r="Q47" i="4" s="1"/>
  <c r="Q51" i="11"/>
  <c r="Q48" i="4" s="1"/>
  <c r="Q46" i="11"/>
  <c r="Q43" i="4" s="1"/>
  <c r="Q44" i="11"/>
  <c r="Q41" i="4" s="1"/>
  <c r="Q49" i="11"/>
  <c r="Q46" i="4" s="1"/>
  <c r="Q52" i="11"/>
  <c r="Q49" i="4" s="1"/>
  <c r="Q19" i="11"/>
  <c r="Q43" i="11"/>
  <c r="Q40" i="4" s="1"/>
  <c r="R10" i="21"/>
  <c r="R9" i="13"/>
  <c r="R10" i="2"/>
  <c r="S20" i="13"/>
  <c r="R68" i="11"/>
  <c r="R61" i="4" s="1"/>
  <c r="R74" i="11"/>
  <c r="R67" i="4" s="1"/>
  <c r="R70" i="11"/>
  <c r="R63" i="4" s="1"/>
  <c r="R64" i="11"/>
  <c r="R57" i="4" s="1"/>
  <c r="R66" i="11"/>
  <c r="R59" i="4" s="1"/>
  <c r="R73" i="11"/>
  <c r="R66" i="4" s="1"/>
  <c r="R71" i="11"/>
  <c r="R64" i="4" s="1"/>
  <c r="R69" i="11"/>
  <c r="R62" i="4" s="1"/>
  <c r="R67" i="11"/>
  <c r="R60" i="4" s="1"/>
  <c r="R65" i="11"/>
  <c r="R58" i="4" s="1"/>
  <c r="R63" i="11"/>
  <c r="R56" i="4" s="1"/>
  <c r="R38" i="11"/>
  <c r="R72" i="11"/>
  <c r="R65" i="4" s="1"/>
  <c r="R21" i="26" l="1"/>
  <c r="R24" i="26"/>
  <c r="R17" i="26"/>
  <c r="R23" i="26"/>
  <c r="R91" i="26" s="1"/>
  <c r="R19" i="26"/>
  <c r="R18" i="26"/>
  <c r="R16" i="26"/>
  <c r="R25" i="26"/>
  <c r="R27" i="26"/>
  <c r="R26" i="26"/>
  <c r="R20" i="26"/>
  <c r="R22" i="26"/>
  <c r="T74" i="26"/>
  <c r="T88" i="26" s="1"/>
  <c r="T103" i="26"/>
  <c r="T117" i="26" s="1"/>
  <c r="R29" i="21"/>
  <c r="S121" i="26"/>
  <c r="T30" i="11"/>
  <c r="T33" i="26" s="1"/>
  <c r="T27" i="11"/>
  <c r="T30" i="26" s="1"/>
  <c r="T31" i="11"/>
  <c r="T34" i="26" s="1"/>
  <c r="T33" i="11"/>
  <c r="T36" i="26" s="1"/>
  <c r="T29" i="11"/>
  <c r="T32" i="26" s="1"/>
  <c r="T34" i="11"/>
  <c r="T37" i="26" s="1"/>
  <c r="T37" i="11"/>
  <c r="T40" i="26" s="1"/>
  <c r="T36" i="11"/>
  <c r="T39" i="26" s="1"/>
  <c r="T26" i="11"/>
  <c r="T29" i="26" s="1"/>
  <c r="T32" i="11"/>
  <c r="T35" i="26" s="1"/>
  <c r="T35" i="11"/>
  <c r="T38" i="26" s="1"/>
  <c r="T28" i="11"/>
  <c r="T31" i="26" s="1"/>
  <c r="S16" i="11"/>
  <c r="S17" i="11"/>
  <c r="S12" i="11"/>
  <c r="S13" i="11"/>
  <c r="S8" i="11"/>
  <c r="S15" i="11"/>
  <c r="S9" i="11"/>
  <c r="S14" i="11"/>
  <c r="S11" i="11"/>
  <c r="S7" i="11"/>
  <c r="S18" i="11"/>
  <c r="S10" i="11"/>
  <c r="R50" i="11"/>
  <c r="R47" i="4" s="1"/>
  <c r="R54" i="11"/>
  <c r="R51" i="4" s="1"/>
  <c r="R51" i="11"/>
  <c r="R48" i="4" s="1"/>
  <c r="R43" i="11"/>
  <c r="R40" i="4" s="1"/>
  <c r="R47" i="11"/>
  <c r="R44" i="4" s="1"/>
  <c r="R48" i="11"/>
  <c r="R45" i="4" s="1"/>
  <c r="R49" i="11"/>
  <c r="R46" i="4" s="1"/>
  <c r="R46" i="11"/>
  <c r="R43" i="4" s="1"/>
  <c r="R44" i="11"/>
  <c r="R41" i="4" s="1"/>
  <c r="R53" i="11"/>
  <c r="R50" i="4" s="1"/>
  <c r="R19" i="11"/>
  <c r="S10" i="21"/>
  <c r="S9" i="13"/>
  <c r="S10" i="2"/>
  <c r="R45" i="11"/>
  <c r="R42" i="4" s="1"/>
  <c r="R52" i="11"/>
  <c r="R49" i="4" s="1"/>
  <c r="T20" i="13"/>
  <c r="S69" i="11"/>
  <c r="S62" i="4" s="1"/>
  <c r="S63" i="11"/>
  <c r="S56" i="4" s="1"/>
  <c r="S38" i="11"/>
  <c r="S65" i="11"/>
  <c r="S58" i="4" s="1"/>
  <c r="S74" i="11"/>
  <c r="S67" i="4" s="1"/>
  <c r="S70" i="11"/>
  <c r="S63" i="4" s="1"/>
  <c r="S72" i="11"/>
  <c r="S65" i="4" s="1"/>
  <c r="S66" i="11"/>
  <c r="S59" i="4" s="1"/>
  <c r="S68" i="11"/>
  <c r="S61" i="4" s="1"/>
  <c r="S64" i="11"/>
  <c r="S57" i="4" s="1"/>
  <c r="S71" i="11"/>
  <c r="S64" i="4" s="1"/>
  <c r="S73" i="11"/>
  <c r="S66" i="4" s="1"/>
  <c r="S67" i="11"/>
  <c r="S60" i="4" s="1"/>
  <c r="S20" i="26" l="1"/>
  <c r="S24" i="26"/>
  <c r="S25" i="26"/>
  <c r="S18" i="26"/>
  <c r="S17" i="26"/>
  <c r="S19" i="26"/>
  <c r="S22" i="26"/>
  <c r="S23" i="26"/>
  <c r="S91" i="26" s="1"/>
  <c r="S27" i="26"/>
  <c r="S21" i="26"/>
  <c r="S16" i="26"/>
  <c r="S26" i="26"/>
  <c r="U74" i="26"/>
  <c r="U88" i="26" s="1"/>
  <c r="U103" i="26"/>
  <c r="U117" i="26" s="1"/>
  <c r="S29" i="21"/>
  <c r="T121" i="26"/>
  <c r="U26" i="11"/>
  <c r="U29" i="26" s="1"/>
  <c r="U35" i="11"/>
  <c r="U38" i="26" s="1"/>
  <c r="U31" i="11"/>
  <c r="U34" i="26" s="1"/>
  <c r="U30" i="11"/>
  <c r="U33" i="26" s="1"/>
  <c r="U27" i="11"/>
  <c r="U30" i="26" s="1"/>
  <c r="U28" i="11"/>
  <c r="U31" i="26" s="1"/>
  <c r="U33" i="11"/>
  <c r="U36" i="26" s="1"/>
  <c r="U29" i="11"/>
  <c r="U32" i="26" s="1"/>
  <c r="U34" i="11"/>
  <c r="U37" i="26" s="1"/>
  <c r="U37" i="11"/>
  <c r="U40" i="26" s="1"/>
  <c r="U36" i="11"/>
  <c r="U39" i="26" s="1"/>
  <c r="U32" i="11"/>
  <c r="U35" i="26" s="1"/>
  <c r="T13" i="11"/>
  <c r="T8" i="11"/>
  <c r="T9" i="11"/>
  <c r="T11" i="11"/>
  <c r="T14" i="11"/>
  <c r="T12" i="11"/>
  <c r="T18" i="11"/>
  <c r="T10" i="11"/>
  <c r="T15" i="11"/>
  <c r="T7" i="11"/>
  <c r="T17" i="11"/>
  <c r="T16" i="11"/>
  <c r="S47" i="11"/>
  <c r="S44" i="4" s="1"/>
  <c r="S52" i="11"/>
  <c r="S49" i="4" s="1"/>
  <c r="S43" i="11"/>
  <c r="S40" i="4" s="1"/>
  <c r="S46" i="11"/>
  <c r="S43" i="4" s="1"/>
  <c r="S48" i="11"/>
  <c r="S45" i="4" s="1"/>
  <c r="S45" i="11"/>
  <c r="S42" i="4" s="1"/>
  <c r="S54" i="11"/>
  <c r="S51" i="4" s="1"/>
  <c r="S49" i="11"/>
  <c r="S46" i="4" s="1"/>
  <c r="S50" i="11"/>
  <c r="S47" i="4" s="1"/>
  <c r="S51" i="11"/>
  <c r="S48" i="4" s="1"/>
  <c r="S53" i="11"/>
  <c r="S50" i="4" s="1"/>
  <c r="S19" i="11"/>
  <c r="S44" i="11"/>
  <c r="S41" i="4" s="1"/>
  <c r="T10" i="2"/>
  <c r="T10" i="21"/>
  <c r="T9" i="13"/>
  <c r="U20" i="13"/>
  <c r="T63" i="11"/>
  <c r="T56" i="4" s="1"/>
  <c r="T38" i="11"/>
  <c r="T65" i="11"/>
  <c r="T58" i="4" s="1"/>
  <c r="T69" i="11"/>
  <c r="T62" i="4" s="1"/>
  <c r="T74" i="11"/>
  <c r="T67" i="4" s="1"/>
  <c r="T72" i="11"/>
  <c r="T65" i="4" s="1"/>
  <c r="T70" i="11"/>
  <c r="T63" i="4" s="1"/>
  <c r="T68" i="11"/>
  <c r="T61" i="4" s="1"/>
  <c r="T66" i="11"/>
  <c r="T59" i="4" s="1"/>
  <c r="T64" i="11"/>
  <c r="T57" i="4" s="1"/>
  <c r="T73" i="11"/>
  <c r="T66" i="4" s="1"/>
  <c r="T71" i="11"/>
  <c r="T64" i="4" s="1"/>
  <c r="T67" i="11"/>
  <c r="T60" i="4" s="1"/>
  <c r="D14" i="17"/>
  <c r="T19" i="26" l="1"/>
  <c r="T23" i="26"/>
  <c r="T91" i="26" s="1"/>
  <c r="T27" i="26"/>
  <c r="T25" i="26"/>
  <c r="T20" i="26"/>
  <c r="T26" i="26"/>
  <c r="T18" i="26"/>
  <c r="T21" i="26"/>
  <c r="T16" i="26"/>
  <c r="T17" i="26"/>
  <c r="T24" i="26"/>
  <c r="T22" i="26"/>
  <c r="T29" i="21"/>
  <c r="U121" i="26"/>
  <c r="V74" i="26"/>
  <c r="V88" i="26" s="1"/>
  <c r="V103" i="26"/>
  <c r="V117" i="26" s="1"/>
  <c r="V28" i="11"/>
  <c r="V31" i="26" s="1"/>
  <c r="V34" i="11"/>
  <c r="V37" i="26" s="1"/>
  <c r="V35" i="11"/>
  <c r="V38" i="26" s="1"/>
  <c r="V36" i="11"/>
  <c r="V39" i="26" s="1"/>
  <c r="V32" i="11"/>
  <c r="V35" i="26" s="1"/>
  <c r="V30" i="11"/>
  <c r="V33" i="26" s="1"/>
  <c r="V29" i="11"/>
  <c r="V32" i="26" s="1"/>
  <c r="V26" i="11"/>
  <c r="V29" i="26" s="1"/>
  <c r="V33" i="11"/>
  <c r="V36" i="26" s="1"/>
  <c r="V31" i="11"/>
  <c r="V34" i="26" s="1"/>
  <c r="V37" i="11"/>
  <c r="V40" i="26" s="1"/>
  <c r="V27" i="11"/>
  <c r="V30" i="26" s="1"/>
  <c r="U12" i="11"/>
  <c r="U11" i="11"/>
  <c r="U8" i="11"/>
  <c r="U17" i="11"/>
  <c r="U18" i="11"/>
  <c r="U15" i="11"/>
  <c r="U13" i="11"/>
  <c r="U14" i="11"/>
  <c r="U7" i="11"/>
  <c r="U9" i="11"/>
  <c r="U16" i="11"/>
  <c r="U10" i="11"/>
  <c r="T50" i="11"/>
  <c r="T47" i="4" s="1"/>
  <c r="T47" i="11"/>
  <c r="T44" i="4" s="1"/>
  <c r="T46" i="11"/>
  <c r="T43" i="4" s="1"/>
  <c r="T52" i="11"/>
  <c r="T49" i="4" s="1"/>
  <c r="T54" i="11"/>
  <c r="T51" i="4" s="1"/>
  <c r="T48" i="11"/>
  <c r="T45" i="4" s="1"/>
  <c r="T49" i="11"/>
  <c r="T46" i="4" s="1"/>
  <c r="T53" i="11"/>
  <c r="T50" i="4" s="1"/>
  <c r="T51" i="11"/>
  <c r="T48" i="4" s="1"/>
  <c r="T19" i="11"/>
  <c r="U10" i="21"/>
  <c r="U10" i="2"/>
  <c r="U9" i="13"/>
  <c r="V9" i="13" s="1"/>
  <c r="W8" i="11" s="1"/>
  <c r="T45" i="11"/>
  <c r="T42" i="4" s="1"/>
  <c r="T43" i="11"/>
  <c r="T40" i="4" s="1"/>
  <c r="T44" i="11"/>
  <c r="T41" i="4" s="1"/>
  <c r="V20" i="13"/>
  <c r="U70" i="11"/>
  <c r="U63" i="4" s="1"/>
  <c r="U68" i="11"/>
  <c r="U61" i="4" s="1"/>
  <c r="U66" i="11"/>
  <c r="U59" i="4" s="1"/>
  <c r="U64" i="11"/>
  <c r="U57" i="4" s="1"/>
  <c r="U73" i="11"/>
  <c r="U66" i="4" s="1"/>
  <c r="U71" i="11"/>
  <c r="U64" i="4" s="1"/>
  <c r="U69" i="11"/>
  <c r="U62" i="4" s="1"/>
  <c r="U67" i="11"/>
  <c r="U60" i="4" s="1"/>
  <c r="U65" i="11"/>
  <c r="U58" i="4" s="1"/>
  <c r="U63" i="11"/>
  <c r="U56" i="4" s="1"/>
  <c r="U38" i="11"/>
  <c r="U74" i="11"/>
  <c r="U67" i="4" s="1"/>
  <c r="U72" i="11"/>
  <c r="U65" i="4" s="1"/>
  <c r="C14" i="17"/>
  <c r="F14" i="17" s="1"/>
  <c r="U24" i="26" l="1"/>
  <c r="U23" i="26"/>
  <c r="U91" i="26" s="1"/>
  <c r="U27" i="26"/>
  <c r="U25" i="26"/>
  <c r="U17" i="26"/>
  <c r="U19" i="26"/>
  <c r="U18" i="26"/>
  <c r="U20" i="26"/>
  <c r="U22" i="26"/>
  <c r="U26" i="26"/>
  <c r="W17" i="26"/>
  <c r="U16" i="26"/>
  <c r="U21" i="26"/>
  <c r="W13" i="11"/>
  <c r="W10" i="11"/>
  <c r="W12" i="11"/>
  <c r="W16" i="11"/>
  <c r="W15" i="11"/>
  <c r="W11" i="11"/>
  <c r="W17" i="11"/>
  <c r="W9" i="11"/>
  <c r="W14" i="11"/>
  <c r="W9" i="13"/>
  <c r="X9" i="13" s="1"/>
  <c r="W7" i="11"/>
  <c r="W18" i="11"/>
  <c r="W74" i="26"/>
  <c r="W88" i="26" s="1"/>
  <c r="W103" i="26"/>
  <c r="W117" i="26" s="1"/>
  <c r="U29" i="21"/>
  <c r="V121" i="26"/>
  <c r="W32" i="11"/>
  <c r="W35" i="26" s="1"/>
  <c r="W37" i="11"/>
  <c r="W40" i="26" s="1"/>
  <c r="W26" i="11"/>
  <c r="W29" i="26" s="1"/>
  <c r="W33" i="11"/>
  <c r="W36" i="26" s="1"/>
  <c r="W35" i="11"/>
  <c r="W38" i="26" s="1"/>
  <c r="W31" i="11"/>
  <c r="W34" i="26" s="1"/>
  <c r="W27" i="11"/>
  <c r="W30" i="26" s="1"/>
  <c r="W29" i="11"/>
  <c r="W32" i="26" s="1"/>
  <c r="W28" i="11"/>
  <c r="W31" i="26" s="1"/>
  <c r="W30" i="11"/>
  <c r="W33" i="26" s="1"/>
  <c r="W34" i="11"/>
  <c r="W37" i="26" s="1"/>
  <c r="W36" i="11"/>
  <c r="W39" i="26" s="1"/>
  <c r="V8" i="11"/>
  <c r="V17" i="11"/>
  <c r="V13" i="11"/>
  <c r="V9" i="11"/>
  <c r="V18" i="11"/>
  <c r="V12" i="11"/>
  <c r="V14" i="11"/>
  <c r="V10" i="11"/>
  <c r="V15" i="11"/>
  <c r="V7" i="11"/>
  <c r="V16" i="11"/>
  <c r="V11" i="11"/>
  <c r="V69" i="11"/>
  <c r="V62" i="4" s="1"/>
  <c r="V63" i="11"/>
  <c r="V56" i="4" s="1"/>
  <c r="V66" i="11"/>
  <c r="V59" i="4" s="1"/>
  <c r="V71" i="11"/>
  <c r="V64" i="4" s="1"/>
  <c r="V70" i="11"/>
  <c r="V63" i="4" s="1"/>
  <c r="V68" i="11"/>
  <c r="V61" i="4" s="1"/>
  <c r="V67" i="11"/>
  <c r="V60" i="4" s="1"/>
  <c r="V72" i="11"/>
  <c r="V65" i="4" s="1"/>
  <c r="V65" i="11"/>
  <c r="V58" i="4" s="1"/>
  <c r="U44" i="11"/>
  <c r="U41" i="4" s="1"/>
  <c r="U54" i="11"/>
  <c r="U51" i="4" s="1"/>
  <c r="U53" i="11"/>
  <c r="U50" i="4" s="1"/>
  <c r="U52" i="11"/>
  <c r="U49" i="4" s="1"/>
  <c r="U48" i="11"/>
  <c r="U45" i="4" s="1"/>
  <c r="U49" i="11"/>
  <c r="U46" i="4" s="1"/>
  <c r="U46" i="11"/>
  <c r="U43" i="4" s="1"/>
  <c r="U43" i="11"/>
  <c r="U40" i="4" s="1"/>
  <c r="U50" i="11"/>
  <c r="U47" i="4" s="1"/>
  <c r="U47" i="11"/>
  <c r="U44" i="4" s="1"/>
  <c r="U45" i="11"/>
  <c r="U42" i="4" s="1"/>
  <c r="U19" i="11"/>
  <c r="U51" i="11"/>
  <c r="U48" i="4" s="1"/>
  <c r="V10" i="2"/>
  <c r="W10" i="2" s="1"/>
  <c r="V10" i="21"/>
  <c r="W10" i="21" s="1"/>
  <c r="V74" i="11"/>
  <c r="V67" i="4" s="1"/>
  <c r="V73" i="11"/>
  <c r="V66" i="4" s="1"/>
  <c r="V38" i="11"/>
  <c r="V64" i="11"/>
  <c r="V57" i="4" s="1"/>
  <c r="W44" i="11"/>
  <c r="W41" i="4" s="1"/>
  <c r="W20" i="13"/>
  <c r="X20" i="13" s="1"/>
  <c r="D15" i="17"/>
  <c r="V19" i="26" l="1"/>
  <c r="W27" i="26"/>
  <c r="W25" i="26"/>
  <c r="V23" i="26"/>
  <c r="V91" i="26" s="1"/>
  <c r="W16" i="26"/>
  <c r="W21" i="26"/>
  <c r="W20" i="26"/>
  <c r="W24" i="26"/>
  <c r="V21" i="26"/>
  <c r="W19" i="26"/>
  <c r="V26" i="26"/>
  <c r="V24" i="26"/>
  <c r="V27" i="26"/>
  <c r="W23" i="26"/>
  <c r="W22" i="26"/>
  <c r="V20" i="26"/>
  <c r="V18" i="26"/>
  <c r="W18" i="26"/>
  <c r="V16" i="26"/>
  <c r="V17" i="26"/>
  <c r="V25" i="26"/>
  <c r="V22" i="26"/>
  <c r="W26" i="26"/>
  <c r="X8" i="11"/>
  <c r="X15" i="11"/>
  <c r="X13" i="11"/>
  <c r="W46" i="11"/>
  <c r="W43" i="4" s="1"/>
  <c r="W49" i="11"/>
  <c r="W46" i="4" s="1"/>
  <c r="W48" i="11"/>
  <c r="W45" i="4" s="1"/>
  <c r="W47" i="11"/>
  <c r="W44" i="4" s="1"/>
  <c r="W51" i="11"/>
  <c r="W48" i="4" s="1"/>
  <c r="W43" i="11"/>
  <c r="W40" i="4" s="1"/>
  <c r="W52" i="11"/>
  <c r="W49" i="4" s="1"/>
  <c r="W54" i="11"/>
  <c r="W51" i="4" s="1"/>
  <c r="W50" i="11"/>
  <c r="W47" i="4" s="1"/>
  <c r="W45" i="11"/>
  <c r="W42" i="4" s="1"/>
  <c r="X14" i="11"/>
  <c r="X11" i="11"/>
  <c r="X10" i="11"/>
  <c r="W29" i="21"/>
  <c r="X10" i="21"/>
  <c r="Y10" i="21" s="1"/>
  <c r="X74" i="26"/>
  <c r="Y74" i="26" s="1"/>
  <c r="Z103" i="26" s="1"/>
  <c r="Z117" i="26" s="1"/>
  <c r="W53" i="11"/>
  <c r="W50" i="4" s="1"/>
  <c r="X10" i="2"/>
  <c r="X121" i="26"/>
  <c r="X9" i="11"/>
  <c r="W19" i="11"/>
  <c r="X7" i="11"/>
  <c r="Y13" i="11"/>
  <c r="Y15" i="11"/>
  <c r="Y7" i="11"/>
  <c r="Y16" i="11"/>
  <c r="Y9" i="13"/>
  <c r="Y14" i="11"/>
  <c r="Y11" i="11"/>
  <c r="Y17" i="11"/>
  <c r="Y9" i="11"/>
  <c r="Y8" i="11"/>
  <c r="Y18" i="11"/>
  <c r="Y10" i="2"/>
  <c r="Y10" i="11"/>
  <c r="Y12" i="11"/>
  <c r="Y20" i="13"/>
  <c r="Y26" i="11"/>
  <c r="Y63" i="11" s="1"/>
  <c r="Y56" i="4" s="1"/>
  <c r="Y35" i="11"/>
  <c r="Y30" i="11"/>
  <c r="Y27" i="11"/>
  <c r="Y34" i="11"/>
  <c r="Y31" i="11"/>
  <c r="Y28" i="11"/>
  <c r="Y36" i="11"/>
  <c r="Y29" i="11"/>
  <c r="Y37" i="11"/>
  <c r="Y32" i="11"/>
  <c r="Y33" i="11"/>
  <c r="X17" i="11"/>
  <c r="X18" i="11"/>
  <c r="X16" i="11"/>
  <c r="X12" i="11"/>
  <c r="X103" i="26"/>
  <c r="X117" i="26" s="1"/>
  <c r="X28" i="11"/>
  <c r="X31" i="26" s="1"/>
  <c r="X34" i="11"/>
  <c r="X37" i="26" s="1"/>
  <c r="X36" i="11"/>
  <c r="X39" i="26" s="1"/>
  <c r="X30" i="11"/>
  <c r="X33" i="26" s="1"/>
  <c r="X37" i="11"/>
  <c r="X40" i="26" s="1"/>
  <c r="X26" i="11"/>
  <c r="X29" i="26" s="1"/>
  <c r="X33" i="11"/>
  <c r="X36" i="26" s="1"/>
  <c r="X35" i="11"/>
  <c r="X38" i="26" s="1"/>
  <c r="X29" i="11"/>
  <c r="X32" i="26" s="1"/>
  <c r="X31" i="11"/>
  <c r="X34" i="26" s="1"/>
  <c r="X27" i="11"/>
  <c r="X30" i="26" s="1"/>
  <c r="X32" i="11"/>
  <c r="X35" i="26" s="1"/>
  <c r="V29" i="21"/>
  <c r="W121" i="26"/>
  <c r="Y121" i="26"/>
  <c r="V53" i="11"/>
  <c r="V50" i="4" s="1"/>
  <c r="V45" i="11"/>
  <c r="V42" i="4" s="1"/>
  <c r="V47" i="11"/>
  <c r="V44" i="4" s="1"/>
  <c r="V46" i="11"/>
  <c r="V43" i="4" s="1"/>
  <c r="V50" i="11"/>
  <c r="V47" i="4" s="1"/>
  <c r="V54" i="11"/>
  <c r="V51" i="4" s="1"/>
  <c r="V48" i="11"/>
  <c r="V45" i="4" s="1"/>
  <c r="V44" i="11"/>
  <c r="V41" i="4" s="1"/>
  <c r="V43" i="11"/>
  <c r="V40" i="4" s="1"/>
  <c r="V19" i="11"/>
  <c r="V52" i="11"/>
  <c r="V49" i="4" s="1"/>
  <c r="V51" i="11"/>
  <c r="V48" i="4" s="1"/>
  <c r="V49" i="11"/>
  <c r="V46" i="4" s="1"/>
  <c r="W68" i="11"/>
  <c r="W61" i="4" s="1"/>
  <c r="W66" i="11"/>
  <c r="W59" i="4" s="1"/>
  <c r="W67" i="11"/>
  <c r="W60" i="4" s="1"/>
  <c r="W73" i="11"/>
  <c r="W66" i="4" s="1"/>
  <c r="W69" i="11"/>
  <c r="W62" i="4" s="1"/>
  <c r="W63" i="11"/>
  <c r="W56" i="4" s="1"/>
  <c r="W38" i="11"/>
  <c r="W64" i="11"/>
  <c r="W57" i="4" s="1"/>
  <c r="W74" i="11"/>
  <c r="W67" i="4" s="1"/>
  <c r="W70" i="11"/>
  <c r="W63" i="4" s="1"/>
  <c r="W72" i="11"/>
  <c r="W65" i="4" s="1"/>
  <c r="W65" i="11"/>
  <c r="W58" i="4" s="1"/>
  <c r="W71" i="11"/>
  <c r="W64" i="4" s="1"/>
  <c r="C15" i="17"/>
  <c r="F15" i="17" s="1"/>
  <c r="W91" i="26" l="1"/>
  <c r="X16" i="26"/>
  <c r="X17" i="26"/>
  <c r="X25" i="26"/>
  <c r="X18" i="26"/>
  <c r="X20" i="26"/>
  <c r="X24" i="26"/>
  <c r="X21" i="26"/>
  <c r="X27" i="26"/>
  <c r="X23" i="26"/>
  <c r="X91" i="26" s="1"/>
  <c r="X19" i="26"/>
  <c r="X26" i="26"/>
  <c r="Y43" i="11"/>
  <c r="Y40" i="4" s="1"/>
  <c r="X22" i="26"/>
  <c r="X29" i="21"/>
  <c r="X44" i="11"/>
  <c r="X41" i="4" s="1"/>
  <c r="X51" i="11"/>
  <c r="X48" i="4" s="1"/>
  <c r="X49" i="11"/>
  <c r="X46" i="4" s="1"/>
  <c r="X50" i="11"/>
  <c r="X47" i="4" s="1"/>
  <c r="X45" i="11"/>
  <c r="X42" i="4" s="1"/>
  <c r="X47" i="11"/>
  <c r="X44" i="4" s="1"/>
  <c r="X46" i="11"/>
  <c r="X43" i="4" s="1"/>
  <c r="X48" i="11"/>
  <c r="X45" i="4" s="1"/>
  <c r="X88" i="26"/>
  <c r="Y88" i="26"/>
  <c r="Z74" i="26"/>
  <c r="Z88" i="26" s="1"/>
  <c r="Y103" i="26"/>
  <c r="Y117" i="26" s="1"/>
  <c r="X43" i="11"/>
  <c r="X40" i="4" s="1"/>
  <c r="X52" i="11"/>
  <c r="X49" i="4" s="1"/>
  <c r="X53" i="11"/>
  <c r="X50" i="4" s="1"/>
  <c r="Y31" i="26"/>
  <c r="Y65" i="11"/>
  <c r="Y58" i="4" s="1"/>
  <c r="Y26" i="26"/>
  <c r="Y53" i="11"/>
  <c r="Y50" i="4" s="1"/>
  <c r="Y22" i="26"/>
  <c r="Y49" i="11"/>
  <c r="Y46" i="4" s="1"/>
  <c r="Y20" i="26"/>
  <c r="Y47" i="11"/>
  <c r="Y44" i="4" s="1"/>
  <c r="Y37" i="26"/>
  <c r="Y71" i="11"/>
  <c r="Y64" i="4" s="1"/>
  <c r="Y19" i="26"/>
  <c r="Y46" i="11"/>
  <c r="Y43" i="4" s="1"/>
  <c r="Y23" i="26"/>
  <c r="Y50" i="11"/>
  <c r="Y47" i="4" s="1"/>
  <c r="Y36" i="26"/>
  <c r="Y70" i="11"/>
  <c r="Y63" i="4" s="1"/>
  <c r="Y30" i="26"/>
  <c r="Y64" i="11"/>
  <c r="Y57" i="4" s="1"/>
  <c r="Y34" i="26"/>
  <c r="Y68" i="11"/>
  <c r="Y61" i="4" s="1"/>
  <c r="X54" i="11"/>
  <c r="X51" i="4" s="1"/>
  <c r="Y35" i="26"/>
  <c r="Y69" i="11"/>
  <c r="Y62" i="4" s="1"/>
  <c r="Y33" i="26"/>
  <c r="Y67" i="11"/>
  <c r="Y60" i="4" s="1"/>
  <c r="Y25" i="26"/>
  <c r="Y52" i="11"/>
  <c r="Y49" i="4" s="1"/>
  <c r="Y40" i="26"/>
  <c r="Y74" i="11"/>
  <c r="Y67" i="4" s="1"/>
  <c r="Y38" i="26"/>
  <c r="Y72" i="11"/>
  <c r="Y65" i="4" s="1"/>
  <c r="Y27" i="26"/>
  <c r="Y54" i="11"/>
  <c r="Y51" i="4" s="1"/>
  <c r="Y21" i="26"/>
  <c r="Y48" i="11"/>
  <c r="Y45" i="4" s="1"/>
  <c r="X19" i="11"/>
  <c r="Y32" i="26"/>
  <c r="Y66" i="11"/>
  <c r="Y59" i="4" s="1"/>
  <c r="Y17" i="26"/>
  <c r="Y44" i="11"/>
  <c r="Y41" i="4" s="1"/>
  <c r="Y39" i="26"/>
  <c r="Y73" i="11"/>
  <c r="Y66" i="4" s="1"/>
  <c r="Y18" i="26"/>
  <c r="Y45" i="11"/>
  <c r="Y42" i="4" s="1"/>
  <c r="Y24" i="26"/>
  <c r="Y51" i="11"/>
  <c r="Y48" i="4" s="1"/>
  <c r="Y16" i="26"/>
  <c r="Y19" i="11"/>
  <c r="Y29" i="26"/>
  <c r="Y38" i="11"/>
  <c r="Z20" i="13"/>
  <c r="Z26" i="11"/>
  <c r="Z63" i="11" s="1"/>
  <c r="Z56" i="4" s="1"/>
  <c r="Z27" i="11"/>
  <c r="Z30" i="11"/>
  <c r="Z31" i="11"/>
  <c r="Z34" i="11"/>
  <c r="Z35" i="11"/>
  <c r="Z28" i="11"/>
  <c r="Z32" i="11"/>
  <c r="Z36" i="11"/>
  <c r="Z29" i="11"/>
  <c r="Z37" i="11"/>
  <c r="Z33" i="11"/>
  <c r="Z9" i="11"/>
  <c r="Z11" i="11"/>
  <c r="Z13" i="11"/>
  <c r="Z7" i="11"/>
  <c r="Z10" i="21"/>
  <c r="Z9" i="13"/>
  <c r="Z18" i="11"/>
  <c r="Z14" i="11"/>
  <c r="Z15" i="11"/>
  <c r="Z8" i="11"/>
  <c r="Z16" i="11"/>
  <c r="Z17" i="11"/>
  <c r="Z10" i="11"/>
  <c r="Z12" i="11"/>
  <c r="Z10" i="2"/>
  <c r="Z121" i="26"/>
  <c r="Y29" i="21"/>
  <c r="X69" i="11"/>
  <c r="X62" i="4" s="1"/>
  <c r="X74" i="11"/>
  <c r="X67" i="4" s="1"/>
  <c r="X72" i="11"/>
  <c r="X65" i="4" s="1"/>
  <c r="X73" i="11"/>
  <c r="X66" i="4" s="1"/>
  <c r="X68" i="11"/>
  <c r="X61" i="4" s="1"/>
  <c r="X63" i="11"/>
  <c r="X56" i="4" s="1"/>
  <c r="X38" i="11"/>
  <c r="X71" i="11"/>
  <c r="X64" i="4" s="1"/>
  <c r="X70" i="11"/>
  <c r="X63" i="4" s="1"/>
  <c r="X64" i="11"/>
  <c r="X57" i="4" s="1"/>
  <c r="X66" i="11"/>
  <c r="X59" i="4" s="1"/>
  <c r="X67" i="11"/>
  <c r="X60" i="4" s="1"/>
  <c r="X65" i="11"/>
  <c r="X58" i="4" s="1"/>
  <c r="D16" i="17"/>
  <c r="AA74" i="26" l="1"/>
  <c r="AA88" i="26" s="1"/>
  <c r="AA103" i="26"/>
  <c r="AA117" i="26" s="1"/>
  <c r="Z43" i="11"/>
  <c r="Z40" i="4" s="1"/>
  <c r="Y91" i="26"/>
  <c r="Z38" i="26"/>
  <c r="Z72" i="11"/>
  <c r="Z65" i="4" s="1"/>
  <c r="Z23" i="26"/>
  <c r="Z91" i="26" s="1"/>
  <c r="Z50" i="11"/>
  <c r="Z47" i="4" s="1"/>
  <c r="Z21" i="26"/>
  <c r="Z48" i="11"/>
  <c r="Z45" i="4" s="1"/>
  <c r="Z27" i="26"/>
  <c r="Z54" i="11"/>
  <c r="Z51" i="4" s="1"/>
  <c r="Z36" i="26"/>
  <c r="Z70" i="11"/>
  <c r="Z63" i="4" s="1"/>
  <c r="Z34" i="26"/>
  <c r="Z68" i="11"/>
  <c r="Z61" i="4" s="1"/>
  <c r="Z40" i="26"/>
  <c r="Z74" i="11"/>
  <c r="Z67" i="4" s="1"/>
  <c r="Z33" i="26"/>
  <c r="Z67" i="11"/>
  <c r="Z60" i="4" s="1"/>
  <c r="Z26" i="26"/>
  <c r="Z53" i="11"/>
  <c r="Z50" i="4" s="1"/>
  <c r="Z32" i="26"/>
  <c r="Z66" i="11"/>
  <c r="Z59" i="4" s="1"/>
  <c r="Z30" i="26"/>
  <c r="Z64" i="11"/>
  <c r="Z57" i="4" s="1"/>
  <c r="Z39" i="26"/>
  <c r="Z73" i="11"/>
  <c r="Z66" i="4" s="1"/>
  <c r="Z35" i="26"/>
  <c r="Z69" i="11"/>
  <c r="Z62" i="4" s="1"/>
  <c r="Z25" i="26"/>
  <c r="Z52" i="11"/>
  <c r="Z49" i="4" s="1"/>
  <c r="Z22" i="26"/>
  <c r="Z49" i="11"/>
  <c r="Z46" i="4" s="1"/>
  <c r="Z17" i="26"/>
  <c r="Z44" i="11"/>
  <c r="Z41" i="4" s="1"/>
  <c r="Z20" i="26"/>
  <c r="Z47" i="11"/>
  <c r="Z44" i="4" s="1"/>
  <c r="Z31" i="26"/>
  <c r="Z65" i="11"/>
  <c r="Z58" i="4" s="1"/>
  <c r="Z19" i="26"/>
  <c r="Z46" i="11"/>
  <c r="Z43" i="4" s="1"/>
  <c r="Z18" i="26"/>
  <c r="Z45" i="11"/>
  <c r="Z42" i="4" s="1"/>
  <c r="Z24" i="26"/>
  <c r="Z51" i="11"/>
  <c r="Z48" i="4" s="1"/>
  <c r="Z37" i="26"/>
  <c r="Z71" i="11"/>
  <c r="Z64" i="4" s="1"/>
  <c r="AA121" i="26"/>
  <c r="Z29" i="21"/>
  <c r="Z29" i="26"/>
  <c r="Z38" i="11"/>
  <c r="AA20" i="13"/>
  <c r="AA30" i="11"/>
  <c r="AA34" i="11"/>
  <c r="AA33" i="11"/>
  <c r="AA28" i="11"/>
  <c r="AA35" i="11"/>
  <c r="AA36" i="11"/>
  <c r="AA29" i="11"/>
  <c r="AA37" i="11"/>
  <c r="AA31" i="11"/>
  <c r="AA27" i="11"/>
  <c r="AA32" i="11"/>
  <c r="AA26" i="11"/>
  <c r="AA63" i="11" s="1"/>
  <c r="AA56" i="4" s="1"/>
  <c r="Z16" i="26"/>
  <c r="Z19" i="11"/>
  <c r="AA12" i="11"/>
  <c r="AA7" i="11"/>
  <c r="AA18" i="11"/>
  <c r="AA10" i="2"/>
  <c r="AA10" i="11"/>
  <c r="AB74" i="26"/>
  <c r="AA13" i="11"/>
  <c r="AA14" i="11"/>
  <c r="AA9" i="13"/>
  <c r="AB103" i="26"/>
  <c r="AB117" i="26" s="1"/>
  <c r="AA15" i="11"/>
  <c r="AA9" i="11"/>
  <c r="AA17" i="11"/>
  <c r="AA8" i="11"/>
  <c r="AA10" i="21"/>
  <c r="AA16" i="11"/>
  <c r="AA11" i="11"/>
  <c r="C16" i="17"/>
  <c r="F16" i="17" s="1"/>
  <c r="AA43" i="11" l="1"/>
  <c r="AA40" i="4" s="1"/>
  <c r="AA26" i="26"/>
  <c r="AA53" i="11"/>
  <c r="AA50" i="4" s="1"/>
  <c r="AA23" i="26"/>
  <c r="AA91" i="26" s="1"/>
  <c r="AA50" i="11"/>
  <c r="AA47" i="4" s="1"/>
  <c r="AA32" i="26"/>
  <c r="AA66" i="11"/>
  <c r="AA59" i="4" s="1"/>
  <c r="AA25" i="26"/>
  <c r="AA52" i="11"/>
  <c r="AA49" i="4" s="1"/>
  <c r="AA22" i="26"/>
  <c r="AA49" i="11"/>
  <c r="AA46" i="4" s="1"/>
  <c r="AA39" i="26"/>
  <c r="AA73" i="11"/>
  <c r="AA66" i="4" s="1"/>
  <c r="AA24" i="26"/>
  <c r="AA51" i="11"/>
  <c r="AA48" i="4" s="1"/>
  <c r="AA17" i="26"/>
  <c r="AA44" i="11"/>
  <c r="AA41" i="4" s="1"/>
  <c r="AA38" i="26"/>
  <c r="AA72" i="11"/>
  <c r="AA65" i="4" s="1"/>
  <c r="AA19" i="26"/>
  <c r="AA46" i="11"/>
  <c r="AA43" i="4" s="1"/>
  <c r="AA31" i="26"/>
  <c r="AA65" i="11"/>
  <c r="AA58" i="4" s="1"/>
  <c r="AA18" i="26"/>
  <c r="AA45" i="11"/>
  <c r="AA42" i="4" s="1"/>
  <c r="AA35" i="26"/>
  <c r="AA69" i="11"/>
  <c r="AA62" i="4" s="1"/>
  <c r="AA36" i="26"/>
  <c r="AA70" i="11"/>
  <c r="AA63" i="4" s="1"/>
  <c r="AA27" i="26"/>
  <c r="AA54" i="11"/>
  <c r="AA51" i="4" s="1"/>
  <c r="AA30" i="26"/>
  <c r="AA64" i="11"/>
  <c r="AA57" i="4" s="1"/>
  <c r="AA37" i="26"/>
  <c r="AA71" i="11"/>
  <c r="AA64" i="4" s="1"/>
  <c r="AA34" i="26"/>
  <c r="AA68" i="11"/>
  <c r="AA61" i="4" s="1"/>
  <c r="AA33" i="26"/>
  <c r="AA67" i="11"/>
  <c r="AA60" i="4" s="1"/>
  <c r="AA20" i="26"/>
  <c r="AA47" i="11"/>
  <c r="AA44" i="4" s="1"/>
  <c r="AA21" i="26"/>
  <c r="AA48" i="11"/>
  <c r="AA45" i="4" s="1"/>
  <c r="AA40" i="26"/>
  <c r="AA74" i="11"/>
  <c r="AA67" i="4" s="1"/>
  <c r="AB88" i="26"/>
  <c r="AA29" i="26"/>
  <c r="AA38" i="11"/>
  <c r="AA16" i="26"/>
  <c r="AA19" i="11"/>
  <c r="AB121" i="26"/>
  <c r="AA29" i="21"/>
  <c r="AB13" i="11"/>
  <c r="AB11" i="11"/>
  <c r="AB10" i="2"/>
  <c r="AB8" i="11"/>
  <c r="AB9" i="13"/>
  <c r="AB15" i="11"/>
  <c r="AB10" i="11"/>
  <c r="AB9" i="11"/>
  <c r="AB16" i="11"/>
  <c r="AB18" i="11"/>
  <c r="AB7" i="11"/>
  <c r="AB10" i="21"/>
  <c r="AB17" i="11"/>
  <c r="AC74" i="26"/>
  <c r="AB12" i="11"/>
  <c r="AC103" i="26"/>
  <c r="AC117" i="26" s="1"/>
  <c r="AB14" i="11"/>
  <c r="AB20" i="13"/>
  <c r="AB27" i="11"/>
  <c r="AB37" i="11"/>
  <c r="AB31" i="11"/>
  <c r="AB28" i="11"/>
  <c r="AB26" i="11"/>
  <c r="AB63" i="11" s="1"/>
  <c r="AB56" i="4" s="1"/>
  <c r="AB35" i="11"/>
  <c r="AB32" i="11"/>
  <c r="AB36" i="11"/>
  <c r="AB34" i="11"/>
  <c r="AB29" i="11"/>
  <c r="AB33" i="11"/>
  <c r="AB30" i="11"/>
  <c r="D17" i="17"/>
  <c r="AB43" i="11" l="1"/>
  <c r="AB40" i="4" s="1"/>
  <c r="AB21" i="26"/>
  <c r="AB48" i="11"/>
  <c r="AB45" i="4" s="1"/>
  <c r="AB24" i="26"/>
  <c r="AB51" i="11"/>
  <c r="AB48" i="4" s="1"/>
  <c r="AB34" i="26"/>
  <c r="AB68" i="11"/>
  <c r="AB61" i="4" s="1"/>
  <c r="AB26" i="26"/>
  <c r="AB53" i="11"/>
  <c r="AB50" i="4" s="1"/>
  <c r="AB31" i="26"/>
  <c r="AB65" i="11"/>
  <c r="AB58" i="4" s="1"/>
  <c r="AB36" i="26"/>
  <c r="AB70" i="11"/>
  <c r="AB63" i="4" s="1"/>
  <c r="AB32" i="26"/>
  <c r="AB66" i="11"/>
  <c r="AB59" i="4" s="1"/>
  <c r="AB40" i="26"/>
  <c r="AB74" i="11"/>
  <c r="AB67" i="4" s="1"/>
  <c r="AB17" i="26"/>
  <c r="AB44" i="11"/>
  <c r="AB41" i="4" s="1"/>
  <c r="AB30" i="26"/>
  <c r="AB64" i="11"/>
  <c r="AB57" i="4" s="1"/>
  <c r="AB39" i="26"/>
  <c r="AB73" i="11"/>
  <c r="AB66" i="4" s="1"/>
  <c r="AB27" i="26"/>
  <c r="AB54" i="11"/>
  <c r="AB51" i="4" s="1"/>
  <c r="AB20" i="26"/>
  <c r="AB47" i="11"/>
  <c r="AB44" i="4" s="1"/>
  <c r="AB37" i="26"/>
  <c r="AB71" i="11"/>
  <c r="AB64" i="4" s="1"/>
  <c r="AB25" i="26"/>
  <c r="AB52" i="11"/>
  <c r="AB49" i="4" s="1"/>
  <c r="AB35" i="26"/>
  <c r="AB69" i="11"/>
  <c r="AB62" i="4" s="1"/>
  <c r="AB23" i="26"/>
  <c r="AB91" i="26" s="1"/>
  <c r="AB50" i="11"/>
  <c r="AB47" i="4" s="1"/>
  <c r="AB22" i="26"/>
  <c r="AB49" i="11"/>
  <c r="AB46" i="4" s="1"/>
  <c r="AB38" i="26"/>
  <c r="AB72" i="11"/>
  <c r="AB65" i="4" s="1"/>
  <c r="AB18" i="26"/>
  <c r="AB45" i="11"/>
  <c r="AB42" i="4" s="1"/>
  <c r="AB19" i="26"/>
  <c r="AB46" i="11"/>
  <c r="AB43" i="4" s="1"/>
  <c r="AB33" i="26"/>
  <c r="AB67" i="11"/>
  <c r="AB60" i="4" s="1"/>
  <c r="AB29" i="26"/>
  <c r="AB38" i="11"/>
  <c r="AC88" i="26"/>
  <c r="AC10" i="11"/>
  <c r="AC13" i="11"/>
  <c r="AD74" i="26"/>
  <c r="AC16" i="11"/>
  <c r="AC11" i="11"/>
  <c r="AC15" i="11"/>
  <c r="AC14" i="11"/>
  <c r="AC9" i="13"/>
  <c r="AC17" i="11"/>
  <c r="AC9" i="11"/>
  <c r="AC18" i="11"/>
  <c r="AC10" i="21"/>
  <c r="AC12" i="11"/>
  <c r="AC10" i="2"/>
  <c r="AD103" i="26"/>
  <c r="AD117" i="26" s="1"/>
  <c r="AC7" i="11"/>
  <c r="AC8" i="11"/>
  <c r="AC121" i="26"/>
  <c r="AB29" i="21"/>
  <c r="AB16" i="26"/>
  <c r="AB19" i="11"/>
  <c r="AC20" i="13"/>
  <c r="AC31" i="11"/>
  <c r="AC34" i="11"/>
  <c r="AC36" i="11"/>
  <c r="AC35" i="11"/>
  <c r="AC27" i="11"/>
  <c r="AC37" i="11"/>
  <c r="AC29" i="11"/>
  <c r="AC26" i="11"/>
  <c r="AC63" i="11" s="1"/>
  <c r="AC56" i="4" s="1"/>
  <c r="AC33" i="11"/>
  <c r="AC28" i="11"/>
  <c r="AC30" i="11"/>
  <c r="AC32" i="11"/>
  <c r="C17" i="17"/>
  <c r="F17" i="17" s="1"/>
  <c r="D18" i="17"/>
  <c r="AC43" i="11" l="1"/>
  <c r="AC40" i="4" s="1"/>
  <c r="AC19" i="26"/>
  <c r="AC46" i="11"/>
  <c r="AC43" i="4" s="1"/>
  <c r="AC35" i="26"/>
  <c r="AC69" i="11"/>
  <c r="AC62" i="4" s="1"/>
  <c r="AC39" i="26"/>
  <c r="AC73" i="11"/>
  <c r="AC66" i="4" s="1"/>
  <c r="AC26" i="26"/>
  <c r="AC53" i="11"/>
  <c r="AC50" i="4" s="1"/>
  <c r="AC31" i="26"/>
  <c r="AC65" i="11"/>
  <c r="AC58" i="4" s="1"/>
  <c r="AC37" i="26"/>
  <c r="AC71" i="11"/>
  <c r="AC64" i="4" s="1"/>
  <c r="AC17" i="26"/>
  <c r="AC44" i="11"/>
  <c r="AC41" i="4" s="1"/>
  <c r="AC36" i="26"/>
  <c r="AC70" i="11"/>
  <c r="AC63" i="4" s="1"/>
  <c r="AC34" i="26"/>
  <c r="AC68" i="11"/>
  <c r="AC61" i="4" s="1"/>
  <c r="AC23" i="26"/>
  <c r="AC91" i="26" s="1"/>
  <c r="AC50" i="11"/>
  <c r="AC47" i="4" s="1"/>
  <c r="AC22" i="26"/>
  <c r="AC49" i="11"/>
  <c r="AC46" i="4" s="1"/>
  <c r="AC33" i="26"/>
  <c r="AC67" i="11"/>
  <c r="AC60" i="4" s="1"/>
  <c r="AC24" i="26"/>
  <c r="AC51" i="11"/>
  <c r="AC48" i="4" s="1"/>
  <c r="AC21" i="26"/>
  <c r="AC48" i="11"/>
  <c r="AC45" i="4" s="1"/>
  <c r="AC20" i="26"/>
  <c r="AC47" i="11"/>
  <c r="AC44" i="4" s="1"/>
  <c r="AC38" i="26"/>
  <c r="AC72" i="11"/>
  <c r="AC65" i="4" s="1"/>
  <c r="AC32" i="26"/>
  <c r="AC66" i="11"/>
  <c r="AC59" i="4" s="1"/>
  <c r="AC40" i="26"/>
  <c r="AC74" i="11"/>
  <c r="AC67" i="4" s="1"/>
  <c r="AC25" i="26"/>
  <c r="AC52" i="11"/>
  <c r="AC49" i="4" s="1"/>
  <c r="AC18" i="26"/>
  <c r="AC45" i="11"/>
  <c r="AC42" i="4" s="1"/>
  <c r="AC30" i="26"/>
  <c r="AC64" i="11"/>
  <c r="AC57" i="4" s="1"/>
  <c r="AC27" i="26"/>
  <c r="AC54" i="11"/>
  <c r="AC51" i="4" s="1"/>
  <c r="AD88" i="26"/>
  <c r="AD121" i="26"/>
  <c r="AC29" i="21"/>
  <c r="AC16" i="26"/>
  <c r="AC19" i="11"/>
  <c r="AD17" i="11"/>
  <c r="AD11" i="11"/>
  <c r="AE74" i="26"/>
  <c r="AD8" i="11"/>
  <c r="AD10" i="11"/>
  <c r="AD13" i="11"/>
  <c r="AD15" i="11"/>
  <c r="AD9" i="13"/>
  <c r="AE103" i="26"/>
  <c r="AE117" i="26" s="1"/>
  <c r="AD18" i="11"/>
  <c r="AD10" i="21"/>
  <c r="AD12" i="11"/>
  <c r="AD9" i="11"/>
  <c r="AD10" i="2"/>
  <c r="AD7" i="11"/>
  <c r="AD16" i="11"/>
  <c r="AD14" i="11"/>
  <c r="AC29" i="26"/>
  <c r="AC38" i="11"/>
  <c r="AD20" i="13"/>
  <c r="AD35" i="11"/>
  <c r="AD34" i="11"/>
  <c r="AD31" i="11"/>
  <c r="AD28" i="11"/>
  <c r="AD29" i="11"/>
  <c r="AD26" i="11"/>
  <c r="AD63" i="11" s="1"/>
  <c r="AD56" i="4" s="1"/>
  <c r="AD32" i="11"/>
  <c r="AD33" i="11"/>
  <c r="AD36" i="11"/>
  <c r="AD37" i="11"/>
  <c r="AD30" i="11"/>
  <c r="AD27" i="11"/>
  <c r="C18" i="17"/>
  <c r="F18" i="17" s="1"/>
  <c r="D19" i="17"/>
  <c r="AD43" i="11" l="1"/>
  <c r="AD40" i="4" s="1"/>
  <c r="AD34" i="26"/>
  <c r="AD68" i="11"/>
  <c r="AD61" i="4" s="1"/>
  <c r="AD24" i="26"/>
  <c r="AD51" i="11"/>
  <c r="AD48" i="4" s="1"/>
  <c r="AD40" i="26"/>
  <c r="AD74" i="11"/>
  <c r="AD67" i="4" s="1"/>
  <c r="AD37" i="26"/>
  <c r="AD71" i="11"/>
  <c r="AD64" i="4" s="1"/>
  <c r="AD22" i="26"/>
  <c r="AD49" i="11"/>
  <c r="AD46" i="4" s="1"/>
  <c r="AD30" i="26"/>
  <c r="AD64" i="11"/>
  <c r="AD57" i="4" s="1"/>
  <c r="AD18" i="26"/>
  <c r="AD45" i="11"/>
  <c r="AD42" i="4" s="1"/>
  <c r="AD19" i="26"/>
  <c r="AD46" i="11"/>
  <c r="AD43" i="4" s="1"/>
  <c r="AD31" i="26"/>
  <c r="AD65" i="11"/>
  <c r="AD58" i="4" s="1"/>
  <c r="AD39" i="26"/>
  <c r="AD73" i="11"/>
  <c r="AD66" i="4" s="1"/>
  <c r="AD36" i="26"/>
  <c r="AD70" i="11"/>
  <c r="AD63" i="4" s="1"/>
  <c r="AD17" i="26"/>
  <c r="AD44" i="11"/>
  <c r="AD41" i="4" s="1"/>
  <c r="AD35" i="26"/>
  <c r="AD69" i="11"/>
  <c r="AD62" i="4" s="1"/>
  <c r="AD33" i="26"/>
  <c r="AD67" i="11"/>
  <c r="AD60" i="4" s="1"/>
  <c r="AD38" i="26"/>
  <c r="AD72" i="11"/>
  <c r="AD65" i="4" s="1"/>
  <c r="AD21" i="26"/>
  <c r="AD48" i="11"/>
  <c r="AD45" i="4" s="1"/>
  <c r="AD27" i="26"/>
  <c r="AD54" i="11"/>
  <c r="AD51" i="4" s="1"/>
  <c r="AD20" i="26"/>
  <c r="AD47" i="11"/>
  <c r="AD44" i="4" s="1"/>
  <c r="AD32" i="26"/>
  <c r="AD66" i="11"/>
  <c r="AD59" i="4" s="1"/>
  <c r="AD23" i="26"/>
  <c r="AD91" i="26" s="1"/>
  <c r="AD50" i="11"/>
  <c r="AD47" i="4" s="1"/>
  <c r="AD26" i="26"/>
  <c r="AD53" i="11"/>
  <c r="AD50" i="4" s="1"/>
  <c r="AD25" i="26"/>
  <c r="AD52" i="11"/>
  <c r="AD49" i="4" s="1"/>
  <c r="AE88" i="26"/>
  <c r="AE20" i="13"/>
  <c r="AE32" i="11"/>
  <c r="AE33" i="11"/>
  <c r="AE30" i="11"/>
  <c r="AE28" i="11"/>
  <c r="AE36" i="11"/>
  <c r="AE37" i="11"/>
  <c r="AE27" i="11"/>
  <c r="AE31" i="11"/>
  <c r="AE34" i="11"/>
  <c r="AE29" i="11"/>
  <c r="AE35" i="11"/>
  <c r="AE26" i="11"/>
  <c r="AE63" i="11" s="1"/>
  <c r="AE56" i="4" s="1"/>
  <c r="AE121" i="26"/>
  <c r="AD29" i="21"/>
  <c r="AD29" i="26"/>
  <c r="AD38" i="11"/>
  <c r="AF103" i="26"/>
  <c r="AF117" i="26" s="1"/>
  <c r="AE10" i="11"/>
  <c r="AE17" i="11"/>
  <c r="AE10" i="21"/>
  <c r="AF74" i="26"/>
  <c r="AE12" i="11"/>
  <c r="AE11" i="11"/>
  <c r="AE9" i="13"/>
  <c r="AE9" i="11"/>
  <c r="AE15" i="11"/>
  <c r="AE8" i="11"/>
  <c r="AE18" i="11"/>
  <c r="AE13" i="11"/>
  <c r="AE10" i="2"/>
  <c r="AE16" i="11"/>
  <c r="AE7" i="11"/>
  <c r="AE14" i="11"/>
  <c r="AD16" i="26"/>
  <c r="AD19" i="11"/>
  <c r="C19" i="17"/>
  <c r="F19" i="17" s="1"/>
  <c r="D20" i="17"/>
  <c r="AE43" i="11" l="1"/>
  <c r="AE40" i="4" s="1"/>
  <c r="AE19" i="26"/>
  <c r="AE46" i="11"/>
  <c r="AE43" i="4" s="1"/>
  <c r="AE36" i="26"/>
  <c r="AE70" i="11"/>
  <c r="AE63" i="4" s="1"/>
  <c r="AE23" i="26"/>
  <c r="AE91" i="26" s="1"/>
  <c r="AE50" i="11"/>
  <c r="AE47" i="4" s="1"/>
  <c r="AE37" i="26"/>
  <c r="AE71" i="11"/>
  <c r="AE64" i="4" s="1"/>
  <c r="AE35" i="26"/>
  <c r="AE69" i="11"/>
  <c r="AE62" i="4" s="1"/>
  <c r="AE34" i="26"/>
  <c r="AE68" i="11"/>
  <c r="AE61" i="4" s="1"/>
  <c r="AE32" i="26"/>
  <c r="AE66" i="11"/>
  <c r="AE59" i="4" s="1"/>
  <c r="AE20" i="26"/>
  <c r="AE47" i="11"/>
  <c r="AE44" i="4" s="1"/>
  <c r="AE30" i="26"/>
  <c r="AE64" i="11"/>
  <c r="AE57" i="4" s="1"/>
  <c r="AE18" i="26"/>
  <c r="AE45" i="11"/>
  <c r="AE42" i="4" s="1"/>
  <c r="AE21" i="26"/>
  <c r="AE48" i="11"/>
  <c r="AE45" i="4" s="1"/>
  <c r="AE40" i="26"/>
  <c r="AE74" i="11"/>
  <c r="AE67" i="4" s="1"/>
  <c r="AE24" i="26"/>
  <c r="AE51" i="11"/>
  <c r="AE48" i="4" s="1"/>
  <c r="AE25" i="26"/>
  <c r="AE52" i="11"/>
  <c r="AE49" i="4" s="1"/>
  <c r="AE22" i="26"/>
  <c r="AE49" i="11"/>
  <c r="AE46" i="4" s="1"/>
  <c r="AE39" i="26"/>
  <c r="AE73" i="11"/>
  <c r="AE66" i="4" s="1"/>
  <c r="AE27" i="26"/>
  <c r="AE54" i="11"/>
  <c r="AE51" i="4" s="1"/>
  <c r="AE31" i="26"/>
  <c r="AE65" i="11"/>
  <c r="AE58" i="4" s="1"/>
  <c r="AE17" i="26"/>
  <c r="AE44" i="11"/>
  <c r="AE41" i="4" s="1"/>
  <c r="AE26" i="26"/>
  <c r="AE53" i="11"/>
  <c r="AE50" i="4" s="1"/>
  <c r="AE38" i="26"/>
  <c r="AE72" i="11"/>
  <c r="AE65" i="4" s="1"/>
  <c r="AE33" i="26"/>
  <c r="AE67" i="11"/>
  <c r="AE60" i="4" s="1"/>
  <c r="AE29" i="26"/>
  <c r="AE38" i="11"/>
  <c r="AF88" i="26"/>
  <c r="AF121" i="26"/>
  <c r="AE29" i="21"/>
  <c r="AF20" i="13"/>
  <c r="AF28" i="11"/>
  <c r="AF37" i="11"/>
  <c r="AF34" i="11"/>
  <c r="AF32" i="11"/>
  <c r="AF33" i="11"/>
  <c r="AF36" i="11"/>
  <c r="AF27" i="11"/>
  <c r="AF31" i="11"/>
  <c r="AF30" i="11"/>
  <c r="AF29" i="11"/>
  <c r="AF35" i="11"/>
  <c r="AF26" i="11"/>
  <c r="AE16" i="26"/>
  <c r="AE19" i="11"/>
  <c r="AF9" i="13"/>
  <c r="AF16" i="11"/>
  <c r="AF17" i="11"/>
  <c r="AG103" i="26"/>
  <c r="AG117" i="26" s="1"/>
  <c r="AF12" i="11"/>
  <c r="AF11" i="11"/>
  <c r="AF9" i="11"/>
  <c r="AF10" i="2"/>
  <c r="AF7" i="11"/>
  <c r="AF18" i="11"/>
  <c r="AF10" i="21"/>
  <c r="AF8" i="11"/>
  <c r="AF13" i="11"/>
  <c r="AG74" i="26"/>
  <c r="AG88" i="26" s="1"/>
  <c r="AF14" i="11"/>
  <c r="AF15" i="11"/>
  <c r="AF10" i="11"/>
  <c r="C20" i="17"/>
  <c r="F20" i="17" s="1"/>
  <c r="C14" i="7"/>
  <c r="C18" i="7" s="1"/>
  <c r="AF14" i="12" s="1"/>
  <c r="AG14" i="12" l="1"/>
  <c r="AG10" i="12"/>
  <c r="AG5" i="12"/>
  <c r="AG15" i="12"/>
  <c r="AG13" i="12"/>
  <c r="AF11" i="12"/>
  <c r="AG4" i="12"/>
  <c r="AF6" i="12"/>
  <c r="AF7" i="12"/>
  <c r="AG7" i="12"/>
  <c r="AG12" i="12"/>
  <c r="AF4" i="12"/>
  <c r="AF12" i="12"/>
  <c r="AG11" i="12"/>
  <c r="AG6" i="12"/>
  <c r="D14" i="12"/>
  <c r="D7" i="12"/>
  <c r="C13" i="4"/>
  <c r="D8" i="12"/>
  <c r="D11" i="12"/>
  <c r="E12" i="12"/>
  <c r="E8" i="12"/>
  <c r="E13" i="12"/>
  <c r="D6" i="12"/>
  <c r="E11" i="12"/>
  <c r="E6" i="12"/>
  <c r="E5" i="12"/>
  <c r="D10" i="12"/>
  <c r="D13" i="12"/>
  <c r="E15" i="12"/>
  <c r="E14" i="12"/>
  <c r="E4" i="12"/>
  <c r="D12" i="12"/>
  <c r="D15" i="12"/>
  <c r="E7" i="12"/>
  <c r="E9" i="12"/>
  <c r="E10" i="12"/>
  <c r="D5" i="12"/>
  <c r="D9" i="12"/>
  <c r="F13" i="12"/>
  <c r="F7" i="12"/>
  <c r="F12" i="12"/>
  <c r="D32" i="12"/>
  <c r="D33" i="12"/>
  <c r="F8" i="12"/>
  <c r="F10" i="12"/>
  <c r="F5" i="12"/>
  <c r="D28" i="12"/>
  <c r="D31" i="12"/>
  <c r="F11" i="12"/>
  <c r="F9" i="12"/>
  <c r="F4" i="12"/>
  <c r="D30" i="12"/>
  <c r="F6" i="12"/>
  <c r="F15" i="12"/>
  <c r="F14" i="12"/>
  <c r="D29" i="12"/>
  <c r="G13" i="12"/>
  <c r="G12" i="12"/>
  <c r="G11" i="12"/>
  <c r="G4" i="12"/>
  <c r="G7" i="12"/>
  <c r="G5" i="12"/>
  <c r="G14" i="12"/>
  <c r="G10" i="12"/>
  <c r="G6" i="12"/>
  <c r="G8" i="12"/>
  <c r="G9" i="12"/>
  <c r="G15" i="12"/>
  <c r="H15" i="12"/>
  <c r="H4" i="12"/>
  <c r="H5" i="12"/>
  <c r="H11" i="12"/>
  <c r="H9" i="12"/>
  <c r="H14" i="12"/>
  <c r="H10" i="12"/>
  <c r="H7" i="12"/>
  <c r="H12" i="12"/>
  <c r="H13" i="12"/>
  <c r="H8" i="12"/>
  <c r="H6" i="12"/>
  <c r="I14" i="12"/>
  <c r="I13" i="12"/>
  <c r="I9" i="12"/>
  <c r="I12" i="12"/>
  <c r="I11" i="12"/>
  <c r="I8" i="12"/>
  <c r="I10" i="12"/>
  <c r="I4" i="12"/>
  <c r="I6" i="12"/>
  <c r="I7" i="12"/>
  <c r="I15" i="12"/>
  <c r="I5" i="12"/>
  <c r="J11" i="12"/>
  <c r="J14" i="12"/>
  <c r="J6" i="12"/>
  <c r="J9" i="12"/>
  <c r="J8" i="12"/>
  <c r="J7" i="12"/>
  <c r="J15" i="12"/>
  <c r="J13" i="12"/>
  <c r="J12" i="12"/>
  <c r="J4" i="12"/>
  <c r="J5" i="12"/>
  <c r="J10" i="12"/>
  <c r="K6" i="12"/>
  <c r="K9" i="12"/>
  <c r="K13" i="12"/>
  <c r="K12" i="12"/>
  <c r="K4" i="12"/>
  <c r="K8" i="12"/>
  <c r="K5" i="12"/>
  <c r="K14" i="12"/>
  <c r="K11" i="12"/>
  <c r="K7" i="12"/>
  <c r="K15" i="12"/>
  <c r="K10" i="12"/>
  <c r="L13" i="12"/>
  <c r="L12" i="12"/>
  <c r="L11" i="12"/>
  <c r="L6" i="12"/>
  <c r="L5" i="12"/>
  <c r="L10" i="12"/>
  <c r="L7" i="12"/>
  <c r="L14" i="12"/>
  <c r="L4" i="12"/>
  <c r="L8" i="12"/>
  <c r="L15" i="12"/>
  <c r="L9" i="12"/>
  <c r="M8" i="12"/>
  <c r="M5" i="12"/>
  <c r="M12" i="12"/>
  <c r="M14" i="12"/>
  <c r="M15" i="12"/>
  <c r="M9" i="12"/>
  <c r="M7" i="12"/>
  <c r="M4" i="12"/>
  <c r="M13" i="12"/>
  <c r="M11" i="12"/>
  <c r="M10" i="12"/>
  <c r="M6" i="12"/>
  <c r="N6" i="12"/>
  <c r="N8" i="12"/>
  <c r="N10" i="12"/>
  <c r="N14" i="12"/>
  <c r="N11" i="12"/>
  <c r="N12" i="12"/>
  <c r="N7" i="12"/>
  <c r="N13" i="12"/>
  <c r="N15" i="12"/>
  <c r="N4" i="12"/>
  <c r="N5" i="12"/>
  <c r="N9" i="12"/>
  <c r="O7" i="12"/>
  <c r="O15" i="12"/>
  <c r="O10" i="12"/>
  <c r="O5" i="12"/>
  <c r="O4" i="12"/>
  <c r="O11" i="12"/>
  <c r="O13" i="12"/>
  <c r="O6" i="12"/>
  <c r="O8" i="12"/>
  <c r="O9" i="12"/>
  <c r="O12" i="12"/>
  <c r="O14" i="12"/>
  <c r="P8" i="12"/>
  <c r="P13" i="12"/>
  <c r="P4" i="12"/>
  <c r="P7" i="12"/>
  <c r="P5" i="12"/>
  <c r="P11" i="12"/>
  <c r="P14" i="12"/>
  <c r="P6" i="12"/>
  <c r="P10" i="12"/>
  <c r="P9" i="12"/>
  <c r="P12" i="12"/>
  <c r="P15" i="12"/>
  <c r="Q11" i="12"/>
  <c r="Q5" i="12"/>
  <c r="Q6" i="12"/>
  <c r="Q10" i="12"/>
  <c r="Q12" i="12"/>
  <c r="Q13" i="12"/>
  <c r="Q7" i="12"/>
  <c r="Q4" i="12"/>
  <c r="Q14" i="12"/>
  <c r="Q9" i="12"/>
  <c r="Q15" i="12"/>
  <c r="Q8" i="12"/>
  <c r="R8" i="12"/>
  <c r="R5" i="12"/>
  <c r="R4" i="12"/>
  <c r="R12" i="12"/>
  <c r="R6" i="12"/>
  <c r="R10" i="12"/>
  <c r="R15" i="12"/>
  <c r="R11" i="12"/>
  <c r="R9" i="12"/>
  <c r="R13" i="12"/>
  <c r="R14" i="12"/>
  <c r="R7" i="12"/>
  <c r="S9" i="12"/>
  <c r="S7" i="12"/>
  <c r="S15" i="12"/>
  <c r="S12" i="12"/>
  <c r="S6" i="12"/>
  <c r="S14" i="12"/>
  <c r="S5" i="12"/>
  <c r="S4" i="12"/>
  <c r="S8" i="12"/>
  <c r="S11" i="12"/>
  <c r="S13" i="12"/>
  <c r="S10" i="12"/>
  <c r="T8" i="12"/>
  <c r="T15" i="12"/>
  <c r="T12" i="12"/>
  <c r="T7" i="12"/>
  <c r="T9" i="12"/>
  <c r="T10" i="12"/>
  <c r="T4" i="12"/>
  <c r="T13" i="12"/>
  <c r="T6" i="12"/>
  <c r="T11" i="12"/>
  <c r="T14" i="12"/>
  <c r="T5" i="12"/>
  <c r="U7" i="12"/>
  <c r="U12" i="12"/>
  <c r="U11" i="12"/>
  <c r="U14" i="12"/>
  <c r="U5" i="12"/>
  <c r="U6" i="12"/>
  <c r="U15" i="12"/>
  <c r="U8" i="12"/>
  <c r="U13" i="12"/>
  <c r="U9" i="12"/>
  <c r="U10" i="12"/>
  <c r="U4" i="12"/>
  <c r="V12" i="12"/>
  <c r="V5" i="12"/>
  <c r="V9" i="12"/>
  <c r="V11" i="12"/>
  <c r="V7" i="12"/>
  <c r="V14" i="12"/>
  <c r="V15" i="12"/>
  <c r="V6" i="12"/>
  <c r="X5" i="12"/>
  <c r="V10" i="12"/>
  <c r="V13" i="12"/>
  <c r="V8" i="12"/>
  <c r="V4" i="12"/>
  <c r="W7" i="12"/>
  <c r="X4" i="12"/>
  <c r="W9" i="12"/>
  <c r="W15" i="12"/>
  <c r="W6" i="12"/>
  <c r="W13" i="12"/>
  <c r="X15" i="12"/>
  <c r="X9" i="12"/>
  <c r="X7" i="12"/>
  <c r="X11" i="12"/>
  <c r="X6" i="12"/>
  <c r="W10" i="12"/>
  <c r="X13" i="12"/>
  <c r="X8" i="12"/>
  <c r="W14" i="12"/>
  <c r="X10" i="12"/>
  <c r="W4" i="12"/>
  <c r="X14" i="12"/>
  <c r="W11" i="12"/>
  <c r="X12" i="12"/>
  <c r="W12" i="12"/>
  <c r="W8" i="12"/>
  <c r="W5" i="12"/>
  <c r="Z6" i="12"/>
  <c r="Z15" i="12"/>
  <c r="Y13" i="12"/>
  <c r="Y9" i="12"/>
  <c r="Y14" i="12"/>
  <c r="Z10" i="12"/>
  <c r="Z5" i="12"/>
  <c r="Z12" i="12"/>
  <c r="Y15" i="12"/>
  <c r="Z14" i="12"/>
  <c r="Y6" i="12"/>
  <c r="Z4" i="12"/>
  <c r="Z8" i="12"/>
  <c r="Z9" i="12"/>
  <c r="Y4" i="12"/>
  <c r="Y8" i="12"/>
  <c r="Y11" i="12"/>
  <c r="Y10" i="12"/>
  <c r="Z11" i="12"/>
  <c r="Z7" i="12"/>
  <c r="Y5" i="12"/>
  <c r="Y12" i="12"/>
  <c r="Y7" i="12"/>
  <c r="Z13" i="12"/>
  <c r="AA15" i="12"/>
  <c r="AA11" i="12"/>
  <c r="AA13" i="12"/>
  <c r="AA10" i="12"/>
  <c r="AA9" i="12"/>
  <c r="AA7" i="12"/>
  <c r="AA14" i="12"/>
  <c r="AA5" i="12"/>
  <c r="AA8" i="12"/>
  <c r="AA4" i="12"/>
  <c r="AA6" i="12"/>
  <c r="AA12" i="12"/>
  <c r="AB9" i="12"/>
  <c r="AB14" i="12"/>
  <c r="AB8" i="12"/>
  <c r="AB6" i="12"/>
  <c r="AB13" i="12"/>
  <c r="AB15" i="12"/>
  <c r="AB11" i="12"/>
  <c r="AB10" i="12"/>
  <c r="AB4" i="12"/>
  <c r="AB12" i="12"/>
  <c r="AB5" i="12"/>
  <c r="AB7" i="12"/>
  <c r="AC8" i="12"/>
  <c r="AC11" i="12"/>
  <c r="AC6" i="12"/>
  <c r="AC13" i="12"/>
  <c r="AC9" i="12"/>
  <c r="AC10" i="12"/>
  <c r="AC7" i="12"/>
  <c r="AC12" i="12"/>
  <c r="AC4" i="12"/>
  <c r="AC14" i="12"/>
  <c r="AC5" i="12"/>
  <c r="AC15" i="12"/>
  <c r="AD13" i="12"/>
  <c r="AD11" i="12"/>
  <c r="AD15" i="12"/>
  <c r="AD9" i="12"/>
  <c r="AD6" i="12"/>
  <c r="AD8" i="12"/>
  <c r="AD10" i="12"/>
  <c r="AD14" i="12"/>
  <c r="AD4" i="12"/>
  <c r="AD7" i="12"/>
  <c r="AD12" i="12"/>
  <c r="AD5" i="12"/>
  <c r="AE11" i="12"/>
  <c r="AE7" i="12"/>
  <c r="AE4" i="12"/>
  <c r="AE14" i="12"/>
  <c r="AE5" i="12"/>
  <c r="AE13" i="12"/>
  <c r="AE9" i="12"/>
  <c r="AE8" i="12"/>
  <c r="AE12" i="12"/>
  <c r="AE10" i="12"/>
  <c r="AE15" i="12"/>
  <c r="AE6" i="12"/>
  <c r="AG8" i="12"/>
  <c r="AF9" i="12"/>
  <c r="AF15" i="12"/>
  <c r="AG9" i="12"/>
  <c r="AF8" i="12"/>
  <c r="AF10" i="12"/>
  <c r="AF13" i="12"/>
  <c r="AF5" i="12"/>
  <c r="AF27" i="26"/>
  <c r="AF54" i="11"/>
  <c r="AF51" i="4" s="1"/>
  <c r="AF19" i="26"/>
  <c r="AF46" i="11"/>
  <c r="AF43" i="4" s="1"/>
  <c r="AF30" i="26"/>
  <c r="AF64" i="11"/>
  <c r="AF57" i="4" s="1"/>
  <c r="AF24" i="26"/>
  <c r="AF51" i="11"/>
  <c r="AF48" i="4" s="1"/>
  <c r="AF39" i="26"/>
  <c r="AF73" i="11"/>
  <c r="AF66" i="4" s="1"/>
  <c r="AF20" i="26"/>
  <c r="AF47" i="11"/>
  <c r="AF44" i="4" s="1"/>
  <c r="AF25" i="26"/>
  <c r="AF52" i="11"/>
  <c r="AF49" i="4" s="1"/>
  <c r="AF16" i="26"/>
  <c r="AF43" i="11"/>
  <c r="AF40" i="4" s="1"/>
  <c r="AF23" i="26"/>
  <c r="AG91" i="26" s="1"/>
  <c r="AI99" i="26" s="1"/>
  <c r="AF50" i="11"/>
  <c r="AF47" i="4" s="1"/>
  <c r="AF18" i="26"/>
  <c r="AF45" i="11"/>
  <c r="AF42" i="4" s="1"/>
  <c r="AF36" i="26"/>
  <c r="AF70" i="11"/>
  <c r="AF63" i="4" s="1"/>
  <c r="AF35" i="26"/>
  <c r="AF69" i="11"/>
  <c r="AF62" i="4" s="1"/>
  <c r="AF22" i="26"/>
  <c r="AF49" i="11"/>
  <c r="AF46" i="4" s="1"/>
  <c r="AF21" i="26"/>
  <c r="AF48" i="11"/>
  <c r="AF45" i="4" s="1"/>
  <c r="AF38" i="26"/>
  <c r="AF72" i="11"/>
  <c r="AF65" i="4" s="1"/>
  <c r="AF37" i="26"/>
  <c r="AF71" i="11"/>
  <c r="AF64" i="4" s="1"/>
  <c r="AF29" i="26"/>
  <c r="AF63" i="11"/>
  <c r="AF56" i="4" s="1"/>
  <c r="AF32" i="26"/>
  <c r="AF66" i="11"/>
  <c r="AF59" i="4" s="1"/>
  <c r="AF17" i="26"/>
  <c r="AF44" i="11"/>
  <c r="AF41" i="4" s="1"/>
  <c r="AF40" i="26"/>
  <c r="AF74" i="11"/>
  <c r="AF67" i="4" s="1"/>
  <c r="AF26" i="26"/>
  <c r="AF53" i="11"/>
  <c r="AF50" i="4" s="1"/>
  <c r="AF33" i="26"/>
  <c r="AF67" i="11"/>
  <c r="AF60" i="4" s="1"/>
  <c r="AF31" i="26"/>
  <c r="AF65" i="11"/>
  <c r="AF58" i="4" s="1"/>
  <c r="AF34" i="26"/>
  <c r="AF68" i="11"/>
  <c r="AF61" i="4" s="1"/>
  <c r="AG20" i="13"/>
  <c r="AH20" i="13" s="1"/>
  <c r="AI20" i="13" s="1"/>
  <c r="AJ20" i="13" s="1"/>
  <c r="AG26" i="11"/>
  <c r="AG36" i="11"/>
  <c r="AG28" i="11"/>
  <c r="AG65" i="11" s="1"/>
  <c r="AG58" i="4" s="1"/>
  <c r="AG32" i="11"/>
  <c r="AG69" i="11" s="1"/>
  <c r="AG62" i="4" s="1"/>
  <c r="AG30" i="11"/>
  <c r="AG67" i="11" s="1"/>
  <c r="AG60" i="4" s="1"/>
  <c r="AG27" i="11"/>
  <c r="AG64" i="11" s="1"/>
  <c r="AG57" i="4" s="1"/>
  <c r="AG37" i="11"/>
  <c r="AG74" i="11" s="1"/>
  <c r="AG67" i="4" s="1"/>
  <c r="AG29" i="11"/>
  <c r="AG34" i="11"/>
  <c r="AG71" i="11" s="1"/>
  <c r="AG64" i="4" s="1"/>
  <c r="AG31" i="11"/>
  <c r="AG68" i="11" s="1"/>
  <c r="AG61" i="4" s="1"/>
  <c r="AG35" i="11"/>
  <c r="AG72" i="11" s="1"/>
  <c r="AG65" i="4" s="1"/>
  <c r="AG33" i="11"/>
  <c r="AG70" i="11" s="1"/>
  <c r="AG63" i="4" s="1"/>
  <c r="AG121" i="26"/>
  <c r="AF29" i="21"/>
  <c r="AG12" i="11"/>
  <c r="AG15" i="11"/>
  <c r="AG7" i="11"/>
  <c r="AG16" i="11"/>
  <c r="AH13" i="12" s="1"/>
  <c r="AG14" i="11"/>
  <c r="AG11" i="11"/>
  <c r="AH8" i="12" s="1"/>
  <c r="AG17" i="11"/>
  <c r="AG9" i="11"/>
  <c r="AG8" i="11"/>
  <c r="AG10" i="11"/>
  <c r="AG13" i="11"/>
  <c r="AG18" i="11"/>
  <c r="AG9" i="13"/>
  <c r="AH9" i="13" s="1"/>
  <c r="AI9" i="13" s="1"/>
  <c r="AJ9" i="13" s="1"/>
  <c r="C23" i="4"/>
  <c r="D4" i="12"/>
  <c r="D23" i="12"/>
  <c r="C58" i="26" s="1"/>
  <c r="D104" i="26" s="1"/>
  <c r="C73" i="4"/>
  <c r="C6" i="4"/>
  <c r="E79" i="4"/>
  <c r="T80" i="4"/>
  <c r="V79" i="4"/>
  <c r="W76" i="4"/>
  <c r="AF77" i="4"/>
  <c r="AC74" i="4"/>
  <c r="J78" i="4"/>
  <c r="P73" i="4"/>
  <c r="Y76" i="4"/>
  <c r="G81" i="4"/>
  <c r="K75" i="4"/>
  <c r="D79" i="4"/>
  <c r="Z75" i="4"/>
  <c r="F82" i="4"/>
  <c r="AD84" i="4"/>
  <c r="R79" i="4"/>
  <c r="AG77" i="4"/>
  <c r="E81" i="4"/>
  <c r="AA75" i="4"/>
  <c r="U84" i="4"/>
  <c r="H79" i="4"/>
  <c r="W75" i="4"/>
  <c r="AF74" i="4"/>
  <c r="U78" i="4"/>
  <c r="I73" i="4"/>
  <c r="AE84" i="4"/>
  <c r="L84" i="4"/>
  <c r="U79" i="4"/>
  <c r="S79" i="4"/>
  <c r="AF84" i="4"/>
  <c r="M77" i="4"/>
  <c r="Y77" i="4"/>
  <c r="G76" i="4"/>
  <c r="AC73" i="4"/>
  <c r="J76" i="4"/>
  <c r="N81" i="4"/>
  <c r="J80" i="4"/>
  <c r="F78" i="4"/>
  <c r="F74" i="4"/>
  <c r="O80" i="4"/>
  <c r="R77" i="4"/>
  <c r="AG84" i="4"/>
  <c r="AC76" i="4"/>
  <c r="AG76" i="4"/>
  <c r="AB84" i="4"/>
  <c r="T79" i="4"/>
  <c r="E74" i="4"/>
  <c r="K83" i="4"/>
  <c r="X78" i="4"/>
  <c r="I77" i="4"/>
  <c r="V84" i="4"/>
  <c r="W78" i="4"/>
  <c r="D82" i="4"/>
  <c r="K79" i="4"/>
  <c r="D73" i="4"/>
  <c r="L74" i="4"/>
  <c r="X81" i="4"/>
  <c r="C81" i="4"/>
  <c r="AC79" i="4"/>
  <c r="C79" i="4"/>
  <c r="T75" i="4"/>
  <c r="N82" i="4"/>
  <c r="AC84" i="4"/>
  <c r="AB79" i="4"/>
  <c r="Y81" i="4"/>
  <c r="AC78" i="4"/>
  <c r="O78" i="4"/>
  <c r="W81" i="4"/>
  <c r="I74" i="4"/>
  <c r="U80" i="4"/>
  <c r="AD79" i="4"/>
  <c r="C83" i="4"/>
  <c r="AF78" i="4"/>
  <c r="X82" i="4"/>
  <c r="AB73" i="4"/>
  <c r="Z78" i="4"/>
  <c r="N74" i="4"/>
  <c r="I75" i="4"/>
  <c r="P77" i="4"/>
  <c r="O73" i="4"/>
  <c r="D84" i="4"/>
  <c r="S77" i="4"/>
  <c r="AB80" i="4"/>
  <c r="K81" i="4"/>
  <c r="H81" i="4"/>
  <c r="Z82" i="4"/>
  <c r="U82" i="4"/>
  <c r="AC82" i="4"/>
  <c r="D75" i="4"/>
  <c r="C75" i="4"/>
  <c r="V77" i="4"/>
  <c r="K77" i="4"/>
  <c r="V74" i="4"/>
  <c r="C10" i="4"/>
  <c r="C29" i="4"/>
  <c r="AG78" i="4"/>
  <c r="AF83" i="4"/>
  <c r="M82" i="4"/>
  <c r="AE76" i="4"/>
  <c r="P74" i="4"/>
  <c r="J74" i="4"/>
  <c r="U75" i="4"/>
  <c r="AG75" i="4"/>
  <c r="AF79" i="4"/>
  <c r="G75" i="4"/>
  <c r="AF81" i="4"/>
  <c r="AD81" i="4"/>
  <c r="Q80" i="4"/>
  <c r="O79" i="4"/>
  <c r="V75" i="4"/>
  <c r="Q83" i="4"/>
  <c r="I84" i="4"/>
  <c r="W80" i="4"/>
  <c r="P79" i="4"/>
  <c r="E73" i="4"/>
  <c r="U74" i="4"/>
  <c r="O83" i="4"/>
  <c r="G78" i="4"/>
  <c r="M81" i="4"/>
  <c r="AC75" i="4"/>
  <c r="F75" i="4"/>
  <c r="AE82" i="4"/>
  <c r="D81" i="4"/>
  <c r="M76" i="4"/>
  <c r="Q73" i="4"/>
  <c r="AA79" i="4"/>
  <c r="W79" i="4"/>
  <c r="F80" i="4"/>
  <c r="X84" i="4"/>
  <c r="AB78" i="4"/>
  <c r="D80" i="4"/>
  <c r="N80" i="4"/>
  <c r="F77" i="4"/>
  <c r="AA84" i="4"/>
  <c r="AB76" i="4"/>
  <c r="H76" i="4"/>
  <c r="AG83" i="4"/>
  <c r="Z73" i="4"/>
  <c r="W74" i="4"/>
  <c r="D74" i="4"/>
  <c r="Q81" i="4"/>
  <c r="S75" i="4"/>
  <c r="N83" i="4"/>
  <c r="Z81" i="4"/>
  <c r="R75" i="4"/>
  <c r="X76" i="4"/>
  <c r="AD83" i="4"/>
  <c r="G82" i="4"/>
  <c r="AC83" i="4"/>
  <c r="H83" i="4"/>
  <c r="E78" i="4"/>
  <c r="Y78" i="4"/>
  <c r="L75" i="4"/>
  <c r="L80" i="4"/>
  <c r="AB81" i="4"/>
  <c r="L83" i="4"/>
  <c r="AC77" i="4"/>
  <c r="N79" i="4"/>
  <c r="N77" i="4"/>
  <c r="V73" i="4"/>
  <c r="E84" i="4"/>
  <c r="D78" i="4"/>
  <c r="G83" i="4"/>
  <c r="I76" i="4"/>
  <c r="E83" i="4"/>
  <c r="M83" i="4"/>
  <c r="R76" i="4"/>
  <c r="Z76" i="4"/>
  <c r="AD77" i="4"/>
  <c r="K73" i="4"/>
  <c r="Z83" i="4"/>
  <c r="AD75" i="4"/>
  <c r="K84" i="4"/>
  <c r="U81" i="4"/>
  <c r="O82" i="4"/>
  <c r="AB82" i="4"/>
  <c r="H75" i="4"/>
  <c r="H80" i="4"/>
  <c r="AB77" i="4"/>
  <c r="Q77" i="4"/>
  <c r="S78" i="4"/>
  <c r="S84" i="4"/>
  <c r="Y73" i="4"/>
  <c r="T82" i="4"/>
  <c r="AF80" i="4"/>
  <c r="S73" i="4"/>
  <c r="G84" i="4"/>
  <c r="S81" i="4"/>
  <c r="D83" i="4"/>
  <c r="K76" i="4"/>
  <c r="Z74" i="4"/>
  <c r="L78" i="4"/>
  <c r="Q76" i="4"/>
  <c r="J84" i="4"/>
  <c r="N84" i="4"/>
  <c r="X79" i="4"/>
  <c r="E80" i="4"/>
  <c r="J81" i="4"/>
  <c r="AD80" i="4"/>
  <c r="T81" i="4"/>
  <c r="F83" i="4"/>
  <c r="AE77" i="4"/>
  <c r="Q75" i="4"/>
  <c r="R80" i="4"/>
  <c r="I80" i="4"/>
  <c r="K78" i="4"/>
  <c r="AE79" i="4"/>
  <c r="M79" i="4"/>
  <c r="Y79" i="4"/>
  <c r="S74" i="4"/>
  <c r="W84" i="4"/>
  <c r="C84" i="4"/>
  <c r="U77" i="4"/>
  <c r="G74" i="4"/>
  <c r="M73" i="4"/>
  <c r="R84" i="4"/>
  <c r="W77" i="4"/>
  <c r="AB74" i="4"/>
  <c r="O76" i="4"/>
  <c r="S83" i="4"/>
  <c r="F76" i="4"/>
  <c r="N76" i="4"/>
  <c r="T83" i="4"/>
  <c r="Q82" i="4"/>
  <c r="AF73" i="4"/>
  <c r="AD78" i="4"/>
  <c r="AG74" i="4"/>
  <c r="O81" i="4"/>
  <c r="C77" i="4"/>
  <c r="AG73" i="4"/>
  <c r="I81" i="4"/>
  <c r="E82" i="4"/>
  <c r="Y74" i="4"/>
  <c r="AG80" i="4"/>
  <c r="D77" i="4"/>
  <c r="AE83" i="4"/>
  <c r="M78" i="4"/>
  <c r="AB83" i="4"/>
  <c r="F81" i="4"/>
  <c r="AA81" i="4"/>
  <c r="Z77" i="4"/>
  <c r="I78" i="4"/>
  <c r="AA80" i="4"/>
  <c r="G79" i="4"/>
  <c r="N75" i="4"/>
  <c r="R74" i="4"/>
  <c r="X80" i="4"/>
  <c r="AD74" i="4"/>
  <c r="W83" i="4"/>
  <c r="AA77" i="4"/>
  <c r="P76" i="4"/>
  <c r="M75" i="4"/>
  <c r="U76" i="4"/>
  <c r="T84" i="4"/>
  <c r="L79" i="4"/>
  <c r="C82" i="4"/>
  <c r="I82" i="4"/>
  <c r="V82" i="4"/>
  <c r="J82" i="4"/>
  <c r="X73" i="4"/>
  <c r="H78" i="4"/>
  <c r="N78" i="4"/>
  <c r="C80" i="4"/>
  <c r="K80" i="4"/>
  <c r="AA76" i="4"/>
  <c r="C78" i="4"/>
  <c r="F79" i="4"/>
  <c r="AG81" i="4"/>
  <c r="S80" i="4"/>
  <c r="Z84" i="4"/>
  <c r="O77" i="4"/>
  <c r="AE78" i="4"/>
  <c r="M84" i="4"/>
  <c r="AF76" i="4"/>
  <c r="W73" i="4"/>
  <c r="K82" i="4"/>
  <c r="G80" i="4"/>
  <c r="H73" i="4"/>
  <c r="G77" i="4"/>
  <c r="C32" i="4"/>
  <c r="C24" i="4"/>
  <c r="C11" i="4"/>
  <c r="V78" i="4"/>
  <c r="P82" i="4"/>
  <c r="AD82" i="4"/>
  <c r="AE80" i="4"/>
  <c r="R78" i="4"/>
  <c r="AC81" i="4"/>
  <c r="J73" i="4"/>
  <c r="V83" i="4"/>
  <c r="T73" i="4"/>
  <c r="AA74" i="4"/>
  <c r="Z79" i="4"/>
  <c r="P80" i="4"/>
  <c r="V80" i="4"/>
  <c r="R81" i="4"/>
  <c r="Z80" i="4"/>
  <c r="Y80" i="4"/>
  <c r="C76" i="4"/>
  <c r="AA78" i="4"/>
  <c r="AE81" i="4"/>
  <c r="AG82" i="4"/>
  <c r="M74" i="4"/>
  <c r="J75" i="4"/>
  <c r="E76" i="4"/>
  <c r="L73" i="4"/>
  <c r="AD76" i="4"/>
  <c r="S76" i="4"/>
  <c r="AG79" i="4"/>
  <c r="AE75" i="4"/>
  <c r="P81" i="4"/>
  <c r="S82" i="4"/>
  <c r="AF82" i="4"/>
  <c r="T77" i="4"/>
  <c r="AD73" i="4"/>
  <c r="T78" i="4"/>
  <c r="H74" i="4"/>
  <c r="E75" i="4"/>
  <c r="P78" i="4"/>
  <c r="J77" i="4"/>
  <c r="AE73" i="4"/>
  <c r="D76" i="4"/>
  <c r="V81" i="4"/>
  <c r="Y75" i="4"/>
  <c r="AC80" i="4"/>
  <c r="O74" i="4"/>
  <c r="AE74" i="4"/>
  <c r="C52" i="26"/>
  <c r="AA73" i="4"/>
  <c r="N73" i="4"/>
  <c r="Y82" i="4"/>
  <c r="C74" i="4"/>
  <c r="X83" i="4"/>
  <c r="Y83" i="4"/>
  <c r="L82" i="4"/>
  <c r="C17" i="4"/>
  <c r="C7" i="4"/>
  <c r="H84" i="4"/>
  <c r="J83" i="4"/>
  <c r="V76" i="4"/>
  <c r="R73" i="4"/>
  <c r="P83" i="4"/>
  <c r="I79" i="4"/>
  <c r="AA83" i="4"/>
  <c r="C33" i="4"/>
  <c r="C15" i="4"/>
  <c r="Q84" i="4"/>
  <c r="AF75" i="4"/>
  <c r="X74" i="4"/>
  <c r="H77" i="4"/>
  <c r="L76" i="4"/>
  <c r="K74" i="4"/>
  <c r="I83" i="4"/>
  <c r="C27" i="4"/>
  <c r="Q79" i="4"/>
  <c r="P75" i="4"/>
  <c r="F84" i="4"/>
  <c r="L77" i="4"/>
  <c r="T76" i="4"/>
  <c r="F73" i="4"/>
  <c r="C26" i="4"/>
  <c r="X77" i="4"/>
  <c r="O75" i="4"/>
  <c r="G73" i="4"/>
  <c r="H82" i="4"/>
  <c r="E77" i="4"/>
  <c r="C34" i="4"/>
  <c r="C14" i="4"/>
  <c r="C9" i="4"/>
  <c r="AA82" i="4"/>
  <c r="T74" i="4"/>
  <c r="Y84" i="4"/>
  <c r="U83" i="4"/>
  <c r="U73" i="4"/>
  <c r="Q78" i="4"/>
  <c r="C12" i="4"/>
  <c r="P84" i="4"/>
  <c r="O84" i="4"/>
  <c r="M80" i="4"/>
  <c r="Q74" i="4"/>
  <c r="J79" i="4"/>
  <c r="R83" i="4"/>
  <c r="AB75" i="4"/>
  <c r="W82" i="4"/>
  <c r="R82" i="4"/>
  <c r="C25" i="4"/>
  <c r="C28" i="4"/>
  <c r="X75" i="4"/>
  <c r="L81" i="4"/>
  <c r="C16" i="4"/>
  <c r="C8" i="4"/>
  <c r="C31" i="4"/>
  <c r="C30" i="4"/>
  <c r="D27" i="12"/>
  <c r="E25" i="12"/>
  <c r="F28" i="12"/>
  <c r="G34" i="12"/>
  <c r="G33" i="12"/>
  <c r="AB31" i="12"/>
  <c r="E29" i="12"/>
  <c r="AC31" i="12"/>
  <c r="Z32" i="12"/>
  <c r="AC29" i="12"/>
  <c r="E33" i="12"/>
  <c r="AF26" i="12"/>
  <c r="E23" i="12"/>
  <c r="AC24" i="12"/>
  <c r="AF29" i="12"/>
  <c r="AE31" i="12"/>
  <c r="D25" i="12"/>
  <c r="F32" i="12"/>
  <c r="G29" i="12"/>
  <c r="AB23" i="12"/>
  <c r="AG29" i="12"/>
  <c r="Z30" i="12"/>
  <c r="AA23" i="12"/>
  <c r="AD25" i="12"/>
  <c r="AG28" i="12"/>
  <c r="Z26" i="12"/>
  <c r="AF28" i="12"/>
  <c r="AE24" i="12"/>
  <c r="AG24" i="12"/>
  <c r="AF30" i="12"/>
  <c r="AE30" i="12"/>
  <c r="AG33" i="12"/>
  <c r="G26" i="12"/>
  <c r="AB32" i="12"/>
  <c r="F34" i="12"/>
  <c r="F30" i="12"/>
  <c r="E24" i="12"/>
  <c r="D26" i="12"/>
  <c r="AB28" i="12"/>
  <c r="AG23" i="12"/>
  <c r="AB33" i="12"/>
  <c r="Z28" i="12"/>
  <c r="AC32" i="12"/>
  <c r="G32" i="12"/>
  <c r="AB26" i="12"/>
  <c r="E31" i="12"/>
  <c r="Z29" i="12"/>
  <c r="AC33" i="12"/>
  <c r="G27" i="12"/>
  <c r="AB34" i="12"/>
  <c r="AA27" i="12"/>
  <c r="AD33" i="12"/>
  <c r="AD28" i="12"/>
  <c r="AF32" i="12"/>
  <c r="AE27" i="12"/>
  <c r="G28" i="12"/>
  <c r="AB24" i="12"/>
  <c r="F24" i="12"/>
  <c r="AE29" i="12"/>
  <c r="AC34" i="12"/>
  <c r="AA25" i="12"/>
  <c r="AD29" i="12"/>
  <c r="AC27" i="12"/>
  <c r="AA26" i="12"/>
  <c r="AD24" i="12"/>
  <c r="E27" i="12"/>
  <c r="AA24" i="12"/>
  <c r="E34" i="12"/>
  <c r="D24" i="12"/>
  <c r="AE23" i="12"/>
  <c r="Z25" i="12"/>
  <c r="F31" i="12"/>
  <c r="G25" i="12"/>
  <c r="AA28" i="12"/>
  <c r="AD32" i="12"/>
  <c r="AG27" i="12"/>
  <c r="AG26" i="12"/>
  <c r="AA33" i="12"/>
  <c r="AD34" i="12"/>
  <c r="AG34" i="12"/>
  <c r="AA34" i="12"/>
  <c r="AD30" i="12"/>
  <c r="E26" i="12"/>
  <c r="AF24" i="12"/>
  <c r="AE32" i="12"/>
  <c r="F23" i="12"/>
  <c r="AC23" i="12"/>
  <c r="F29" i="12"/>
  <c r="AG32" i="12"/>
  <c r="Z27" i="12"/>
  <c r="AC25" i="12"/>
  <c r="AF31" i="12"/>
  <c r="F33" i="12"/>
  <c r="E28" i="12"/>
  <c r="F25" i="12"/>
  <c r="AB29" i="12"/>
  <c r="AG30" i="12"/>
  <c r="AF34" i="12"/>
  <c r="E30" i="12"/>
  <c r="G23" i="12"/>
  <c r="AB27" i="12"/>
  <c r="E32" i="12"/>
  <c r="AF27" i="12"/>
  <c r="AE33" i="12"/>
  <c r="Z23" i="12"/>
  <c r="AE34" i="12"/>
  <c r="F27" i="12"/>
  <c r="AA32" i="12"/>
  <c r="AD26" i="12"/>
  <c r="AC30" i="12"/>
  <c r="AD31" i="12"/>
  <c r="Z34" i="12"/>
  <c r="G30" i="12"/>
  <c r="D34" i="12"/>
  <c r="AG31" i="12"/>
  <c r="AB25" i="12"/>
  <c r="AF33" i="12"/>
  <c r="AE28" i="12"/>
  <c r="G31" i="12"/>
  <c r="AD23" i="12"/>
  <c r="AF23" i="12"/>
  <c r="AE25" i="12"/>
  <c r="AA30" i="12"/>
  <c r="AD27" i="12"/>
  <c r="AF25" i="12"/>
  <c r="AE26" i="12"/>
  <c r="Z24" i="12"/>
  <c r="AC26" i="12"/>
  <c r="Z33" i="12"/>
  <c r="AC28" i="12"/>
  <c r="AA29" i="12"/>
  <c r="Z31" i="12"/>
  <c r="AA31" i="12"/>
  <c r="F26" i="12"/>
  <c r="G24" i="12"/>
  <c r="AB30" i="12"/>
  <c r="AG25" i="12"/>
  <c r="H24" i="12"/>
  <c r="H34" i="12"/>
  <c r="H30" i="12"/>
  <c r="H23" i="12"/>
  <c r="H26" i="12"/>
  <c r="H28" i="12"/>
  <c r="H27" i="12"/>
  <c r="H25" i="12"/>
  <c r="H31" i="12"/>
  <c r="H33" i="12"/>
  <c r="H29" i="12"/>
  <c r="H32" i="12"/>
  <c r="I28" i="12"/>
  <c r="I27" i="12"/>
  <c r="I26" i="12"/>
  <c r="I25" i="12"/>
  <c r="I31" i="12"/>
  <c r="I29" i="12"/>
  <c r="I23" i="12"/>
  <c r="I34" i="12"/>
  <c r="I30" i="12"/>
  <c r="I32" i="12"/>
  <c r="I33" i="12"/>
  <c r="I24" i="12"/>
  <c r="J27" i="12"/>
  <c r="J24" i="12"/>
  <c r="J25" i="12"/>
  <c r="J26" i="12"/>
  <c r="J30" i="12"/>
  <c r="J23" i="12"/>
  <c r="J34" i="12"/>
  <c r="J29" i="12"/>
  <c r="J33" i="12"/>
  <c r="J32" i="12"/>
  <c r="J28" i="12"/>
  <c r="J31" i="12"/>
  <c r="K28" i="12"/>
  <c r="K24" i="12"/>
  <c r="K29" i="12"/>
  <c r="K23" i="12"/>
  <c r="K25" i="12"/>
  <c r="K31" i="12"/>
  <c r="K33" i="12"/>
  <c r="K34" i="12"/>
  <c r="K26" i="12"/>
  <c r="K27" i="12"/>
  <c r="K30" i="12"/>
  <c r="K32" i="12"/>
  <c r="L24" i="12"/>
  <c r="L23" i="12"/>
  <c r="L34" i="12"/>
  <c r="L25" i="12"/>
  <c r="L33" i="12"/>
  <c r="L29" i="12"/>
  <c r="L32" i="12"/>
  <c r="L27" i="12"/>
  <c r="L30" i="12"/>
  <c r="L28" i="12"/>
  <c r="L26" i="12"/>
  <c r="L31" i="12"/>
  <c r="M23" i="12"/>
  <c r="M29" i="12"/>
  <c r="M30" i="12"/>
  <c r="M26" i="12"/>
  <c r="M28" i="12"/>
  <c r="M25" i="12"/>
  <c r="M34" i="12"/>
  <c r="M24" i="12"/>
  <c r="M27" i="12"/>
  <c r="M33" i="12"/>
  <c r="M31" i="12"/>
  <c r="M32" i="12"/>
  <c r="N33" i="12"/>
  <c r="N28" i="12"/>
  <c r="N25" i="12"/>
  <c r="N34" i="12"/>
  <c r="N27" i="12"/>
  <c r="N30" i="12"/>
  <c r="N24" i="12"/>
  <c r="N31" i="12"/>
  <c r="N29" i="12"/>
  <c r="N32" i="12"/>
  <c r="N23" i="12"/>
  <c r="N26" i="12"/>
  <c r="O33" i="12"/>
  <c r="O25" i="12"/>
  <c r="O23" i="12"/>
  <c r="O32" i="12"/>
  <c r="O29" i="12"/>
  <c r="O28" i="12"/>
  <c r="O24" i="12"/>
  <c r="O30" i="12"/>
  <c r="O27" i="12"/>
  <c r="O34" i="12"/>
  <c r="O26" i="12"/>
  <c r="O31" i="12"/>
  <c r="P29" i="12"/>
  <c r="P30" i="12"/>
  <c r="P34" i="12"/>
  <c r="P31" i="12"/>
  <c r="P23" i="12"/>
  <c r="P25" i="12"/>
  <c r="P26" i="12"/>
  <c r="P32" i="12"/>
  <c r="P28" i="12"/>
  <c r="P27" i="12"/>
  <c r="P24" i="12"/>
  <c r="P33" i="12"/>
  <c r="Q29" i="12"/>
  <c r="Q27" i="12"/>
  <c r="Q23" i="12"/>
  <c r="Q26" i="12"/>
  <c r="Q32" i="12"/>
  <c r="Q31" i="12"/>
  <c r="Q25" i="12"/>
  <c r="Q34" i="12"/>
  <c r="Q28" i="12"/>
  <c r="Q30" i="12"/>
  <c r="Q24" i="12"/>
  <c r="Q33" i="12"/>
  <c r="R23" i="12"/>
  <c r="R24" i="12"/>
  <c r="R31" i="12"/>
  <c r="R28" i="12"/>
  <c r="R33" i="12"/>
  <c r="R29" i="12"/>
  <c r="R32" i="12"/>
  <c r="R27" i="12"/>
  <c r="R25" i="12"/>
  <c r="R34" i="12"/>
  <c r="R26" i="12"/>
  <c r="R30" i="12"/>
  <c r="S23" i="12"/>
  <c r="S33" i="12"/>
  <c r="S26" i="12"/>
  <c r="S24" i="12"/>
  <c r="S29" i="12"/>
  <c r="S34" i="12"/>
  <c r="S30" i="12"/>
  <c r="S32" i="12"/>
  <c r="S28" i="12"/>
  <c r="S25" i="12"/>
  <c r="S27" i="12"/>
  <c r="S31" i="12"/>
  <c r="T34" i="12"/>
  <c r="T28" i="12"/>
  <c r="T27" i="12"/>
  <c r="T25" i="12"/>
  <c r="T33" i="12"/>
  <c r="T32" i="12"/>
  <c r="T24" i="12"/>
  <c r="T30" i="12"/>
  <c r="T26" i="12"/>
  <c r="T29" i="12"/>
  <c r="T31" i="12"/>
  <c r="T23" i="12"/>
  <c r="U32" i="12"/>
  <c r="U34" i="12"/>
  <c r="U31" i="12"/>
  <c r="U27" i="12"/>
  <c r="U23" i="12"/>
  <c r="U30" i="12"/>
  <c r="U25" i="12"/>
  <c r="U26" i="12"/>
  <c r="U28" i="12"/>
  <c r="U24" i="12"/>
  <c r="U33" i="12"/>
  <c r="U29" i="12"/>
  <c r="V28" i="12"/>
  <c r="V32" i="12"/>
  <c r="V33" i="12"/>
  <c r="V31" i="12"/>
  <c r="V25" i="12"/>
  <c r="V27" i="12"/>
  <c r="V26" i="12"/>
  <c r="V30" i="12"/>
  <c r="V29" i="12"/>
  <c r="V23" i="12"/>
  <c r="V24" i="12"/>
  <c r="V34" i="12"/>
  <c r="W29" i="12"/>
  <c r="W26" i="12"/>
  <c r="W28" i="12"/>
  <c r="W31" i="12"/>
  <c r="W32" i="12"/>
  <c r="W30" i="12"/>
  <c r="W34" i="12"/>
  <c r="W25" i="12"/>
  <c r="W27" i="12"/>
  <c r="W23" i="12"/>
  <c r="W24" i="12"/>
  <c r="W33" i="12"/>
  <c r="X24" i="12"/>
  <c r="X30" i="12"/>
  <c r="X32" i="12"/>
  <c r="X28" i="12"/>
  <c r="X29" i="12"/>
  <c r="X25" i="12"/>
  <c r="X23" i="12"/>
  <c r="X34" i="12"/>
  <c r="X33" i="12"/>
  <c r="X31" i="12"/>
  <c r="X26" i="12"/>
  <c r="X27" i="12"/>
  <c r="Y29" i="12"/>
  <c r="Y31" i="12"/>
  <c r="Y34" i="12"/>
  <c r="Y30" i="12"/>
  <c r="Y27" i="12"/>
  <c r="Y24" i="12"/>
  <c r="Y25" i="12"/>
  <c r="Y33" i="12"/>
  <c r="Y26" i="12"/>
  <c r="Y32" i="12"/>
  <c r="Y28" i="12"/>
  <c r="Y23" i="12"/>
  <c r="AG45" i="11" l="1"/>
  <c r="AG42" i="4" s="1"/>
  <c r="AH6" i="12"/>
  <c r="AG53" i="11"/>
  <c r="AG50" i="4" s="1"/>
  <c r="AH14" i="12"/>
  <c r="AG50" i="11"/>
  <c r="AG47" i="4" s="1"/>
  <c r="AH11" i="12"/>
  <c r="AG54" i="11"/>
  <c r="AG51" i="4" s="1"/>
  <c r="AH15" i="12"/>
  <c r="AG48" i="11"/>
  <c r="AG45" i="4" s="1"/>
  <c r="AH9" i="12"/>
  <c r="AG49" i="11"/>
  <c r="AG46" i="4" s="1"/>
  <c r="AH10" i="12"/>
  <c r="AG43" i="11"/>
  <c r="AG40" i="4" s="1"/>
  <c r="AH4" i="12"/>
  <c r="AG44" i="11"/>
  <c r="AG41" i="4" s="1"/>
  <c r="AH5" i="12"/>
  <c r="AG46" i="11"/>
  <c r="AG43" i="4" s="1"/>
  <c r="AH7" i="12"/>
  <c r="AG51" i="11"/>
  <c r="AG48" i="4" s="1"/>
  <c r="AH12" i="12"/>
  <c r="C45" i="26"/>
  <c r="D75" i="26" s="1"/>
  <c r="D43" i="12"/>
  <c r="C11" i="2" s="1"/>
  <c r="AH28" i="12"/>
  <c r="AH65" i="12" s="1"/>
  <c r="AH31" i="12"/>
  <c r="AH68" i="12" s="1"/>
  <c r="AF91" i="26"/>
  <c r="AH24" i="12"/>
  <c r="AH61" i="12" s="1"/>
  <c r="AH29" i="12"/>
  <c r="AH66" i="12" s="1"/>
  <c r="AH32" i="12"/>
  <c r="AH69" i="12" s="1"/>
  <c r="AH25" i="12"/>
  <c r="AH62" i="12" s="1"/>
  <c r="AH30" i="12"/>
  <c r="AH67" i="12" s="1"/>
  <c r="AH27" i="12"/>
  <c r="AH64" i="12" s="1"/>
  <c r="AG52" i="11"/>
  <c r="AG49" i="4" s="1"/>
  <c r="AH34" i="12"/>
  <c r="AH71" i="12" s="1"/>
  <c r="AG47" i="11"/>
  <c r="AG44" i="4" s="1"/>
  <c r="AH33" i="12"/>
  <c r="AG73" i="11"/>
  <c r="AG66" i="4" s="1"/>
  <c r="AH23" i="12"/>
  <c r="AG63" i="11"/>
  <c r="AG56" i="4" s="1"/>
  <c r="AH26" i="12"/>
  <c r="AG66" i="11"/>
  <c r="AG59" i="4" s="1"/>
  <c r="D60" i="12"/>
  <c r="C11" i="21" s="1"/>
  <c r="C35" i="4"/>
  <c r="Y65" i="12"/>
  <c r="X16" i="21" s="1"/>
  <c r="X63" i="26"/>
  <c r="X69" i="12"/>
  <c r="W20" i="21" s="1"/>
  <c r="W67" i="26"/>
  <c r="V60" i="12"/>
  <c r="U11" i="21" s="1"/>
  <c r="U58" i="26"/>
  <c r="V104" i="26" s="1"/>
  <c r="U69" i="12"/>
  <c r="T20" i="21" s="1"/>
  <c r="T67" i="26"/>
  <c r="U113" i="26" s="1"/>
  <c r="P66" i="12"/>
  <c r="O17" i="21" s="1"/>
  <c r="O64" i="26"/>
  <c r="P110" i="26" s="1"/>
  <c r="J69" i="12"/>
  <c r="I20" i="21" s="1"/>
  <c r="I67" i="26"/>
  <c r="J113" i="26" s="1"/>
  <c r="I66" i="12"/>
  <c r="H17" i="21" s="1"/>
  <c r="H64" i="26"/>
  <c r="I110" i="26" s="1"/>
  <c r="H68" i="12"/>
  <c r="G19" i="21" s="1"/>
  <c r="G66" i="26"/>
  <c r="H112" i="26" s="1"/>
  <c r="AF70" i="12"/>
  <c r="AE21" i="21" s="1"/>
  <c r="AE68" i="26"/>
  <c r="AC60" i="12"/>
  <c r="AB11" i="21" s="1"/>
  <c r="AB58" i="26"/>
  <c r="G64" i="12"/>
  <c r="F15" i="21" s="1"/>
  <c r="F62" i="26"/>
  <c r="G108" i="26" s="1"/>
  <c r="F69" i="12"/>
  <c r="E20" i="21" s="1"/>
  <c r="E67" i="26"/>
  <c r="F113" i="26" s="1"/>
  <c r="U65" i="12"/>
  <c r="T16" i="21" s="1"/>
  <c r="T63" i="26"/>
  <c r="U109" i="26" s="1"/>
  <c r="R65" i="12"/>
  <c r="Q16" i="21" s="1"/>
  <c r="Q63" i="26"/>
  <c r="R109" i="26" s="1"/>
  <c r="P68" i="12"/>
  <c r="O19" i="21" s="1"/>
  <c r="O66" i="26"/>
  <c r="P112" i="26" s="1"/>
  <c r="N68" i="12"/>
  <c r="M19" i="21" s="1"/>
  <c r="M66" i="26"/>
  <c r="N112" i="26" s="1"/>
  <c r="AC63" i="12"/>
  <c r="AB14" i="21" s="1"/>
  <c r="AB61" i="26"/>
  <c r="E69" i="12"/>
  <c r="D20" i="21" s="1"/>
  <c r="D67" i="26"/>
  <c r="E113" i="26" s="1"/>
  <c r="AA65" i="12"/>
  <c r="Z16" i="21" s="1"/>
  <c r="Z63" i="26"/>
  <c r="S71" i="12"/>
  <c r="R22" i="21" s="1"/>
  <c r="R69" i="26"/>
  <c r="S115" i="26" s="1"/>
  <c r="Q65" i="12"/>
  <c r="P16" i="21" s="1"/>
  <c r="P63" i="26"/>
  <c r="Q109" i="26" s="1"/>
  <c r="M68" i="12"/>
  <c r="L19" i="21" s="1"/>
  <c r="L66" i="26"/>
  <c r="M112" i="26" s="1"/>
  <c r="Z61" i="12"/>
  <c r="Y12" i="21" s="1"/>
  <c r="Y59" i="26"/>
  <c r="AB64" i="12"/>
  <c r="AA15" i="21" s="1"/>
  <c r="AA62" i="26"/>
  <c r="AD61" i="12"/>
  <c r="AC12" i="21" s="1"/>
  <c r="AC59" i="26"/>
  <c r="Z66" i="12"/>
  <c r="Y17" i="21" s="1"/>
  <c r="Y64" i="26"/>
  <c r="AD62" i="12"/>
  <c r="AC13" i="21" s="1"/>
  <c r="AC60" i="26"/>
  <c r="R67" i="12"/>
  <c r="Q18" i="21" s="1"/>
  <c r="Q65" i="26"/>
  <c r="R111" i="26" s="1"/>
  <c r="O67" i="12"/>
  <c r="N18" i="21" s="1"/>
  <c r="N65" i="26"/>
  <c r="O111" i="26" s="1"/>
  <c r="N62" i="12"/>
  <c r="M13" i="21" s="1"/>
  <c r="M60" i="26"/>
  <c r="N106" i="26" s="1"/>
  <c r="M70" i="12"/>
  <c r="L21" i="21" s="1"/>
  <c r="L68" i="26"/>
  <c r="M114" i="26" s="1"/>
  <c r="K67" i="12"/>
  <c r="J18" i="21" s="1"/>
  <c r="J65" i="26"/>
  <c r="K111" i="26" s="1"/>
  <c r="J67" i="12"/>
  <c r="I18" i="21" s="1"/>
  <c r="I65" i="26"/>
  <c r="J111" i="26" s="1"/>
  <c r="I67" i="12"/>
  <c r="H18" i="21" s="1"/>
  <c r="H65" i="26"/>
  <c r="I111" i="26" s="1"/>
  <c r="F63" i="12"/>
  <c r="E14" i="21" s="1"/>
  <c r="E61" i="26"/>
  <c r="F107" i="26" s="1"/>
  <c r="F64" i="12"/>
  <c r="E15" i="21" s="1"/>
  <c r="E62" i="26"/>
  <c r="F108" i="26" s="1"/>
  <c r="G60" i="12"/>
  <c r="F11" i="21" s="1"/>
  <c r="F58" i="26"/>
  <c r="G104" i="26" s="1"/>
  <c r="AF68" i="12"/>
  <c r="AE19" i="21" s="1"/>
  <c r="AE66" i="26"/>
  <c r="AF61" i="12"/>
  <c r="AE12" i="21" s="1"/>
  <c r="AE59" i="26"/>
  <c r="AA70" i="12"/>
  <c r="Z21" i="21" s="1"/>
  <c r="Z68" i="26"/>
  <c r="F68" i="12"/>
  <c r="E19" i="21" s="1"/>
  <c r="E66" i="26"/>
  <c r="F112" i="26" s="1"/>
  <c r="AA63" i="12"/>
  <c r="Z14" i="21" s="1"/>
  <c r="Z61" i="26"/>
  <c r="AE66" i="12"/>
  <c r="AD17" i="21" s="1"/>
  <c r="AD64" i="26"/>
  <c r="E68" i="12"/>
  <c r="D19" i="21" s="1"/>
  <c r="D66" i="26"/>
  <c r="E112" i="26" s="1"/>
  <c r="AG70" i="12"/>
  <c r="AF21" i="21" s="1"/>
  <c r="AF68" i="26"/>
  <c r="AE61" i="12"/>
  <c r="AD12" i="21" s="1"/>
  <c r="AD59" i="26"/>
  <c r="AA60" i="12"/>
  <c r="Z11" i="21" s="1"/>
  <c r="Z58" i="26"/>
  <c r="AE68" i="12"/>
  <c r="AD19" i="21" s="1"/>
  <c r="AD66" i="26"/>
  <c r="AC66" i="12"/>
  <c r="AB17" i="21" s="1"/>
  <c r="AB64" i="26"/>
  <c r="E62" i="12"/>
  <c r="D13" i="21" s="1"/>
  <c r="D60" i="26"/>
  <c r="E106" i="26" s="1"/>
  <c r="W68" i="12"/>
  <c r="V19" i="21" s="1"/>
  <c r="V66" i="26"/>
  <c r="W112" i="26" s="1"/>
  <c r="U61" i="12"/>
  <c r="T12" i="21" s="1"/>
  <c r="T59" i="26"/>
  <c r="U105" i="26" s="1"/>
  <c r="T71" i="12"/>
  <c r="S22" i="21" s="1"/>
  <c r="S69" i="26"/>
  <c r="T115" i="26" s="1"/>
  <c r="P64" i="12"/>
  <c r="O15" i="21" s="1"/>
  <c r="O62" i="26"/>
  <c r="P108" i="26" s="1"/>
  <c r="I70" i="12"/>
  <c r="H21" i="21" s="1"/>
  <c r="H68" i="26"/>
  <c r="I114" i="26" s="1"/>
  <c r="AB67" i="12"/>
  <c r="AA18" i="21" s="1"/>
  <c r="AA65" i="26"/>
  <c r="AF64" i="12"/>
  <c r="AE15" i="21" s="1"/>
  <c r="AE62" i="26"/>
  <c r="AA61" i="12"/>
  <c r="Z12" i="21" s="1"/>
  <c r="Z59" i="26"/>
  <c r="F71" i="12"/>
  <c r="E22" i="21" s="1"/>
  <c r="E69" i="26"/>
  <c r="F115" i="26" s="1"/>
  <c r="G70" i="12"/>
  <c r="F21" i="21" s="1"/>
  <c r="F68" i="26"/>
  <c r="G114" i="26" s="1"/>
  <c r="Y69" i="12"/>
  <c r="X20" i="21" s="1"/>
  <c r="X67" i="26"/>
  <c r="Q67" i="12"/>
  <c r="P18" i="21" s="1"/>
  <c r="P65" i="26"/>
  <c r="Q111" i="26" s="1"/>
  <c r="L62" i="12"/>
  <c r="K13" i="21" s="1"/>
  <c r="K60" i="26"/>
  <c r="L106" i="26" s="1"/>
  <c r="AB62" i="12"/>
  <c r="AA13" i="21" s="1"/>
  <c r="AA60" i="26"/>
  <c r="AC70" i="12"/>
  <c r="AB21" i="21" s="1"/>
  <c r="AB68" i="26"/>
  <c r="Y63" i="12"/>
  <c r="X14" i="21" s="1"/>
  <c r="X61" i="26"/>
  <c r="W64" i="12"/>
  <c r="V15" i="21" s="1"/>
  <c r="V62" i="26"/>
  <c r="W108" i="26" s="1"/>
  <c r="V65" i="12"/>
  <c r="U16" i="21" s="1"/>
  <c r="U63" i="26"/>
  <c r="V109" i="26" s="1"/>
  <c r="T70" i="12"/>
  <c r="S21" i="21" s="1"/>
  <c r="S68" i="26"/>
  <c r="T114" i="26" s="1"/>
  <c r="Q68" i="12"/>
  <c r="P19" i="21" s="1"/>
  <c r="P66" i="26"/>
  <c r="Q112" i="26" s="1"/>
  <c r="M62" i="12"/>
  <c r="L13" i="21" s="1"/>
  <c r="L60" i="26"/>
  <c r="M106" i="26" s="1"/>
  <c r="H60" i="12"/>
  <c r="G11" i="21" s="1"/>
  <c r="G58" i="26"/>
  <c r="H104" i="26" s="1"/>
  <c r="AG68" i="12"/>
  <c r="AF19" i="21" s="1"/>
  <c r="AF66" i="26"/>
  <c r="AD71" i="12"/>
  <c r="AC22" i="21" s="1"/>
  <c r="AC69" i="26"/>
  <c r="AD65" i="12"/>
  <c r="AC16" i="21" s="1"/>
  <c r="AC63" i="26"/>
  <c r="Y70" i="12"/>
  <c r="X21" i="21" s="1"/>
  <c r="X68" i="26"/>
  <c r="X65" i="12"/>
  <c r="W16" i="21" s="1"/>
  <c r="W63" i="26"/>
  <c r="S66" i="12"/>
  <c r="R17" i="21" s="1"/>
  <c r="R64" i="26"/>
  <c r="S110" i="26" s="1"/>
  <c r="O64" i="12"/>
  <c r="N15" i="21" s="1"/>
  <c r="N62" i="26"/>
  <c r="O108" i="26" s="1"/>
  <c r="M65" i="12"/>
  <c r="L16" i="21" s="1"/>
  <c r="L63" i="26"/>
  <c r="M109" i="26" s="1"/>
  <c r="X66" i="12"/>
  <c r="W17" i="21" s="1"/>
  <c r="W64" i="26"/>
  <c r="X61" i="12"/>
  <c r="W12" i="21" s="1"/>
  <c r="W59" i="26"/>
  <c r="W61" i="12"/>
  <c r="V12" i="21" s="1"/>
  <c r="V59" i="26"/>
  <c r="W105" i="26" s="1"/>
  <c r="V62" i="12"/>
  <c r="U13" i="21" s="1"/>
  <c r="U60" i="26"/>
  <c r="V106" i="26" s="1"/>
  <c r="U66" i="12"/>
  <c r="T17" i="21" s="1"/>
  <c r="T64" i="26"/>
  <c r="U110" i="26" s="1"/>
  <c r="U62" i="12"/>
  <c r="T13" i="21" s="1"/>
  <c r="T60" i="26"/>
  <c r="U106" i="26" s="1"/>
  <c r="U68" i="12"/>
  <c r="T19" i="21" s="1"/>
  <c r="T66" i="26"/>
  <c r="U112" i="26" s="1"/>
  <c r="T64" i="12"/>
  <c r="S15" i="21" s="1"/>
  <c r="S62" i="26"/>
  <c r="T108" i="26" s="1"/>
  <c r="S61" i="12"/>
  <c r="R12" i="21" s="1"/>
  <c r="R59" i="26"/>
  <c r="S105" i="26" s="1"/>
  <c r="Q70" i="12"/>
  <c r="P21" i="21" s="1"/>
  <c r="P68" i="26"/>
  <c r="Q114" i="26" s="1"/>
  <c r="Q71" i="12"/>
  <c r="P22" i="21" s="1"/>
  <c r="P69" i="26"/>
  <c r="Q115" i="26" s="1"/>
  <c r="P70" i="12"/>
  <c r="O21" i="21" s="1"/>
  <c r="O68" i="26"/>
  <c r="P114" i="26" s="1"/>
  <c r="P69" i="12"/>
  <c r="O20" i="21" s="1"/>
  <c r="O67" i="26"/>
  <c r="P113" i="26" s="1"/>
  <c r="P71" i="12"/>
  <c r="O22" i="21" s="1"/>
  <c r="O69" i="26"/>
  <c r="P115" i="26" s="1"/>
  <c r="O63" i="12"/>
  <c r="N14" i="21" s="1"/>
  <c r="N61" i="26"/>
  <c r="O107" i="26" s="1"/>
  <c r="O61" i="12"/>
  <c r="N12" i="21" s="1"/>
  <c r="N59" i="26"/>
  <c r="O105" i="26" s="1"/>
  <c r="O60" i="12"/>
  <c r="N11" i="21" s="1"/>
  <c r="N58" i="26"/>
  <c r="O104" i="26" s="1"/>
  <c r="N63" i="12"/>
  <c r="M14" i="21" s="1"/>
  <c r="M61" i="26"/>
  <c r="N107" i="26" s="1"/>
  <c r="N66" i="12"/>
  <c r="M17" i="21" s="1"/>
  <c r="M64" i="26"/>
  <c r="N110" i="26" s="1"/>
  <c r="N67" i="12"/>
  <c r="M18" i="21" s="1"/>
  <c r="M65" i="26"/>
  <c r="N111" i="26" s="1"/>
  <c r="N65" i="12"/>
  <c r="M16" i="21" s="1"/>
  <c r="M63" i="26"/>
  <c r="N109" i="26" s="1"/>
  <c r="M64" i="12"/>
  <c r="L15" i="21" s="1"/>
  <c r="L62" i="26"/>
  <c r="M108" i="26" s="1"/>
  <c r="L64" i="12"/>
  <c r="K15" i="21" s="1"/>
  <c r="K62" i="26"/>
  <c r="L108" i="26" s="1"/>
  <c r="K64" i="12"/>
  <c r="J15" i="21" s="1"/>
  <c r="J62" i="26"/>
  <c r="K108" i="26" s="1"/>
  <c r="K68" i="12"/>
  <c r="J19" i="21" s="1"/>
  <c r="J66" i="26"/>
  <c r="K112" i="26" s="1"/>
  <c r="K60" i="12"/>
  <c r="J11" i="21" s="1"/>
  <c r="J58" i="26"/>
  <c r="K104" i="26" s="1"/>
  <c r="J68" i="12"/>
  <c r="I19" i="21" s="1"/>
  <c r="I66" i="26"/>
  <c r="J112" i="26" s="1"/>
  <c r="J70" i="12"/>
  <c r="I21" i="21" s="1"/>
  <c r="I68" i="26"/>
  <c r="J114" i="26" s="1"/>
  <c r="J63" i="12"/>
  <c r="I14" i="21" s="1"/>
  <c r="I61" i="26"/>
  <c r="J107" i="26" s="1"/>
  <c r="J61" i="12"/>
  <c r="I12" i="21" s="1"/>
  <c r="I59" i="26"/>
  <c r="J105" i="26" s="1"/>
  <c r="I71" i="12"/>
  <c r="H22" i="21" s="1"/>
  <c r="H69" i="26"/>
  <c r="I115" i="26" s="1"/>
  <c r="H69" i="12"/>
  <c r="G20" i="21" s="1"/>
  <c r="G67" i="26"/>
  <c r="H113" i="26" s="1"/>
  <c r="H64" i="12"/>
  <c r="G15" i="21" s="1"/>
  <c r="G62" i="26"/>
  <c r="H108" i="26" s="1"/>
  <c r="H67" i="12"/>
  <c r="G18" i="21" s="1"/>
  <c r="G65" i="26"/>
  <c r="H111" i="26" s="1"/>
  <c r="AA68" i="12"/>
  <c r="Z19" i="21" s="1"/>
  <c r="Z66" i="26"/>
  <c r="AE63" i="12"/>
  <c r="AD14" i="21" s="1"/>
  <c r="AD61" i="26"/>
  <c r="AD60" i="12"/>
  <c r="AC11" i="21" s="1"/>
  <c r="AC58" i="26"/>
  <c r="AE71" i="12"/>
  <c r="AD22" i="21" s="1"/>
  <c r="AD69" i="26"/>
  <c r="E67" i="12"/>
  <c r="D18" i="21" s="1"/>
  <c r="D65" i="26"/>
  <c r="E111" i="26" s="1"/>
  <c r="AC62" i="12"/>
  <c r="AB13" i="21" s="1"/>
  <c r="AB60" i="26"/>
  <c r="E63" i="12"/>
  <c r="D14" i="21" s="1"/>
  <c r="D61" i="26"/>
  <c r="E107" i="26" s="1"/>
  <c r="AG63" i="12"/>
  <c r="AF14" i="21" s="1"/>
  <c r="AF61" i="26"/>
  <c r="Z62" i="12"/>
  <c r="Y13" i="21" s="1"/>
  <c r="Y60" i="26"/>
  <c r="AC64" i="12"/>
  <c r="AB15" i="21" s="1"/>
  <c r="AB62" i="26"/>
  <c r="F61" i="12"/>
  <c r="E12" i="21" s="1"/>
  <c r="E59" i="26"/>
  <c r="F105" i="26" s="1"/>
  <c r="AD70" i="12"/>
  <c r="AC21" i="21" s="1"/>
  <c r="AC68" i="26"/>
  <c r="AB63" i="12"/>
  <c r="AA14" i="21" s="1"/>
  <c r="AA61" i="26"/>
  <c r="AF65" i="12"/>
  <c r="AE16" i="21" s="1"/>
  <c r="AE63" i="26"/>
  <c r="Z67" i="12"/>
  <c r="Y18" i="21" s="1"/>
  <c r="Y65" i="26"/>
  <c r="AF66" i="12"/>
  <c r="AE17" i="21" s="1"/>
  <c r="AE64" i="26"/>
  <c r="Z69" i="12"/>
  <c r="Y20" i="21" s="1"/>
  <c r="Y67" i="26"/>
  <c r="F65" i="12"/>
  <c r="E16" i="21" s="1"/>
  <c r="E63" i="26"/>
  <c r="F109" i="26" s="1"/>
  <c r="V70" i="12"/>
  <c r="U21" i="21" s="1"/>
  <c r="U68" i="26"/>
  <c r="V114" i="26" s="1"/>
  <c r="T68" i="12"/>
  <c r="S19" i="21" s="1"/>
  <c r="S66" i="26"/>
  <c r="T112" i="26" s="1"/>
  <c r="S62" i="12"/>
  <c r="R13" i="21" s="1"/>
  <c r="R60" i="26"/>
  <c r="S106" i="26" s="1"/>
  <c r="P63" i="12"/>
  <c r="O14" i="21" s="1"/>
  <c r="O61" i="26"/>
  <c r="P107" i="26" s="1"/>
  <c r="L70" i="12"/>
  <c r="K21" i="21" s="1"/>
  <c r="K68" i="26"/>
  <c r="L114" i="26" s="1"/>
  <c r="K62" i="12"/>
  <c r="J13" i="21" s="1"/>
  <c r="J60" i="26"/>
  <c r="K106" i="26" s="1"/>
  <c r="J60" i="12"/>
  <c r="I11" i="21" s="1"/>
  <c r="I58" i="26"/>
  <c r="J104" i="26" s="1"/>
  <c r="AA67" i="12"/>
  <c r="Z18" i="21" s="1"/>
  <c r="Z65" i="26"/>
  <c r="F62" i="12"/>
  <c r="E13" i="21" s="1"/>
  <c r="E60" i="26"/>
  <c r="F106" i="26" s="1"/>
  <c r="AA62" i="12"/>
  <c r="Z13" i="21" s="1"/>
  <c r="Z60" i="26"/>
  <c r="AG61" i="12"/>
  <c r="AF12" i="21" s="1"/>
  <c r="AF59" i="26"/>
  <c r="Y68" i="12"/>
  <c r="X19" i="21" s="1"/>
  <c r="X66" i="26"/>
  <c r="U60" i="12"/>
  <c r="T11" i="21" s="1"/>
  <c r="T58" i="26"/>
  <c r="U104" i="26" s="1"/>
  <c r="T69" i="12"/>
  <c r="S20" i="21" s="1"/>
  <c r="S67" i="26"/>
  <c r="T113" i="26" s="1"/>
  <c r="R62" i="12"/>
  <c r="Q13" i="21" s="1"/>
  <c r="Q60" i="26"/>
  <c r="R106" i="26" s="1"/>
  <c r="Q64" i="12"/>
  <c r="P15" i="21" s="1"/>
  <c r="P62" i="26"/>
  <c r="Q108" i="26" s="1"/>
  <c r="O70" i="12"/>
  <c r="N21" i="21" s="1"/>
  <c r="N68" i="26"/>
  <c r="O114" i="26" s="1"/>
  <c r="M69" i="12"/>
  <c r="L20" i="21" s="1"/>
  <c r="L67" i="26"/>
  <c r="M113" i="26" s="1"/>
  <c r="L63" i="12"/>
  <c r="K14" i="21" s="1"/>
  <c r="K61" i="26"/>
  <c r="L107" i="26" s="1"/>
  <c r="H66" i="12"/>
  <c r="G17" i="21" s="1"/>
  <c r="G64" i="26"/>
  <c r="H110" i="26" s="1"/>
  <c r="G61" i="12"/>
  <c r="F12" i="21" s="1"/>
  <c r="F59" i="26"/>
  <c r="G105" i="26" s="1"/>
  <c r="AD63" i="12"/>
  <c r="AC14" i="21" s="1"/>
  <c r="AC61" i="26"/>
  <c r="F60" i="12"/>
  <c r="E11" i="21" s="1"/>
  <c r="E58" i="26"/>
  <c r="F104" i="26" s="1"/>
  <c r="AC71" i="12"/>
  <c r="AB22" i="21" s="1"/>
  <c r="AB69" i="26"/>
  <c r="AB69" i="12"/>
  <c r="AA20" i="21" s="1"/>
  <c r="AA67" i="26"/>
  <c r="AF63" i="12"/>
  <c r="AE14" i="21" s="1"/>
  <c r="AE61" i="26"/>
  <c r="X70" i="12"/>
  <c r="W21" i="21" s="1"/>
  <c r="W68" i="26"/>
  <c r="X67" i="12"/>
  <c r="W18" i="21" s="1"/>
  <c r="W65" i="26"/>
  <c r="U64" i="12"/>
  <c r="T15" i="21" s="1"/>
  <c r="T62" i="26"/>
  <c r="U108" i="26" s="1"/>
  <c r="P65" i="12"/>
  <c r="O16" i="21" s="1"/>
  <c r="O63" i="26"/>
  <c r="P109" i="26" s="1"/>
  <c r="O71" i="12"/>
  <c r="N22" i="21" s="1"/>
  <c r="N69" i="26"/>
  <c r="O115" i="26" s="1"/>
  <c r="AF60" i="12"/>
  <c r="AE11" i="21" s="1"/>
  <c r="AE58" i="26"/>
  <c r="F70" i="12"/>
  <c r="E21" i="21" s="1"/>
  <c r="E68" i="26"/>
  <c r="F114" i="26" s="1"/>
  <c r="G63" i="12"/>
  <c r="F14" i="21" s="1"/>
  <c r="F61" i="26"/>
  <c r="G107" i="26" s="1"/>
  <c r="E70" i="12"/>
  <c r="D21" i="21" s="1"/>
  <c r="D68" i="26"/>
  <c r="E114" i="26" s="1"/>
  <c r="X64" i="12"/>
  <c r="W15" i="21" s="1"/>
  <c r="W62" i="26"/>
  <c r="W70" i="12"/>
  <c r="V21" i="21" s="1"/>
  <c r="V68" i="26"/>
  <c r="W114" i="26" s="1"/>
  <c r="U63" i="12"/>
  <c r="T14" i="21" s="1"/>
  <c r="T61" i="26"/>
  <c r="U107" i="26" s="1"/>
  <c r="T63" i="12"/>
  <c r="S14" i="21" s="1"/>
  <c r="S61" i="26"/>
  <c r="T107" i="26" s="1"/>
  <c r="S67" i="12"/>
  <c r="R18" i="21" s="1"/>
  <c r="R65" i="26"/>
  <c r="S111" i="26" s="1"/>
  <c r="R69" i="12"/>
  <c r="Q20" i="21" s="1"/>
  <c r="Q67" i="26"/>
  <c r="R113" i="26" s="1"/>
  <c r="Y62" i="12"/>
  <c r="X13" i="21" s="1"/>
  <c r="X60" i="26"/>
  <c r="Y61" i="12"/>
  <c r="X12" i="21" s="1"/>
  <c r="X59" i="26"/>
  <c r="X63" i="12"/>
  <c r="W14" i="21" s="1"/>
  <c r="W61" i="26"/>
  <c r="X71" i="12"/>
  <c r="W22" i="21" s="1"/>
  <c r="W69" i="26"/>
  <c r="W67" i="12"/>
  <c r="V18" i="21" s="1"/>
  <c r="V65" i="26"/>
  <c r="W111" i="26" s="1"/>
  <c r="V71" i="12"/>
  <c r="U22" i="21" s="1"/>
  <c r="U69" i="26"/>
  <c r="V115" i="26" s="1"/>
  <c r="U71" i="12"/>
  <c r="T22" i="21" s="1"/>
  <c r="T69" i="26"/>
  <c r="U115" i="26" s="1"/>
  <c r="T67" i="12"/>
  <c r="S18" i="21" s="1"/>
  <c r="S65" i="26"/>
  <c r="T111" i="26" s="1"/>
  <c r="T65" i="12"/>
  <c r="S16" i="21" s="1"/>
  <c r="S63" i="26"/>
  <c r="T109" i="26" s="1"/>
  <c r="S64" i="12"/>
  <c r="R15" i="21" s="1"/>
  <c r="R62" i="26"/>
  <c r="S108" i="26" s="1"/>
  <c r="S63" i="12"/>
  <c r="R14" i="21" s="1"/>
  <c r="R61" i="26"/>
  <c r="S107" i="26" s="1"/>
  <c r="P61" i="12"/>
  <c r="O12" i="21" s="1"/>
  <c r="O59" i="26"/>
  <c r="P105" i="26" s="1"/>
  <c r="N64" i="12"/>
  <c r="M15" i="21" s="1"/>
  <c r="M62" i="26"/>
  <c r="N108" i="26" s="1"/>
  <c r="M61" i="12"/>
  <c r="L12" i="21" s="1"/>
  <c r="L59" i="26"/>
  <c r="M105" i="26" s="1"/>
  <c r="M63" i="12"/>
  <c r="L14" i="21" s="1"/>
  <c r="L61" i="26"/>
  <c r="M107" i="26" s="1"/>
  <c r="L68" i="12"/>
  <c r="K19" i="21" s="1"/>
  <c r="K66" i="26"/>
  <c r="L112" i="26" s="1"/>
  <c r="L69" i="12"/>
  <c r="K20" i="21" s="1"/>
  <c r="K67" i="26"/>
  <c r="L113" i="26" s="1"/>
  <c r="L71" i="12"/>
  <c r="K22" i="21" s="1"/>
  <c r="K69" i="26"/>
  <c r="L115" i="26" s="1"/>
  <c r="K66" i="12"/>
  <c r="J17" i="21" s="1"/>
  <c r="J64" i="26"/>
  <c r="K110" i="26" s="1"/>
  <c r="H71" i="12"/>
  <c r="G22" i="21" s="1"/>
  <c r="G69" i="26"/>
  <c r="H115" i="26" s="1"/>
  <c r="Z68" i="12"/>
  <c r="Y19" i="21" s="1"/>
  <c r="Y66" i="26"/>
  <c r="AF62" i="12"/>
  <c r="AE13" i="21" s="1"/>
  <c r="AE60" i="26"/>
  <c r="G68" i="12"/>
  <c r="F19" i="21" s="1"/>
  <c r="F66" i="26"/>
  <c r="G112" i="26" s="1"/>
  <c r="G67" i="12"/>
  <c r="F18" i="21" s="1"/>
  <c r="F65" i="26"/>
  <c r="G111" i="26" s="1"/>
  <c r="Z60" i="12"/>
  <c r="Y11" i="21" s="1"/>
  <c r="Y58" i="26"/>
  <c r="AF71" i="12"/>
  <c r="AE22" i="21" s="1"/>
  <c r="AE69" i="26"/>
  <c r="Z64" i="12"/>
  <c r="Y15" i="21" s="1"/>
  <c r="Y62" i="26"/>
  <c r="AD67" i="12"/>
  <c r="AC18" i="21" s="1"/>
  <c r="AC65" i="26"/>
  <c r="AE60" i="12"/>
  <c r="AD11" i="21" s="1"/>
  <c r="AD58" i="26"/>
  <c r="AB61" i="12"/>
  <c r="AA12" i="21" s="1"/>
  <c r="AA59" i="26"/>
  <c r="AA64" i="12"/>
  <c r="Z15" i="21" s="1"/>
  <c r="Z62" i="26"/>
  <c r="G69" i="12"/>
  <c r="F20" i="21" s="1"/>
  <c r="F67" i="26"/>
  <c r="G113" i="26" s="1"/>
  <c r="E61" i="12"/>
  <c r="D12" i="21" s="1"/>
  <c r="D59" i="26"/>
  <c r="E105" i="26" s="1"/>
  <c r="Z63" i="12"/>
  <c r="Y14" i="21" s="1"/>
  <c r="Y61" i="26"/>
  <c r="AG66" i="12"/>
  <c r="AF17" i="21" s="1"/>
  <c r="AF64" i="26"/>
  <c r="AC61" i="12"/>
  <c r="AB12" i="21" s="1"/>
  <c r="AB59" i="26"/>
  <c r="AC68" i="12"/>
  <c r="AB19" i="21" s="1"/>
  <c r="AB66" i="26"/>
  <c r="Y71" i="12"/>
  <c r="X22" i="21" s="1"/>
  <c r="X69" i="26"/>
  <c r="U67" i="12"/>
  <c r="T18" i="21" s="1"/>
  <c r="T65" i="26"/>
  <c r="U111" i="26" s="1"/>
  <c r="S70" i="12"/>
  <c r="R21" i="21" s="1"/>
  <c r="R68" i="26"/>
  <c r="S114" i="26" s="1"/>
  <c r="Z70" i="12"/>
  <c r="Y21" i="21" s="1"/>
  <c r="Y68" i="26"/>
  <c r="AE64" i="12"/>
  <c r="AD15" i="21" s="1"/>
  <c r="AD62" i="26"/>
  <c r="W71" i="12"/>
  <c r="V22" i="21" s="1"/>
  <c r="V69" i="26"/>
  <c r="W115" i="26" s="1"/>
  <c r="V69" i="12"/>
  <c r="U20" i="21" s="1"/>
  <c r="U67" i="26"/>
  <c r="V113" i="26" s="1"/>
  <c r="S65" i="12"/>
  <c r="R16" i="21" s="1"/>
  <c r="R63" i="26"/>
  <c r="S109" i="26" s="1"/>
  <c r="O69" i="12"/>
  <c r="N20" i="21" s="1"/>
  <c r="N67" i="26"/>
  <c r="O113" i="26" s="1"/>
  <c r="I65" i="12"/>
  <c r="H16" i="21" s="1"/>
  <c r="H63" i="26"/>
  <c r="I109" i="26" s="1"/>
  <c r="H62" i="12"/>
  <c r="G13" i="21" s="1"/>
  <c r="G60" i="26"/>
  <c r="H106" i="26" s="1"/>
  <c r="AE62" i="12"/>
  <c r="AD13" i="21" s="1"/>
  <c r="AD60" i="26"/>
  <c r="E65" i="12"/>
  <c r="D16" i="21" s="1"/>
  <c r="D63" i="26"/>
  <c r="E109" i="26" s="1"/>
  <c r="AF69" i="12"/>
  <c r="AE20" i="21" s="1"/>
  <c r="AE67" i="26"/>
  <c r="Y66" i="12"/>
  <c r="X17" i="21" s="1"/>
  <c r="X64" i="26"/>
  <c r="T66" i="12"/>
  <c r="S17" i="21" s="1"/>
  <c r="S64" i="26"/>
  <c r="T110" i="26" s="1"/>
  <c r="R64" i="12"/>
  <c r="Q15" i="21" s="1"/>
  <c r="Q62" i="26"/>
  <c r="R108" i="26" s="1"/>
  <c r="Q66" i="12"/>
  <c r="P17" i="21" s="1"/>
  <c r="P64" i="26"/>
  <c r="Q110" i="26" s="1"/>
  <c r="K65" i="12"/>
  <c r="J16" i="21" s="1"/>
  <c r="J63" i="26"/>
  <c r="K109" i="26" s="1"/>
  <c r="I69" i="12"/>
  <c r="H20" i="21" s="1"/>
  <c r="H67" i="26"/>
  <c r="I113" i="26" s="1"/>
  <c r="I64" i="12"/>
  <c r="H15" i="21" s="1"/>
  <c r="H62" i="26"/>
  <c r="I108" i="26" s="1"/>
  <c r="AA69" i="12"/>
  <c r="Z20" i="21" s="1"/>
  <c r="Z67" i="26"/>
  <c r="G62" i="12"/>
  <c r="F13" i="21" s="1"/>
  <c r="F60" i="26"/>
  <c r="G106" i="26" s="1"/>
  <c r="AB65" i="12"/>
  <c r="AA16" i="21" s="1"/>
  <c r="AA63" i="26"/>
  <c r="W62" i="12"/>
  <c r="V13" i="21" s="1"/>
  <c r="V60" i="26"/>
  <c r="W106" i="26" s="1"/>
  <c r="V66" i="12"/>
  <c r="U17" i="21" s="1"/>
  <c r="U64" i="26"/>
  <c r="V110" i="26" s="1"/>
  <c r="S68" i="12"/>
  <c r="R19" i="21" s="1"/>
  <c r="R66" i="26"/>
  <c r="S112" i="26" s="1"/>
  <c r="R68" i="12"/>
  <c r="Q19" i="21" s="1"/>
  <c r="Q66" i="26"/>
  <c r="R112" i="26" s="1"/>
  <c r="Y64" i="12"/>
  <c r="X15" i="21" s="1"/>
  <c r="X62" i="26"/>
  <c r="X60" i="12"/>
  <c r="W11" i="21" s="1"/>
  <c r="W58" i="26"/>
  <c r="W63" i="12"/>
  <c r="V14" i="21" s="1"/>
  <c r="V61" i="26"/>
  <c r="W107" i="26" s="1"/>
  <c r="V61" i="12"/>
  <c r="U12" i="21" s="1"/>
  <c r="U59" i="26"/>
  <c r="V105" i="26" s="1"/>
  <c r="V68" i="12"/>
  <c r="U19" i="21" s="1"/>
  <c r="U66" i="26"/>
  <c r="V112" i="26" s="1"/>
  <c r="R63" i="12"/>
  <c r="Q14" i="21" s="1"/>
  <c r="Q61" i="26"/>
  <c r="R107" i="26" s="1"/>
  <c r="R66" i="12"/>
  <c r="Q17" i="21" s="1"/>
  <c r="Q64" i="26"/>
  <c r="R110" i="26" s="1"/>
  <c r="R61" i="12"/>
  <c r="Q12" i="21" s="1"/>
  <c r="Q59" i="26"/>
  <c r="R105" i="26" s="1"/>
  <c r="Q69" i="12"/>
  <c r="P20" i="21" s="1"/>
  <c r="P67" i="26"/>
  <c r="Q113" i="26" s="1"/>
  <c r="O65" i="12"/>
  <c r="N16" i="21" s="1"/>
  <c r="N63" i="26"/>
  <c r="O109" i="26" s="1"/>
  <c r="O62" i="12"/>
  <c r="N13" i="21" s="1"/>
  <c r="N60" i="26"/>
  <c r="O106" i="26" s="1"/>
  <c r="N69" i="12"/>
  <c r="M20" i="21" s="1"/>
  <c r="M67" i="26"/>
  <c r="N113" i="26" s="1"/>
  <c r="N71" i="12"/>
  <c r="M22" i="21" s="1"/>
  <c r="M69" i="26"/>
  <c r="N115" i="26" s="1"/>
  <c r="N70" i="12"/>
  <c r="M21" i="21" s="1"/>
  <c r="M68" i="26"/>
  <c r="N114" i="26" s="1"/>
  <c r="M66" i="12"/>
  <c r="L17" i="21" s="1"/>
  <c r="L64" i="26"/>
  <c r="M110" i="26" s="1"/>
  <c r="L66" i="12"/>
  <c r="K17" i="21" s="1"/>
  <c r="K64" i="26"/>
  <c r="L110" i="26" s="1"/>
  <c r="L60" i="12"/>
  <c r="K11" i="21" s="1"/>
  <c r="K58" i="26"/>
  <c r="L104" i="26" s="1"/>
  <c r="K71" i="12"/>
  <c r="J22" i="21" s="1"/>
  <c r="J69" i="26"/>
  <c r="K115" i="26" s="1"/>
  <c r="K61" i="12"/>
  <c r="J12" i="21" s="1"/>
  <c r="J59" i="26"/>
  <c r="K105" i="26" s="1"/>
  <c r="J65" i="12"/>
  <c r="I16" i="21" s="1"/>
  <c r="I63" i="26"/>
  <c r="J109" i="26" s="1"/>
  <c r="J66" i="12"/>
  <c r="I17" i="21" s="1"/>
  <c r="I64" i="26"/>
  <c r="J110" i="26" s="1"/>
  <c r="J64" i="12"/>
  <c r="I15" i="21" s="1"/>
  <c r="I62" i="26"/>
  <c r="J108" i="26" s="1"/>
  <c r="I68" i="12"/>
  <c r="H19" i="21" s="1"/>
  <c r="H66" i="26"/>
  <c r="I112" i="26" s="1"/>
  <c r="H61" i="12"/>
  <c r="G12" i="21" s="1"/>
  <c r="G59" i="26"/>
  <c r="H105" i="26" s="1"/>
  <c r="AA66" i="12"/>
  <c r="Z17" i="21" s="1"/>
  <c r="Z64" i="26"/>
  <c r="Z71" i="12"/>
  <c r="Y22" i="21" s="1"/>
  <c r="Y69" i="26"/>
  <c r="AG67" i="12"/>
  <c r="AF18" i="21" s="1"/>
  <c r="AF65" i="26"/>
  <c r="AG69" i="12"/>
  <c r="AF20" i="21" s="1"/>
  <c r="AF67" i="26"/>
  <c r="AA71" i="12"/>
  <c r="Z22" i="21" s="1"/>
  <c r="Z69" i="26"/>
  <c r="AG64" i="12"/>
  <c r="AF15" i="21" s="1"/>
  <c r="AF62" i="26"/>
  <c r="G65" i="12"/>
  <c r="F16" i="21" s="1"/>
  <c r="F63" i="26"/>
  <c r="G109" i="26" s="1"/>
  <c r="AC69" i="12"/>
  <c r="AB20" i="21" s="1"/>
  <c r="AB67" i="26"/>
  <c r="F67" i="12"/>
  <c r="E18" i="21" s="1"/>
  <c r="E65" i="26"/>
  <c r="F111" i="26" s="1"/>
  <c r="AE67" i="12"/>
  <c r="AD18" i="21" s="1"/>
  <c r="AD65" i="26"/>
  <c r="AG65" i="12"/>
  <c r="AF16" i="21" s="1"/>
  <c r="AF63" i="26"/>
  <c r="AB60" i="12"/>
  <c r="AA11" i="21" s="1"/>
  <c r="AA58" i="26"/>
  <c r="E66" i="12"/>
  <c r="D17" i="21" s="1"/>
  <c r="D64" i="26"/>
  <c r="E110" i="26" s="1"/>
  <c r="X68" i="12"/>
  <c r="W19" i="21" s="1"/>
  <c r="W66" i="26"/>
  <c r="V63" i="12"/>
  <c r="U14" i="21" s="1"/>
  <c r="U61" i="26"/>
  <c r="V107" i="26" s="1"/>
  <c r="T61" i="12"/>
  <c r="S12" i="21" s="1"/>
  <c r="S59" i="26"/>
  <c r="T105" i="26" s="1"/>
  <c r="R71" i="12"/>
  <c r="Q22" i="21" s="1"/>
  <c r="Q69" i="26"/>
  <c r="R115" i="26" s="1"/>
  <c r="Q60" i="12"/>
  <c r="P11" i="21" s="1"/>
  <c r="P58" i="26"/>
  <c r="Q104" i="26" s="1"/>
  <c r="L67" i="12"/>
  <c r="K18" i="21" s="1"/>
  <c r="K65" i="26"/>
  <c r="L111" i="26" s="1"/>
  <c r="K70" i="12"/>
  <c r="J21" i="21" s="1"/>
  <c r="J68" i="26"/>
  <c r="K114" i="26" s="1"/>
  <c r="I63" i="12"/>
  <c r="H14" i="21" s="1"/>
  <c r="H61" i="26"/>
  <c r="I107" i="26" s="1"/>
  <c r="H63" i="12"/>
  <c r="G14" i="21" s="1"/>
  <c r="G61" i="26"/>
  <c r="H107" i="26" s="1"/>
  <c r="AC67" i="12"/>
  <c r="AB18" i="21" s="1"/>
  <c r="AB65" i="26"/>
  <c r="AD69" i="12"/>
  <c r="AC20" i="21" s="1"/>
  <c r="AC67" i="26"/>
  <c r="AB70" i="12"/>
  <c r="AA21" i="21" s="1"/>
  <c r="AA68" i="26"/>
  <c r="E60" i="12"/>
  <c r="D11" i="21" s="1"/>
  <c r="D58" i="26"/>
  <c r="E104" i="26" s="1"/>
  <c r="W60" i="12"/>
  <c r="V11" i="21" s="1"/>
  <c r="V58" i="26"/>
  <c r="W104" i="26" s="1"/>
  <c r="V64" i="12"/>
  <c r="U15" i="21" s="1"/>
  <c r="U62" i="26"/>
  <c r="V108" i="26" s="1"/>
  <c r="S60" i="12"/>
  <c r="R11" i="21" s="1"/>
  <c r="R58" i="26"/>
  <c r="S104" i="26" s="1"/>
  <c r="O68" i="12"/>
  <c r="N19" i="21" s="1"/>
  <c r="N66" i="26"/>
  <c r="O112" i="26" s="1"/>
  <c r="E64" i="12"/>
  <c r="D15" i="21" s="1"/>
  <c r="D62" i="26"/>
  <c r="E108" i="26" s="1"/>
  <c r="AG60" i="12"/>
  <c r="AF11" i="21" s="1"/>
  <c r="AF58" i="26"/>
  <c r="G71" i="12"/>
  <c r="F22" i="21" s="1"/>
  <c r="F69" i="26"/>
  <c r="G115" i="26" s="1"/>
  <c r="S69" i="12"/>
  <c r="R20" i="21" s="1"/>
  <c r="R67" i="26"/>
  <c r="S113" i="26" s="1"/>
  <c r="R60" i="12"/>
  <c r="Q11" i="21" s="1"/>
  <c r="Q58" i="26"/>
  <c r="R104" i="26" s="1"/>
  <c r="P62" i="12"/>
  <c r="O13" i="21" s="1"/>
  <c r="O60" i="26"/>
  <c r="P106" i="26" s="1"/>
  <c r="N61" i="12"/>
  <c r="M12" i="21" s="1"/>
  <c r="M59" i="26"/>
  <c r="N105" i="26" s="1"/>
  <c r="M67" i="12"/>
  <c r="L18" i="21" s="1"/>
  <c r="L65" i="26"/>
  <c r="M111" i="26" s="1"/>
  <c r="AE69" i="12"/>
  <c r="AD20" i="21" s="1"/>
  <c r="AD67" i="26"/>
  <c r="W65" i="12"/>
  <c r="V16" i="21" s="1"/>
  <c r="V63" i="26"/>
  <c r="W109" i="26" s="1"/>
  <c r="T62" i="12"/>
  <c r="S13" i="21" s="1"/>
  <c r="S60" i="26"/>
  <c r="T106" i="26" s="1"/>
  <c r="Y60" i="12"/>
  <c r="X11" i="21" s="1"/>
  <c r="X58" i="26"/>
  <c r="Y67" i="12"/>
  <c r="X18" i="21" s="1"/>
  <c r="X65" i="26"/>
  <c r="X62" i="12"/>
  <c r="W13" i="21" s="1"/>
  <c r="W60" i="26"/>
  <c r="W69" i="12"/>
  <c r="V20" i="21" s="1"/>
  <c r="V67" i="26"/>
  <c r="W113" i="26" s="1"/>
  <c r="W66" i="12"/>
  <c r="V17" i="21" s="1"/>
  <c r="V64" i="26"/>
  <c r="W110" i="26" s="1"/>
  <c r="V67" i="12"/>
  <c r="U18" i="21" s="1"/>
  <c r="U65" i="26"/>
  <c r="V111" i="26" s="1"/>
  <c r="U70" i="12"/>
  <c r="T21" i="21" s="1"/>
  <c r="T68" i="26"/>
  <c r="U114" i="26" s="1"/>
  <c r="T60" i="12"/>
  <c r="S11" i="21" s="1"/>
  <c r="S58" i="26"/>
  <c r="T104" i="26" s="1"/>
  <c r="R70" i="12"/>
  <c r="Q21" i="21" s="1"/>
  <c r="Q68" i="26"/>
  <c r="R114" i="26" s="1"/>
  <c r="Q61" i="12"/>
  <c r="P12" i="21" s="1"/>
  <c r="P59" i="26"/>
  <c r="Q105" i="26" s="1"/>
  <c r="Q62" i="12"/>
  <c r="P13" i="21" s="1"/>
  <c r="P60" i="26"/>
  <c r="Q106" i="26" s="1"/>
  <c r="Q63" i="12"/>
  <c r="P14" i="21" s="1"/>
  <c r="P61" i="26"/>
  <c r="Q107" i="26" s="1"/>
  <c r="P60" i="12"/>
  <c r="O11" i="21" s="1"/>
  <c r="O58" i="26"/>
  <c r="P104" i="26" s="1"/>
  <c r="P67" i="12"/>
  <c r="O18" i="21" s="1"/>
  <c r="O65" i="26"/>
  <c r="P111" i="26" s="1"/>
  <c r="O66" i="12"/>
  <c r="N17" i="21" s="1"/>
  <c r="N64" i="26"/>
  <c r="O110" i="26" s="1"/>
  <c r="N60" i="12"/>
  <c r="M11" i="21" s="1"/>
  <c r="M58" i="26"/>
  <c r="N104" i="26" s="1"/>
  <c r="M71" i="12"/>
  <c r="L22" i="21" s="1"/>
  <c r="L69" i="26"/>
  <c r="M115" i="26" s="1"/>
  <c r="M60" i="12"/>
  <c r="L11" i="21" s="1"/>
  <c r="L58" i="26"/>
  <c r="M104" i="26" s="1"/>
  <c r="L65" i="12"/>
  <c r="K16" i="21" s="1"/>
  <c r="K63" i="26"/>
  <c r="L109" i="26" s="1"/>
  <c r="L61" i="12"/>
  <c r="K12" i="21" s="1"/>
  <c r="K59" i="26"/>
  <c r="L105" i="26" s="1"/>
  <c r="K69" i="12"/>
  <c r="J20" i="21" s="1"/>
  <c r="J67" i="26"/>
  <c r="K113" i="26" s="1"/>
  <c r="K63" i="12"/>
  <c r="J14" i="21" s="1"/>
  <c r="J61" i="26"/>
  <c r="K107" i="26" s="1"/>
  <c r="J71" i="12"/>
  <c r="I22" i="21" s="1"/>
  <c r="I69" i="26"/>
  <c r="J115" i="26" s="1"/>
  <c r="J62" i="12"/>
  <c r="I13" i="21" s="1"/>
  <c r="I60" i="26"/>
  <c r="J106" i="26" s="1"/>
  <c r="I61" i="12"/>
  <c r="H12" i="21" s="1"/>
  <c r="H59" i="26"/>
  <c r="I105" i="26" s="1"/>
  <c r="I60" i="12"/>
  <c r="H11" i="21" s="1"/>
  <c r="H58" i="26"/>
  <c r="I104" i="26" s="1"/>
  <c r="I62" i="12"/>
  <c r="H13" i="21" s="1"/>
  <c r="H60" i="26"/>
  <c r="I106" i="26" s="1"/>
  <c r="H70" i="12"/>
  <c r="G21" i="21" s="1"/>
  <c r="G68" i="26"/>
  <c r="H114" i="26" s="1"/>
  <c r="H65" i="12"/>
  <c r="G16" i="21" s="1"/>
  <c r="G63" i="26"/>
  <c r="H109" i="26" s="1"/>
  <c r="AG62" i="12"/>
  <c r="AF13" i="21" s="1"/>
  <c r="AF60" i="26"/>
  <c r="AC65" i="12"/>
  <c r="AB16" i="21" s="1"/>
  <c r="AB63" i="26"/>
  <c r="AD64" i="12"/>
  <c r="AC15" i="21" s="1"/>
  <c r="AC62" i="26"/>
  <c r="AE65" i="12"/>
  <c r="AD16" i="21" s="1"/>
  <c r="AD63" i="26"/>
  <c r="AD68" i="12"/>
  <c r="AC19" i="21" s="1"/>
  <c r="AC66" i="26"/>
  <c r="AE70" i="12"/>
  <c r="AD21" i="21" s="1"/>
  <c r="AD68" i="26"/>
  <c r="AB66" i="12"/>
  <c r="AA17" i="21" s="1"/>
  <c r="AA64" i="26"/>
  <c r="F66" i="12"/>
  <c r="E17" i="21" s="1"/>
  <c r="E64" i="26"/>
  <c r="F110" i="26" s="1"/>
  <c r="AG71" i="12"/>
  <c r="AF22" i="21" s="1"/>
  <c r="AF69" i="26"/>
  <c r="E71" i="12"/>
  <c r="D22" i="21" s="1"/>
  <c r="D69" i="26"/>
  <c r="E115" i="26" s="1"/>
  <c r="AD66" i="12"/>
  <c r="AC17" i="21" s="1"/>
  <c r="AC64" i="26"/>
  <c r="AB71" i="12"/>
  <c r="AA22" i="21" s="1"/>
  <c r="AA69" i="26"/>
  <c r="Z65" i="12"/>
  <c r="Y16" i="21" s="1"/>
  <c r="Y63" i="26"/>
  <c r="AF67" i="12"/>
  <c r="AE18" i="21" s="1"/>
  <c r="AE65" i="26"/>
  <c r="G66" i="12"/>
  <c r="F17" i="21" s="1"/>
  <c r="F64" i="26"/>
  <c r="G110" i="26" s="1"/>
  <c r="AB68" i="12"/>
  <c r="AA19" i="21" s="1"/>
  <c r="AA66" i="26"/>
  <c r="D67" i="12"/>
  <c r="C18" i="21" s="1"/>
  <c r="C65" i="26"/>
  <c r="D111" i="26" s="1"/>
  <c r="D63" i="12"/>
  <c r="C14" i="21" s="1"/>
  <c r="C61" i="26"/>
  <c r="D107" i="26" s="1"/>
  <c r="D62" i="12"/>
  <c r="C13" i="21" s="1"/>
  <c r="C60" i="26"/>
  <c r="D106" i="26" s="1"/>
  <c r="D71" i="12"/>
  <c r="C22" i="21" s="1"/>
  <c r="C69" i="26"/>
  <c r="D115" i="26" s="1"/>
  <c r="D65" i="12"/>
  <c r="C16" i="21" s="1"/>
  <c r="C63" i="26"/>
  <c r="D109" i="26" s="1"/>
  <c r="D66" i="12"/>
  <c r="C17" i="21" s="1"/>
  <c r="C64" i="26"/>
  <c r="D110" i="26" s="1"/>
  <c r="D61" i="12"/>
  <c r="C12" i="21" s="1"/>
  <c r="C59" i="26"/>
  <c r="D105" i="26" s="1"/>
  <c r="D69" i="12"/>
  <c r="C20" i="21" s="1"/>
  <c r="C67" i="26"/>
  <c r="D113" i="26" s="1"/>
  <c r="D64" i="12"/>
  <c r="C15" i="21" s="1"/>
  <c r="C62" i="26"/>
  <c r="D108" i="26" s="1"/>
  <c r="D68" i="12"/>
  <c r="C19" i="21" s="1"/>
  <c r="C66" i="26"/>
  <c r="D112" i="26" s="1"/>
  <c r="D70" i="12"/>
  <c r="C21" i="21" s="1"/>
  <c r="C68" i="26"/>
  <c r="D114" i="26" s="1"/>
  <c r="Y52" i="12"/>
  <c r="X20" i="2" s="1"/>
  <c r="X54" i="26"/>
  <c r="T44" i="12"/>
  <c r="S12" i="2" s="1"/>
  <c r="S46" i="26"/>
  <c r="R49" i="12"/>
  <c r="Q17" i="2" s="1"/>
  <c r="Q51" i="26"/>
  <c r="Y47" i="12"/>
  <c r="X15" i="2" s="1"/>
  <c r="X49" i="26"/>
  <c r="V47" i="12"/>
  <c r="U15" i="2" s="1"/>
  <c r="U49" i="26"/>
  <c r="U45" i="12"/>
  <c r="T13" i="2" s="1"/>
  <c r="T47" i="26"/>
  <c r="T48" i="12"/>
  <c r="S16" i="2" s="1"/>
  <c r="S50" i="26"/>
  <c r="R46" i="12"/>
  <c r="Q14" i="2" s="1"/>
  <c r="Q48" i="26"/>
  <c r="P47" i="12"/>
  <c r="O15" i="2" s="1"/>
  <c r="O49" i="26"/>
  <c r="AG53" i="12"/>
  <c r="AF21" i="2" s="1"/>
  <c r="AF55" i="26"/>
  <c r="AF49" i="12"/>
  <c r="AE17" i="2" s="1"/>
  <c r="AE51" i="26"/>
  <c r="L43" i="12"/>
  <c r="K11" i="2" s="1"/>
  <c r="K45" i="26"/>
  <c r="Z50" i="12"/>
  <c r="Y18" i="2" s="1"/>
  <c r="Y52" i="26"/>
  <c r="U49" i="12"/>
  <c r="T17" i="2" s="1"/>
  <c r="T51" i="26"/>
  <c r="R52" i="12"/>
  <c r="Q20" i="2" s="1"/>
  <c r="Q54" i="26"/>
  <c r="Q43" i="12"/>
  <c r="P11" i="2" s="1"/>
  <c r="P45" i="26"/>
  <c r="O43" i="12"/>
  <c r="N11" i="2" s="1"/>
  <c r="N45" i="26"/>
  <c r="AF45" i="12"/>
  <c r="AE13" i="2" s="1"/>
  <c r="AE47" i="26"/>
  <c r="M47" i="12"/>
  <c r="L15" i="2" s="1"/>
  <c r="L49" i="26"/>
  <c r="M50" i="12"/>
  <c r="L18" i="2" s="1"/>
  <c r="L52" i="26"/>
  <c r="AE54" i="12"/>
  <c r="AD22" i="2" s="1"/>
  <c r="AD56" i="26"/>
  <c r="AD52" i="12"/>
  <c r="AC20" i="2" s="1"/>
  <c r="AC54" i="26"/>
  <c r="L47" i="12"/>
  <c r="K15" i="2" s="1"/>
  <c r="K49" i="26"/>
  <c r="AD53" i="12"/>
  <c r="AC21" i="2" s="1"/>
  <c r="AC55" i="26"/>
  <c r="L44" i="12"/>
  <c r="K12" i="2" s="1"/>
  <c r="K46" i="26"/>
  <c r="K52" i="12"/>
  <c r="J20" i="2" s="1"/>
  <c r="J54" i="26"/>
  <c r="K43" i="12"/>
  <c r="J11" i="2" s="1"/>
  <c r="J45" i="26"/>
  <c r="J46" i="12"/>
  <c r="I14" i="2" s="1"/>
  <c r="I48" i="26"/>
  <c r="J49" i="12"/>
  <c r="I17" i="2" s="1"/>
  <c r="I51" i="26"/>
  <c r="AB44" i="12"/>
  <c r="AA12" i="2" s="1"/>
  <c r="AA46" i="26"/>
  <c r="AB48" i="12"/>
  <c r="AA16" i="2" s="1"/>
  <c r="AA50" i="26"/>
  <c r="J54" i="12"/>
  <c r="I22" i="2" s="1"/>
  <c r="I56" i="26"/>
  <c r="I46" i="12"/>
  <c r="H14" i="2" s="1"/>
  <c r="H48" i="26"/>
  <c r="I48" i="12"/>
  <c r="H16" i="2" s="1"/>
  <c r="H50" i="26"/>
  <c r="AA52" i="12"/>
  <c r="Z20" i="2" s="1"/>
  <c r="Z54" i="26"/>
  <c r="AA53" i="12"/>
  <c r="Z21" i="2" s="1"/>
  <c r="Z55" i="26"/>
  <c r="Z47" i="12"/>
  <c r="Y15" i="2" s="1"/>
  <c r="Y49" i="26"/>
  <c r="Z44" i="12"/>
  <c r="Y12" i="2" s="1"/>
  <c r="Y46" i="26"/>
  <c r="Z46" i="12"/>
  <c r="Y14" i="2" s="1"/>
  <c r="Y48" i="26"/>
  <c r="Z43" i="12"/>
  <c r="Y11" i="2" s="1"/>
  <c r="Y45" i="26"/>
  <c r="F52" i="12"/>
  <c r="E20" i="2" s="1"/>
  <c r="E54" i="26"/>
  <c r="F49" i="12"/>
  <c r="E17" i="2" s="1"/>
  <c r="E51" i="26"/>
  <c r="E52" i="12"/>
  <c r="D20" i="2" s="1"/>
  <c r="D54" i="26"/>
  <c r="W49" i="12"/>
  <c r="V17" i="2" s="1"/>
  <c r="V51" i="26"/>
  <c r="V48" i="12"/>
  <c r="U16" i="2" s="1"/>
  <c r="U50" i="26"/>
  <c r="S46" i="12"/>
  <c r="R14" i="2" s="1"/>
  <c r="R48" i="26"/>
  <c r="U44" i="12"/>
  <c r="T12" i="2" s="1"/>
  <c r="T46" i="26"/>
  <c r="S52" i="12"/>
  <c r="R20" i="2" s="1"/>
  <c r="R54" i="26"/>
  <c r="O50" i="12"/>
  <c r="N18" i="2" s="1"/>
  <c r="N52" i="26"/>
  <c r="X47" i="12"/>
  <c r="W15" i="2" s="1"/>
  <c r="W49" i="26"/>
  <c r="X54" i="12"/>
  <c r="W22" i="2" s="1"/>
  <c r="W56" i="26"/>
  <c r="Q49" i="12"/>
  <c r="P17" i="2" s="1"/>
  <c r="P51" i="26"/>
  <c r="N44" i="12"/>
  <c r="M12" i="2" s="1"/>
  <c r="M46" i="26"/>
  <c r="AE47" i="12"/>
  <c r="AD15" i="2" s="1"/>
  <c r="AD49" i="26"/>
  <c r="L49" i="12"/>
  <c r="K17" i="2" s="1"/>
  <c r="K51" i="26"/>
  <c r="AB51" i="12"/>
  <c r="AA19" i="2" s="1"/>
  <c r="AA53" i="26"/>
  <c r="J52" i="12"/>
  <c r="I20" i="2" s="1"/>
  <c r="I54" i="26"/>
  <c r="G45" i="12"/>
  <c r="F13" i="2" s="1"/>
  <c r="F47" i="26"/>
  <c r="Y44" i="12"/>
  <c r="X12" i="2" s="1"/>
  <c r="X46" i="26"/>
  <c r="X51" i="12"/>
  <c r="W19" i="2" s="1"/>
  <c r="W53" i="26"/>
  <c r="T53" i="12"/>
  <c r="S21" i="2" s="1"/>
  <c r="S55" i="26"/>
  <c r="P43" i="12"/>
  <c r="O11" i="2" s="1"/>
  <c r="O45" i="26"/>
  <c r="N43" i="12"/>
  <c r="M11" i="2" s="1"/>
  <c r="M45" i="26"/>
  <c r="W47" i="12"/>
  <c r="V15" i="2" s="1"/>
  <c r="V49" i="26"/>
  <c r="W54" i="12"/>
  <c r="V22" i="2" s="1"/>
  <c r="V56" i="26"/>
  <c r="V52" i="12"/>
  <c r="U20" i="2" s="1"/>
  <c r="U54" i="26"/>
  <c r="X46" i="12"/>
  <c r="W14" i="2" s="1"/>
  <c r="W48" i="26"/>
  <c r="X49" i="12"/>
  <c r="W17" i="2" s="1"/>
  <c r="W51" i="26"/>
  <c r="X45" i="12"/>
  <c r="W13" i="2" s="1"/>
  <c r="W47" i="26"/>
  <c r="U53" i="12"/>
  <c r="T21" i="2" s="1"/>
  <c r="T55" i="26"/>
  <c r="U52" i="12"/>
  <c r="T20" i="2" s="1"/>
  <c r="T54" i="26"/>
  <c r="T52" i="12"/>
  <c r="S20" i="2" s="1"/>
  <c r="S54" i="26"/>
  <c r="T54" i="12"/>
  <c r="S22" i="2" s="1"/>
  <c r="S56" i="26"/>
  <c r="S51" i="12"/>
  <c r="R19" i="2" s="1"/>
  <c r="R53" i="26"/>
  <c r="R44" i="12"/>
  <c r="Q12" i="2" s="1"/>
  <c r="Q46" i="26"/>
  <c r="Q48" i="12"/>
  <c r="P16" i="2" s="1"/>
  <c r="P50" i="26"/>
  <c r="O45" i="12"/>
  <c r="N13" i="2" s="1"/>
  <c r="N47" i="26"/>
  <c r="AG49" i="12"/>
  <c r="AF17" i="2" s="1"/>
  <c r="AF51" i="26"/>
  <c r="N46" i="12"/>
  <c r="M14" i="2" s="1"/>
  <c r="M48" i="26"/>
  <c r="AF46" i="12"/>
  <c r="AE14" i="2" s="1"/>
  <c r="AE48" i="26"/>
  <c r="N50" i="12"/>
  <c r="M18" i="2" s="1"/>
  <c r="M52" i="26"/>
  <c r="AF47" i="12"/>
  <c r="AE15" i="2" s="1"/>
  <c r="AE49" i="26"/>
  <c r="M48" i="12"/>
  <c r="L16" i="2" s="1"/>
  <c r="L50" i="26"/>
  <c r="M53" i="12"/>
  <c r="L21" i="2" s="1"/>
  <c r="L55" i="26"/>
  <c r="AE44" i="12"/>
  <c r="AD12" i="2" s="1"/>
  <c r="AD46" i="26"/>
  <c r="AD43" i="12"/>
  <c r="AC11" i="2" s="1"/>
  <c r="AC45" i="26"/>
  <c r="L45" i="12"/>
  <c r="K13" i="2" s="1"/>
  <c r="K47" i="26"/>
  <c r="AC51" i="12"/>
  <c r="AB19" i="2" s="1"/>
  <c r="AB53" i="26"/>
  <c r="K50" i="12"/>
  <c r="J18" i="2" s="1"/>
  <c r="J52" i="26"/>
  <c r="AC50" i="12"/>
  <c r="AB18" i="2" s="1"/>
  <c r="AB52" i="26"/>
  <c r="AC54" i="12"/>
  <c r="AB22" i="2" s="1"/>
  <c r="AB56" i="26"/>
  <c r="J50" i="12"/>
  <c r="I18" i="2" s="1"/>
  <c r="I52" i="26"/>
  <c r="AB50" i="12"/>
  <c r="AA18" i="2" s="1"/>
  <c r="AA52" i="26"/>
  <c r="J47" i="12"/>
  <c r="I15" i="2" s="1"/>
  <c r="I49" i="26"/>
  <c r="AB46" i="12"/>
  <c r="AA14" i="2" s="1"/>
  <c r="AA48" i="26"/>
  <c r="I53" i="12"/>
  <c r="H21" i="2" s="1"/>
  <c r="H55" i="26"/>
  <c r="I52" i="12"/>
  <c r="H20" i="2" s="1"/>
  <c r="H54" i="26"/>
  <c r="I51" i="12"/>
  <c r="H19" i="2" s="1"/>
  <c r="H53" i="26"/>
  <c r="AA49" i="12"/>
  <c r="Z17" i="2" s="1"/>
  <c r="Z51" i="26"/>
  <c r="Z45" i="12"/>
  <c r="Y13" i="2" s="1"/>
  <c r="Y47" i="26"/>
  <c r="Z51" i="12"/>
  <c r="Y19" i="2" s="1"/>
  <c r="Y53" i="26"/>
  <c r="Z52" i="12"/>
  <c r="Y20" i="2" s="1"/>
  <c r="Y54" i="26"/>
  <c r="G44" i="12"/>
  <c r="F12" i="2" s="1"/>
  <c r="F46" i="26"/>
  <c r="G47" i="12"/>
  <c r="F15" i="2" s="1"/>
  <c r="F49" i="26"/>
  <c r="F44" i="12"/>
  <c r="E12" i="2" s="1"/>
  <c r="E46" i="26"/>
  <c r="E46" i="12"/>
  <c r="D14" i="2" s="1"/>
  <c r="D48" i="26"/>
  <c r="E43" i="12"/>
  <c r="D11" i="2" s="1"/>
  <c r="D45" i="26"/>
  <c r="W44" i="12"/>
  <c r="V12" i="2" s="1"/>
  <c r="V46" i="26"/>
  <c r="V53" i="12"/>
  <c r="U21" i="2" s="1"/>
  <c r="U55" i="26"/>
  <c r="T50" i="12"/>
  <c r="S18" i="2" s="1"/>
  <c r="S52" i="26"/>
  <c r="S53" i="12"/>
  <c r="R21" i="2" s="1"/>
  <c r="R55" i="26"/>
  <c r="X43" i="12"/>
  <c r="W11" i="2" s="1"/>
  <c r="W45" i="26"/>
  <c r="T47" i="12"/>
  <c r="S15" i="2" s="1"/>
  <c r="S49" i="26"/>
  <c r="R47" i="12"/>
  <c r="Q15" i="2" s="1"/>
  <c r="Q49" i="26"/>
  <c r="AG52" i="12"/>
  <c r="AF20" i="2" s="1"/>
  <c r="AF54" i="26"/>
  <c r="W48" i="12"/>
  <c r="V16" i="2" s="1"/>
  <c r="V50" i="26"/>
  <c r="V46" i="12"/>
  <c r="U14" i="2" s="1"/>
  <c r="U48" i="26"/>
  <c r="AF48" i="12"/>
  <c r="AE16" i="2" s="1"/>
  <c r="AE50" i="26"/>
  <c r="M44" i="12"/>
  <c r="L12" i="2" s="1"/>
  <c r="L46" i="26"/>
  <c r="L50" i="12"/>
  <c r="K18" i="2" s="1"/>
  <c r="K52" i="26"/>
  <c r="K45" i="12"/>
  <c r="J13" i="2" s="1"/>
  <c r="J47" i="26"/>
  <c r="F50" i="12"/>
  <c r="E18" i="2" s="1"/>
  <c r="E52" i="26"/>
  <c r="W51" i="12"/>
  <c r="V19" i="2" s="1"/>
  <c r="V53" i="26"/>
  <c r="V45" i="12"/>
  <c r="U13" i="2" s="1"/>
  <c r="U47" i="26"/>
  <c r="S50" i="12"/>
  <c r="R18" i="2" s="1"/>
  <c r="R52" i="26"/>
  <c r="AG47" i="12"/>
  <c r="AF15" i="2" s="1"/>
  <c r="AF49" i="26"/>
  <c r="W50" i="12"/>
  <c r="V18" i="2" s="1"/>
  <c r="V52" i="26"/>
  <c r="W52" i="12"/>
  <c r="V20" i="2" s="1"/>
  <c r="V54" i="26"/>
  <c r="Y46" i="12"/>
  <c r="X14" i="2" s="1"/>
  <c r="X48" i="26"/>
  <c r="V50" i="12"/>
  <c r="U18" i="2" s="1"/>
  <c r="U52" i="26"/>
  <c r="U43" i="12"/>
  <c r="T11" i="2" s="1"/>
  <c r="T45" i="26"/>
  <c r="U54" i="12"/>
  <c r="T22" i="2" s="1"/>
  <c r="T56" i="26"/>
  <c r="T43" i="12"/>
  <c r="S11" i="2" s="1"/>
  <c r="S45" i="26"/>
  <c r="T46" i="12"/>
  <c r="S14" i="2" s="1"/>
  <c r="S48" i="26"/>
  <c r="S44" i="12"/>
  <c r="R12" i="2" s="1"/>
  <c r="R46" i="26"/>
  <c r="P46" i="12"/>
  <c r="O14" i="2" s="1"/>
  <c r="O48" i="26"/>
  <c r="P44" i="12"/>
  <c r="O12" i="2" s="1"/>
  <c r="O46" i="26"/>
  <c r="P54" i="12"/>
  <c r="O22" i="2" s="1"/>
  <c r="O56" i="26"/>
  <c r="AG44" i="12"/>
  <c r="AF12" i="2" s="1"/>
  <c r="AF46" i="26"/>
  <c r="O49" i="12"/>
  <c r="N17" i="2" s="1"/>
  <c r="N51" i="26"/>
  <c r="AG51" i="12"/>
  <c r="AF19" i="2" s="1"/>
  <c r="AF53" i="26"/>
  <c r="O47" i="12"/>
  <c r="N15" i="2" s="1"/>
  <c r="N49" i="26"/>
  <c r="O44" i="12"/>
  <c r="N12" i="2" s="1"/>
  <c r="N46" i="26"/>
  <c r="N51" i="12"/>
  <c r="M19" i="2" s="1"/>
  <c r="M53" i="26"/>
  <c r="AF43" i="12"/>
  <c r="AE11" i="2" s="1"/>
  <c r="AE45" i="26"/>
  <c r="M54" i="12"/>
  <c r="L22" i="2" s="1"/>
  <c r="L56" i="26"/>
  <c r="AE45" i="12"/>
  <c r="AD13" i="2" s="1"/>
  <c r="AD47" i="26"/>
  <c r="AE46" i="12"/>
  <c r="AD14" i="2" s="1"/>
  <c r="AD48" i="26"/>
  <c r="AE52" i="12"/>
  <c r="AD20" i="2" s="1"/>
  <c r="AD54" i="26"/>
  <c r="AD46" i="12"/>
  <c r="AC14" i="2" s="1"/>
  <c r="AC48" i="26"/>
  <c r="AD44" i="12"/>
  <c r="AC12" i="2" s="1"/>
  <c r="AC46" i="26"/>
  <c r="K51" i="12"/>
  <c r="J19" i="2" s="1"/>
  <c r="J53" i="26"/>
  <c r="K46" i="12"/>
  <c r="J14" i="2" s="1"/>
  <c r="J48" i="26"/>
  <c r="AC44" i="12"/>
  <c r="AB12" i="2" s="1"/>
  <c r="AB46" i="26"/>
  <c r="AC45" i="12"/>
  <c r="AB13" i="2" s="1"/>
  <c r="AB47" i="26"/>
  <c r="K49" i="12"/>
  <c r="J17" i="2" s="1"/>
  <c r="J51" i="26"/>
  <c r="J44" i="12"/>
  <c r="I12" i="2" s="1"/>
  <c r="I46" i="26"/>
  <c r="J43" i="12"/>
  <c r="I11" i="2" s="1"/>
  <c r="I45" i="26"/>
  <c r="AB52" i="12"/>
  <c r="AA20" i="2" s="1"/>
  <c r="AA54" i="26"/>
  <c r="AA45" i="12"/>
  <c r="Z13" i="2" s="1"/>
  <c r="Z47" i="26"/>
  <c r="AA50" i="12"/>
  <c r="Z18" i="2" s="1"/>
  <c r="Z52" i="26"/>
  <c r="I50" i="12"/>
  <c r="H18" i="2" s="1"/>
  <c r="H52" i="26"/>
  <c r="I44" i="12"/>
  <c r="H12" i="2" s="1"/>
  <c r="H46" i="26"/>
  <c r="Z54" i="12"/>
  <c r="Y22" i="2" s="1"/>
  <c r="Y56" i="26"/>
  <c r="Z49" i="12"/>
  <c r="Y17" i="2" s="1"/>
  <c r="Y51" i="26"/>
  <c r="H49" i="12"/>
  <c r="G17" i="2" s="1"/>
  <c r="G51" i="26"/>
  <c r="G52" i="12"/>
  <c r="F20" i="2" s="1"/>
  <c r="F54" i="26"/>
  <c r="G46" i="12"/>
  <c r="F14" i="2" s="1"/>
  <c r="F48" i="26"/>
  <c r="G43" i="12"/>
  <c r="F11" i="2" s="1"/>
  <c r="F45" i="26"/>
  <c r="F46" i="12"/>
  <c r="E14" i="2" s="1"/>
  <c r="E48" i="26"/>
  <c r="F45" i="12"/>
  <c r="E13" i="2" s="1"/>
  <c r="E47" i="26"/>
  <c r="E54" i="12"/>
  <c r="D22" i="2" s="1"/>
  <c r="D56" i="26"/>
  <c r="E48" i="12"/>
  <c r="D16" i="2" s="1"/>
  <c r="D50" i="26"/>
  <c r="Y43" i="12"/>
  <c r="X11" i="2" s="1"/>
  <c r="X45" i="26"/>
  <c r="X50" i="12"/>
  <c r="W18" i="2" s="1"/>
  <c r="W52" i="26"/>
  <c r="U47" i="12"/>
  <c r="T15" i="2" s="1"/>
  <c r="T49" i="26"/>
  <c r="S54" i="12"/>
  <c r="R22" i="2" s="1"/>
  <c r="R56" i="26"/>
  <c r="Y53" i="12"/>
  <c r="X21" i="2" s="1"/>
  <c r="X55" i="26"/>
  <c r="R48" i="12"/>
  <c r="Q16" i="2" s="1"/>
  <c r="Q50" i="26"/>
  <c r="Q46" i="12"/>
  <c r="P14" i="2" s="1"/>
  <c r="P48" i="26"/>
  <c r="Y49" i="12"/>
  <c r="X17" i="2" s="1"/>
  <c r="X51" i="26"/>
  <c r="Q44" i="12"/>
  <c r="P12" i="2" s="1"/>
  <c r="P46" i="26"/>
  <c r="AF52" i="12"/>
  <c r="AE20" i="2" s="1"/>
  <c r="AE54" i="26"/>
  <c r="AE43" i="12"/>
  <c r="AD11" i="2" s="1"/>
  <c r="AD45" i="26"/>
  <c r="AD47" i="12"/>
  <c r="AC15" i="2" s="1"/>
  <c r="AC49" i="26"/>
  <c r="AB54" i="12"/>
  <c r="AA22" i="2" s="1"/>
  <c r="AA56" i="26"/>
  <c r="AA47" i="12"/>
  <c r="Z15" i="2" s="1"/>
  <c r="Z49" i="26"/>
  <c r="W53" i="12"/>
  <c r="V21" i="2" s="1"/>
  <c r="V55" i="26"/>
  <c r="X44" i="12"/>
  <c r="W12" i="2" s="1"/>
  <c r="W46" i="26"/>
  <c r="W43" i="12"/>
  <c r="V11" i="2" s="1"/>
  <c r="V45" i="26"/>
  <c r="W45" i="12"/>
  <c r="V13" i="2" s="1"/>
  <c r="V47" i="26"/>
  <c r="V43" i="12"/>
  <c r="U11" i="2" s="1"/>
  <c r="U45" i="26"/>
  <c r="V54" i="12"/>
  <c r="U22" i="2" s="1"/>
  <c r="U56" i="26"/>
  <c r="X48" i="12"/>
  <c r="W16" i="2" s="1"/>
  <c r="W50" i="26"/>
  <c r="U46" i="12"/>
  <c r="T14" i="2" s="1"/>
  <c r="T48" i="26"/>
  <c r="U48" i="12"/>
  <c r="T16" i="2" s="1"/>
  <c r="T50" i="26"/>
  <c r="S45" i="12"/>
  <c r="R13" i="2" s="1"/>
  <c r="R47" i="26"/>
  <c r="S43" i="12"/>
  <c r="R11" i="2" s="1"/>
  <c r="R45" i="26"/>
  <c r="R43" i="12"/>
  <c r="Q11" i="2" s="1"/>
  <c r="Q45" i="26"/>
  <c r="R45" i="12"/>
  <c r="Q13" i="2" s="1"/>
  <c r="Q47" i="26"/>
  <c r="Q54" i="12"/>
  <c r="P22" i="2" s="1"/>
  <c r="P56" i="26"/>
  <c r="Q47" i="12"/>
  <c r="P15" i="2" s="1"/>
  <c r="P49" i="26"/>
  <c r="Q50" i="12"/>
  <c r="P18" i="2" s="1"/>
  <c r="P52" i="26"/>
  <c r="P52" i="12"/>
  <c r="O20" i="2" s="1"/>
  <c r="O54" i="26"/>
  <c r="O46" i="12"/>
  <c r="N14" i="2" s="1"/>
  <c r="N48" i="26"/>
  <c r="O52" i="12"/>
  <c r="N20" i="2" s="1"/>
  <c r="N54" i="26"/>
  <c r="N54" i="12"/>
  <c r="M22" i="2" s="1"/>
  <c r="M56" i="26"/>
  <c r="AE53" i="12"/>
  <c r="AD21" i="2" s="1"/>
  <c r="AD55" i="26"/>
  <c r="AD51" i="12"/>
  <c r="AC19" i="2" s="1"/>
  <c r="AC53" i="26"/>
  <c r="L53" i="12"/>
  <c r="K21" i="2" s="1"/>
  <c r="K55" i="26"/>
  <c r="L52" i="12"/>
  <c r="K20" i="2" s="1"/>
  <c r="K54" i="26"/>
  <c r="K54" i="12"/>
  <c r="J22" i="2" s="1"/>
  <c r="J56" i="26"/>
  <c r="K53" i="12"/>
  <c r="J21" i="2" s="1"/>
  <c r="J55" i="26"/>
  <c r="AC52" i="12"/>
  <c r="AB20" i="2" s="1"/>
  <c r="AB54" i="26"/>
  <c r="K47" i="12"/>
  <c r="J15" i="2" s="1"/>
  <c r="J49" i="26"/>
  <c r="J45" i="12"/>
  <c r="I13" i="2" s="1"/>
  <c r="I47" i="26"/>
  <c r="I47" i="12"/>
  <c r="H15" i="2" s="1"/>
  <c r="H49" i="26"/>
  <c r="Z53" i="12"/>
  <c r="Y21" i="2" s="1"/>
  <c r="Y55" i="26"/>
  <c r="H50" i="12"/>
  <c r="G18" i="2" s="1"/>
  <c r="G52" i="26"/>
  <c r="H44" i="12"/>
  <c r="G12" i="2" s="1"/>
  <c r="G46" i="26"/>
  <c r="G49" i="12"/>
  <c r="F17" i="2" s="1"/>
  <c r="F51" i="26"/>
  <c r="G54" i="12"/>
  <c r="F22" i="2" s="1"/>
  <c r="F56" i="26"/>
  <c r="E44" i="12"/>
  <c r="D12" i="2" s="1"/>
  <c r="D46" i="26"/>
  <c r="T51" i="12"/>
  <c r="S19" i="2" s="1"/>
  <c r="S53" i="26"/>
  <c r="R51" i="12"/>
  <c r="Q19" i="2" s="1"/>
  <c r="Q53" i="26"/>
  <c r="Y51" i="12"/>
  <c r="X19" i="2" s="1"/>
  <c r="X53" i="26"/>
  <c r="V51" i="12"/>
  <c r="U19" i="2" s="1"/>
  <c r="U53" i="26"/>
  <c r="S47" i="12"/>
  <c r="R15" i="2" s="1"/>
  <c r="R49" i="26"/>
  <c r="Q52" i="12"/>
  <c r="P20" i="2" s="1"/>
  <c r="P54" i="26"/>
  <c r="V44" i="12"/>
  <c r="U12" i="2" s="1"/>
  <c r="U46" i="26"/>
  <c r="R54" i="12"/>
  <c r="Q22" i="2" s="1"/>
  <c r="Q56" i="26"/>
  <c r="P53" i="12"/>
  <c r="O21" i="2" s="1"/>
  <c r="O55" i="26"/>
  <c r="AF53" i="12"/>
  <c r="AE21" i="2" s="1"/>
  <c r="AE55" i="26"/>
  <c r="AE51" i="12"/>
  <c r="AD19" i="2" s="1"/>
  <c r="AD53" i="26"/>
  <c r="AD54" i="12"/>
  <c r="AC22" i="2" s="1"/>
  <c r="AC56" i="26"/>
  <c r="AC49" i="12"/>
  <c r="AB17" i="2" s="1"/>
  <c r="AB51" i="26"/>
  <c r="AA54" i="12"/>
  <c r="Z22" i="2" s="1"/>
  <c r="Z56" i="26"/>
  <c r="H54" i="12"/>
  <c r="G22" i="2" s="1"/>
  <c r="G56" i="26"/>
  <c r="E51" i="12"/>
  <c r="D19" i="2" s="1"/>
  <c r="D53" i="26"/>
  <c r="Y50" i="12"/>
  <c r="X18" i="2" s="1"/>
  <c r="X52" i="26"/>
  <c r="S48" i="12"/>
  <c r="R16" i="2" s="1"/>
  <c r="R50" i="26"/>
  <c r="AG46" i="12"/>
  <c r="AF14" i="2" s="1"/>
  <c r="AF48" i="26"/>
  <c r="Y48" i="12"/>
  <c r="X16" i="2" s="1"/>
  <c r="X50" i="26"/>
  <c r="Y45" i="12"/>
  <c r="X13" i="2" s="1"/>
  <c r="X47" i="26"/>
  <c r="Y54" i="12"/>
  <c r="X22" i="2" s="1"/>
  <c r="X56" i="26"/>
  <c r="W46" i="12"/>
  <c r="V14" i="2" s="1"/>
  <c r="V48" i="26"/>
  <c r="X53" i="12"/>
  <c r="W21" i="2" s="1"/>
  <c r="W55" i="26"/>
  <c r="V49" i="12"/>
  <c r="U17" i="2" s="1"/>
  <c r="U51" i="26"/>
  <c r="X52" i="12"/>
  <c r="W20" i="2" s="1"/>
  <c r="W54" i="26"/>
  <c r="U50" i="12"/>
  <c r="T18" i="2" s="1"/>
  <c r="T52" i="26"/>
  <c r="U51" i="12"/>
  <c r="T19" i="2" s="1"/>
  <c r="T53" i="26"/>
  <c r="T45" i="12"/>
  <c r="S13" i="2" s="1"/>
  <c r="S47" i="26"/>
  <c r="T49" i="12"/>
  <c r="S17" i="2" s="1"/>
  <c r="S51" i="26"/>
  <c r="S49" i="12"/>
  <c r="R17" i="2" s="1"/>
  <c r="R51" i="26"/>
  <c r="R50" i="12"/>
  <c r="Q18" i="2" s="1"/>
  <c r="Q52" i="26"/>
  <c r="Q53" i="12"/>
  <c r="P21" i="2" s="1"/>
  <c r="P55" i="26"/>
  <c r="Q45" i="12"/>
  <c r="P13" i="2" s="1"/>
  <c r="P47" i="26"/>
  <c r="Q51" i="12"/>
  <c r="P19" i="2" s="1"/>
  <c r="P53" i="26"/>
  <c r="P48" i="12"/>
  <c r="O16" i="2" s="1"/>
  <c r="O50" i="26"/>
  <c r="P45" i="12"/>
  <c r="O13" i="2" s="1"/>
  <c r="O47" i="26"/>
  <c r="P51" i="12"/>
  <c r="O19" i="2" s="1"/>
  <c r="O53" i="26"/>
  <c r="AG43" i="12"/>
  <c r="AF11" i="2" s="1"/>
  <c r="AF45" i="26"/>
  <c r="O48" i="12"/>
  <c r="N16" i="2" s="1"/>
  <c r="N50" i="26"/>
  <c r="AG54" i="12"/>
  <c r="AF22" i="2" s="1"/>
  <c r="AF56" i="26"/>
  <c r="AG45" i="12"/>
  <c r="AF13" i="2" s="1"/>
  <c r="AF47" i="26"/>
  <c r="AF54" i="12"/>
  <c r="AE22" i="2" s="1"/>
  <c r="AE56" i="26"/>
  <c r="N53" i="12"/>
  <c r="M21" i="2" s="1"/>
  <c r="M55" i="26"/>
  <c r="N49" i="12"/>
  <c r="M17" i="2" s="1"/>
  <c r="M51" i="26"/>
  <c r="AF51" i="12"/>
  <c r="AE19" i="2" s="1"/>
  <c r="AE53" i="26"/>
  <c r="M43" i="12"/>
  <c r="L11" i="2" s="1"/>
  <c r="L45" i="26"/>
  <c r="M46" i="12"/>
  <c r="L14" i="2" s="1"/>
  <c r="L48" i="26"/>
  <c r="M52" i="12"/>
  <c r="L20" i="2" s="1"/>
  <c r="L54" i="26"/>
  <c r="M51" i="12"/>
  <c r="L19" i="2" s="1"/>
  <c r="L53" i="26"/>
  <c r="L54" i="12"/>
  <c r="K22" i="2" s="1"/>
  <c r="K56" i="26"/>
  <c r="AD45" i="12"/>
  <c r="AC13" i="2" s="1"/>
  <c r="AC47" i="26"/>
  <c r="AC47" i="12"/>
  <c r="AB15" i="2" s="1"/>
  <c r="AB49" i="26"/>
  <c r="AC46" i="12"/>
  <c r="AB14" i="2" s="1"/>
  <c r="AB48" i="26"/>
  <c r="AB43" i="12"/>
  <c r="AA11" i="2" s="1"/>
  <c r="AA45" i="26"/>
  <c r="J53" i="12"/>
  <c r="I21" i="2" s="1"/>
  <c r="I55" i="26"/>
  <c r="AB47" i="12"/>
  <c r="AA15" i="2" s="1"/>
  <c r="AA49" i="26"/>
  <c r="AA44" i="12"/>
  <c r="Z12" i="2" s="1"/>
  <c r="Z46" i="26"/>
  <c r="I49" i="12"/>
  <c r="H17" i="2" s="1"/>
  <c r="H51" i="26"/>
  <c r="I45" i="12"/>
  <c r="H13" i="2" s="1"/>
  <c r="H47" i="26"/>
  <c r="AA48" i="12"/>
  <c r="Z16" i="2" s="1"/>
  <c r="Z50" i="26"/>
  <c r="AA43" i="12"/>
  <c r="Z11" i="2" s="1"/>
  <c r="Z45" i="26"/>
  <c r="H53" i="12"/>
  <c r="G21" i="2" s="1"/>
  <c r="G55" i="26"/>
  <c r="H48" i="12"/>
  <c r="G16" i="2" s="1"/>
  <c r="G50" i="26"/>
  <c r="H46" i="12"/>
  <c r="G14" i="2" s="1"/>
  <c r="G48" i="26"/>
  <c r="H43" i="12"/>
  <c r="G11" i="2" s="1"/>
  <c r="G45" i="26"/>
  <c r="G50" i="12"/>
  <c r="F18" i="2" s="1"/>
  <c r="F52" i="26"/>
  <c r="G53" i="12"/>
  <c r="F21" i="2" s="1"/>
  <c r="F55" i="26"/>
  <c r="G51" i="12"/>
  <c r="F19" i="2" s="1"/>
  <c r="F53" i="26"/>
  <c r="F43" i="12"/>
  <c r="E11" i="2" s="1"/>
  <c r="E45" i="26"/>
  <c r="E50" i="12"/>
  <c r="D18" i="2" s="1"/>
  <c r="D52" i="26"/>
  <c r="F48" i="12"/>
  <c r="E16" i="2" s="1"/>
  <c r="E50" i="26"/>
  <c r="R53" i="12"/>
  <c r="Q21" i="2" s="1"/>
  <c r="Q55" i="26"/>
  <c r="P50" i="12"/>
  <c r="O18" i="2" s="1"/>
  <c r="O52" i="26"/>
  <c r="P49" i="12"/>
  <c r="O17" i="2" s="1"/>
  <c r="O51" i="26"/>
  <c r="O53" i="12"/>
  <c r="N21" i="2" s="1"/>
  <c r="N55" i="26"/>
  <c r="AG48" i="12"/>
  <c r="AF16" i="2" s="1"/>
  <c r="AF50" i="26"/>
  <c r="O51" i="12"/>
  <c r="N19" i="2" s="1"/>
  <c r="N53" i="26"/>
  <c r="O54" i="12"/>
  <c r="N22" i="2" s="1"/>
  <c r="N56" i="26"/>
  <c r="AG50" i="12"/>
  <c r="AF18" i="2" s="1"/>
  <c r="AF52" i="26"/>
  <c r="N47" i="12"/>
  <c r="M15" i="2" s="1"/>
  <c r="M49" i="26"/>
  <c r="AF50" i="12"/>
  <c r="AE18" i="2" s="1"/>
  <c r="AE52" i="26"/>
  <c r="AE50" i="12"/>
  <c r="AD18" i="2" s="1"/>
  <c r="AD52" i="26"/>
  <c r="M49" i="12"/>
  <c r="L17" i="2" s="1"/>
  <c r="L51" i="26"/>
  <c r="AD49" i="12"/>
  <c r="AC17" i="2" s="1"/>
  <c r="AC51" i="26"/>
  <c r="L48" i="12"/>
  <c r="K16" i="2" s="1"/>
  <c r="K50" i="26"/>
  <c r="AD48" i="12"/>
  <c r="AC16" i="2" s="1"/>
  <c r="AC50" i="26"/>
  <c r="K48" i="12"/>
  <c r="J16" i="2" s="1"/>
  <c r="J50" i="26"/>
  <c r="AC43" i="12"/>
  <c r="AB11" i="2" s="1"/>
  <c r="AB45" i="26"/>
  <c r="AC48" i="12"/>
  <c r="AB16" i="2" s="1"/>
  <c r="AB50" i="26"/>
  <c r="J48" i="12"/>
  <c r="I16" i="2" s="1"/>
  <c r="I50" i="26"/>
  <c r="AB53" i="12"/>
  <c r="AA21" i="2" s="1"/>
  <c r="AA55" i="26"/>
  <c r="I43" i="12"/>
  <c r="H11" i="2" s="1"/>
  <c r="H45" i="26"/>
  <c r="AA46" i="12"/>
  <c r="Z14" i="2" s="1"/>
  <c r="Z48" i="26"/>
  <c r="H47" i="12"/>
  <c r="G15" i="2" s="1"/>
  <c r="G49" i="26"/>
  <c r="H52" i="12"/>
  <c r="G20" i="2" s="1"/>
  <c r="G54" i="26"/>
  <c r="Z48" i="12"/>
  <c r="Y16" i="2" s="1"/>
  <c r="Y50" i="26"/>
  <c r="G48" i="12"/>
  <c r="F16" i="2" s="1"/>
  <c r="F50" i="26"/>
  <c r="F51" i="12"/>
  <c r="E19" i="2" s="1"/>
  <c r="E53" i="26"/>
  <c r="F53" i="12"/>
  <c r="E21" i="2" s="1"/>
  <c r="E55" i="26"/>
  <c r="F54" i="12"/>
  <c r="E22" i="2" s="1"/>
  <c r="E56" i="26"/>
  <c r="E49" i="12"/>
  <c r="D17" i="2" s="1"/>
  <c r="D51" i="26"/>
  <c r="E45" i="12"/>
  <c r="D13" i="2" s="1"/>
  <c r="D47" i="26"/>
  <c r="AF44" i="12"/>
  <c r="AE12" i="2" s="1"/>
  <c r="AE46" i="26"/>
  <c r="N45" i="12"/>
  <c r="M13" i="2" s="1"/>
  <c r="M47" i="26"/>
  <c r="N48" i="12"/>
  <c r="M16" i="2" s="1"/>
  <c r="M50" i="26"/>
  <c r="N52" i="12"/>
  <c r="M20" i="2" s="1"/>
  <c r="M54" i="26"/>
  <c r="AE49" i="12"/>
  <c r="AD17" i="2" s="1"/>
  <c r="AD51" i="26"/>
  <c r="AE48" i="12"/>
  <c r="AD16" i="2" s="1"/>
  <c r="AD50" i="26"/>
  <c r="M45" i="12"/>
  <c r="L13" i="2" s="1"/>
  <c r="L47" i="26"/>
  <c r="L46" i="12"/>
  <c r="K14" i="2" s="1"/>
  <c r="K48" i="26"/>
  <c r="AD50" i="12"/>
  <c r="AC18" i="2" s="1"/>
  <c r="AC52" i="26"/>
  <c r="L51" i="12"/>
  <c r="K19" i="2" s="1"/>
  <c r="K53" i="26"/>
  <c r="K44" i="12"/>
  <c r="J12" i="2" s="1"/>
  <c r="J46" i="26"/>
  <c r="AC53" i="12"/>
  <c r="AB21" i="2" s="1"/>
  <c r="AB55" i="26"/>
  <c r="AB49" i="12"/>
  <c r="AA17" i="2" s="1"/>
  <c r="AA51" i="26"/>
  <c r="J51" i="12"/>
  <c r="I19" i="2" s="1"/>
  <c r="I53" i="26"/>
  <c r="AB45" i="12"/>
  <c r="AA13" i="2" s="1"/>
  <c r="AA47" i="26"/>
  <c r="AA51" i="12"/>
  <c r="Z19" i="2" s="1"/>
  <c r="Z53" i="26"/>
  <c r="I54" i="12"/>
  <c r="H22" i="2" s="1"/>
  <c r="H56" i="26"/>
  <c r="H51" i="12"/>
  <c r="G19" i="2" s="1"/>
  <c r="G53" i="26"/>
  <c r="H45" i="12"/>
  <c r="G13" i="2" s="1"/>
  <c r="G47" i="26"/>
  <c r="F47" i="12"/>
  <c r="E15" i="2" s="1"/>
  <c r="E49" i="26"/>
  <c r="E47" i="12"/>
  <c r="D15" i="2" s="1"/>
  <c r="D49" i="26"/>
  <c r="E53" i="12"/>
  <c r="D21" i="2" s="1"/>
  <c r="D55" i="26"/>
  <c r="D48" i="12"/>
  <c r="C16" i="2" s="1"/>
  <c r="C50" i="26"/>
  <c r="D51" i="12"/>
  <c r="C19" i="2" s="1"/>
  <c r="C53" i="26"/>
  <c r="D49" i="12"/>
  <c r="C17" i="2" s="1"/>
  <c r="C51" i="26"/>
  <c r="D53" i="12"/>
  <c r="C21" i="2" s="1"/>
  <c r="C55" i="26"/>
  <c r="D44" i="12"/>
  <c r="C12" i="2" s="1"/>
  <c r="C46" i="26"/>
  <c r="D47" i="12"/>
  <c r="C15" i="2" s="1"/>
  <c r="C49" i="26"/>
  <c r="D50" i="12"/>
  <c r="C18" i="2" s="1"/>
  <c r="D46" i="12"/>
  <c r="C14" i="2" s="1"/>
  <c r="C48" i="26"/>
  <c r="D54" i="12"/>
  <c r="C22" i="2" s="1"/>
  <c r="C56" i="26"/>
  <c r="D45" i="12"/>
  <c r="C13" i="2" s="1"/>
  <c r="C47" i="26"/>
  <c r="D52" i="12"/>
  <c r="C20" i="2" s="1"/>
  <c r="C54" i="26"/>
  <c r="D16" i="12"/>
  <c r="T16" i="12"/>
  <c r="Q16" i="12"/>
  <c r="W16" i="12"/>
  <c r="S16" i="12"/>
  <c r="V16" i="12"/>
  <c r="O16" i="12"/>
  <c r="E16" i="12"/>
  <c r="F16" i="12"/>
  <c r="N16" i="12"/>
  <c r="K16" i="12"/>
  <c r="U16" i="12"/>
  <c r="I16" i="12"/>
  <c r="G16" i="12"/>
  <c r="J16" i="12"/>
  <c r="H16" i="12"/>
  <c r="L16" i="12"/>
  <c r="M16" i="12"/>
  <c r="P16" i="12"/>
  <c r="R16" i="12"/>
  <c r="AH51" i="12" l="1"/>
  <c r="AH44" i="12"/>
  <c r="AH54" i="12"/>
  <c r="AH49" i="12"/>
  <c r="AH50" i="12"/>
  <c r="AH48" i="12"/>
  <c r="AH53" i="12"/>
  <c r="AH43" i="12"/>
  <c r="AH46" i="12"/>
  <c r="AH45" i="12"/>
  <c r="X23" i="21"/>
  <c r="AH63" i="12"/>
  <c r="AH47" i="12"/>
  <c r="AH52" i="12"/>
  <c r="AH70" i="12"/>
  <c r="AE23" i="21"/>
  <c r="W23" i="2"/>
  <c r="AC23" i="21"/>
  <c r="AB23" i="2"/>
  <c r="AD23" i="2"/>
  <c r="Z23" i="21"/>
  <c r="Z23" i="2"/>
  <c r="AF23" i="21"/>
  <c r="Y23" i="21"/>
  <c r="AE23" i="2"/>
  <c r="AA23" i="21"/>
  <c r="W23" i="21"/>
  <c r="AA23" i="2"/>
  <c r="X23" i="2"/>
  <c r="AC23" i="2"/>
  <c r="Y23" i="2"/>
  <c r="AB23" i="21"/>
  <c r="AD23" i="21"/>
  <c r="AH60" i="12"/>
  <c r="AF23" i="2"/>
  <c r="AF27" i="2" s="1"/>
  <c r="AC80" i="26"/>
  <c r="AD110" i="26" s="1"/>
  <c r="AA86" i="26"/>
  <c r="X76" i="26"/>
  <c r="Y106" i="26" s="1"/>
  <c r="Z81" i="26"/>
  <c r="AA111" i="26" s="1"/>
  <c r="Y81" i="26"/>
  <c r="Z111" i="26" s="1"/>
  <c r="AE84" i="26"/>
  <c r="AF114" i="26" s="1"/>
  <c r="AB82" i="26"/>
  <c r="AC112" i="26" s="1"/>
  <c r="Z79" i="26"/>
  <c r="AA109" i="26" s="1"/>
  <c r="AD81" i="26"/>
  <c r="AE111" i="26" s="1"/>
  <c r="AC79" i="26"/>
  <c r="AD109" i="26" s="1"/>
  <c r="AA77" i="26"/>
  <c r="AB107" i="26" s="1"/>
  <c r="Z104" i="26"/>
  <c r="Z75" i="26"/>
  <c r="AA105" i="26" s="1"/>
  <c r="AD85" i="26"/>
  <c r="AE115" i="26" s="1"/>
  <c r="AA104" i="26"/>
  <c r="AA75" i="26"/>
  <c r="AB105" i="26" s="1"/>
  <c r="AF83" i="26"/>
  <c r="X84" i="26"/>
  <c r="Y114" i="26" s="1"/>
  <c r="AF85" i="26"/>
  <c r="AF104" i="26"/>
  <c r="AF75" i="26"/>
  <c r="Z83" i="26"/>
  <c r="AA113" i="26" s="1"/>
  <c r="X77" i="26"/>
  <c r="Y107" i="26" s="1"/>
  <c r="AE86" i="26"/>
  <c r="Y84" i="26"/>
  <c r="Z114" i="26" s="1"/>
  <c r="Z80" i="26"/>
  <c r="AA110" i="26" s="1"/>
  <c r="AA80" i="26"/>
  <c r="AB110" i="26" s="1"/>
  <c r="Y82" i="26"/>
  <c r="Z112" i="26" s="1"/>
  <c r="AE104" i="26"/>
  <c r="AE75" i="26"/>
  <c r="AF105" i="26" s="1"/>
  <c r="AB83" i="26"/>
  <c r="AC113" i="26" s="1"/>
  <c r="Z86" i="26"/>
  <c r="X75" i="26"/>
  <c r="Y105" i="26" s="1"/>
  <c r="X104" i="26"/>
  <c r="AF78" i="26"/>
  <c r="AA85" i="26"/>
  <c r="AB115" i="26" s="1"/>
  <c r="Y79" i="26"/>
  <c r="Z109" i="26" s="1"/>
  <c r="AB81" i="26"/>
  <c r="AC111" i="26" s="1"/>
  <c r="AD82" i="26"/>
  <c r="AE112" i="26" s="1"/>
  <c r="AE81" i="26"/>
  <c r="AF111" i="26" s="1"/>
  <c r="AF76" i="26"/>
  <c r="AB85" i="26"/>
  <c r="AC115" i="26" s="1"/>
  <c r="AD77" i="26"/>
  <c r="AE107" i="26" s="1"/>
  <c r="X85" i="26"/>
  <c r="Y115" i="26" s="1"/>
  <c r="Y80" i="26"/>
  <c r="Z110" i="26" s="1"/>
  <c r="AD86" i="26"/>
  <c r="AA79" i="26"/>
  <c r="AB109" i="26" s="1"/>
  <c r="AF84" i="26"/>
  <c r="W120" i="26"/>
  <c r="X82" i="26"/>
  <c r="Y112" i="26" s="1"/>
  <c r="AB84" i="26"/>
  <c r="AC114" i="26" s="1"/>
  <c r="AC77" i="26"/>
  <c r="AD107" i="26" s="1"/>
  <c r="AD76" i="26"/>
  <c r="AE106" i="26" s="1"/>
  <c r="AE77" i="26"/>
  <c r="AF107" i="26" s="1"/>
  <c r="AA81" i="26"/>
  <c r="AB111" i="26" s="1"/>
  <c r="AB78" i="26"/>
  <c r="AC108" i="26" s="1"/>
  <c r="AC86" i="26"/>
  <c r="X78" i="26"/>
  <c r="Y108" i="26" s="1"/>
  <c r="Y76" i="26"/>
  <c r="Z106" i="26" s="1"/>
  <c r="X86" i="26"/>
  <c r="Z78" i="26"/>
  <c r="AA108" i="26" s="1"/>
  <c r="AA84" i="26"/>
  <c r="AB114" i="26" s="1"/>
  <c r="AB80" i="26"/>
  <c r="AC110" i="26" s="1"/>
  <c r="AF81" i="26"/>
  <c r="AA78" i="26"/>
  <c r="AB108" i="26" s="1"/>
  <c r="AD83" i="26"/>
  <c r="AE113" i="26" s="1"/>
  <c r="AE76" i="26"/>
  <c r="AF106" i="26" s="1"/>
  <c r="AB79" i="26"/>
  <c r="AC109" i="26" s="1"/>
  <c r="Y77" i="26"/>
  <c r="Z107" i="26" s="1"/>
  <c r="AC78" i="26"/>
  <c r="AD108" i="26" s="1"/>
  <c r="AD79" i="26"/>
  <c r="AE109" i="26" s="1"/>
  <c r="Z120" i="26"/>
  <c r="AA82" i="26"/>
  <c r="AB112" i="26" s="1"/>
  <c r="Y78" i="26"/>
  <c r="Z108" i="26" s="1"/>
  <c r="AC104" i="26"/>
  <c r="AC75" i="26"/>
  <c r="AD105" i="26" s="1"/>
  <c r="AE85" i="26"/>
  <c r="AF115" i="26" s="1"/>
  <c r="AE78" i="26"/>
  <c r="AF108" i="26" s="1"/>
  <c r="Z77" i="26"/>
  <c r="AA107" i="26" s="1"/>
  <c r="X83" i="26"/>
  <c r="Y113" i="26" s="1"/>
  <c r="AA83" i="26"/>
  <c r="AB113" i="26" s="1"/>
  <c r="AC85" i="26"/>
  <c r="AD115" i="26" s="1"/>
  <c r="AD80" i="26"/>
  <c r="AE110" i="26" s="1"/>
  <c r="AE82" i="26"/>
  <c r="AF112" i="26" s="1"/>
  <c r="AB104" i="26"/>
  <c r="AB75" i="26"/>
  <c r="AF86" i="26"/>
  <c r="AE83" i="26"/>
  <c r="AF113" i="26" s="1"/>
  <c r="Y83" i="26"/>
  <c r="Z113" i="26" s="1"/>
  <c r="Z85" i="26"/>
  <c r="AA115" i="26" s="1"/>
  <c r="AC84" i="26"/>
  <c r="AD114" i="26" s="1"/>
  <c r="X80" i="26"/>
  <c r="Y110" i="26" s="1"/>
  <c r="AB86" i="26"/>
  <c r="Y85" i="26"/>
  <c r="Z115" i="26" s="1"/>
  <c r="Y104" i="26"/>
  <c r="Y75" i="26"/>
  <c r="AC76" i="26"/>
  <c r="AD106" i="26" s="1"/>
  <c r="AD78" i="26"/>
  <c r="AE108" i="26" s="1"/>
  <c r="AF80" i="26"/>
  <c r="Z84" i="26"/>
  <c r="AA114" i="26" s="1"/>
  <c r="AC82" i="26"/>
  <c r="AD112" i="26" s="1"/>
  <c r="AD104" i="26"/>
  <c r="AD75" i="26"/>
  <c r="AF79" i="26"/>
  <c r="AE79" i="26"/>
  <c r="AF109" i="26" s="1"/>
  <c r="X79" i="26"/>
  <c r="Y109" i="26" s="1"/>
  <c r="Z76" i="26"/>
  <c r="AA106" i="26" s="1"/>
  <c r="AB76" i="26"/>
  <c r="AC106" i="26" s="1"/>
  <c r="AD84" i="26"/>
  <c r="AE114" i="26" s="1"/>
  <c r="AF77" i="26"/>
  <c r="AB77" i="26"/>
  <c r="AC107" i="26" s="1"/>
  <c r="AF82" i="26"/>
  <c r="AA76" i="26"/>
  <c r="AB106" i="26" s="1"/>
  <c r="Y86" i="26"/>
  <c r="Z82" i="26"/>
  <c r="AA112" i="26" s="1"/>
  <c r="AE80" i="26"/>
  <c r="AF110" i="26" s="1"/>
  <c r="AC81" i="26"/>
  <c r="AD111" i="26" s="1"/>
  <c r="AC83" i="26"/>
  <c r="AD113" i="26" s="1"/>
  <c r="X81" i="26"/>
  <c r="Y111" i="26" s="1"/>
  <c r="AC120" i="26"/>
  <c r="AE120" i="26"/>
  <c r="Y120" i="26"/>
  <c r="M83" i="26"/>
  <c r="G81" i="26"/>
  <c r="P76" i="26"/>
  <c r="V85" i="26"/>
  <c r="W86" i="26"/>
  <c r="F84" i="26"/>
  <c r="O75" i="26"/>
  <c r="D76" i="26"/>
  <c r="D116" i="26"/>
  <c r="D118" i="26" s="1"/>
  <c r="N80" i="26"/>
  <c r="L80" i="26"/>
  <c r="P83" i="26"/>
  <c r="K85" i="26"/>
  <c r="V86" i="26"/>
  <c r="S86" i="26"/>
  <c r="J76" i="26"/>
  <c r="T75" i="26"/>
  <c r="T79" i="26"/>
  <c r="I84" i="26"/>
  <c r="O77" i="26"/>
  <c r="O82" i="26"/>
  <c r="N120" i="26"/>
  <c r="L76" i="26"/>
  <c r="D78" i="26"/>
  <c r="D85" i="26"/>
  <c r="E85" i="26"/>
  <c r="H83" i="26"/>
  <c r="J83" i="26"/>
  <c r="L83" i="26"/>
  <c r="N77" i="26"/>
  <c r="F86" i="26"/>
  <c r="I75" i="26"/>
  <c r="N79" i="26"/>
  <c r="R85" i="26"/>
  <c r="G83" i="26"/>
  <c r="H78" i="26"/>
  <c r="M84" i="26"/>
  <c r="N81" i="26"/>
  <c r="P77" i="26"/>
  <c r="Q85" i="26"/>
  <c r="T77" i="26"/>
  <c r="V81" i="26"/>
  <c r="X120" i="26"/>
  <c r="P85" i="26"/>
  <c r="S79" i="26"/>
  <c r="T83" i="26"/>
  <c r="H76" i="26"/>
  <c r="J77" i="26"/>
  <c r="K86" i="26"/>
  <c r="P84" i="26"/>
  <c r="R77" i="26"/>
  <c r="U80" i="26"/>
  <c r="V75" i="26"/>
  <c r="W85" i="26"/>
  <c r="X115" i="26" s="1"/>
  <c r="Q78" i="26"/>
  <c r="U79" i="26"/>
  <c r="E86" i="26"/>
  <c r="G78" i="26"/>
  <c r="K81" i="26"/>
  <c r="K83" i="26"/>
  <c r="N83" i="26"/>
  <c r="O81" i="26"/>
  <c r="P78" i="26"/>
  <c r="U86" i="26"/>
  <c r="W84" i="26"/>
  <c r="X114" i="26" s="1"/>
  <c r="V77" i="26"/>
  <c r="L82" i="26"/>
  <c r="K120" i="26"/>
  <c r="W80" i="26"/>
  <c r="X110" i="26" s="1"/>
  <c r="W76" i="26"/>
  <c r="X106" i="26" s="1"/>
  <c r="G79" i="26"/>
  <c r="I85" i="26"/>
  <c r="J82" i="26"/>
  <c r="I120" i="26"/>
  <c r="M85" i="26"/>
  <c r="Q80" i="26"/>
  <c r="T84" i="26"/>
  <c r="W79" i="26"/>
  <c r="X109" i="26" s="1"/>
  <c r="Q81" i="26"/>
  <c r="S84" i="26"/>
  <c r="W81" i="26"/>
  <c r="X111" i="26" s="1"/>
  <c r="J86" i="26"/>
  <c r="J78" i="26"/>
  <c r="M82" i="26"/>
  <c r="L120" i="26"/>
  <c r="Q75" i="26"/>
  <c r="L75" i="26"/>
  <c r="R78" i="26"/>
  <c r="K76" i="26"/>
  <c r="F75" i="26"/>
  <c r="R83" i="26"/>
  <c r="Q86" i="26"/>
  <c r="E80" i="26"/>
  <c r="V78" i="26"/>
  <c r="N82" i="26"/>
  <c r="M120" i="26"/>
  <c r="T85" i="26"/>
  <c r="I78" i="26"/>
  <c r="V79" i="26"/>
  <c r="D86" i="26"/>
  <c r="M77" i="26"/>
  <c r="H75" i="26"/>
  <c r="Q77" i="26"/>
  <c r="Q84" i="26"/>
  <c r="O78" i="26"/>
  <c r="G75" i="26"/>
  <c r="K77" i="26"/>
  <c r="J84" i="26"/>
  <c r="P79" i="26"/>
  <c r="D84" i="26"/>
  <c r="D82" i="26"/>
  <c r="D81" i="26"/>
  <c r="E79" i="26"/>
  <c r="I86" i="26"/>
  <c r="F85" i="26"/>
  <c r="H84" i="26"/>
  <c r="K80" i="26"/>
  <c r="M81" i="26"/>
  <c r="AF120" i="26"/>
  <c r="AG120" i="26"/>
  <c r="AI129" i="26" s="1"/>
  <c r="O85" i="26"/>
  <c r="F80" i="26"/>
  <c r="G85" i="26"/>
  <c r="H80" i="26"/>
  <c r="I77" i="26"/>
  <c r="J85" i="26"/>
  <c r="M78" i="26"/>
  <c r="N85" i="26"/>
  <c r="O80" i="26"/>
  <c r="P80" i="26"/>
  <c r="R82" i="26"/>
  <c r="Q120" i="26"/>
  <c r="U83" i="26"/>
  <c r="E83" i="26"/>
  <c r="R86" i="26"/>
  <c r="V83" i="26"/>
  <c r="E76" i="26"/>
  <c r="H82" i="26"/>
  <c r="G120" i="26"/>
  <c r="K79" i="26"/>
  <c r="L84" i="26"/>
  <c r="N86" i="26"/>
  <c r="Q82" i="26"/>
  <c r="P120" i="26"/>
  <c r="R75" i="26"/>
  <c r="U78" i="26"/>
  <c r="W77" i="26"/>
  <c r="X107" i="26" s="1"/>
  <c r="R80" i="26"/>
  <c r="F77" i="26"/>
  <c r="G84" i="26"/>
  <c r="I76" i="26"/>
  <c r="O76" i="26"/>
  <c r="S76" i="26"/>
  <c r="U75" i="26"/>
  <c r="W82" i="26"/>
  <c r="X112" i="26" s="1"/>
  <c r="V120" i="26"/>
  <c r="W83" i="26"/>
  <c r="X113" i="26" s="1"/>
  <c r="M76" i="26"/>
  <c r="S85" i="26"/>
  <c r="E75" i="26"/>
  <c r="G76" i="26"/>
  <c r="L77" i="26"/>
  <c r="M80" i="26"/>
  <c r="N78" i="26"/>
  <c r="R76" i="26"/>
  <c r="U84" i="26"/>
  <c r="N75" i="26"/>
  <c r="L81" i="26"/>
  <c r="U76" i="26"/>
  <c r="E84" i="26"/>
  <c r="K75" i="26"/>
  <c r="L79" i="26"/>
  <c r="M79" i="26"/>
  <c r="R84" i="26"/>
  <c r="T80" i="26"/>
  <c r="R81" i="26"/>
  <c r="D80" i="26"/>
  <c r="E81" i="26"/>
  <c r="P82" i="26"/>
  <c r="O120" i="26"/>
  <c r="S80" i="26"/>
  <c r="I79" i="26"/>
  <c r="H77" i="26"/>
  <c r="S82" i="26"/>
  <c r="R120" i="26"/>
  <c r="AA120" i="26"/>
  <c r="V80" i="26"/>
  <c r="D77" i="26"/>
  <c r="D79" i="26"/>
  <c r="D83" i="26"/>
  <c r="F79" i="26"/>
  <c r="L78" i="26"/>
  <c r="N84" i="26"/>
  <c r="E77" i="26"/>
  <c r="F83" i="26"/>
  <c r="H79" i="26"/>
  <c r="J80" i="26"/>
  <c r="AD120" i="26"/>
  <c r="O86" i="26"/>
  <c r="P81" i="26"/>
  <c r="E82" i="26"/>
  <c r="D120" i="26"/>
  <c r="G82" i="26"/>
  <c r="F120" i="26"/>
  <c r="H85" i="26"/>
  <c r="I81" i="26"/>
  <c r="L86" i="26"/>
  <c r="M75" i="26"/>
  <c r="Q83" i="26"/>
  <c r="S81" i="26"/>
  <c r="U82" i="26"/>
  <c r="T120" i="26"/>
  <c r="W78" i="26"/>
  <c r="X108" i="26" s="1"/>
  <c r="H86" i="26"/>
  <c r="V76" i="26"/>
  <c r="G86" i="26"/>
  <c r="L85" i="26"/>
  <c r="O84" i="26"/>
  <c r="Q79" i="26"/>
  <c r="S75" i="26"/>
  <c r="W75" i="26"/>
  <c r="X105" i="26" s="1"/>
  <c r="Q76" i="26"/>
  <c r="F78" i="26"/>
  <c r="H81" i="26"/>
  <c r="I82" i="26"/>
  <c r="H120" i="26"/>
  <c r="J75" i="26"/>
  <c r="M86" i="26"/>
  <c r="O79" i="26"/>
  <c r="P86" i="26"/>
  <c r="T78" i="26"/>
  <c r="V82" i="26"/>
  <c r="U120" i="26"/>
  <c r="F82" i="26"/>
  <c r="E120" i="26"/>
  <c r="R79" i="26"/>
  <c r="T82" i="26"/>
  <c r="S120" i="26"/>
  <c r="E78" i="26"/>
  <c r="I83" i="26"/>
  <c r="J79" i="26"/>
  <c r="AB120" i="26"/>
  <c r="S83" i="26"/>
  <c r="U85" i="26"/>
  <c r="V84" i="26"/>
  <c r="P75" i="26"/>
  <c r="G77" i="26"/>
  <c r="S78" i="26"/>
  <c r="F81" i="26"/>
  <c r="I80" i="26"/>
  <c r="K84" i="26"/>
  <c r="U81" i="26"/>
  <c r="U77" i="26"/>
  <c r="T76" i="26"/>
  <c r="G80" i="26"/>
  <c r="O83" i="26"/>
  <c r="T81" i="26"/>
  <c r="S77" i="26"/>
  <c r="K78" i="26"/>
  <c r="F76" i="26"/>
  <c r="K82" i="26"/>
  <c r="J120" i="26"/>
  <c r="T86" i="26"/>
  <c r="N76" i="26"/>
  <c r="J81" i="26"/>
  <c r="C23" i="21"/>
  <c r="I23" i="21"/>
  <c r="H23" i="21"/>
  <c r="O23" i="21"/>
  <c r="L23" i="21"/>
  <c r="R23" i="21"/>
  <c r="T23" i="21"/>
  <c r="D23" i="21"/>
  <c r="J23" i="21"/>
  <c r="F23" i="21"/>
  <c r="Q23" i="21"/>
  <c r="E23" i="21"/>
  <c r="V23" i="21"/>
  <c r="G23" i="21"/>
  <c r="G23" i="2"/>
  <c r="K23" i="21"/>
  <c r="S23" i="21"/>
  <c r="P23" i="21"/>
  <c r="M23" i="21"/>
  <c r="U23" i="21"/>
  <c r="N23" i="21"/>
  <c r="AC25" i="21" l="1"/>
  <c r="AD25" i="21"/>
  <c r="AB25" i="21"/>
  <c r="Y25" i="21"/>
  <c r="AE25" i="21"/>
  <c r="AA25" i="21"/>
  <c r="AF25" i="21"/>
  <c r="Z25" i="21"/>
  <c r="W25" i="21"/>
  <c r="X25" i="21"/>
  <c r="W27" i="21"/>
  <c r="Z27" i="21"/>
  <c r="AA27" i="21"/>
  <c r="AD27" i="21"/>
  <c r="AC27" i="21"/>
  <c r="AB27" i="2"/>
  <c r="Y27" i="21"/>
  <c r="X27" i="21"/>
  <c r="AE27" i="2"/>
  <c r="AB27" i="21"/>
  <c r="AD27" i="2"/>
  <c r="W27" i="2"/>
  <c r="AC27" i="2"/>
  <c r="AD116" i="26"/>
  <c r="AD118" i="26" s="1"/>
  <c r="AC87" i="26"/>
  <c r="AC89" i="26" s="1"/>
  <c r="AE99" i="26" s="1"/>
  <c r="Z27" i="2"/>
  <c r="AA27" i="2"/>
  <c r="Y87" i="26"/>
  <c r="Y89" i="26" s="1"/>
  <c r="AA99" i="26" s="1"/>
  <c r="AB87" i="26"/>
  <c r="AB89" i="26" s="1"/>
  <c r="AD99" i="26" s="1"/>
  <c r="AE27" i="21"/>
  <c r="X27" i="2"/>
  <c r="Y116" i="26"/>
  <c r="Y118" i="26" s="1"/>
  <c r="AB116" i="26"/>
  <c r="AB118" i="26" s="1"/>
  <c r="AF27" i="21"/>
  <c r="X116" i="26"/>
  <c r="X118" i="26" s="1"/>
  <c r="AE87" i="26"/>
  <c r="AE89" i="26" s="1"/>
  <c r="AG99" i="26" s="1"/>
  <c r="X87" i="26"/>
  <c r="X89" i="26" s="1"/>
  <c r="Z99" i="26" s="1"/>
  <c r="AA87" i="26"/>
  <c r="AA89" i="26" s="1"/>
  <c r="AC99" i="26" s="1"/>
  <c r="Y27" i="2"/>
  <c r="AA116" i="26"/>
  <c r="AA118" i="26" s="1"/>
  <c r="AF87" i="26"/>
  <c r="AF89" i="26" s="1"/>
  <c r="AD87" i="26"/>
  <c r="AD89" i="26" s="1"/>
  <c r="AF99" i="26" s="1"/>
  <c r="AF116" i="26"/>
  <c r="AF118" i="26" s="1"/>
  <c r="Z87" i="26"/>
  <c r="Z89" i="26" s="1"/>
  <c r="AB99" i="26" s="1"/>
  <c r="AC105" i="26"/>
  <c r="AC116" i="26" s="1"/>
  <c r="AE105" i="26"/>
  <c r="AE116" i="26" s="1"/>
  <c r="AE118" i="26" s="1"/>
  <c r="Z105" i="26"/>
  <c r="Z116" i="26" s="1"/>
  <c r="O87" i="26"/>
  <c r="O89" i="26" s="1"/>
  <c r="Q99" i="26" s="1"/>
  <c r="L87" i="26"/>
  <c r="L89" i="26" s="1"/>
  <c r="W87" i="26"/>
  <c r="W89" i="26" s="1"/>
  <c r="Y99" i="26" s="1"/>
  <c r="I87" i="26"/>
  <c r="I89" i="26" s="1"/>
  <c r="T87" i="26"/>
  <c r="T89" i="26" s="1"/>
  <c r="V99" i="26" s="1"/>
  <c r="E87" i="26"/>
  <c r="E89" i="26" s="1"/>
  <c r="J87" i="26"/>
  <c r="J89" i="26" s="1"/>
  <c r="M87" i="26"/>
  <c r="M89" i="26" s="1"/>
  <c r="U87" i="26"/>
  <c r="U89" i="26" s="1"/>
  <c r="W99" i="26" s="1"/>
  <c r="G87" i="26"/>
  <c r="G89" i="26" s="1"/>
  <c r="K87" i="26"/>
  <c r="K89" i="26" s="1"/>
  <c r="F116" i="26"/>
  <c r="N87" i="26"/>
  <c r="N89" i="26" s="1"/>
  <c r="P99" i="26" s="1"/>
  <c r="F87" i="26"/>
  <c r="F89" i="26" s="1"/>
  <c r="P87" i="26"/>
  <c r="P89" i="26" s="1"/>
  <c r="R99" i="26" s="1"/>
  <c r="S87" i="26"/>
  <c r="S89" i="26" s="1"/>
  <c r="U99" i="26" s="1"/>
  <c r="L116" i="26"/>
  <c r="T116" i="26"/>
  <c r="R87" i="26"/>
  <c r="R89" i="26" s="1"/>
  <c r="T99" i="26" s="1"/>
  <c r="U116" i="26"/>
  <c r="H87" i="26"/>
  <c r="H89" i="26" s="1"/>
  <c r="V116" i="26"/>
  <c r="W116" i="26"/>
  <c r="R116" i="26"/>
  <c r="I116" i="26"/>
  <c r="G116" i="26"/>
  <c r="J116" i="26"/>
  <c r="Q87" i="26"/>
  <c r="Q89" i="26" s="1"/>
  <c r="S99" i="26" s="1"/>
  <c r="S116" i="26"/>
  <c r="O116" i="26"/>
  <c r="K116" i="26"/>
  <c r="V87" i="26"/>
  <c r="V89" i="26" s="1"/>
  <c r="X99" i="26" s="1"/>
  <c r="Q116" i="26"/>
  <c r="E116" i="26"/>
  <c r="H116" i="26"/>
  <c r="N116" i="26"/>
  <c r="M116" i="26"/>
  <c r="P116" i="26"/>
  <c r="H27" i="21"/>
  <c r="G27" i="21"/>
  <c r="S23" i="2"/>
  <c r="H25" i="21"/>
  <c r="C25" i="21"/>
  <c r="O25" i="21"/>
  <c r="I25" i="21"/>
  <c r="U23" i="2"/>
  <c r="H23" i="2"/>
  <c r="G27" i="2" s="1"/>
  <c r="M23" i="2"/>
  <c r="Q25" i="21"/>
  <c r="P27" i="21"/>
  <c r="F25" i="21"/>
  <c r="E27" i="21"/>
  <c r="M27" i="21"/>
  <c r="N25" i="21"/>
  <c r="T27" i="21"/>
  <c r="U25" i="21"/>
  <c r="M25" i="21"/>
  <c r="L27" i="21"/>
  <c r="T23" i="2"/>
  <c r="R25" i="21"/>
  <c r="Q27" i="21"/>
  <c r="O23" i="2"/>
  <c r="E23" i="2"/>
  <c r="J23" i="2"/>
  <c r="Q23" i="2"/>
  <c r="D23" i="2"/>
  <c r="V23" i="2"/>
  <c r="C23" i="2"/>
  <c r="L25" i="21"/>
  <c r="K27" i="21"/>
  <c r="N27" i="21"/>
  <c r="V27" i="21"/>
  <c r="U27" i="21"/>
  <c r="V25" i="21"/>
  <c r="T25" i="21"/>
  <c r="S27" i="21"/>
  <c r="F23" i="2"/>
  <c r="N23" i="2"/>
  <c r="K25" i="21"/>
  <c r="J27" i="21"/>
  <c r="L23" i="2"/>
  <c r="P25" i="21"/>
  <c r="O27" i="21"/>
  <c r="R27" i="21"/>
  <c r="S25" i="21"/>
  <c r="J25" i="21"/>
  <c r="I27" i="21"/>
  <c r="K23" i="2"/>
  <c r="P23" i="2"/>
  <c r="F27" i="21"/>
  <c r="G25" i="21"/>
  <c r="D27" i="21"/>
  <c r="E25" i="21"/>
  <c r="D25" i="21"/>
  <c r="C27" i="21"/>
  <c r="R23" i="2"/>
  <c r="I23" i="2"/>
  <c r="Z45" i="21" l="1"/>
  <c r="AG45" i="21"/>
  <c r="AH45" i="21"/>
  <c r="AE45" i="21"/>
  <c r="AF45" i="21"/>
  <c r="AD45" i="21"/>
  <c r="AC45" i="21"/>
  <c r="Y45" i="21"/>
  <c r="AB45" i="21"/>
  <c r="AA45" i="21"/>
  <c r="AF25" i="2"/>
  <c r="AH44" i="2" s="1"/>
  <c r="W25" i="2"/>
  <c r="Y44" i="2" s="1"/>
  <c r="AB25" i="2"/>
  <c r="AD44" i="2" s="1"/>
  <c r="AC25" i="2"/>
  <c r="AE44" i="2" s="1"/>
  <c r="AE25" i="2"/>
  <c r="AG44" i="2" s="1"/>
  <c r="AA25" i="2"/>
  <c r="AC44" i="2" s="1"/>
  <c r="X25" i="2"/>
  <c r="Z44" i="2" s="1"/>
  <c r="Z25" i="2"/>
  <c r="AB44" i="2" s="1"/>
  <c r="AD25" i="2"/>
  <c r="AF44" i="2" s="1"/>
  <c r="Y25" i="2"/>
  <c r="AA44" i="2" s="1"/>
  <c r="AF129" i="26"/>
  <c r="AH99" i="26"/>
  <c r="Z129" i="26"/>
  <c r="AC129" i="26"/>
  <c r="AD129" i="26"/>
  <c r="AC118" i="26"/>
  <c r="AE129" i="26" s="1"/>
  <c r="Z118" i="26"/>
  <c r="AB129" i="26" s="1"/>
  <c r="AG129" i="26"/>
  <c r="AH129" i="26"/>
  <c r="AA129" i="26"/>
  <c r="C27" i="2"/>
  <c r="L118" i="26"/>
  <c r="H118" i="26"/>
  <c r="P118" i="26"/>
  <c r="R129" i="26" s="1"/>
  <c r="Q118" i="26"/>
  <c r="S129" i="26" s="1"/>
  <c r="U118" i="26"/>
  <c r="W129" i="26" s="1"/>
  <c r="M118" i="26"/>
  <c r="F118" i="26"/>
  <c r="N118" i="26"/>
  <c r="P129" i="26" s="1"/>
  <c r="S118" i="26"/>
  <c r="U129" i="26" s="1"/>
  <c r="R118" i="26"/>
  <c r="T129" i="26" s="1"/>
  <c r="T118" i="26"/>
  <c r="V129" i="26" s="1"/>
  <c r="K118" i="26"/>
  <c r="O118" i="26"/>
  <c r="Q129" i="26" s="1"/>
  <c r="E118" i="26"/>
  <c r="V118" i="26"/>
  <c r="X129" i="26" s="1"/>
  <c r="G118" i="26"/>
  <c r="J118" i="26"/>
  <c r="W118" i="26"/>
  <c r="Y129" i="26" s="1"/>
  <c r="I118" i="26"/>
  <c r="T27" i="2"/>
  <c r="U45" i="21"/>
  <c r="Q45" i="21"/>
  <c r="U25" i="2"/>
  <c r="S25" i="2"/>
  <c r="G25" i="2"/>
  <c r="V45" i="21"/>
  <c r="W45" i="21"/>
  <c r="X45" i="21"/>
  <c r="H25" i="2"/>
  <c r="R45" i="21"/>
  <c r="O45" i="21"/>
  <c r="T45" i="21"/>
  <c r="P45" i="21"/>
  <c r="S45" i="21"/>
  <c r="O25" i="2"/>
  <c r="N27" i="2"/>
  <c r="H27" i="2"/>
  <c r="I25" i="2"/>
  <c r="Q27" i="2"/>
  <c r="R25" i="2"/>
  <c r="N25" i="2"/>
  <c r="M27" i="2"/>
  <c r="M25" i="2"/>
  <c r="L27" i="2"/>
  <c r="C25" i="2"/>
  <c r="P25" i="2"/>
  <c r="O27" i="2"/>
  <c r="E27" i="2"/>
  <c r="F25" i="2"/>
  <c r="V25" i="2"/>
  <c r="U27" i="2"/>
  <c r="V27" i="2"/>
  <c r="J27" i="2"/>
  <c r="K25" i="2"/>
  <c r="D25" i="2"/>
  <c r="T25" i="2"/>
  <c r="S27" i="2"/>
  <c r="P27" i="2"/>
  <c r="Q25" i="2"/>
  <c r="L25" i="2"/>
  <c r="K27" i="2"/>
  <c r="I27" i="2"/>
  <c r="J25" i="2"/>
  <c r="R27" i="2"/>
  <c r="E25" i="2"/>
  <c r="D27" i="2"/>
  <c r="F27" i="2"/>
  <c r="V44" i="2" l="1"/>
  <c r="S44" i="2"/>
  <c r="U44" i="2"/>
  <c r="W44" i="2"/>
  <c r="X44" i="2"/>
  <c r="T44" i="2"/>
  <c r="R44" i="2"/>
  <c r="Q44" i="2"/>
  <c r="P44" i="2"/>
  <c r="O44" i="2"/>
  <c r="D87" i="26" l="1"/>
  <c r="D89" i="26" l="1"/>
  <c r="F3" i="17"/>
  <c r="E7" i="17" l="1"/>
  <c r="E5" i="17"/>
  <c r="E8" i="17"/>
  <c r="E11" i="17"/>
  <c r="E10" i="17"/>
  <c r="E12" i="17"/>
  <c r="E4" i="17"/>
  <c r="E13" i="17"/>
  <c r="C37" i="15" s="1"/>
  <c r="D4" i="17"/>
  <c r="E9" i="17"/>
  <c r="E6" i="17"/>
  <c r="C4" i="17" l="1"/>
  <c r="F4" i="17" s="1"/>
  <c r="J9" i="17"/>
  <c r="D92" i="26"/>
  <c r="F99" i="26" s="1"/>
  <c r="C28" i="2"/>
  <c r="D122" i="26"/>
  <c r="F129" i="26" s="1"/>
  <c r="C28" i="21"/>
  <c r="E45" i="21" l="1"/>
  <c r="D5" i="17"/>
  <c r="E44" i="2"/>
  <c r="D28" i="2" l="1"/>
  <c r="E122" i="26"/>
  <c r="G129" i="26" s="1"/>
  <c r="E92" i="26"/>
  <c r="G99" i="26" s="1"/>
  <c r="D28" i="21"/>
  <c r="C5" i="17"/>
  <c r="F5" i="17" s="1"/>
  <c r="F45" i="21" l="1"/>
  <c r="D6" i="17"/>
  <c r="F44" i="2"/>
  <c r="F92" i="26" l="1"/>
  <c r="H99" i="26" s="1"/>
  <c r="F122" i="26"/>
  <c r="H129" i="26" s="1"/>
  <c r="E28" i="2"/>
  <c r="E28" i="21"/>
  <c r="C6" i="17"/>
  <c r="F6" i="17" s="1"/>
  <c r="G45" i="21" l="1"/>
  <c r="G44" i="2"/>
  <c r="D7" i="17"/>
  <c r="G92" i="26" l="1"/>
  <c r="I99" i="26" s="1"/>
  <c r="G122" i="26"/>
  <c r="I129" i="26" s="1"/>
  <c r="F28" i="21"/>
  <c r="F28" i="2"/>
  <c r="C7" i="17"/>
  <c r="F7" i="17" s="1"/>
  <c r="D8" i="17" l="1"/>
  <c r="H44" i="2"/>
  <c r="H45" i="21"/>
  <c r="H92" i="26" l="1"/>
  <c r="J99" i="26" s="1"/>
  <c r="H122" i="26"/>
  <c r="J129" i="26" s="1"/>
  <c r="G28" i="21"/>
  <c r="G28" i="2"/>
  <c r="C8" i="17"/>
  <c r="F8" i="17" s="1"/>
  <c r="I45" i="21" l="1"/>
  <c r="D9" i="17"/>
  <c r="I44" i="2"/>
  <c r="I92" i="26" l="1"/>
  <c r="K99" i="26" s="1"/>
  <c r="I122" i="26"/>
  <c r="K129" i="26" s="1"/>
  <c r="H28" i="2"/>
  <c r="J44" i="2" s="1"/>
  <c r="H28" i="21"/>
  <c r="J45" i="21" s="1"/>
  <c r="C9" i="17"/>
  <c r="F9" i="17" s="1"/>
  <c r="D10" i="17" l="1"/>
  <c r="I28" i="21" l="1"/>
  <c r="K45" i="21" s="1"/>
  <c r="I28" i="2"/>
  <c r="K44" i="2" s="1"/>
  <c r="J92" i="26"/>
  <c r="L99" i="26" s="1"/>
  <c r="J122" i="26"/>
  <c r="L129" i="26" s="1"/>
  <c r="C10" i="17"/>
  <c r="F10" i="17" s="1"/>
  <c r="D11" i="17" l="1"/>
  <c r="J28" i="21" l="1"/>
  <c r="L45" i="21" s="1"/>
  <c r="J28" i="2"/>
  <c r="L44" i="2" s="1"/>
  <c r="K92" i="26"/>
  <c r="M99" i="26" s="1"/>
  <c r="K122" i="26"/>
  <c r="M129" i="26" s="1"/>
  <c r="C11" i="17"/>
  <c r="F11" i="17" s="1"/>
  <c r="D12" i="17" l="1"/>
  <c r="K28" i="2" l="1"/>
  <c r="M44" i="2" s="1"/>
  <c r="K28" i="21"/>
  <c r="M45" i="21" s="1"/>
  <c r="L92" i="26"/>
  <c r="N99" i="26" s="1"/>
  <c r="L122" i="26"/>
  <c r="N129" i="26" s="1"/>
  <c r="C12" i="17"/>
  <c r="F12" i="17" s="1"/>
  <c r="D13" i="17" l="1"/>
  <c r="L28" i="21" l="1"/>
  <c r="M122" i="26"/>
  <c r="O129" i="26" s="1"/>
  <c r="M92" i="26"/>
  <c r="O99" i="26" s="1"/>
  <c r="L28" i="2"/>
  <c r="C13" i="17"/>
  <c r="F13" i="17" s="1"/>
  <c r="J8" i="17"/>
  <c r="N44" i="2" l="1"/>
  <c r="C11" i="15"/>
  <c r="E95" i="26"/>
  <c r="C16" i="15" s="1"/>
  <c r="E96" i="26"/>
  <c r="C17" i="15" s="1"/>
  <c r="E125" i="26"/>
  <c r="D16" i="15" s="1"/>
  <c r="E126" i="26"/>
  <c r="D17" i="15" s="1"/>
  <c r="N45" i="21"/>
  <c r="D11" i="15"/>
  <c r="D29" i="15" l="1"/>
  <c r="D30" i="15"/>
  <c r="D33" i="21"/>
  <c r="D9" i="15" s="1"/>
  <c r="D39" i="15" s="1"/>
  <c r="D34" i="21"/>
  <c r="D10" i="15" s="1"/>
  <c r="D32" i="2"/>
  <c r="C9" i="15" s="1"/>
  <c r="D40" i="15" s="1"/>
  <c r="D33" i="2"/>
  <c r="C1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tc={FA337FC3-807B-44F8-9437-F07CB9D90BBF}</author>
    <author>tc={C6647352-5425-4C73-86CF-DEE911D2D37B}</author>
    <author>tc={CB528E1E-168A-4BE7-AC1B-44E042565116}</author>
  </authors>
  <commentList>
    <comment ref="E4" authorId="0" shapeId="0" xr:uid="{FA337FC3-807B-44F8-9437-F07CB9D90BBF}">
      <text>
        <t>[Comentario encadenado]
Su versión de Excel le permite leer este comentario encadenado; sin embargo, las ediciones que se apliquen se quitarán si el archivo se abre en una versión más reciente de Excel. Más información: https://go.microsoft.com/fwlink/?linkid=870924
Comentario:
    Sobre Potencia y Consumo</t>
      </text>
    </comment>
    <comment ref="E5" authorId="1" shapeId="0" xr:uid="{C6647352-5425-4C73-86CF-DEE911D2D37B}">
      <text>
        <t>[Comentario encadenado]
Su versión de Excel le permite leer este comentario encadenado; sin embargo, las ediciones que se apliquen se quitarán si el archivo se abre en una versión más reciente de Excel. Más información: https://go.microsoft.com/fwlink/?linkid=870924
Comentario:
    Sobre Potencia, Consumo e Impuesto Eléctrico</t>
      </text>
    </comment>
    <comment ref="D40" authorId="2" shapeId="0" xr:uid="{CB528E1E-168A-4BE7-AC1B-44E042565116}">
      <text>
        <t>[Comentario encadenado]
Su versión de Excel le permite leer este comentario encadenado; sin embargo, las ediciones que se apliquen se quitarán si el archivo se abre en una versión más reciente de Excel. Más información: https://go.microsoft.com/fwlink/?linkid=870924
Comentario:
    Solo funciona de manera mensual</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27mar</author>
  </authors>
  <commentList>
    <comment ref="H22" authorId="0" shapeId="0" xr:uid="{A921FB1A-6DC6-4B9F-A37C-E436366CF176}">
      <text>
        <r>
          <rPr>
            <sz val="9"/>
            <color indexed="81"/>
            <rFont val="Tahoma"/>
            <family val="2"/>
          </rPr>
          <t xml:space="preserve"> No tengo en cuenta el cálculo del número de paneles, esto te lo calcula con el número de panales que sale en la primera hoja, luego tengo que elegir cual de las dos tablas utilizar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44F06D5-CCE8-470E-A76D-FA08C929D8F8}" keepAlive="1" name="Consulta - Table 0 (3)" description="Conexión a la consulta 'Table 0 (3)' en el libro." type="5" refreshedVersion="7" background="1" saveData="1">
    <dbPr connection="Provider=Microsoft.Mashup.OleDb.1;Data Source=$Workbook$;Location=&quot;Table 0 (3)&quot;;Extended Properties=&quot;&quot;" command="SELECT * FROM [Table 0 (3)]"/>
  </connection>
</connections>
</file>

<file path=xl/sharedStrings.xml><?xml version="1.0" encoding="utf-8"?>
<sst xmlns="http://schemas.openxmlformats.org/spreadsheetml/2006/main" count="2386" uniqueCount="624">
  <si>
    <t>Coste Mantenimiento</t>
  </si>
  <si>
    <t>CONSUMO ELÉCTRICO</t>
  </si>
  <si>
    <t>VAN</t>
  </si>
  <si>
    <t>Mes\Años</t>
  </si>
  <si>
    <t>Enero</t>
  </si>
  <si>
    <t>Febrero</t>
  </si>
  <si>
    <t>Marzo</t>
  </si>
  <si>
    <t>Abril</t>
  </si>
  <si>
    <t>Mayo</t>
  </si>
  <si>
    <t>Junio</t>
  </si>
  <si>
    <t>Julio</t>
  </si>
  <si>
    <t>Agosto</t>
  </si>
  <si>
    <t>Septiembre</t>
  </si>
  <si>
    <t xml:space="preserve">Octubre </t>
  </si>
  <si>
    <t>Noviembre</t>
  </si>
  <si>
    <t>Diciembre</t>
  </si>
  <si>
    <t>Total</t>
  </si>
  <si>
    <t>Ingresos</t>
  </si>
  <si>
    <t>Inversión Incial</t>
  </si>
  <si>
    <t>r</t>
  </si>
  <si>
    <t>TIR</t>
  </si>
  <si>
    <t>Ávila</t>
  </si>
  <si>
    <t>Burgos</t>
  </si>
  <si>
    <t>León</t>
  </si>
  <si>
    <t>Salamanca</t>
  </si>
  <si>
    <t>Segovia</t>
  </si>
  <si>
    <t>Soria</t>
  </si>
  <si>
    <t>Valladolid</t>
  </si>
  <si>
    <t>Zamora</t>
  </si>
  <si>
    <t>Provincia</t>
  </si>
  <si>
    <t>Orientación</t>
  </si>
  <si>
    <t>Superficie Plana</t>
  </si>
  <si>
    <t>Superficie Inclinada</t>
  </si>
  <si>
    <t>Sur</t>
  </si>
  <si>
    <t>Este</t>
  </si>
  <si>
    <t>Oeste</t>
  </si>
  <si>
    <t>Palencia</t>
  </si>
  <si>
    <t>Coste Desechaje</t>
  </si>
  <si>
    <t>Sí</t>
  </si>
  <si>
    <t>No</t>
  </si>
  <si>
    <t>Discriminación Horaria</t>
  </si>
  <si>
    <t>Horario de verano</t>
  </si>
  <si>
    <t>Horas valle: 23:00 hasta las 13:00</t>
  </si>
  <si>
    <t>Horas punta: 13:00 hasta las 23:00</t>
  </si>
  <si>
    <t>Horario de invierno</t>
  </si>
  <si>
    <t>Horas valle: 22:00 hasta las 12:00</t>
  </si>
  <si>
    <t>Horas punta: 12:00 hasta las 22:00</t>
  </si>
  <si>
    <t>Consumo mensual</t>
  </si>
  <si>
    <t>-</t>
  </si>
  <si>
    <t>Unifamiliar</t>
  </si>
  <si>
    <t>Piso</t>
  </si>
  <si>
    <t>Apartamento</t>
  </si>
  <si>
    <t>PRECIO MW/h CONTRATADO</t>
  </si>
  <si>
    <t xml:space="preserve">DATOS CONSUMO </t>
  </si>
  <si>
    <t>¿Quiere introducir los datos mensuales o anuales?</t>
  </si>
  <si>
    <t>Mensual</t>
  </si>
  <si>
    <t>Anual</t>
  </si>
  <si>
    <t>Octubre</t>
  </si>
  <si>
    <t>Precio Consumo pico</t>
  </si>
  <si>
    <t>Precio Consumo valle</t>
  </si>
  <si>
    <t>TASAS</t>
  </si>
  <si>
    <t>Impuesto Eléctrico</t>
  </si>
  <si>
    <t>IVA</t>
  </si>
  <si>
    <t>Tipo Instalación</t>
  </si>
  <si>
    <t>Autoconsumo Individual con Excedentes</t>
  </si>
  <si>
    <t>INSTALACIÓN</t>
  </si>
  <si>
    <t>PANELES</t>
  </si>
  <si>
    <t>EXCEDENTE</t>
  </si>
  <si>
    <t>Compensación por excedente</t>
  </si>
  <si>
    <t>Límite compensación</t>
  </si>
  <si>
    <t>€/kw</t>
  </si>
  <si>
    <t>Relación respecto al sur</t>
  </si>
  <si>
    <t>https://sotysolar.es/blog/como-afecta-la-orientacion-de-tu-tejado-a-tu-instalacion-de-placas-solares</t>
  </si>
  <si>
    <t xml:space="preserve"> </t>
  </si>
  <si>
    <t>Porcentaje la electricidad consumida durante el día</t>
  </si>
  <si>
    <t>FINANCIACIÓN</t>
  </si>
  <si>
    <t>COSTES</t>
  </si>
  <si>
    <t>Préstamo</t>
  </si>
  <si>
    <t>Años</t>
  </si>
  <si>
    <t>Tipo Interés</t>
  </si>
  <si>
    <t>Año</t>
  </si>
  <si>
    <t>Periodo</t>
  </si>
  <si>
    <t>Parámetro</t>
  </si>
  <si>
    <t>Salida y puesta del sol</t>
  </si>
  <si>
    <t xml:space="preserve">Febero </t>
  </si>
  <si>
    <t>Álava</t>
  </si>
  <si>
    <t>Albacete</t>
  </si>
  <si>
    <t>Alicante</t>
  </si>
  <si>
    <t>Almería</t>
  </si>
  <si>
    <t>Badajoz</t>
  </si>
  <si>
    <t>Islas Baleares</t>
  </si>
  <si>
    <t>Barcelona</t>
  </si>
  <si>
    <t>Cáceres</t>
  </si>
  <si>
    <t>Cádiz</t>
  </si>
  <si>
    <t>Castellón</t>
  </si>
  <si>
    <t>Ciudad Real</t>
  </si>
  <si>
    <t>Córdoba</t>
  </si>
  <si>
    <t>A Coruña</t>
  </si>
  <si>
    <t>Cuenca</t>
  </si>
  <si>
    <t>Girona</t>
  </si>
  <si>
    <t>Granada</t>
  </si>
  <si>
    <t>Guadalajara</t>
  </si>
  <si>
    <t xml:space="preserve">Guipúzcoa </t>
  </si>
  <si>
    <t>Huelva</t>
  </si>
  <si>
    <t>Huesca</t>
  </si>
  <si>
    <t>Jaén</t>
  </si>
  <si>
    <t>Lleida</t>
  </si>
  <si>
    <t>La Rioja</t>
  </si>
  <si>
    <t>Lugo</t>
  </si>
  <si>
    <t>Madrid</t>
  </si>
  <si>
    <t>Málaga</t>
  </si>
  <si>
    <t>Murcia</t>
  </si>
  <si>
    <t>Navarra</t>
  </si>
  <si>
    <t>Ourense</t>
  </si>
  <si>
    <t>Asturias</t>
  </si>
  <si>
    <t>Las Palmas</t>
  </si>
  <si>
    <t>Pontevedra</t>
  </si>
  <si>
    <t>Santa Cruz de Tenerife</t>
  </si>
  <si>
    <t>Cantabria</t>
  </si>
  <si>
    <t>Sevilla</t>
  </si>
  <si>
    <t>Tarragona</t>
  </si>
  <si>
    <t>Teruel</t>
  </si>
  <si>
    <t>Toledo</t>
  </si>
  <si>
    <t>Valencia</t>
  </si>
  <si>
    <t>Vizcaya</t>
  </si>
  <si>
    <t>Zaragoza</t>
  </si>
  <si>
    <t>Ceuta</t>
  </si>
  <si>
    <t>Melilla</t>
  </si>
  <si>
    <t>Métrica:"Salida y puesta del sol"</t>
  </si>
  <si>
    <t>Fuente:"IGN"</t>
  </si>
  <si>
    <t>Clasificación:""</t>
  </si>
  <si>
    <t>Unidad:"Media de horas de luz"</t>
  </si>
  <si>
    <t>Escala:"Unidades"</t>
  </si>
  <si>
    <t>EscalaFactorPotencia10:"0"</t>
  </si>
  <si>
    <t>SonDatosNumericos:"True"</t>
  </si>
  <si>
    <t>Url:"https://www.epdata.es/horas-luz-provincias-2019/6841c77e-e946-420e-a0c4-cff4de1154f3"</t>
  </si>
  <si>
    <t>Titulo:"Horas de luz por provincias 2019"</t>
  </si>
  <si>
    <t>Subtitulo:""</t>
  </si>
  <si>
    <t>Fórmulas No perder</t>
  </si>
  <si>
    <t>DESREF(horas_de_luz_por_provinci!$G$1;BUSCARX('Datos Nueva Instalación'!$C$9;horas_de_luz_por_provinci!$G$2:$G$53;horas_de_luz_por_provinci!$F$2:$F$53);Producción!$A4)</t>
  </si>
  <si>
    <t>Precio consumo medio</t>
  </si>
  <si>
    <t>Excedentes</t>
  </si>
  <si>
    <t>Consumo</t>
  </si>
  <si>
    <t>Gastos Mantenimiento</t>
  </si>
  <si>
    <t>En kW</t>
  </si>
  <si>
    <t>¿?</t>
  </si>
  <si>
    <t>¿'</t>
  </si>
  <si>
    <t>Horas</t>
  </si>
  <si>
    <t>Porcentaje</t>
  </si>
  <si>
    <t>Coste Paneles</t>
  </si>
  <si>
    <t>Coste Inversor</t>
  </si>
  <si>
    <t>Coste Obra Civil</t>
  </si>
  <si>
    <t>OCU</t>
  </si>
  <si>
    <t>Potencia Pico por Panel(W)</t>
  </si>
  <si>
    <t>USADOS</t>
  </si>
  <si>
    <t>NUEVOS</t>
  </si>
  <si>
    <t>Nuevos</t>
  </si>
  <si>
    <t>Usados</t>
  </si>
  <si>
    <t>Coste por Panel</t>
  </si>
  <si>
    <t>Discriminación por Meses</t>
  </si>
  <si>
    <t>Otros</t>
  </si>
  <si>
    <t>BUSCAR UN ESTÁNDAR</t>
  </si>
  <si>
    <t>(kW/día)</t>
  </si>
  <si>
    <t>kW</t>
  </si>
  <si>
    <t>COSTE SIN PANELES</t>
  </si>
  <si>
    <t>Coste si no tuviesemos paneles a la hora a la que producimos</t>
  </si>
  <si>
    <t>Excedentes en kW/día</t>
  </si>
  <si>
    <t>Factor Impuestos</t>
  </si>
  <si>
    <t>Consumo de un hogar medio</t>
  </si>
  <si>
    <t>Mes</t>
  </si>
  <si>
    <t>Consumo Medio</t>
  </si>
  <si>
    <t>Facturación Media</t>
  </si>
  <si>
    <t>Diario</t>
  </si>
  <si>
    <t>3272 kWh</t>
  </si>
  <si>
    <t>9kwh</t>
  </si>
  <si>
    <t>https://www.ree.es/sites/default/files/interactivos/como_consumimos_electricidad/como-varia-mi-consumo.html</t>
  </si>
  <si>
    <t>COMPONENTE</t>
  </si>
  <si>
    <t>FUNCIÓN</t>
  </si>
  <si>
    <t>PRECIO</t>
  </si>
  <si>
    <t>PRECIO SOBRE EL TOTAL (%)</t>
  </si>
  <si>
    <t>Paneles fotovoltaicos</t>
  </si>
  <si>
    <t>Transforma la energía solar en energía eléctrica gracias al efecto fotovoltaico.</t>
  </si>
  <si>
    <t>190-250€/panel</t>
  </si>
  <si>
    <t>40-55%</t>
  </si>
  <si>
    <t>Inversor solar</t>
  </si>
  <si>
    <t>Se encarga de transformar la corriente continua producida por el panel solar en corriente alterna con el objetivo de habilitar su utilización.</t>
  </si>
  <si>
    <t>1.300-1.600€</t>
  </si>
  <si>
    <t>20-25%</t>
  </si>
  <si>
    <t>Estructura soportante</t>
  </si>
  <si>
    <t>Se encarga de orientar el panel, proporcionar sujeción y protegerlo frente a la inclemencias meteorológicas.</t>
  </si>
  <si>
    <t>80-90€ por cada 2 paneles</t>
  </si>
  <si>
    <t>Contador bidireccional</t>
  </si>
  <si>
    <t>Permite registrar la curva de carga de la vivienda para optimizar el autoconsumo.</t>
  </si>
  <si>
    <t>200-250€</t>
  </si>
  <si>
    <t>Cuadro de protecciones para CC y AC</t>
  </si>
  <si>
    <t>Incluye todas las protecciones para la instalación fotovoltaica tanto para corriente alterna como corriente continua.</t>
  </si>
  <si>
    <t>Legalización y boletín</t>
  </si>
  <si>
    <t>Incluye el registro y legalización de la instalación.</t>
  </si>
  <si>
    <t>Mano de obra y materiales</t>
  </si>
  <si>
    <t>Refleja el coste de la instalación y cableado.</t>
  </si>
  <si>
    <t>https://selectra.es/autoconsumo/info/instalacion</t>
  </si>
  <si>
    <t>Estructura Soportante</t>
  </si>
  <si>
    <t>Personas en la vivienda</t>
  </si>
  <si>
    <t>Potencia contratada</t>
  </si>
  <si>
    <t>Factura media cada dos meses</t>
  </si>
  <si>
    <t>1 persona</t>
  </si>
  <si>
    <t>3,45 KW</t>
  </si>
  <si>
    <t>70,95 EUR</t>
  </si>
  <si>
    <t>2 personas</t>
  </si>
  <si>
    <t>4,6 KW</t>
  </si>
  <si>
    <t>98,60 EUR</t>
  </si>
  <si>
    <t>106,55 EUR</t>
  </si>
  <si>
    <t>3 personas (1 hijo)</t>
  </si>
  <si>
    <t>117,30 EUR</t>
  </si>
  <si>
    <t>4 personas (2 hijos)</t>
  </si>
  <si>
    <t>5,75 KW</t>
  </si>
  <si>
    <t>127,80 EUR</t>
  </si>
  <si>
    <t>135,73 EUR</t>
  </si>
  <si>
    <t>5 personas (3 hijos)</t>
  </si>
  <si>
    <t>153,95 EUR</t>
  </si>
  <si>
    <t>https://www.mipodo.com/blog/informacion/factura-media-luz-hogar-espana/</t>
  </si>
  <si>
    <t>PRODUCCIÓN PANELES</t>
  </si>
  <si>
    <t>Degradación anual de estos paneles</t>
  </si>
  <si>
    <t>Capital</t>
  </si>
  <si>
    <t>Intereses</t>
  </si>
  <si>
    <t>Cuota (cap.+ int.)</t>
  </si>
  <si>
    <t>Deuda Pendiente</t>
  </si>
  <si>
    <t>TOTALES</t>
  </si>
  <si>
    <t>TOTAL INTERESES:</t>
  </si>
  <si>
    <t>TOTAL PAGADO:</t>
  </si>
  <si>
    <t>DURACIÓN</t>
  </si>
  <si>
    <t>Coste Desechado</t>
  </si>
  <si>
    <t>INVERSIÓN INICIAL</t>
  </si>
  <si>
    <t>DESECHADO</t>
  </si>
  <si>
    <t>Agrupar as entradas de datos</t>
  </si>
  <si>
    <t>Más ordenado y con menos colores</t>
  </si>
  <si>
    <t>especificar para que es el programa</t>
  </si>
  <si>
    <t>BIPV asesorar al consumidor final</t>
  </si>
  <si>
    <t>Cuales controla el BIPV y cuales se consulta al consumidor</t>
  </si>
  <si>
    <t>Poner una ayuda</t>
  </si>
  <si>
    <t>Hablar con un instalador de paneles solares, para ver que pregunta a los clientes</t>
  </si>
  <si>
    <t>Cambiar los paneles usados, suponer un cambio, dejarlo abierto a lo que se quiera cambiar.</t>
  </si>
  <si>
    <t>O pensarlo en cuando se agota la garantía.</t>
  </si>
  <si>
    <t>Vincularlo al del Sello que planteará una vida residual de 20 años.</t>
  </si>
  <si>
    <t>Consumidor adverso o no adverso al riesgo</t>
  </si>
  <si>
    <t>Cambiar estructura soportante</t>
  </si>
  <si>
    <t xml:space="preserve">Dos hojas una abierta al BIPV </t>
  </si>
  <si>
    <t xml:space="preserve">Preguntar a los de ELECTRA si </t>
  </si>
  <si>
    <t>Todo en la memoria</t>
  </si>
  <si>
    <t>COMO SERÍA:</t>
  </si>
  <si>
    <t xml:space="preserve">Hoja con datos consumidor </t>
  </si>
  <si>
    <t>Hoja de datos que sabe el BIPV</t>
  </si>
  <si>
    <t>Que el BIPV le de al usuario una hoja</t>
  </si>
  <si>
    <t>Costes y demás, los datos que sabe el de la empresa</t>
  </si>
  <si>
    <t>Añadir superficie necesario</t>
  </si>
  <si>
    <t>Que el BIPV ponga los costes</t>
  </si>
  <si>
    <t>Separar los costes de panel ( con 4 tipos de panel)</t>
  </si>
  <si>
    <t>Memoria: Tipo de clientes que buscamos , gente que busque ahorrar, ecologista, preocupado por la economía circular</t>
  </si>
  <si>
    <t>Llamar al Ingreso por no consumo de otra manera</t>
  </si>
  <si>
    <t>Ingresos por excedente ( deducción factura)</t>
  </si>
  <si>
    <t>Mantenimieto: Poner unos 100€</t>
  </si>
  <si>
    <t>Hacer la inversión media</t>
  </si>
  <si>
    <t>Coste Iniciales en el momento 0, y los ingresos ya serían a partir del año 1</t>
  </si>
  <si>
    <t>Plantear el amortizar los paneles ( que pierdan el valor en 20 años)</t>
  </si>
  <si>
    <t>Futuras líneas de Investigación: -Como influiría la temperatura en los diferentes lugares, y diferentes provincias</t>
  </si>
  <si>
    <t>Nº Paneles Nuevos</t>
  </si>
  <si>
    <t>Nº Paneles Usados</t>
  </si>
  <si>
    <t>Recambio Paneles</t>
  </si>
  <si>
    <t>Precios</t>
  </si>
  <si>
    <t>Paneles Disponibles</t>
  </si>
  <si>
    <t>Potencia Pico</t>
  </si>
  <si>
    <t>Precio</t>
  </si>
  <si>
    <t>Recambio Paneles Usados</t>
  </si>
  <si>
    <t>Cuando</t>
  </si>
  <si>
    <t>Cuantos</t>
  </si>
  <si>
    <t>10 años</t>
  </si>
  <si>
    <t>Mitad proyecto</t>
  </si>
  <si>
    <t>Degradación anual</t>
  </si>
  <si>
    <t>Degradación de los Paneles</t>
  </si>
  <si>
    <t>Obra Civil</t>
  </si>
  <si>
    <t>Inversor</t>
  </si>
  <si>
    <t>Mantenimiento</t>
  </si>
  <si>
    <t>Fin Vida Útil Paneles</t>
  </si>
  <si>
    <t>Tasa Desechado</t>
  </si>
  <si>
    <t>Potencia Instalada(en kW)</t>
  </si>
  <si>
    <t>Auxiliar</t>
  </si>
  <si>
    <t>Potencia Pico %</t>
  </si>
  <si>
    <t>PANELES NUEVOS</t>
  </si>
  <si>
    <t>PANELES USADOS</t>
  </si>
  <si>
    <t>Potencia Pico 1I</t>
  </si>
  <si>
    <t>Potencia Pico Recambio</t>
  </si>
  <si>
    <t>NºPaneles 1ª Instalación</t>
  </si>
  <si>
    <t>Nº Paneles Recambio</t>
  </si>
  <si>
    <t>Año en que se realiza el recambio</t>
  </si>
  <si>
    <t>Simulaciones con probabilidades de que se estropeen los paneles</t>
  </si>
  <si>
    <t>Financiación</t>
  </si>
  <si>
    <t>A cuantos años</t>
  </si>
  <si>
    <t>Situación y Orientación</t>
  </si>
  <si>
    <t>Tarifa Actual</t>
  </si>
  <si>
    <t>Seleccione su tarifa</t>
  </si>
  <si>
    <t>Precio Indexado</t>
  </si>
  <si>
    <t>2.0 DHA</t>
  </si>
  <si>
    <t>2.0A</t>
  </si>
  <si>
    <t xml:space="preserve">Noviembre </t>
  </si>
  <si>
    <t>PVPC</t>
  </si>
  <si>
    <t>Consumo Persona</t>
  </si>
  <si>
    <t>¿Conoce su consumo Mensual?</t>
  </si>
  <si>
    <t>Si</t>
  </si>
  <si>
    <t>Excedente Factura</t>
  </si>
  <si>
    <t>Tipo de Instalación</t>
  </si>
  <si>
    <t>Tasa Libre de Riesgo</t>
  </si>
  <si>
    <t>Autoconsumo Aislado</t>
  </si>
  <si>
    <t>Autoconsumo Individual sin excedentes</t>
  </si>
  <si>
    <t>Años Inversión</t>
  </si>
  <si>
    <t>¿A cuantos años quieres hacer la inversión?</t>
  </si>
  <si>
    <t>Prueba Usados</t>
  </si>
  <si>
    <t>Opcional</t>
  </si>
  <si>
    <t>(por panel)</t>
  </si>
  <si>
    <t>Porcentaje de la Electricidad que estima consumir durante las horas del día</t>
  </si>
  <si>
    <t>(€/kW)</t>
  </si>
  <si>
    <t>Deducción por compensación (€/kW)</t>
  </si>
  <si>
    <t>Límite de compensación</t>
  </si>
  <si>
    <t>Coste de Oportunidad en las horas del día (nuevos)</t>
  </si>
  <si>
    <t>Coste de Oportunidad en las horas del día(usados)</t>
  </si>
  <si>
    <t>Nuevos_4</t>
  </si>
  <si>
    <t>Nuevos_5</t>
  </si>
  <si>
    <t>Usados_2</t>
  </si>
  <si>
    <t>Usados_3</t>
  </si>
  <si>
    <t>2.0 TD</t>
  </si>
  <si>
    <t>Precio Medio 2.0 TD</t>
  </si>
  <si>
    <t>Días al año</t>
  </si>
  <si>
    <t>Fines de Semana</t>
  </si>
  <si>
    <t>Festivos</t>
  </si>
  <si>
    <t>Totales</t>
  </si>
  <si>
    <t>Laborales</t>
  </si>
  <si>
    <t>Peso</t>
  </si>
  <si>
    <t>Fest+FdSemana</t>
  </si>
  <si>
    <t>https://www.dias-laborables.es/dias_laborables_feriados_2021.htm</t>
  </si>
  <si>
    <t>€</t>
  </si>
  <si>
    <t>Tarifa en la que tu elegías tus horas pico y tus horas  valle</t>
  </si>
  <si>
    <t>Hacer una pequeña simulación con una factua mía</t>
  </si>
  <si>
    <t>En vez de un formulario, utilizar la Hoja de Cálculo como un formulario y conectarla al excel</t>
  </si>
  <si>
    <t>Preveer una determinada subvención , para los nuevos o usados</t>
  </si>
  <si>
    <t>Cuanto costaría la instalación ( Ofrecer financiación)</t>
  </si>
  <si>
    <t>POTENCIA INSTALADA (kW)</t>
  </si>
  <si>
    <t xml:space="preserve">Poner las Unidades </t>
  </si>
  <si>
    <t>Preguntar instalar más de 20 kW</t>
  </si>
  <si>
    <t>Dejar abierto una reducción del término de potencia</t>
  </si>
  <si>
    <t>AppSheet</t>
  </si>
  <si>
    <t>Probar hacer una macro insertandando los datos y que lo guarde en otro lado</t>
  </si>
  <si>
    <t>Probar una macro que te introduzca distintos tipos de tarifas</t>
  </si>
  <si>
    <t>Subvención</t>
  </si>
  <si>
    <t>Importe</t>
  </si>
  <si>
    <t>por instalación</t>
  </si>
  <si>
    <t>Ambos</t>
  </si>
  <si>
    <t>por kW instalado</t>
  </si>
  <si>
    <t>Meter lo de una sola factura, coger de donde el formulario y ponerlo aquí tbn</t>
  </si>
  <si>
    <t>APPSHEET : Puede ser la leche hacerlo con esto</t>
  </si>
  <si>
    <t>Tipo Paneles</t>
  </si>
  <si>
    <t>Potencia Instalada</t>
  </si>
  <si>
    <t>TARIFA ELÉCTRICA INDUSTRIAL</t>
  </si>
  <si>
    <t>Nombre</t>
  </si>
  <si>
    <t>2.0 A</t>
  </si>
  <si>
    <t>2.0 DHS</t>
  </si>
  <si>
    <t>Tarifa Plana</t>
  </si>
  <si>
    <t>Precio Variable</t>
  </si>
  <si>
    <t>Número de Tramos</t>
  </si>
  <si>
    <t>1er Tramo</t>
  </si>
  <si>
    <t>2º Tramo</t>
  </si>
  <si>
    <t>3er Tramo</t>
  </si>
  <si>
    <t>4º Tramo</t>
  </si>
  <si>
    <t>Incluye Fines de Semana</t>
  </si>
  <si>
    <t>Hora Inicio</t>
  </si>
  <si>
    <t>Hora Fin</t>
  </si>
  <si>
    <t>Hora Inicio_2</t>
  </si>
  <si>
    <t>Hora Fin_2</t>
  </si>
  <si>
    <t>Hora Inicio3_</t>
  </si>
  <si>
    <t>Hora Fin_3</t>
  </si>
  <si>
    <t>Incluye Fines de Semana_3</t>
  </si>
  <si>
    <t>Incluye Fines de Semana_2</t>
  </si>
  <si>
    <t>Hora Inicio_4</t>
  </si>
  <si>
    <t>Hora Fin_4</t>
  </si>
  <si>
    <t>Incluye Fines de Semana_4</t>
  </si>
  <si>
    <t>Hora Fin_32</t>
  </si>
  <si>
    <t>Hora Fin_5</t>
  </si>
  <si>
    <t>Discriminación en Meses</t>
  </si>
  <si>
    <t>Nombre Tramo</t>
  </si>
  <si>
    <t>Nombre Tramo_2</t>
  </si>
  <si>
    <t>Identificador</t>
  </si>
  <si>
    <t>Tarifa</t>
  </si>
  <si>
    <t>Precio Pico</t>
  </si>
  <si>
    <t>Precio llano</t>
  </si>
  <si>
    <t>Precio Valle</t>
  </si>
  <si>
    <t>Conoce Consumo</t>
  </si>
  <si>
    <t>% Consumo Día</t>
  </si>
  <si>
    <t>C_Enero</t>
  </si>
  <si>
    <t>C_Febrero</t>
  </si>
  <si>
    <t>C_Marzo</t>
  </si>
  <si>
    <t>C_Abril</t>
  </si>
  <si>
    <t>C_Mayo</t>
  </si>
  <si>
    <t>C_Junio</t>
  </si>
  <si>
    <t>C_Julio</t>
  </si>
  <si>
    <t>C_Agosto</t>
  </si>
  <si>
    <t>C_Septiembre</t>
  </si>
  <si>
    <t>C_Octubre</t>
  </si>
  <si>
    <t>C_Noviembre</t>
  </si>
  <si>
    <t>C_Diciembre</t>
  </si>
  <si>
    <t>Valor Factura</t>
  </si>
  <si>
    <t>Deducción Compesación</t>
  </si>
  <si>
    <t>Limite</t>
  </si>
  <si>
    <t>Correo</t>
  </si>
  <si>
    <t>Teléfono</t>
  </si>
  <si>
    <t>Coste Instalación</t>
  </si>
  <si>
    <t>¿Quiere financiación?</t>
  </si>
  <si>
    <t>¿Importe?</t>
  </si>
  <si>
    <t>Este-Oeste</t>
  </si>
  <si>
    <t xml:space="preserve"> COSTE TÉRMINO DE ENERGÍA A PRECIOS DE MERCADO ( Sin Impuestos)</t>
  </si>
  <si>
    <t>¿Quiéres recalcularlo con un cambio de tarifa?</t>
  </si>
  <si>
    <t>Nueva Tarifa</t>
  </si>
  <si>
    <t>Términos Consumo</t>
  </si>
  <si>
    <t>COSTE POTENCIA ACTUAL</t>
  </si>
  <si>
    <t>COSTE POTENCIA NUEVA</t>
  </si>
  <si>
    <t>€/kW Año</t>
  </si>
  <si>
    <t>Unidad de Tiempo ( €/kW tiempo)</t>
  </si>
  <si>
    <t>Día</t>
  </si>
  <si>
    <t>Hora</t>
  </si>
  <si>
    <t>Semanales</t>
  </si>
  <si>
    <t>Valle Semanales</t>
  </si>
  <si>
    <t>Pico/Llano Semanales</t>
  </si>
  <si>
    <t>TOTALES AÑO</t>
  </si>
  <si>
    <t>Horas Semanales</t>
  </si>
  <si>
    <t>€/kW</t>
  </si>
  <si>
    <t>Unidad Temporal : €/kW tiempo</t>
  </si>
  <si>
    <t xml:space="preserve">Enero </t>
  </si>
  <si>
    <t xml:space="preserve">Febrero </t>
  </si>
  <si>
    <t>Coste Oportunidad Paneles Nuevos</t>
  </si>
  <si>
    <t>Coste Oportunidad Paneles Usados</t>
  </si>
  <si>
    <t>Ingresos Excedentes Nuevos</t>
  </si>
  <si>
    <t>Ingresos Excedentes Usados</t>
  </si>
  <si>
    <t>AÑO</t>
  </si>
  <si>
    <t>COSTE FACTURA SIN TÉRMINO DE POTENCIA SUPONIENDO QUE NO SE INSTALAN LOS PANELES</t>
  </si>
  <si>
    <t>INGRESOS SUPONIENDO QUE SE VIERTE TODO EL EXCEDENTE ( Nuevos)</t>
  </si>
  <si>
    <t>INGRESOS SUPONIENDO QUE SE VIERTE TODO EL EXCEDENTE ( Usados)</t>
  </si>
  <si>
    <t>VAN ( nuevos)</t>
  </si>
  <si>
    <t>Cambio Término Potencia</t>
  </si>
  <si>
    <t xml:space="preserve"> CP.ACTUAL-C.P NUEVA</t>
  </si>
  <si>
    <t>VAN( Usados)</t>
  </si>
  <si>
    <t>BIENVENIDO , ESTA HERRAMIENTA CÁLCULA LA RENTABILIDAD DE REUTILIZAR PANELES SOLARES EN UNA PEQUEÑA INSTALACIÓN FOTOVOLTAICA y COMPARA ESTE RESULTADO CON LA OPCIÓN DE INSTALAR PANELES NUEVOS</t>
  </si>
  <si>
    <t>Formulario</t>
  </si>
  <si>
    <t>Hoja Cliente</t>
  </si>
  <si>
    <t>SELECCIONE EL BOTÓN CORRESPONDIENTE PARA ACCEDER A ALGUNA DE LAS SIGUIENTES VENTANAS:</t>
  </si>
  <si>
    <t>Jinko Policristalina</t>
  </si>
  <si>
    <t>Jinko Cheetah</t>
  </si>
  <si>
    <t xml:space="preserve">Jinko Tiger </t>
  </si>
  <si>
    <t>Panel Nuevo en Uso</t>
  </si>
  <si>
    <t>Panel Usado para el Cálculo</t>
  </si>
  <si>
    <t>Término de Potencia kW</t>
  </si>
  <si>
    <t>€/kWh</t>
  </si>
  <si>
    <t>¿ Desea Recibir un Préstamo para financiar la Instalación?</t>
  </si>
  <si>
    <t>Tarifa en Uso</t>
  </si>
  <si>
    <t>Número de paneles nuevos:</t>
  </si>
  <si>
    <t>Número de paneles usados:</t>
  </si>
  <si>
    <t>RENTABILIDAD MANTENIENDO LA TARIFA ELÉCTRICA</t>
  </si>
  <si>
    <t>RENTABILIDAD ESCOGIENDO OTRA TARIFA ELÉCTRICA</t>
  </si>
  <si>
    <t>PRÉSTAMO</t>
  </si>
  <si>
    <t>Condiciones Préstamo</t>
  </si>
  <si>
    <t>Valor Préstamo</t>
  </si>
  <si>
    <t>Cuota</t>
  </si>
  <si>
    <t>Nuevo VAN</t>
  </si>
  <si>
    <t>Tipo de Paneles:</t>
  </si>
  <si>
    <t>Consumo Usuario</t>
  </si>
  <si>
    <t>Costes Instalación</t>
  </si>
  <si>
    <t>Tipo de panel al que aplica</t>
  </si>
  <si>
    <t>Column1</t>
  </si>
  <si>
    <t>Column2</t>
  </si>
  <si>
    <t>Column3</t>
  </si>
  <si>
    <t>Column4</t>
  </si>
  <si>
    <t>Column5</t>
  </si>
  <si>
    <t>Column6</t>
  </si>
  <si>
    <t>Column7</t>
  </si>
  <si>
    <t>Column8</t>
  </si>
  <si>
    <t>Column9</t>
  </si>
  <si>
    <t>Column10</t>
  </si>
  <si>
    <t>Column11</t>
  </si>
  <si>
    <t>Column12</t>
  </si>
  <si>
    <t>Column13</t>
  </si>
  <si>
    <t>Column14</t>
  </si>
  <si>
    <t>Column15</t>
  </si>
  <si>
    <t>Column16</t>
  </si>
  <si>
    <t>Column17</t>
  </si>
  <si>
    <t>Column18</t>
  </si>
  <si>
    <t>Column19</t>
  </si>
  <si>
    <t>Column20</t>
  </si>
  <si>
    <t>Column21</t>
  </si>
  <si>
    <t>Column22</t>
  </si>
  <si>
    <t>Column23</t>
  </si>
  <si>
    <t>Column24</t>
  </si>
  <si>
    <t>Column25</t>
  </si>
  <si>
    <t>Column26</t>
  </si>
  <si>
    <t>Column27</t>
  </si>
  <si>
    <t>Column28</t>
  </si>
  <si>
    <t>Column29</t>
  </si>
  <si>
    <t>Column30</t>
  </si>
  <si>
    <t>Column31</t>
  </si>
  <si>
    <t>Column32</t>
  </si>
  <si>
    <t>Column33</t>
  </si>
  <si>
    <t>Column34</t>
  </si>
  <si>
    <t>Column35</t>
  </si>
  <si>
    <t>Column36</t>
  </si>
  <si>
    <t>Column37</t>
  </si>
  <si>
    <t>Column38</t>
  </si>
  <si>
    <t>Column39</t>
  </si>
  <si>
    <t>Column40</t>
  </si>
  <si>
    <t>Column41</t>
  </si>
  <si>
    <t>Column42</t>
  </si>
  <si>
    <t>Column43</t>
  </si>
  <si>
    <t/>
  </si>
  <si>
    <t>P_Enero</t>
  </si>
  <si>
    <t>P_Febrero</t>
  </si>
  <si>
    <t>P_Marzo</t>
  </si>
  <si>
    <t>P_Abril</t>
  </si>
  <si>
    <t>P_Mayo</t>
  </si>
  <si>
    <t>P_Junio</t>
  </si>
  <si>
    <t>P_Agosto</t>
  </si>
  <si>
    <t>P_Septiembre</t>
  </si>
  <si>
    <t>P_Octubre</t>
  </si>
  <si>
    <t>P_Noviembre</t>
  </si>
  <si>
    <t>P_Diciembre</t>
  </si>
  <si>
    <t>abe8c7c0</t>
  </si>
  <si>
    <t>0,16</t>
  </si>
  <si>
    <t>0,12</t>
  </si>
  <si>
    <t>0,04</t>
  </si>
  <si>
    <t>VERDADERO</t>
  </si>
  <si>
    <t>50%</t>
  </si>
  <si>
    <t>400</t>
  </si>
  <si>
    <t>380</t>
  </si>
  <si>
    <t>340</t>
  </si>
  <si>
    <t>300</t>
  </si>
  <si>
    <t>290</t>
  </si>
  <si>
    <t>310</t>
  </si>
  <si>
    <t>350</t>
  </si>
  <si>
    <t>280</t>
  </si>
  <si>
    <t>315</t>
  </si>
  <si>
    <t>360</t>
  </si>
  <si>
    <t>20</t>
  </si>
  <si>
    <t>Luis Enrique Martínez</t>
  </si>
  <si>
    <t>luisenriquesefutbol@gmail.com</t>
  </si>
  <si>
    <t>600112233</t>
  </si>
  <si>
    <t>0,14</t>
  </si>
  <si>
    <t>0,1</t>
  </si>
  <si>
    <t>FALSO</t>
  </si>
  <si>
    <t>334</t>
  </si>
  <si>
    <t>0,13</t>
  </si>
  <si>
    <t>0,08</t>
  </si>
  <si>
    <t>0,07</t>
  </si>
  <si>
    <t>0,11</t>
  </si>
  <si>
    <t>0,09</t>
  </si>
  <si>
    <t>250</t>
  </si>
  <si>
    <t>be78b234</t>
  </si>
  <si>
    <t>0,18</t>
  </si>
  <si>
    <t>3%</t>
  </si>
  <si>
    <t>45</t>
  </si>
  <si>
    <t>1</t>
  </si>
  <si>
    <t>natalia</t>
  </si>
  <si>
    <t>natalia.martincruz@gmail.com</t>
  </si>
  <si>
    <t>+34983423332</t>
  </si>
  <si>
    <t>f91796c2</t>
  </si>
  <si>
    <t>0,21</t>
  </si>
  <si>
    <t>0,17</t>
  </si>
  <si>
    <t>35%</t>
  </si>
  <si>
    <t>366</t>
  </si>
  <si>
    <t>345</t>
  </si>
  <si>
    <t>330</t>
  </si>
  <si>
    <t>325</t>
  </si>
  <si>
    <t>327</t>
  </si>
  <si>
    <t>346</t>
  </si>
  <si>
    <t>311</t>
  </si>
  <si>
    <t>286</t>
  </si>
  <si>
    <t>367</t>
  </si>
  <si>
    <t>0</t>
  </si>
  <si>
    <t>25</t>
  </si>
  <si>
    <t>David Carretero</t>
  </si>
  <si>
    <t>davidcarreter@gmail.com</t>
  </si>
  <si>
    <t>678461102</t>
  </si>
  <si>
    <t>8d5d3cbc</t>
  </si>
  <si>
    <t>0,24</t>
  </si>
  <si>
    <t>80%</t>
  </si>
  <si>
    <t>333</t>
  </si>
  <si>
    <t>Álvaro Tavares</t>
  </si>
  <si>
    <t>attavares@gmail.com</t>
  </si>
  <si>
    <t>¿Qué modo de funcionamiento quiere utilizar?</t>
  </si>
  <si>
    <t>Column44</t>
  </si>
  <si>
    <t>P_Julio</t>
  </si>
  <si>
    <t>df59b470</t>
  </si>
  <si>
    <t>0,06</t>
  </si>
  <si>
    <t>0,03</t>
  </si>
  <si>
    <t>256</t>
  </si>
  <si>
    <t>Francisco Barrera</t>
  </si>
  <si>
    <t>franciscobarrera@gmail.com</t>
  </si>
  <si>
    <t>38f9353e</t>
  </si>
  <si>
    <t>0,15</t>
  </si>
  <si>
    <t>25%</t>
  </si>
  <si>
    <t>414</t>
  </si>
  <si>
    <t>Iván Liebana</t>
  </si>
  <si>
    <t>ivanliebana@yahoo.es</t>
  </si>
  <si>
    <t>633 44 55 67</t>
  </si>
  <si>
    <t>2ca4b486</t>
  </si>
  <si>
    <t>0,2</t>
  </si>
  <si>
    <t>10%</t>
  </si>
  <si>
    <t>289</t>
  </si>
  <si>
    <t>284</t>
  </si>
  <si>
    <t>275</t>
  </si>
  <si>
    <t>277</t>
  </si>
  <si>
    <t>265</t>
  </si>
  <si>
    <t>271</t>
  </si>
  <si>
    <t>104</t>
  </si>
  <si>
    <t>67</t>
  </si>
  <si>
    <t>291</t>
  </si>
  <si>
    <t>283</t>
  </si>
  <si>
    <t>288</t>
  </si>
  <si>
    <t>295</t>
  </si>
  <si>
    <t>Victor Rubio</t>
  </si>
  <si>
    <t>688 99 31 10</t>
  </si>
  <si>
    <t>Tasas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</si>
</sst>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164" formatCode="#,##0\ &quot;€&quot;"/>
    <numFmt numFmtId="165" formatCode="0.0000"/>
    <numFmt numFmtId="166" formatCode="#,##0.00\ &quot;€&quot;"/>
    <numFmt numFmtId="167" formatCode="h:mm;@"/>
    <numFmt numFmtId="168" formatCode="0.00000"/>
  </numFmts>
  <fonts count="40">
    <font>
      <sz val="11"/>
      <color theme="1"/>
      <name val="Calibri"/>
      <family val="2"/>
      <scheme val="minor"/>
    </font>
    <font>
      <sz val="9"/>
      <color theme="1"/>
      <name val="Calibri"/>
      <family val="2"/>
      <scheme val="minor"/>
    </font>
    <font>
      <sz val="11"/>
      <color theme="1"/>
      <name val="Verdana"/>
      <family val="2"/>
    </font>
    <font>
      <b/>
      <sz val="11"/>
      <color rgb="FFFF0000"/>
      <name val="Verdana"/>
      <family val="2"/>
    </font>
    <font>
      <b/>
      <sz val="11"/>
      <color theme="1"/>
      <name val="Calibri"/>
      <family val="2"/>
      <scheme val="minor"/>
    </font>
    <font>
      <u/>
      <sz val="11"/>
      <color theme="10"/>
      <name val="Calibri"/>
      <family val="2"/>
      <scheme val="minor"/>
    </font>
    <font>
      <b/>
      <sz val="8"/>
      <color theme="1"/>
      <name val="Calibri"/>
      <family val="2"/>
      <scheme val="minor"/>
    </font>
    <font>
      <sz val="8"/>
      <color theme="1"/>
      <name val="Calibri"/>
      <family val="2"/>
      <scheme val="minor"/>
    </font>
    <font>
      <b/>
      <sz val="11"/>
      <color theme="8"/>
      <name val="Calibri"/>
      <family val="2"/>
      <scheme val="minor"/>
    </font>
    <font>
      <b/>
      <sz val="11"/>
      <color theme="4" tint="-0.249977111117893"/>
      <name val="Calibri"/>
      <family val="2"/>
      <scheme val="minor"/>
    </font>
    <font>
      <sz val="10"/>
      <color rgb="FF565E67"/>
      <name val="Arial"/>
      <family val="2"/>
    </font>
    <font>
      <b/>
      <sz val="11"/>
      <color theme="1"/>
      <name val="Verdana"/>
      <family val="2"/>
    </font>
    <font>
      <sz val="11"/>
      <color theme="0"/>
      <name val="Calibri"/>
      <family val="2"/>
      <scheme val="minor"/>
    </font>
    <font>
      <sz val="14"/>
      <color theme="1"/>
      <name val="Calibri"/>
      <family val="2"/>
      <scheme val="minor"/>
    </font>
    <font>
      <b/>
      <sz val="14"/>
      <color theme="1"/>
      <name val="Calibri"/>
      <family val="2"/>
      <scheme val="minor"/>
    </font>
    <font>
      <sz val="11"/>
      <color theme="0"/>
      <name val="Verdana"/>
      <family val="2"/>
    </font>
    <font>
      <b/>
      <sz val="12"/>
      <color theme="1"/>
      <name val="Calibri"/>
      <family val="2"/>
      <scheme val="minor"/>
    </font>
    <font>
      <sz val="9"/>
      <color indexed="81"/>
      <name val="Tahoma"/>
      <family val="2"/>
    </font>
    <font>
      <b/>
      <sz val="10"/>
      <color rgb="FF41474E"/>
      <name val="Trebuchet MS"/>
      <family val="2"/>
    </font>
    <font>
      <sz val="10"/>
      <color rgb="FF41474E"/>
      <name val="Arial"/>
      <family val="2"/>
    </font>
    <font>
      <b/>
      <sz val="10"/>
      <color rgb="FF41474E"/>
      <name val="Arial"/>
      <family val="2"/>
    </font>
    <font>
      <sz val="10"/>
      <color rgb="FF333333"/>
      <name val="Arial"/>
      <family val="2"/>
    </font>
    <font>
      <b/>
      <sz val="10"/>
      <color rgb="FF333333"/>
      <name val="Arial"/>
      <family val="2"/>
    </font>
    <font>
      <b/>
      <sz val="18"/>
      <color theme="1"/>
      <name val="Verdana"/>
      <family val="2"/>
    </font>
    <font>
      <b/>
      <sz val="10"/>
      <color rgb="FF000000"/>
      <name val="Inherit"/>
    </font>
    <font>
      <b/>
      <sz val="11"/>
      <color theme="0"/>
      <name val="Calibri"/>
      <family val="2"/>
      <scheme val="minor"/>
    </font>
    <font>
      <b/>
      <sz val="14"/>
      <color theme="1"/>
      <name val="Verdana"/>
      <family val="2"/>
    </font>
    <font>
      <sz val="8"/>
      <name val="Calibri"/>
      <family val="2"/>
      <scheme val="minor"/>
    </font>
    <font>
      <sz val="11"/>
      <color theme="1" tint="4.9989318521683403E-2"/>
      <name val="Calibri"/>
      <family val="2"/>
      <scheme val="minor"/>
    </font>
    <font>
      <b/>
      <sz val="16"/>
      <color theme="1"/>
      <name val="Verdana"/>
      <family val="2"/>
    </font>
    <font>
      <sz val="11"/>
      <color theme="1"/>
      <name val="Calibri"/>
      <family val="2"/>
      <scheme val="minor"/>
    </font>
    <font>
      <sz val="11"/>
      <color rgb="FF006100"/>
      <name val="Calibri"/>
      <family val="2"/>
      <scheme val="minor"/>
    </font>
    <font>
      <sz val="13"/>
      <color theme="1"/>
      <name val="Verdana"/>
      <family val="2"/>
    </font>
    <font>
      <b/>
      <sz val="13"/>
      <color theme="1"/>
      <name val="Verdana"/>
      <family val="2"/>
    </font>
    <font>
      <b/>
      <sz val="13"/>
      <color rgb="FF006100"/>
      <name val="Verdana"/>
      <family val="2"/>
    </font>
    <font>
      <b/>
      <sz val="13"/>
      <color theme="0"/>
      <name val="Verdana"/>
      <family val="2"/>
    </font>
    <font>
      <sz val="13"/>
      <color theme="0"/>
      <name val="Verdana"/>
      <family val="2"/>
    </font>
    <font>
      <b/>
      <sz val="13"/>
      <color rgb="FFFF0000"/>
      <name val="Verdana"/>
      <family val="2"/>
    </font>
    <font>
      <sz val="13"/>
      <color theme="1"/>
      <name val="Calibri"/>
      <family val="2"/>
      <scheme val="minor"/>
    </font>
    <font>
      <sz val="7"/>
      <color rgb="FF000000"/>
      <name val="Verdana"/>
      <family val="2"/>
    </font>
  </fonts>
  <fills count="43">
    <fill>
      <patternFill patternType="none"/>
    </fill>
    <fill>
      <patternFill patternType="gray125"/>
    </fill>
    <fill>
      <patternFill patternType="solid">
        <fgColor theme="7" tint="0.39997558519241921"/>
        <bgColor indexed="64"/>
      </patternFill>
    </fill>
    <fill>
      <patternFill patternType="solid">
        <fgColor rgb="FFFF000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bgColor indexed="64"/>
      </patternFill>
    </fill>
    <fill>
      <patternFill patternType="solid">
        <fgColor theme="0"/>
        <bgColor indexed="64"/>
      </patternFill>
    </fill>
    <fill>
      <patternFill patternType="solid">
        <fgColor theme="7" tint="-0.249977111117893"/>
        <bgColor indexed="64"/>
      </patternFill>
    </fill>
    <fill>
      <patternFill patternType="solid">
        <fgColor theme="4"/>
        <bgColor indexed="64"/>
      </patternFill>
    </fill>
    <fill>
      <patternFill patternType="solid">
        <fgColor theme="7" tint="0.79998168889431442"/>
        <bgColor indexed="64"/>
      </patternFill>
    </fill>
    <fill>
      <patternFill patternType="solid">
        <fgColor theme="1"/>
        <bgColor indexed="64"/>
      </patternFill>
    </fill>
    <fill>
      <patternFill patternType="solid">
        <fgColor rgb="FF00B050"/>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rgb="FF00FF00"/>
        <bgColor indexed="64"/>
      </patternFill>
    </fill>
    <fill>
      <patternFill patternType="solid">
        <fgColor theme="0" tint="-0.249977111117893"/>
        <bgColor indexed="64"/>
      </patternFill>
    </fill>
    <fill>
      <patternFill patternType="solid">
        <fgColor theme="7"/>
        <bgColor indexed="64"/>
      </patternFill>
    </fill>
    <fill>
      <patternFill patternType="solid">
        <fgColor theme="9" tint="0.59999389629810485"/>
        <bgColor indexed="64"/>
      </patternFill>
    </fill>
    <fill>
      <patternFill patternType="solid">
        <fgColor theme="9"/>
        <bgColor indexed="64"/>
      </patternFill>
    </fill>
    <fill>
      <patternFill patternType="solid">
        <fgColor theme="7" tint="-0.499984740745262"/>
        <bgColor indexed="64"/>
      </patternFill>
    </fill>
    <fill>
      <patternFill patternType="solid">
        <fgColor rgb="FFFFFFFF"/>
        <bgColor indexed="64"/>
      </patternFill>
    </fill>
    <fill>
      <patternFill patternType="solid">
        <fgColor rgb="FFE8EFF7"/>
        <bgColor indexed="64"/>
      </patternFill>
    </fill>
    <fill>
      <patternFill patternType="solid">
        <fgColor rgb="FFF9F9F9"/>
        <bgColor indexed="64"/>
      </patternFill>
    </fill>
    <fill>
      <patternFill patternType="solid">
        <fgColor rgb="FFF3F3F3"/>
        <bgColor indexed="64"/>
      </patternFill>
    </fill>
    <fill>
      <patternFill patternType="solid">
        <fgColor rgb="FFDEDEDE"/>
        <bgColor indexed="64"/>
      </patternFill>
    </fill>
    <fill>
      <patternFill patternType="solid">
        <fgColor theme="8"/>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bgColor indexed="64"/>
      </patternFill>
    </fill>
    <fill>
      <patternFill patternType="solid">
        <fgColor theme="9" tint="-0.249977111117893"/>
        <bgColor indexed="64"/>
      </patternFill>
    </fill>
    <fill>
      <patternFill patternType="solid">
        <fgColor rgb="FFC6EFCE"/>
      </patternFill>
    </fill>
    <fill>
      <patternFill patternType="solid">
        <fgColor theme="5"/>
      </patternFill>
    </fill>
    <fill>
      <patternFill patternType="solid">
        <fgColor theme="5" tint="0.79998168889431442"/>
        <bgColor indexed="65"/>
      </patternFill>
    </fill>
    <fill>
      <patternFill patternType="solid">
        <fgColor theme="7" tint="0.79998168889431442"/>
        <bgColor indexed="65"/>
      </patternFill>
    </fill>
    <fill>
      <patternFill patternType="solid">
        <fgColor theme="9" tint="0.39997558519241921"/>
        <bgColor indexed="65"/>
      </patternFill>
    </fill>
    <fill>
      <patternFill patternType="solid">
        <fgColor theme="2" tint="-0.249977111117893"/>
        <bgColor indexed="64"/>
      </patternFill>
    </fill>
    <fill>
      <patternFill patternType="solid">
        <fgColor theme="4" tint="-0.249977111117893"/>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theme="5" tint="0.59999389629810485"/>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C1D1E2"/>
      </right>
      <top/>
      <bottom style="medium">
        <color rgb="FFC1D1E2"/>
      </bottom>
      <diagonal/>
    </border>
    <border>
      <left/>
      <right style="medium">
        <color rgb="FFC1D1E2"/>
      </right>
      <top/>
      <bottom/>
      <diagonal/>
    </border>
    <border>
      <left style="medium">
        <color rgb="FFC1D1E2"/>
      </left>
      <right style="medium">
        <color rgb="FFC1D1E2"/>
      </right>
      <top style="medium">
        <color rgb="FFC1D1E2"/>
      </top>
      <bottom style="medium">
        <color rgb="FFC1D1E2"/>
      </bottom>
      <diagonal/>
    </border>
    <border>
      <left/>
      <right style="medium">
        <color rgb="FFC1D1E2"/>
      </right>
      <top style="medium">
        <color rgb="FFC1D1E2"/>
      </top>
      <bottom style="medium">
        <color rgb="FFC1D1E2"/>
      </bottom>
      <diagonal/>
    </border>
    <border>
      <left style="medium">
        <color rgb="FFC1D1E2"/>
      </left>
      <right style="medium">
        <color rgb="FFC1D1E2"/>
      </right>
      <top/>
      <bottom/>
      <diagonal/>
    </border>
    <border>
      <left style="medium">
        <color rgb="FFC1D1E2"/>
      </left>
      <right style="medium">
        <color rgb="FFC1D1E2"/>
      </right>
      <top/>
      <bottom style="medium">
        <color rgb="FFC1D1E2"/>
      </bottom>
      <diagonal/>
    </border>
    <border>
      <left style="medium">
        <color rgb="FFEAEAEA"/>
      </left>
      <right/>
      <top/>
      <bottom style="medium">
        <color rgb="FFEAEAEA"/>
      </bottom>
      <diagonal/>
    </border>
    <border>
      <left style="medium">
        <color rgb="FFEAEAEA"/>
      </left>
      <right/>
      <top style="medium">
        <color rgb="FFDDDDDD"/>
      </top>
      <bottom style="medium">
        <color rgb="FFEAEAEA"/>
      </bottom>
      <diagonal/>
    </border>
    <border>
      <left style="medium">
        <color rgb="FFEAEAEA"/>
      </left>
      <right/>
      <top style="medium">
        <color rgb="FFDDDDDD"/>
      </top>
      <bottom/>
      <diagonal/>
    </border>
    <border>
      <left style="medium">
        <color rgb="FFEAEAEA"/>
      </left>
      <right style="medium">
        <color rgb="FFEAEAEA"/>
      </right>
      <top style="medium">
        <color rgb="FFDDDDDD"/>
      </top>
      <bottom/>
      <diagonal/>
    </border>
    <border>
      <left style="medium">
        <color rgb="FFEAEAEA"/>
      </left>
      <right style="medium">
        <color rgb="FFEAEAEA"/>
      </right>
      <top/>
      <bottom style="medium">
        <color rgb="FFDDDDDD"/>
      </bottom>
      <diagonal/>
    </border>
    <border>
      <left/>
      <right/>
      <top style="thin">
        <color indexed="64"/>
      </top>
      <bottom/>
      <diagonal/>
    </border>
    <border>
      <left/>
      <right/>
      <top/>
      <bottom style="thin">
        <color theme="2" tint="-9.9978637043366805E-2"/>
      </bottom>
      <diagonal/>
    </border>
    <border>
      <left/>
      <right style="thin">
        <color theme="2" tint="-9.9978637043366805E-2"/>
      </right>
      <top/>
      <bottom/>
      <diagonal/>
    </border>
    <border>
      <left/>
      <right style="thin">
        <color theme="2" tint="-9.9978637043366805E-2"/>
      </right>
      <top style="thin">
        <color theme="2" tint="-9.9978637043366805E-2"/>
      </top>
      <bottom style="thin">
        <color theme="2" tint="-9.9978637043366805E-2"/>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style="thin">
        <color theme="2" tint="-9.9978637043366805E-2"/>
      </right>
      <top/>
      <bottom style="thin">
        <color theme="2" tint="-9.9978637043366805E-2"/>
      </bottom>
      <diagonal/>
    </border>
    <border>
      <left/>
      <right style="thin">
        <color theme="2" tint="-9.9978637043366805E-2"/>
      </right>
      <top/>
      <bottom style="thin">
        <color theme="2" tint="-9.9978637043366805E-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7">
    <xf numFmtId="0" fontId="0" fillId="0" borderId="0"/>
    <xf numFmtId="0" fontId="5" fillId="0" borderId="0" applyNumberFormat="0" applyFill="0" applyBorder="0" applyAlignment="0" applyProtection="0"/>
    <xf numFmtId="0" fontId="31" fillId="33" borderId="0" applyNumberFormat="0" applyBorder="0" applyAlignment="0" applyProtection="0"/>
    <xf numFmtId="0" fontId="12" fillId="34" borderId="0" applyNumberFormat="0" applyBorder="0" applyAlignment="0" applyProtection="0"/>
    <xf numFmtId="0" fontId="30" fillId="35" borderId="0" applyNumberFormat="0" applyBorder="0" applyAlignment="0" applyProtection="0"/>
    <xf numFmtId="0" fontId="30" fillId="36" borderId="0" applyNumberFormat="0" applyBorder="0" applyAlignment="0" applyProtection="0"/>
    <xf numFmtId="0" fontId="30" fillId="37" borderId="0" applyNumberFormat="0" applyBorder="0" applyAlignment="0" applyProtection="0"/>
  </cellStyleXfs>
  <cellXfs count="296">
    <xf numFmtId="0" fontId="0" fillId="0" borderId="0" xfId="0"/>
    <xf numFmtId="0" fontId="0" fillId="0" borderId="0" xfId="0" applyAlignment="1">
      <alignment horizontal="center" vertical="center"/>
    </xf>
    <xf numFmtId="0" fontId="2" fillId="0" borderId="0" xfId="0" applyFont="1"/>
    <xf numFmtId="6" fontId="2" fillId="0" borderId="0" xfId="0" applyNumberFormat="1" applyFont="1"/>
    <xf numFmtId="0" fontId="4" fillId="0" borderId="0" xfId="0" applyFont="1" applyAlignment="1">
      <alignment horizontal="center" vertical="center"/>
    </xf>
    <xf numFmtId="0" fontId="5" fillId="0" borderId="0" xfId="1" applyAlignment="1">
      <alignment horizontal="center" vertical="center"/>
    </xf>
    <xf numFmtId="0" fontId="9" fillId="5" borderId="0" xfId="0" applyFont="1" applyFill="1" applyAlignment="1">
      <alignment horizontal="center" vertical="center"/>
    </xf>
    <xf numFmtId="9" fontId="0" fillId="0" borderId="0" xfId="0" applyNumberFormat="1"/>
    <xf numFmtId="0" fontId="0" fillId="9" borderId="0" xfId="0" applyFill="1"/>
    <xf numFmtId="0" fontId="0" fillId="10" borderId="0" xfId="0" applyFill="1"/>
    <xf numFmtId="0" fontId="0" fillId="11" borderId="0" xfId="0" applyFill="1"/>
    <xf numFmtId="0" fontId="0" fillId="12" borderId="0" xfId="0" applyFill="1"/>
    <xf numFmtId="0" fontId="2" fillId="7" borderId="0" xfId="0" applyFont="1" applyFill="1"/>
    <xf numFmtId="0" fontId="11" fillId="0" borderId="0" xfId="0" applyFont="1"/>
    <xf numFmtId="0" fontId="4" fillId="0" borderId="0" xfId="0" applyFont="1"/>
    <xf numFmtId="0" fontId="11" fillId="8" borderId="0" xfId="0" applyFont="1" applyFill="1"/>
    <xf numFmtId="0" fontId="11" fillId="13" borderId="0" xfId="0" applyFont="1" applyFill="1"/>
    <xf numFmtId="0" fontId="11" fillId="3" borderId="0" xfId="0" applyFont="1" applyFill="1" applyAlignment="1">
      <alignment horizontal="center" vertical="center" wrapText="1"/>
    </xf>
    <xf numFmtId="0" fontId="0" fillId="8" borderId="0" xfId="0" applyFill="1"/>
    <xf numFmtId="0" fontId="0" fillId="8" borderId="0" xfId="0" applyFill="1" applyAlignment="1">
      <alignment horizontal="center" vertical="center"/>
    </xf>
    <xf numFmtId="0" fontId="0" fillId="15" borderId="0" xfId="0" applyFill="1"/>
    <xf numFmtId="0" fontId="13" fillId="0" borderId="0" xfId="0" applyFont="1" applyAlignment="1">
      <alignment horizontal="center" vertical="center" wrapText="1"/>
    </xf>
    <xf numFmtId="0" fontId="14" fillId="0" borderId="0" xfId="0" applyFont="1" applyAlignment="1">
      <alignment horizontal="center" vertical="center"/>
    </xf>
    <xf numFmtId="0" fontId="15" fillId="12" borderId="0" xfId="0" applyFont="1" applyFill="1"/>
    <xf numFmtId="0" fontId="0" fillId="7" borderId="0" xfId="0" applyFill="1"/>
    <xf numFmtId="0" fontId="0" fillId="19" borderId="0" xfId="0" applyFill="1"/>
    <xf numFmtId="0" fontId="4" fillId="19" borderId="0" xfId="0" applyFont="1" applyFill="1"/>
    <xf numFmtId="9" fontId="4" fillId="19" borderId="0" xfId="0" applyNumberFormat="1" applyFont="1" applyFill="1"/>
    <xf numFmtId="10" fontId="12" fillId="12" borderId="0" xfId="0" applyNumberFormat="1" applyFont="1" applyFill="1"/>
    <xf numFmtId="0" fontId="12" fillId="12" borderId="0" xfId="0" applyFont="1" applyFill="1" applyAlignment="1">
      <alignment wrapText="1"/>
    </xf>
    <xf numFmtId="0" fontId="19" fillId="23" borderId="5" xfId="0" applyFont="1" applyFill="1" applyBorder="1" applyAlignment="1">
      <alignment vertical="center" wrapText="1"/>
    </xf>
    <xf numFmtId="6" fontId="19" fillId="23" borderId="5" xfId="0" applyNumberFormat="1" applyFont="1" applyFill="1" applyBorder="1" applyAlignment="1">
      <alignment vertical="center" wrapText="1"/>
    </xf>
    <xf numFmtId="0" fontId="18" fillId="24" borderId="6" xfId="0" applyFont="1" applyFill="1" applyBorder="1" applyAlignment="1">
      <alignment horizontal="center" vertical="center" wrapText="1"/>
    </xf>
    <xf numFmtId="0" fontId="18" fillId="24" borderId="7" xfId="0" applyFont="1" applyFill="1" applyBorder="1" applyAlignment="1">
      <alignment horizontal="center" vertical="center" wrapText="1"/>
    </xf>
    <xf numFmtId="0" fontId="20" fillId="23" borderId="8" xfId="0" applyFont="1" applyFill="1" applyBorder="1" applyAlignment="1">
      <alignment vertical="center" wrapText="1"/>
    </xf>
    <xf numFmtId="9" fontId="19" fillId="23" borderId="5" xfId="0" applyNumberFormat="1" applyFont="1" applyFill="1" applyBorder="1" applyAlignment="1">
      <alignment vertical="center" wrapText="1"/>
    </xf>
    <xf numFmtId="0" fontId="20" fillId="23" borderId="9" xfId="0" applyFont="1" applyFill="1" applyBorder="1" applyAlignment="1">
      <alignment vertical="center" wrapText="1"/>
    </xf>
    <xf numFmtId="0" fontId="19" fillId="23" borderId="4" xfId="0" applyFont="1" applyFill="1" applyBorder="1" applyAlignment="1">
      <alignment vertical="center" wrapText="1"/>
    </xf>
    <xf numFmtId="6" fontId="19" fillId="23" borderId="4" xfId="0" applyNumberFormat="1" applyFont="1" applyFill="1" applyBorder="1" applyAlignment="1">
      <alignment vertical="center" wrapText="1"/>
    </xf>
    <xf numFmtId="9" fontId="19" fillId="23" borderId="4" xfId="0" applyNumberFormat="1" applyFont="1" applyFill="1" applyBorder="1" applyAlignment="1">
      <alignment vertical="center" wrapText="1"/>
    </xf>
    <xf numFmtId="0" fontId="4" fillId="8" borderId="0" xfId="0" applyFont="1" applyFill="1" applyAlignment="1">
      <alignment horizontal="center" vertical="center"/>
    </xf>
    <xf numFmtId="0" fontId="22" fillId="25" borderId="10" xfId="0" applyFont="1" applyFill="1" applyBorder="1" applyAlignment="1">
      <alignment horizontal="left" vertical="top" wrapText="1"/>
    </xf>
    <xf numFmtId="0" fontId="21" fillId="23" borderId="11" xfId="0" applyFont="1" applyFill="1" applyBorder="1" applyAlignment="1">
      <alignment horizontal="left" vertical="top" wrapText="1"/>
    </xf>
    <xf numFmtId="0" fontId="21" fillId="25" borderId="12" xfId="0" applyFont="1" applyFill="1" applyBorder="1" applyAlignment="1">
      <alignment horizontal="left" vertical="top" wrapText="1"/>
    </xf>
    <xf numFmtId="0" fontId="21" fillId="25" borderId="10" xfId="0" applyFont="1" applyFill="1" applyBorder="1" applyAlignment="1">
      <alignment horizontal="left" vertical="top" wrapText="1"/>
    </xf>
    <xf numFmtId="0" fontId="21" fillId="26" borderId="11" xfId="0" applyFont="1" applyFill="1" applyBorder="1" applyAlignment="1">
      <alignment horizontal="left" vertical="top" wrapText="1"/>
    </xf>
    <xf numFmtId="0" fontId="0" fillId="0" borderId="0" xfId="0" applyBorder="1"/>
    <xf numFmtId="0" fontId="8" fillId="5" borderId="0" xfId="0" applyFont="1" applyFill="1" applyBorder="1" applyAlignment="1">
      <alignment horizontal="center" vertical="center"/>
    </xf>
    <xf numFmtId="0" fontId="9" fillId="5" borderId="0" xfId="0" applyFont="1" applyFill="1" applyBorder="1" applyAlignment="1">
      <alignment horizontal="center" vertical="center"/>
    </xf>
    <xf numFmtId="0" fontId="0" fillId="0" borderId="0" xfId="0" applyBorder="1" applyAlignment="1">
      <alignment horizontal="center" vertical="center"/>
    </xf>
    <xf numFmtId="10" fontId="10" fillId="0" borderId="0" xfId="0" applyNumberFormat="1" applyFont="1" applyBorder="1"/>
    <xf numFmtId="0" fontId="1" fillId="0" borderId="0" xfId="0" applyFont="1" applyBorder="1" applyAlignment="1">
      <alignment horizontal="center" vertical="center"/>
    </xf>
    <xf numFmtId="0" fontId="0" fillId="6" borderId="0" xfId="0" applyFill="1" applyBorder="1" applyAlignment="1">
      <alignment horizontal="center" vertical="center"/>
    </xf>
    <xf numFmtId="0" fontId="6" fillId="0" borderId="0"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0" fillId="8" borderId="0" xfId="0" applyFill="1" applyBorder="1" applyAlignment="1">
      <alignment horizontal="center" vertical="center"/>
    </xf>
    <xf numFmtId="0" fontId="0" fillId="8" borderId="0" xfId="0" applyFill="1" applyBorder="1"/>
    <xf numFmtId="0" fontId="0" fillId="2" borderId="0" xfId="0" applyFill="1" applyBorder="1" applyAlignment="1">
      <alignment horizontal="center" vertical="center" wrapText="1"/>
    </xf>
    <xf numFmtId="0" fontId="0" fillId="2" borderId="0" xfId="0" applyFill="1" applyBorder="1" applyAlignment="1">
      <alignment horizontal="center" vertical="center"/>
    </xf>
    <xf numFmtId="0" fontId="4" fillId="0" borderId="0" xfId="0" applyFont="1" applyAlignment="1">
      <alignment horizontal="center" vertical="center" wrapText="1"/>
    </xf>
    <xf numFmtId="0" fontId="23" fillId="0" borderId="0" xfId="0" applyFont="1" applyAlignment="1">
      <alignment vertical="center"/>
    </xf>
    <xf numFmtId="6" fontId="23" fillId="0" borderId="0" xfId="0" applyNumberFormat="1" applyFont="1" applyAlignment="1">
      <alignment vertical="center"/>
    </xf>
    <xf numFmtId="9" fontId="23" fillId="0" borderId="0" xfId="0" applyNumberFormat="1" applyFont="1" applyAlignment="1">
      <alignment vertical="center"/>
    </xf>
    <xf numFmtId="0" fontId="0" fillId="14" borderId="0" xfId="0" applyFill="1" applyBorder="1" applyAlignment="1" applyProtection="1">
      <alignment horizontal="center" vertical="center"/>
      <protection locked="0"/>
    </xf>
    <xf numFmtId="0" fontId="0" fillId="8" borderId="0" xfId="0" applyFill="1" applyBorder="1" applyAlignment="1" applyProtection="1">
      <alignment horizontal="center" vertical="center"/>
      <protection locked="0"/>
    </xf>
    <xf numFmtId="0" fontId="0" fillId="6" borderId="0" xfId="0" applyFill="1" applyBorder="1" applyAlignment="1" applyProtection="1">
      <alignment horizontal="center" vertical="center"/>
      <protection locked="0"/>
    </xf>
    <xf numFmtId="0" fontId="0" fillId="8" borderId="0" xfId="0" applyFill="1" applyBorder="1" applyAlignment="1">
      <alignment horizontal="center" vertical="center" wrapText="1"/>
    </xf>
    <xf numFmtId="9" fontId="0" fillId="8" borderId="0" xfId="0" applyNumberFormat="1" applyFill="1" applyBorder="1" applyAlignment="1">
      <alignment horizontal="center" vertical="center"/>
    </xf>
    <xf numFmtId="0" fontId="24" fillId="27" borderId="0" xfId="0" applyFont="1" applyFill="1" applyAlignment="1">
      <alignment horizontal="center" vertical="center" wrapText="1"/>
    </xf>
    <xf numFmtId="1" fontId="0" fillId="0" borderId="0" xfId="0" applyNumberFormat="1"/>
    <xf numFmtId="165" fontId="0" fillId="0" borderId="0" xfId="0" applyNumberFormat="1"/>
    <xf numFmtId="0" fontId="9" fillId="5" borderId="0" xfId="0" applyFont="1" applyFill="1" applyAlignment="1">
      <alignment horizontal="center" vertical="center" wrapText="1"/>
    </xf>
    <xf numFmtId="0" fontId="0" fillId="6" borderId="0" xfId="0" applyFill="1" applyAlignment="1">
      <alignment horizontal="center" vertical="center"/>
    </xf>
    <xf numFmtId="6" fontId="4" fillId="28" borderId="0" xfId="0" applyNumberFormat="1" applyFont="1" applyFill="1" applyAlignment="1">
      <alignment horizontal="center" vertical="center"/>
    </xf>
    <xf numFmtId="0" fontId="2" fillId="8" borderId="0" xfId="0" applyFont="1" applyFill="1"/>
    <xf numFmtId="0" fontId="11" fillId="3" borderId="0" xfId="0" applyFont="1" applyFill="1"/>
    <xf numFmtId="0" fontId="2" fillId="2" borderId="0" xfId="0" applyFont="1" applyFill="1"/>
    <xf numFmtId="0" fontId="4" fillId="18" borderId="0" xfId="0" applyFont="1" applyFill="1" applyAlignment="1">
      <alignment horizontal="center" vertical="center"/>
    </xf>
    <xf numFmtId="164" fontId="0" fillId="6" borderId="0" xfId="0" applyNumberFormat="1" applyFill="1" applyAlignment="1">
      <alignment horizontal="center" vertical="center"/>
    </xf>
    <xf numFmtId="0" fontId="0" fillId="8" borderId="0" xfId="0" applyFill="1" applyAlignment="1">
      <alignment vertical="center" wrapText="1"/>
    </xf>
    <xf numFmtId="0" fontId="0" fillId="8" borderId="0" xfId="0" applyFill="1" applyAlignment="1">
      <alignment vertical="center"/>
    </xf>
    <xf numFmtId="0" fontId="4" fillId="8" borderId="0" xfId="0" applyFont="1" applyFill="1" applyBorder="1" applyAlignment="1">
      <alignment horizontal="center" vertical="center"/>
    </xf>
    <xf numFmtId="10" fontId="0" fillId="6" borderId="0" xfId="0" applyNumberFormat="1" applyFill="1" applyAlignment="1">
      <alignment horizontal="center" vertical="center"/>
    </xf>
    <xf numFmtId="0" fontId="5" fillId="0" borderId="0" xfId="1"/>
    <xf numFmtId="0" fontId="26" fillId="8" borderId="0" xfId="0" applyFont="1" applyFill="1" applyAlignment="1">
      <alignment horizontal="center"/>
    </xf>
    <xf numFmtId="0" fontId="0" fillId="8" borderId="0" xfId="0" applyFill="1" applyAlignment="1" applyProtection="1">
      <alignment horizontal="center" vertical="center"/>
    </xf>
    <xf numFmtId="6" fontId="0" fillId="0" borderId="0" xfId="0" applyNumberFormat="1" applyAlignment="1">
      <alignment horizontal="center" vertical="center"/>
    </xf>
    <xf numFmtId="164" fontId="0" fillId="0" borderId="0" xfId="0" applyNumberFormat="1" applyAlignment="1">
      <alignment horizontal="center" vertical="center"/>
    </xf>
    <xf numFmtId="0" fontId="0" fillId="0" borderId="0" xfId="0" applyAlignment="1">
      <alignment horizontal="center" vertical="center" wrapText="1"/>
    </xf>
    <xf numFmtId="0" fontId="0" fillId="6" borderId="0" xfId="0" applyFont="1" applyFill="1" applyAlignment="1" applyProtection="1">
      <alignment horizontal="center" vertical="center"/>
    </xf>
    <xf numFmtId="10" fontId="0" fillId="0" borderId="0" xfId="0" applyNumberFormat="1"/>
    <xf numFmtId="0" fontId="0" fillId="29" borderId="0" xfId="0" applyFill="1"/>
    <xf numFmtId="0" fontId="0" fillId="30" borderId="0" xfId="0" applyFill="1"/>
    <xf numFmtId="0" fontId="0" fillId="20" borderId="0" xfId="0" applyFill="1"/>
    <xf numFmtId="0" fontId="0" fillId="20" borderId="0" xfId="0" applyFill="1" applyAlignment="1">
      <alignment horizontal="center" vertical="center" wrapText="1"/>
    </xf>
    <xf numFmtId="0" fontId="0" fillId="0" borderId="0" xfId="0" applyAlignment="1">
      <alignment wrapText="1"/>
    </xf>
    <xf numFmtId="0" fontId="0" fillId="6" borderId="0" xfId="0" applyFill="1" applyAlignment="1" applyProtection="1">
      <alignment horizontal="center" vertical="center"/>
    </xf>
    <xf numFmtId="0" fontId="0" fillId="0" borderId="0" xfId="0" applyAlignment="1" applyProtection="1">
      <alignment horizontal="center" vertical="center"/>
    </xf>
    <xf numFmtId="6" fontId="0" fillId="6" borderId="0" xfId="0" applyNumberFormat="1" applyFill="1" applyAlignment="1" applyProtection="1">
      <alignment horizontal="center" vertical="center"/>
    </xf>
    <xf numFmtId="164" fontId="0" fillId="8" borderId="0" xfId="0" applyNumberFormat="1" applyFill="1" applyAlignment="1" applyProtection="1">
      <alignment horizontal="center" vertical="center"/>
    </xf>
    <xf numFmtId="164" fontId="0" fillId="6" borderId="0" xfId="0" applyNumberFormat="1" applyFill="1" applyAlignment="1" applyProtection="1">
      <alignment horizontal="center" vertical="center"/>
    </xf>
    <xf numFmtId="0" fontId="0" fillId="8" borderId="0" xfId="0" applyFill="1" applyAlignment="1">
      <alignment horizontal="center" vertical="center" wrapText="1"/>
    </xf>
    <xf numFmtId="0" fontId="0" fillId="14" borderId="0" xfId="0" applyFill="1" applyBorder="1" applyAlignment="1" applyProtection="1">
      <alignment horizontal="center" vertical="center"/>
    </xf>
    <xf numFmtId="10" fontId="2" fillId="0" borderId="0" xfId="0" applyNumberFormat="1" applyFont="1"/>
    <xf numFmtId="9" fontId="0" fillId="6" borderId="0" xfId="0" applyNumberFormat="1" applyFill="1" applyBorder="1" applyAlignment="1" applyProtection="1">
      <alignment horizontal="center" vertical="center"/>
    </xf>
    <xf numFmtId="0" fontId="0" fillId="6" borderId="0" xfId="0" applyFill="1" applyBorder="1" applyAlignment="1" applyProtection="1">
      <alignment horizontal="center" vertical="center"/>
    </xf>
    <xf numFmtId="0" fontId="4" fillId="7" borderId="0" xfId="0" applyFont="1" applyFill="1" applyAlignment="1">
      <alignment horizontal="center" vertical="center" wrapText="1"/>
    </xf>
    <xf numFmtId="0" fontId="4" fillId="0" borderId="0" xfId="0" applyFont="1" applyAlignment="1">
      <alignment horizontal="right"/>
    </xf>
    <xf numFmtId="0" fontId="0" fillId="0" borderId="0" xfId="0" applyAlignment="1">
      <alignment vertical="center" wrapText="1"/>
    </xf>
    <xf numFmtId="0" fontId="0" fillId="19" borderId="0" xfId="0" applyFont="1" applyFill="1"/>
    <xf numFmtId="0" fontId="0" fillId="19" borderId="0" xfId="0" applyFont="1" applyFill="1" applyAlignment="1">
      <alignment vertical="center" wrapText="1"/>
    </xf>
    <xf numFmtId="166" fontId="0" fillId="0" borderId="0" xfId="0" applyNumberFormat="1"/>
    <xf numFmtId="0" fontId="0" fillId="31" borderId="0" xfId="0" applyFill="1"/>
    <xf numFmtId="167" fontId="0" fillId="0" borderId="0" xfId="0" applyNumberFormat="1"/>
    <xf numFmtId="0" fontId="12" fillId="32" borderId="0" xfId="0" applyFont="1" applyFill="1" applyAlignment="1">
      <alignment horizontal="center" vertical="center" wrapText="1"/>
    </xf>
    <xf numFmtId="0" fontId="28" fillId="20" borderId="0" xfId="0" applyFont="1" applyFill="1" applyAlignment="1">
      <alignment horizontal="center" vertical="center" wrapText="1"/>
    </xf>
    <xf numFmtId="167" fontId="28" fillId="20" borderId="22" xfId="0" applyNumberFormat="1" applyFont="1" applyFill="1" applyBorder="1"/>
    <xf numFmtId="0" fontId="28" fillId="20" borderId="22" xfId="0" applyFont="1" applyFill="1" applyBorder="1"/>
    <xf numFmtId="0" fontId="28" fillId="20" borderId="23" xfId="0" applyFont="1" applyFill="1" applyBorder="1"/>
    <xf numFmtId="167" fontId="12" fillId="32" borderId="22" xfId="0" applyNumberFormat="1" applyFont="1" applyFill="1" applyBorder="1"/>
    <xf numFmtId="0" fontId="12" fillId="32" borderId="22" xfId="0" applyFont="1" applyFill="1" applyBorder="1"/>
    <xf numFmtId="0" fontId="0" fillId="0" borderId="22" xfId="0" applyBorder="1"/>
    <xf numFmtId="0" fontId="12" fillId="32" borderId="23" xfId="0" applyFont="1" applyFill="1" applyBorder="1"/>
    <xf numFmtId="167" fontId="12" fillId="32" borderId="23" xfId="0" applyNumberFormat="1" applyFont="1" applyFill="1" applyBorder="1"/>
    <xf numFmtId="0" fontId="28" fillId="20" borderId="22" xfId="0" applyFont="1" applyFill="1" applyBorder="1" applyAlignment="1">
      <alignment horizontal="center" vertical="center" wrapText="1"/>
    </xf>
    <xf numFmtId="0" fontId="12" fillId="32" borderId="22" xfId="0" applyFont="1" applyFill="1" applyBorder="1" applyAlignment="1">
      <alignment horizontal="center" vertical="center" wrapText="1"/>
    </xf>
    <xf numFmtId="0" fontId="0" fillId="8" borderId="18" xfId="0" applyFont="1" applyFill="1" applyBorder="1" applyAlignment="1" applyProtection="1">
      <alignment horizontal="left" vertical="center"/>
    </xf>
    <xf numFmtId="0" fontId="0" fillId="0" borderId="0" xfId="0" applyFont="1"/>
    <xf numFmtId="0" fontId="4" fillId="34" borderId="0" xfId="3" applyFont="1"/>
    <xf numFmtId="1" fontId="0" fillId="19" borderId="0" xfId="0" applyNumberFormat="1" applyFill="1"/>
    <xf numFmtId="168" fontId="0" fillId="6" borderId="0" xfId="0" applyNumberFormat="1" applyFill="1" applyBorder="1" applyAlignment="1" applyProtection="1">
      <alignment horizontal="center" vertical="center"/>
    </xf>
    <xf numFmtId="0" fontId="0" fillId="7" borderId="0" xfId="0" applyFill="1" applyBorder="1" applyAlignment="1">
      <alignment horizontal="center" vertical="center"/>
    </xf>
    <xf numFmtId="168" fontId="0" fillId="7" borderId="0" xfId="0" applyNumberFormat="1" applyFill="1" applyBorder="1" applyAlignment="1" applyProtection="1">
      <alignment horizontal="center" vertical="center"/>
    </xf>
    <xf numFmtId="0" fontId="0" fillId="38" borderId="0" xfId="0" applyFill="1"/>
    <xf numFmtId="0" fontId="4" fillId="38" borderId="0" xfId="0" applyFont="1" applyFill="1"/>
    <xf numFmtId="0" fontId="0" fillId="30" borderId="0" xfId="0" applyFont="1" applyFill="1"/>
    <xf numFmtId="0" fontId="4" fillId="13" borderId="0" xfId="0" applyFont="1" applyFill="1"/>
    <xf numFmtId="0" fontId="4" fillId="3" borderId="0" xfId="0" applyFont="1" applyFill="1" applyAlignment="1">
      <alignment horizontal="center" vertical="center" wrapText="1"/>
    </xf>
    <xf numFmtId="6" fontId="0" fillId="0" borderId="0" xfId="0" applyNumberFormat="1" applyFont="1"/>
    <xf numFmtId="0" fontId="4" fillId="3" borderId="0" xfId="0" applyFont="1" applyFill="1"/>
    <xf numFmtId="0" fontId="0" fillId="2" borderId="0" xfId="0" applyFont="1" applyFill="1"/>
    <xf numFmtId="10" fontId="0" fillId="0" borderId="0" xfId="0" applyNumberFormat="1" applyFont="1"/>
    <xf numFmtId="0" fontId="4" fillId="0" borderId="0" xfId="0" applyFont="1" applyAlignment="1">
      <alignment vertical="center"/>
    </xf>
    <xf numFmtId="6" fontId="4" fillId="0" borderId="0" xfId="0" applyNumberFormat="1" applyFont="1" applyAlignment="1">
      <alignment vertical="center"/>
    </xf>
    <xf numFmtId="9" fontId="4" fillId="0" borderId="0" xfId="0" applyNumberFormat="1" applyFont="1" applyAlignment="1">
      <alignment vertical="center"/>
    </xf>
    <xf numFmtId="0" fontId="4" fillId="4" borderId="24" xfId="0" applyFont="1" applyFill="1" applyBorder="1" applyAlignment="1">
      <alignment horizontal="center" vertical="center" wrapText="1"/>
    </xf>
    <xf numFmtId="0" fontId="0" fillId="31" borderId="0" xfId="0" applyFont="1" applyFill="1"/>
    <xf numFmtId="0" fontId="4" fillId="36" borderId="0" xfId="5" applyFont="1"/>
    <xf numFmtId="0" fontId="0" fillId="13" borderId="0" xfId="0" applyFill="1" applyAlignment="1" applyProtection="1">
      <alignment horizontal="left" vertical="center"/>
    </xf>
    <xf numFmtId="0" fontId="25" fillId="13" borderId="0" xfId="0" applyFont="1" applyFill="1" applyAlignment="1" applyProtection="1">
      <alignment horizontal="left" vertical="center"/>
    </xf>
    <xf numFmtId="0" fontId="0" fillId="4" borderId="0" xfId="0" applyFill="1" applyAlignment="1" applyProtection="1">
      <alignment horizontal="left" vertical="center"/>
    </xf>
    <xf numFmtId="0" fontId="0" fillId="0" borderId="0" xfId="0" applyAlignment="1" applyProtection="1">
      <alignment horizontal="left" vertical="center"/>
    </xf>
    <xf numFmtId="0" fontId="0" fillId="8" borderId="19" xfId="0" applyFill="1" applyBorder="1" applyAlignment="1" applyProtection="1">
      <alignment horizontal="left" vertical="center"/>
    </xf>
    <xf numFmtId="0" fontId="0" fillId="0" borderId="0" xfId="0" applyAlignment="1" applyProtection="1">
      <alignment horizontal="left" vertical="center" wrapText="1"/>
    </xf>
    <xf numFmtId="0" fontId="30" fillId="37" borderId="0" xfId="6" applyAlignment="1" applyProtection="1">
      <alignment horizontal="left" vertical="center"/>
    </xf>
    <xf numFmtId="0" fontId="0" fillId="8" borderId="0" xfId="0" applyFill="1" applyAlignment="1" applyProtection="1">
      <alignment horizontal="left" vertical="center"/>
    </xf>
    <xf numFmtId="0" fontId="0" fillId="4" borderId="0" xfId="0" applyFill="1" applyAlignment="1" applyProtection="1">
      <alignment horizontal="left" vertical="center" wrapText="1"/>
    </xf>
    <xf numFmtId="9" fontId="0" fillId="0" borderId="0" xfId="0" applyNumberFormat="1" applyAlignment="1" applyProtection="1">
      <alignment horizontal="left" vertical="center"/>
    </xf>
    <xf numFmtId="0" fontId="0" fillId="0" borderId="16" xfId="0" applyBorder="1" applyAlignment="1" applyProtection="1">
      <alignment horizontal="left" vertical="center"/>
    </xf>
    <xf numFmtId="0" fontId="0" fillId="0" borderId="17" xfId="0" applyBorder="1" applyAlignment="1" applyProtection="1">
      <alignment horizontal="left" vertical="center"/>
    </xf>
    <xf numFmtId="0" fontId="12" fillId="13" borderId="0" xfId="0" applyFont="1" applyFill="1" applyAlignment="1" applyProtection="1">
      <alignment horizontal="left" vertical="center"/>
    </xf>
    <xf numFmtId="0" fontId="0" fillId="0" borderId="0" xfId="0"/>
    <xf numFmtId="0" fontId="32" fillId="0" borderId="0" xfId="0" applyFont="1" applyAlignment="1">
      <alignment horizontal="right"/>
    </xf>
    <xf numFmtId="0" fontId="33" fillId="8" borderId="0" xfId="0" applyFont="1" applyFill="1" applyAlignment="1">
      <alignment horizontal="right" vertical="center"/>
    </xf>
    <xf numFmtId="0" fontId="33" fillId="0" borderId="0" xfId="0" applyFont="1" applyAlignment="1">
      <alignment horizontal="right"/>
    </xf>
    <xf numFmtId="10" fontId="34" fillId="33" borderId="0" xfId="2" applyNumberFormat="1" applyFont="1" applyAlignment="1">
      <alignment horizontal="right"/>
    </xf>
    <xf numFmtId="0" fontId="33" fillId="0" borderId="0" xfId="0" applyFont="1" applyAlignment="1">
      <alignment horizontal="right" vertical="top"/>
    </xf>
    <xf numFmtId="0" fontId="32" fillId="0" borderId="0" xfId="0" applyFont="1"/>
    <xf numFmtId="0" fontId="33" fillId="8" borderId="0" xfId="0" applyFont="1" applyFill="1" applyAlignment="1">
      <alignment horizontal="center" vertical="center" wrapText="1"/>
    </xf>
    <xf numFmtId="0" fontId="33" fillId="0" borderId="0" xfId="0" applyFont="1" applyAlignment="1">
      <alignment horizontal="center" vertical="center"/>
    </xf>
    <xf numFmtId="0" fontId="36" fillId="13" borderId="0" xfId="0" applyFont="1" applyFill="1" applyAlignment="1">
      <alignment horizontal="right"/>
    </xf>
    <xf numFmtId="0" fontId="32" fillId="13" borderId="0" xfId="0" applyFont="1" applyFill="1" applyAlignment="1">
      <alignment horizontal="right"/>
    </xf>
    <xf numFmtId="0" fontId="33" fillId="13" borderId="0" xfId="0" applyFont="1" applyFill="1" applyAlignment="1">
      <alignment horizontal="right"/>
    </xf>
    <xf numFmtId="0" fontId="32" fillId="8" borderId="0" xfId="0" applyFont="1" applyFill="1" applyAlignment="1">
      <alignment horizontal="center" vertical="center"/>
    </xf>
    <xf numFmtId="0" fontId="33" fillId="8" borderId="0" xfId="0" applyFont="1" applyFill="1" applyAlignment="1">
      <alignment horizontal="right"/>
    </xf>
    <xf numFmtId="0" fontId="33" fillId="8" borderId="0" xfId="3" applyFont="1" applyFill="1" applyAlignment="1">
      <alignment horizontal="right"/>
    </xf>
    <xf numFmtId="0" fontId="32" fillId="8" borderId="0" xfId="0" applyFont="1" applyFill="1" applyAlignment="1">
      <alignment horizontal="right"/>
    </xf>
    <xf numFmtId="0" fontId="32" fillId="8" borderId="0" xfId="0" applyFont="1" applyFill="1"/>
    <xf numFmtId="0" fontId="36" fillId="0" borderId="0" xfId="0" applyFont="1" applyAlignment="1">
      <alignment horizontal="right"/>
    </xf>
    <xf numFmtId="0" fontId="33" fillId="8" borderId="0" xfId="0" applyFont="1" applyFill="1" applyBorder="1" applyAlignment="1">
      <alignment horizontal="right" vertical="center"/>
    </xf>
    <xf numFmtId="6" fontId="33" fillId="39" borderId="0" xfId="0" applyNumberFormat="1" applyFont="1" applyFill="1" applyBorder="1" applyAlignment="1">
      <alignment horizontal="right"/>
    </xf>
    <xf numFmtId="10" fontId="33" fillId="39" borderId="0" xfId="0" applyNumberFormat="1" applyFont="1" applyFill="1" applyBorder="1" applyAlignment="1">
      <alignment horizontal="right"/>
    </xf>
    <xf numFmtId="6" fontId="33" fillId="39" borderId="25" xfId="0" applyNumberFormat="1" applyFont="1" applyFill="1" applyBorder="1" applyAlignment="1">
      <alignment horizontal="right"/>
    </xf>
    <xf numFmtId="10" fontId="33" fillId="39" borderId="25" xfId="0" applyNumberFormat="1" applyFont="1" applyFill="1" applyBorder="1" applyAlignment="1">
      <alignment horizontal="right"/>
    </xf>
    <xf numFmtId="0" fontId="0" fillId="0" borderId="0" xfId="0"/>
    <xf numFmtId="0" fontId="0" fillId="0" borderId="0" xfId="0"/>
    <xf numFmtId="0" fontId="35" fillId="13" borderId="0" xfId="0" applyFont="1" applyFill="1"/>
    <xf numFmtId="0" fontId="33" fillId="20" borderId="0" xfId="0" applyFont="1" applyFill="1" applyAlignment="1">
      <alignment horizontal="center" vertical="center"/>
    </xf>
    <xf numFmtId="0" fontId="33" fillId="20" borderId="0" xfId="0" applyFont="1" applyFill="1" applyAlignment="1">
      <alignment horizontal="center" vertical="center" wrapText="1"/>
    </xf>
    <xf numFmtId="0" fontId="32" fillId="0" borderId="0" xfId="0" applyFont="1" applyAlignment="1">
      <alignment horizontal="left" vertical="center"/>
    </xf>
    <xf numFmtId="0" fontId="32" fillId="0" borderId="15" xfId="0" applyFont="1" applyBorder="1"/>
    <xf numFmtId="0" fontId="32" fillId="0" borderId="0" xfId="0" applyFont="1" applyBorder="1"/>
    <xf numFmtId="0" fontId="32" fillId="4" borderId="0" xfId="0" applyFont="1" applyFill="1"/>
    <xf numFmtId="0" fontId="32" fillId="13" borderId="0" xfId="0" applyFont="1" applyFill="1"/>
    <xf numFmtId="0" fontId="32" fillId="4" borderId="0" xfId="0" applyFont="1" applyFill="1" applyAlignment="1">
      <alignment horizontal="center" vertical="center" wrapText="1"/>
    </xf>
    <xf numFmtId="0" fontId="32" fillId="4" borderId="0" xfId="0" applyFont="1" applyFill="1" applyAlignment="1">
      <alignment horizontal="center" vertical="center"/>
    </xf>
    <xf numFmtId="0" fontId="32" fillId="31" borderId="0" xfId="0" applyFont="1" applyFill="1"/>
    <xf numFmtId="0" fontId="32" fillId="13" borderId="0" xfId="0" applyFont="1" applyFill="1" applyAlignment="1">
      <alignment horizontal="left" vertical="center"/>
    </xf>
    <xf numFmtId="0" fontId="35" fillId="13" borderId="0" xfId="0" applyFont="1" applyFill="1" applyAlignment="1">
      <alignment horizontal="left" vertical="center"/>
    </xf>
    <xf numFmtId="0" fontId="32" fillId="4" borderId="0" xfId="0" applyFont="1" applyFill="1" applyAlignment="1">
      <alignment horizontal="left" vertical="center"/>
    </xf>
    <xf numFmtId="0" fontId="32" fillId="0" borderId="0" xfId="0" applyFont="1" applyAlignment="1" applyProtection="1">
      <alignment horizontal="left" vertical="center"/>
      <protection locked="0"/>
    </xf>
    <xf numFmtId="0" fontId="32" fillId="8" borderId="19" xfId="0" applyFont="1" applyFill="1" applyBorder="1" applyAlignment="1" applyProtection="1">
      <alignment horizontal="left" vertical="center"/>
      <protection locked="0"/>
    </xf>
    <xf numFmtId="0" fontId="32" fillId="0" borderId="0" xfId="0" applyFont="1" applyAlignment="1">
      <alignment horizontal="left" vertical="center" wrapText="1"/>
    </xf>
    <xf numFmtId="0" fontId="32" fillId="37" borderId="0" xfId="6" applyFont="1" applyAlignment="1">
      <alignment horizontal="left" vertical="center"/>
    </xf>
    <xf numFmtId="0" fontId="32" fillId="8" borderId="0" xfId="0" applyFont="1" applyFill="1" applyAlignment="1">
      <alignment horizontal="left" vertical="center"/>
    </xf>
    <xf numFmtId="0" fontId="32" fillId="4" borderId="0" xfId="0" applyFont="1" applyFill="1" applyAlignment="1">
      <alignment horizontal="left" vertical="center" wrapText="1"/>
    </xf>
    <xf numFmtId="9" fontId="32" fillId="0" borderId="0" xfId="0" applyNumberFormat="1" applyFont="1" applyAlignment="1" applyProtection="1">
      <alignment horizontal="left" vertical="center"/>
      <protection locked="0"/>
    </xf>
    <xf numFmtId="0" fontId="32" fillId="0" borderId="16" xfId="0" applyFont="1" applyBorder="1" applyAlignment="1" applyProtection="1">
      <alignment horizontal="left" vertical="center"/>
      <protection locked="0"/>
    </xf>
    <xf numFmtId="0" fontId="32" fillId="8" borderId="18" xfId="0" applyFont="1" applyFill="1" applyBorder="1" applyAlignment="1" applyProtection="1">
      <alignment horizontal="left" vertical="center"/>
      <protection locked="0"/>
    </xf>
    <xf numFmtId="0" fontId="32" fillId="0" borderId="17" xfId="0" applyFont="1" applyBorder="1" applyAlignment="1">
      <alignment horizontal="left" vertical="center"/>
    </xf>
    <xf numFmtId="0" fontId="32" fillId="8" borderId="20" xfId="0" applyFont="1" applyFill="1" applyBorder="1" applyAlignment="1" applyProtection="1">
      <alignment horizontal="left" vertical="center"/>
      <protection locked="0"/>
    </xf>
    <xf numFmtId="0" fontId="32" fillId="8" borderId="21" xfId="0" applyFont="1" applyFill="1" applyBorder="1" applyAlignment="1" applyProtection="1">
      <alignment horizontal="left" vertical="center"/>
      <protection locked="0"/>
    </xf>
    <xf numFmtId="0" fontId="32" fillId="0" borderId="0" xfId="0" applyFont="1" applyAlignment="1">
      <alignment horizontal="center" vertical="center" wrapText="1"/>
    </xf>
    <xf numFmtId="0" fontId="32" fillId="37" borderId="0" xfId="6" applyFont="1" applyAlignment="1">
      <alignment horizontal="left" vertical="center" wrapText="1"/>
    </xf>
    <xf numFmtId="0" fontId="33" fillId="8" borderId="25" xfId="0" applyFont="1" applyFill="1" applyBorder="1" applyAlignment="1">
      <alignment horizontal="right" vertical="center"/>
    </xf>
    <xf numFmtId="0" fontId="33" fillId="0" borderId="25" xfId="0" applyFont="1" applyBorder="1" applyAlignment="1">
      <alignment horizontal="right"/>
    </xf>
    <xf numFmtId="6" fontId="34" fillId="33" borderId="25" xfId="2" applyNumberFormat="1" applyFont="1" applyBorder="1" applyAlignment="1">
      <alignment horizontal="right"/>
    </xf>
    <xf numFmtId="10" fontId="34" fillId="33" borderId="25" xfId="2" applyNumberFormat="1" applyFont="1" applyBorder="1" applyAlignment="1">
      <alignment horizontal="right"/>
    </xf>
    <xf numFmtId="6" fontId="37" fillId="42" borderId="0" xfId="0" applyNumberFormat="1" applyFont="1" applyFill="1" applyBorder="1" applyAlignment="1">
      <alignment horizontal="right"/>
    </xf>
    <xf numFmtId="6" fontId="37" fillId="42" borderId="25" xfId="0" applyNumberFormat="1" applyFont="1" applyFill="1" applyBorder="1" applyAlignment="1">
      <alignment horizontal="right"/>
    </xf>
    <xf numFmtId="6" fontId="37" fillId="42" borderId="0" xfId="0" applyNumberFormat="1" applyFont="1" applyFill="1" applyAlignment="1">
      <alignment horizontal="right"/>
    </xf>
    <xf numFmtId="9" fontId="33" fillId="0" borderId="0" xfId="0" applyNumberFormat="1" applyFont="1" applyAlignment="1" applyProtection="1">
      <alignment horizontal="right"/>
    </xf>
    <xf numFmtId="0" fontId="33" fillId="0" borderId="0" xfId="0" applyNumberFormat="1" applyFont="1" applyAlignment="1" applyProtection="1">
      <alignment horizontal="right"/>
    </xf>
    <xf numFmtId="0" fontId="36" fillId="41" borderId="0" xfId="0" applyFont="1" applyFill="1" applyAlignment="1" applyProtection="1">
      <alignment horizontal="right" vertical="center"/>
      <protection locked="0"/>
    </xf>
    <xf numFmtId="0" fontId="32" fillId="40" borderId="0" xfId="4" applyFont="1" applyFill="1" applyAlignment="1" applyProtection="1">
      <alignment horizontal="right"/>
      <protection locked="0"/>
    </xf>
    <xf numFmtId="0" fontId="36" fillId="41" borderId="0" xfId="4" applyFont="1" applyFill="1" applyAlignment="1" applyProtection="1">
      <alignment horizontal="right" vertical="top"/>
      <protection locked="0"/>
    </xf>
    <xf numFmtId="0" fontId="32" fillId="40" borderId="0" xfId="4" applyFont="1" applyFill="1" applyAlignment="1" applyProtection="1">
      <alignment horizontal="right" vertical="top"/>
      <protection locked="0"/>
    </xf>
    <xf numFmtId="0" fontId="36" fillId="41" borderId="0" xfId="0" applyFont="1" applyFill="1" applyAlignment="1" applyProtection="1">
      <alignment horizontal="right"/>
      <protection locked="0"/>
    </xf>
    <xf numFmtId="0" fontId="33" fillId="40" borderId="0" xfId="0" applyFont="1" applyFill="1" applyAlignment="1" applyProtection="1">
      <alignment horizontal="center" vertical="center"/>
      <protection locked="0"/>
    </xf>
    <xf numFmtId="164" fontId="34" fillId="33" borderId="0" xfId="2" applyNumberFormat="1" applyFont="1" applyAlignment="1">
      <alignment horizontal="right"/>
    </xf>
    <xf numFmtId="164" fontId="33" fillId="0" borderId="0" xfId="0" applyNumberFormat="1" applyFont="1" applyAlignment="1">
      <alignment horizontal="right"/>
    </xf>
    <xf numFmtId="164" fontId="32" fillId="40" borderId="0" xfId="0" applyNumberFormat="1" applyFont="1" applyFill="1" applyAlignment="1" applyProtection="1">
      <alignment horizontal="right"/>
      <protection locked="0"/>
    </xf>
    <xf numFmtId="0" fontId="4" fillId="31" borderId="0" xfId="0" applyFont="1" applyFill="1"/>
    <xf numFmtId="0" fontId="32" fillId="0" borderId="0" xfId="0" applyFont="1" applyAlignment="1" applyProtection="1">
      <alignment horizontal="center" vertical="center" wrapText="1"/>
      <protection locked="0"/>
    </xf>
    <xf numFmtId="0" fontId="0" fillId="0" borderId="0" xfId="0" applyNumberFormat="1"/>
    <xf numFmtId="0" fontId="38" fillId="0" borderId="0" xfId="0" applyFont="1"/>
    <xf numFmtId="0" fontId="11" fillId="32" borderId="0" xfId="0" applyFont="1" applyFill="1" applyAlignment="1">
      <alignment horizontal="center" vertical="center"/>
    </xf>
    <xf numFmtId="0" fontId="32" fillId="0" borderId="0" xfId="0" applyFont="1" applyAlignment="1">
      <alignment horizontal="right" wrapText="1"/>
    </xf>
    <xf numFmtId="0" fontId="35" fillId="8" borderId="0" xfId="0" applyFont="1" applyFill="1"/>
    <xf numFmtId="0" fontId="39" fillId="0" borderId="0" xfId="0" applyFont="1"/>
    <xf numFmtId="0" fontId="32" fillId="0" borderId="0" xfId="0" applyFont="1" applyProtection="1">
      <protection locked="0"/>
    </xf>
    <xf numFmtId="0" fontId="32" fillId="0" borderId="15" xfId="0" applyFont="1" applyBorder="1" applyAlignment="1" applyProtection="1">
      <alignment horizontal="left" vertical="center"/>
      <protection locked="0"/>
    </xf>
    <xf numFmtId="0" fontId="32" fillId="0" borderId="15" xfId="0" applyFont="1" applyBorder="1" applyProtection="1">
      <protection locked="0"/>
    </xf>
    <xf numFmtId="0" fontId="32" fillId="0" borderId="0" xfId="0" applyFont="1" applyBorder="1" applyAlignment="1" applyProtection="1">
      <alignment horizontal="left" vertical="center"/>
      <protection locked="0"/>
    </xf>
    <xf numFmtId="0" fontId="32" fillId="0" borderId="0" xfId="0" applyFont="1" applyBorder="1" applyProtection="1">
      <protection locked="0"/>
    </xf>
    <xf numFmtId="0" fontId="32" fillId="0" borderId="0" xfId="0" applyFont="1" applyAlignment="1" applyProtection="1">
      <alignment vertical="center"/>
      <protection locked="0"/>
    </xf>
    <xf numFmtId="9" fontId="32" fillId="0" borderId="0" xfId="0" applyNumberFormat="1" applyFont="1" applyAlignment="1" applyProtection="1">
      <alignment horizontal="left"/>
      <protection locked="0"/>
    </xf>
    <xf numFmtId="6" fontId="32" fillId="0" borderId="0" xfId="0" applyNumberFormat="1" applyFont="1" applyAlignment="1" applyProtection="1">
      <alignment horizontal="left"/>
      <protection locked="0"/>
    </xf>
    <xf numFmtId="10" fontId="32" fillId="0" borderId="0" xfId="0" applyNumberFormat="1" applyFont="1" applyAlignment="1" applyProtection="1">
      <alignment horizontal="left" vertical="center"/>
      <protection locked="0"/>
    </xf>
    <xf numFmtId="166" fontId="32" fillId="0" borderId="0" xfId="0" applyNumberFormat="1" applyFont="1" applyAlignment="1" applyProtection="1">
      <alignment horizontal="left" vertical="center"/>
      <protection locked="0"/>
    </xf>
    <xf numFmtId="10" fontId="32" fillId="0" borderId="0" xfId="0" applyNumberFormat="1" applyFont="1" applyAlignment="1" applyProtection="1">
      <alignment horizontal="left"/>
      <protection locked="0"/>
    </xf>
    <xf numFmtId="0" fontId="14" fillId="2" borderId="0" xfId="0" applyFont="1" applyFill="1" applyAlignment="1">
      <alignment horizontal="center" vertical="center" wrapText="1"/>
    </xf>
    <xf numFmtId="0" fontId="33" fillId="0" borderId="0" xfId="0" applyFont="1" applyAlignment="1">
      <alignment horizontal="center"/>
    </xf>
    <xf numFmtId="0" fontId="11" fillId="0" borderId="0" xfId="0" applyFont="1" applyAlignment="1">
      <alignment horizontal="center" vertical="center" wrapText="1"/>
    </xf>
    <xf numFmtId="0" fontId="33" fillId="0" borderId="0" xfId="0" applyFont="1" applyAlignment="1">
      <alignment horizontal="center" vertical="center"/>
    </xf>
    <xf numFmtId="0" fontId="32" fillId="0" borderId="0" xfId="0" applyFont="1" applyAlignment="1">
      <alignment horizontal="center" wrapText="1"/>
    </xf>
    <xf numFmtId="0" fontId="35" fillId="13" borderId="0" xfId="0" applyFont="1" applyFill="1" applyAlignment="1">
      <alignment horizontal="center"/>
    </xf>
    <xf numFmtId="0" fontId="36" fillId="13" borderId="0" xfId="0" applyFont="1" applyFill="1" applyAlignment="1">
      <alignment horizontal="center"/>
    </xf>
    <xf numFmtId="0" fontId="35" fillId="13" borderId="0" xfId="0" applyFont="1" applyFill="1" applyAlignment="1">
      <alignment horizontal="center" vertical="center"/>
    </xf>
    <xf numFmtId="0" fontId="33" fillId="20" borderId="0" xfId="0" applyFont="1" applyFill="1" applyAlignment="1">
      <alignment horizontal="center" vertical="center"/>
    </xf>
    <xf numFmtId="0" fontId="33" fillId="20" borderId="15" xfId="0" applyFont="1" applyFill="1" applyBorder="1" applyAlignment="1">
      <alignment horizontal="center" vertical="center"/>
    </xf>
    <xf numFmtId="0" fontId="33" fillId="20" borderId="0" xfId="0" applyFont="1" applyFill="1" applyBorder="1" applyAlignment="1">
      <alignment horizontal="center" vertical="center"/>
    </xf>
    <xf numFmtId="0" fontId="28" fillId="20" borderId="0" xfId="0" applyFont="1" applyFill="1" applyAlignment="1">
      <alignment horizontal="center"/>
    </xf>
    <xf numFmtId="0" fontId="12" fillId="32" borderId="0" xfId="0" applyFont="1" applyFill="1" applyAlignment="1">
      <alignment horizontal="center"/>
    </xf>
    <xf numFmtId="0" fontId="28" fillId="20" borderId="22" xfId="0" applyFont="1" applyFill="1" applyBorder="1" applyAlignment="1">
      <alignment horizontal="center"/>
    </xf>
    <xf numFmtId="0" fontId="12" fillId="32" borderId="22" xfId="0" applyFont="1" applyFill="1" applyBorder="1" applyAlignment="1">
      <alignment horizontal="center"/>
    </xf>
    <xf numFmtId="0" fontId="4" fillId="16" borderId="0" xfId="0" applyFont="1" applyFill="1" applyAlignment="1">
      <alignment horizontal="center" vertical="center"/>
    </xf>
    <xf numFmtId="0" fontId="4" fillId="18" borderId="15" xfId="0" applyFont="1" applyFill="1" applyBorder="1" applyAlignment="1">
      <alignment horizontal="center" vertical="center"/>
    </xf>
    <xf numFmtId="0" fontId="4" fillId="18" borderId="0" xfId="0" applyFont="1" applyFill="1" applyBorder="1" applyAlignment="1">
      <alignment horizontal="center" vertical="center"/>
    </xf>
    <xf numFmtId="0" fontId="4" fillId="18" borderId="0" xfId="0" applyFont="1" applyFill="1" applyAlignment="1">
      <alignment horizontal="center" vertical="center" wrapText="1"/>
    </xf>
    <xf numFmtId="0" fontId="8" fillId="5" borderId="0" xfId="0" applyFont="1" applyFill="1" applyBorder="1" applyAlignment="1">
      <alignment horizontal="center" vertical="center"/>
    </xf>
    <xf numFmtId="0" fontId="0" fillId="0" borderId="0" xfId="0"/>
    <xf numFmtId="0" fontId="0" fillId="0" borderId="0" xfId="0" applyAlignment="1">
      <alignment horizontal="center"/>
    </xf>
    <xf numFmtId="0" fontId="0" fillId="19" borderId="0" xfId="0" applyFill="1" applyAlignment="1">
      <alignment horizontal="center" vertical="center" wrapText="1"/>
    </xf>
    <xf numFmtId="0" fontId="1" fillId="0" borderId="0" xfId="0" applyFont="1" applyAlignment="1">
      <alignment horizontal="center" wrapText="1"/>
    </xf>
    <xf numFmtId="0" fontId="0" fillId="8" borderId="0" xfId="0" applyFill="1" applyAlignment="1">
      <alignment horizontal="center"/>
    </xf>
    <xf numFmtId="0" fontId="16" fillId="22" borderId="0" xfId="0" applyFont="1" applyFill="1" applyAlignment="1">
      <alignment horizontal="center"/>
    </xf>
    <xf numFmtId="0" fontId="0" fillId="19" borderId="0" xfId="0" applyFont="1" applyFill="1" applyAlignment="1">
      <alignment horizontal="center" vertical="center"/>
    </xf>
    <xf numFmtId="0" fontId="4" fillId="38" borderId="0" xfId="0" applyFont="1" applyFill="1" applyAlignment="1">
      <alignment horizontal="center"/>
    </xf>
    <xf numFmtId="0" fontId="4" fillId="30" borderId="0" xfId="0" applyFont="1" applyFill="1" applyAlignment="1">
      <alignment horizontal="center"/>
    </xf>
    <xf numFmtId="0" fontId="4" fillId="4" borderId="0" xfId="0" applyFont="1" applyFill="1" applyAlignment="1">
      <alignment horizontal="center" vertical="center"/>
    </xf>
    <xf numFmtId="0" fontId="16" fillId="34" borderId="0" xfId="3" applyFont="1" applyAlignment="1">
      <alignment horizontal="center"/>
    </xf>
    <xf numFmtId="0" fontId="26" fillId="17" borderId="0" xfId="0" applyFont="1" applyFill="1" applyAlignment="1">
      <alignment horizontal="center"/>
    </xf>
    <xf numFmtId="0" fontId="26" fillId="8" borderId="0" xfId="0" applyFont="1" applyFill="1" applyAlignment="1">
      <alignment horizontal="center"/>
    </xf>
    <xf numFmtId="0" fontId="26" fillId="7" borderId="0" xfId="0" applyFont="1" applyFill="1" applyAlignment="1">
      <alignment horizontal="center"/>
    </xf>
    <xf numFmtId="0" fontId="29" fillId="17" borderId="0" xfId="0" applyFont="1" applyFill="1" applyAlignment="1">
      <alignment horizontal="center" wrapText="1"/>
    </xf>
    <xf numFmtId="0" fontId="0" fillId="21" borderId="0" xfId="0" applyFill="1" applyAlignment="1">
      <alignment horizontal="center"/>
    </xf>
    <xf numFmtId="0" fontId="0" fillId="21" borderId="0" xfId="0" applyFill="1" applyAlignment="1">
      <alignment horizontal="center" wrapText="1"/>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11" fillId="4" borderId="0" xfId="0" applyFont="1" applyFill="1" applyAlignment="1">
      <alignment horizontal="center" vertical="center"/>
    </xf>
    <xf numFmtId="0" fontId="4" fillId="0" borderId="0" xfId="0" applyFont="1" applyAlignment="1">
      <alignment horizontal="center"/>
    </xf>
    <xf numFmtId="0" fontId="21" fillId="25" borderId="13" xfId="0" applyFont="1" applyFill="1" applyBorder="1" applyAlignment="1">
      <alignment horizontal="left" vertical="top" wrapText="1"/>
    </xf>
    <xf numFmtId="0" fontId="21" fillId="25" borderId="14" xfId="0" applyFont="1" applyFill="1" applyBorder="1" applyAlignment="1">
      <alignment horizontal="left" vertical="top" wrapText="1"/>
    </xf>
  </cellXfs>
  <cellStyles count="7">
    <cellStyle name="20% - Énfasis2" xfId="4" builtinId="34"/>
    <cellStyle name="20% - Énfasis4" xfId="5" builtinId="42"/>
    <cellStyle name="60% - Énfasis6" xfId="6" builtinId="52"/>
    <cellStyle name="Bueno" xfId="2" builtinId="26"/>
    <cellStyle name="Énfasis2" xfId="3" builtinId="33"/>
    <cellStyle name="Hipervínculo" xfId="1" builtinId="8"/>
    <cellStyle name="Normal" xfId="0" builtinId="0"/>
  </cellStyles>
  <dxfs count="8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strike val="0"/>
        <outline val="0"/>
        <shadow val="0"/>
        <u val="none"/>
        <vertAlign val="baseline"/>
        <sz val="11"/>
        <color theme="0"/>
        <name val="Calibri"/>
        <family val="2"/>
        <scheme val="minor"/>
      </font>
      <fill>
        <patternFill patternType="solid">
          <fgColor indexed="64"/>
          <bgColor theme="9" tint="-0.249977111117893"/>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0"/>
        <name val="Calibri"/>
        <family val="2"/>
        <scheme val="minor"/>
      </font>
      <numFmt numFmtId="167" formatCode="h:mm;@"/>
      <fill>
        <patternFill patternType="solid">
          <fgColor indexed="64"/>
          <bgColor theme="9" tint="-0.249977111117893"/>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0"/>
        <name val="Calibri"/>
        <family val="2"/>
        <scheme val="minor"/>
      </font>
      <numFmt numFmtId="167" formatCode="h:mm;@"/>
      <fill>
        <patternFill patternType="solid">
          <fgColor indexed="64"/>
          <bgColor theme="9" tint="-0.249977111117893"/>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0"/>
        <name val="Calibri"/>
        <family val="2"/>
        <scheme val="minor"/>
      </font>
      <numFmt numFmtId="167" formatCode="h:mm;@"/>
      <fill>
        <patternFill patternType="solid">
          <fgColor indexed="64"/>
          <bgColor theme="9" tint="-0.249977111117893"/>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scheme val="minor"/>
      </font>
      <fill>
        <patternFill patternType="solid">
          <fgColor indexed="64"/>
          <bgColor theme="9"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scheme val="minor"/>
      </font>
      <numFmt numFmtId="167" formatCode="h:mm;@"/>
      <fill>
        <patternFill patternType="solid">
          <fgColor indexed="64"/>
          <bgColor theme="9"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scheme val="minor"/>
      </font>
      <fill>
        <patternFill patternType="solid">
          <fgColor indexed="64"/>
          <bgColor theme="9"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scheme val="minor"/>
      </font>
      <fill>
        <patternFill patternType="solid">
          <fgColor indexed="64"/>
          <bgColor theme="9"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0"/>
        <name val="Calibri"/>
        <family val="2"/>
        <scheme val="minor"/>
      </font>
      <fill>
        <patternFill patternType="solid">
          <fgColor indexed="64"/>
          <bgColor theme="9" tint="-0.249977111117893"/>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0"/>
        <name val="Calibri"/>
        <family val="2"/>
        <scheme val="minor"/>
      </font>
      <numFmt numFmtId="167" formatCode="h:mm;@"/>
      <fill>
        <patternFill patternType="solid">
          <fgColor indexed="64"/>
          <bgColor theme="9" tint="-0.249977111117893"/>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0"/>
        <name val="Calibri"/>
        <family val="2"/>
        <scheme val="minor"/>
      </font>
      <numFmt numFmtId="167" formatCode="h:mm;@"/>
      <fill>
        <patternFill patternType="solid">
          <fgColor indexed="64"/>
          <bgColor theme="9" tint="-0.249977111117893"/>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0"/>
        <name val="Calibri"/>
        <family val="2"/>
        <scheme val="minor"/>
      </font>
      <numFmt numFmtId="167" formatCode="h:mm;@"/>
      <fill>
        <patternFill patternType="solid">
          <fgColor indexed="64"/>
          <bgColor theme="9" tint="-0.249977111117893"/>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scheme val="minor"/>
      </font>
      <fill>
        <patternFill patternType="solid">
          <fgColor indexed="64"/>
          <bgColor theme="9"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scheme val="minor"/>
      </font>
      <numFmt numFmtId="167" formatCode="h:mm;@"/>
      <fill>
        <patternFill patternType="solid">
          <fgColor indexed="64"/>
          <bgColor theme="9"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scheme val="minor"/>
      </font>
      <numFmt numFmtId="167" formatCode="h:mm;@"/>
      <fill>
        <patternFill patternType="solid">
          <fgColor indexed="64"/>
          <bgColor theme="9"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scheme val="minor"/>
      </font>
      <numFmt numFmtId="167" formatCode="h:mm;@"/>
      <fill>
        <patternFill patternType="solid">
          <fgColor indexed="64"/>
          <bgColor theme="9"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lor rgb="FFFF0000"/>
      </font>
      <fill>
        <patternFill>
          <bgColor theme="5" tint="0.59996337778862885"/>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colors>
    <mruColors>
      <color rgb="FF00FF00"/>
      <color rgb="FFFA585C"/>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hyperlink" Target="#RESUMEN!A1"/><Relationship Id="rId2" Type="http://schemas.openxmlformats.org/officeDocument/2006/relationships/hyperlink" Target="#'Hoja Cliente'!A1"/><Relationship Id="rId1" Type="http://schemas.openxmlformats.org/officeDocument/2006/relationships/hyperlink" Target="#Formulario!A1"/><Relationship Id="rId4" Type="http://schemas.openxmlformats.org/officeDocument/2006/relationships/hyperlink" Target="#'Hoja BIPV'!A1"/></Relationships>
</file>

<file path=xl/drawings/_rels/drawing2.xml.rels><?xml version="1.0" encoding="UTF-8" standalone="yes"?>
<Relationships xmlns="http://schemas.openxmlformats.org/package/2006/relationships"><Relationship Id="rId1" Type="http://schemas.openxmlformats.org/officeDocument/2006/relationships/hyperlink" Target="#INICIO!A1"/></Relationships>
</file>

<file path=xl/drawings/_rels/drawing3.xml.rels><?xml version="1.0" encoding="UTF-8" standalone="yes"?>
<Relationships xmlns="http://schemas.openxmlformats.org/package/2006/relationships"><Relationship Id="rId1" Type="http://schemas.openxmlformats.org/officeDocument/2006/relationships/hyperlink" Target="#RESUMEN!A1"/></Relationships>
</file>

<file path=xl/drawings/_rels/drawing5.xml.rels><?xml version="1.0" encoding="UTF-8" standalone="yes"?>
<Relationships xmlns="http://schemas.openxmlformats.org/package/2006/relationships"><Relationship Id="rId1" Type="http://schemas.openxmlformats.org/officeDocument/2006/relationships/hyperlink" Target="#INICIO!A1"/></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19050</xdr:colOff>
      <xdr:row>19</xdr:row>
      <xdr:rowOff>66675</xdr:rowOff>
    </xdr:from>
    <xdr:to>
      <xdr:col>5</xdr:col>
      <xdr:colOff>342900</xdr:colOff>
      <xdr:row>21</xdr:row>
      <xdr:rowOff>161925</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295EADE-1BAD-4471-8466-AD0B866B3F9B}"/>
            </a:ext>
          </a:extLst>
        </xdr:cNvPr>
        <xdr:cNvSpPr/>
      </xdr:nvSpPr>
      <xdr:spPr>
        <a:xfrm>
          <a:off x="2390775" y="3971925"/>
          <a:ext cx="1905000" cy="45720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400" b="1">
              <a:solidFill>
                <a:schemeClr val="tx1"/>
              </a:solidFill>
            </a:rPr>
            <a:t>FORMULARIO</a:t>
          </a:r>
        </a:p>
      </xdr:txBody>
    </xdr:sp>
    <xdr:clientData/>
  </xdr:twoCellAnchor>
  <xdr:twoCellAnchor>
    <xdr:from>
      <xdr:col>6</xdr:col>
      <xdr:colOff>0</xdr:colOff>
      <xdr:row>19</xdr:row>
      <xdr:rowOff>95250</xdr:rowOff>
    </xdr:from>
    <xdr:to>
      <xdr:col>8</xdr:col>
      <xdr:colOff>428625</xdr:colOff>
      <xdr:row>22</xdr:row>
      <xdr:rowOff>19050</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D720E558-EC45-4F1F-914D-BEDE46E6A510}"/>
            </a:ext>
          </a:extLst>
        </xdr:cNvPr>
        <xdr:cNvSpPr/>
      </xdr:nvSpPr>
      <xdr:spPr>
        <a:xfrm>
          <a:off x="4743450" y="4000500"/>
          <a:ext cx="2009775" cy="466725"/>
        </a:xfrm>
        <a:prstGeom prst="round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400" b="1">
              <a:solidFill>
                <a:schemeClr val="tx1"/>
              </a:solidFill>
            </a:rPr>
            <a:t>HOJA CLIENTE</a:t>
          </a:r>
        </a:p>
      </xdr:txBody>
    </xdr:sp>
    <xdr:clientData/>
  </xdr:twoCellAnchor>
  <xdr:twoCellAnchor>
    <xdr:from>
      <xdr:col>8</xdr:col>
      <xdr:colOff>781050</xdr:colOff>
      <xdr:row>19</xdr:row>
      <xdr:rowOff>85725</xdr:rowOff>
    </xdr:from>
    <xdr:to>
      <xdr:col>11</xdr:col>
      <xdr:colOff>419100</xdr:colOff>
      <xdr:row>22</xdr:row>
      <xdr:rowOff>9525</xdr:rowOff>
    </xdr:to>
    <xdr:sp macro="" textlink="">
      <xdr:nvSpPr>
        <xdr:cNvPr id="4" name="Rectángulo: esquinas redondeadas 3">
          <a:hlinkClick xmlns:r="http://schemas.openxmlformats.org/officeDocument/2006/relationships" r:id="rId3"/>
          <a:extLst>
            <a:ext uri="{FF2B5EF4-FFF2-40B4-BE49-F238E27FC236}">
              <a16:creationId xmlns:a16="http://schemas.microsoft.com/office/drawing/2014/main" id="{859EBBBA-C61B-49AA-B53E-ACC801D73283}"/>
            </a:ext>
          </a:extLst>
        </xdr:cNvPr>
        <xdr:cNvSpPr/>
      </xdr:nvSpPr>
      <xdr:spPr>
        <a:xfrm>
          <a:off x="7105650" y="3990975"/>
          <a:ext cx="2009775" cy="466725"/>
        </a:xfrm>
        <a:prstGeom prst="roundRect">
          <a:avLst/>
        </a:pr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400" b="1">
              <a:solidFill>
                <a:schemeClr val="tx1"/>
              </a:solidFill>
            </a:rPr>
            <a:t>RESUMEN</a:t>
          </a:r>
          <a:r>
            <a:rPr lang="es-ES" sz="1100"/>
            <a:t>	</a:t>
          </a:r>
        </a:p>
      </xdr:txBody>
    </xdr:sp>
    <xdr:clientData/>
  </xdr:twoCellAnchor>
  <xdr:twoCellAnchor>
    <xdr:from>
      <xdr:col>11</xdr:col>
      <xdr:colOff>723900</xdr:colOff>
      <xdr:row>19</xdr:row>
      <xdr:rowOff>85725</xdr:rowOff>
    </xdr:from>
    <xdr:to>
      <xdr:col>12</xdr:col>
      <xdr:colOff>647700</xdr:colOff>
      <xdr:row>22</xdr:row>
      <xdr:rowOff>9525</xdr:rowOff>
    </xdr:to>
    <xdr:sp macro="" textlink="">
      <xdr:nvSpPr>
        <xdr:cNvPr id="5" name="Rectángulo: esquinas redondeadas 4">
          <a:hlinkClick xmlns:r="http://schemas.openxmlformats.org/officeDocument/2006/relationships" r:id="rId4"/>
          <a:extLst>
            <a:ext uri="{FF2B5EF4-FFF2-40B4-BE49-F238E27FC236}">
              <a16:creationId xmlns:a16="http://schemas.microsoft.com/office/drawing/2014/main" id="{2DF4D648-F545-413A-BC25-E0C6707ED68E}"/>
            </a:ext>
          </a:extLst>
        </xdr:cNvPr>
        <xdr:cNvSpPr/>
      </xdr:nvSpPr>
      <xdr:spPr>
        <a:xfrm>
          <a:off x="9420225" y="3990975"/>
          <a:ext cx="2009775" cy="4667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400" b="1">
              <a:solidFill>
                <a:schemeClr val="tx1"/>
              </a:solidFill>
            </a:rPr>
            <a:t>HOJA</a:t>
          </a:r>
          <a:r>
            <a:rPr lang="es-ES" sz="1400" b="1" baseline="0">
              <a:solidFill>
                <a:schemeClr val="tx1"/>
              </a:solidFill>
            </a:rPr>
            <a:t> BIPV</a:t>
          </a:r>
          <a:endParaRPr lang="es-ES" sz="18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279400</xdr:colOff>
      <xdr:row>32</xdr:row>
      <xdr:rowOff>25400</xdr:rowOff>
    </xdr:from>
    <xdr:to>
      <xdr:col>7</xdr:col>
      <xdr:colOff>1854200</xdr:colOff>
      <xdr:row>34</xdr:row>
      <xdr:rowOff>16934</xdr:rowOff>
    </xdr:to>
    <xdr:sp macro="" textlink="">
      <xdr:nvSpPr>
        <xdr:cNvPr id="4" name="Rectángulo: esquinas redondeadas 3">
          <a:hlinkClick xmlns:r="http://schemas.openxmlformats.org/officeDocument/2006/relationships" r:id="rId1"/>
          <a:extLst>
            <a:ext uri="{FF2B5EF4-FFF2-40B4-BE49-F238E27FC236}">
              <a16:creationId xmlns:a16="http://schemas.microsoft.com/office/drawing/2014/main" id="{7C693DC5-6634-4FEE-B43B-A05A24B6FD3D}"/>
            </a:ext>
          </a:extLst>
        </xdr:cNvPr>
        <xdr:cNvSpPr/>
      </xdr:nvSpPr>
      <xdr:spPr>
        <a:xfrm>
          <a:off x="11252200" y="7188200"/>
          <a:ext cx="1574800" cy="39793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400" b="1">
              <a:solidFill>
                <a:schemeClr val="tx1"/>
              </a:solidFill>
              <a:latin typeface="Verdana" panose="020B0604030504040204" pitchFamily="34" charset="0"/>
              <a:ea typeface="Verdana" panose="020B0604030504040204" pitchFamily="34" charset="0"/>
            </a:rPr>
            <a:t>INICIO</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1883229</xdr:colOff>
      <xdr:row>14</xdr:row>
      <xdr:rowOff>108858</xdr:rowOff>
    </xdr:from>
    <xdr:to>
      <xdr:col>17</xdr:col>
      <xdr:colOff>533400</xdr:colOff>
      <xdr:row>21</xdr:row>
      <xdr:rowOff>108857</xdr:rowOff>
    </xdr:to>
    <xdr:sp macro="" textlink="">
      <xdr:nvSpPr>
        <xdr:cNvPr id="2" name="CuadroTexto 1">
          <a:extLst>
            <a:ext uri="{FF2B5EF4-FFF2-40B4-BE49-F238E27FC236}">
              <a16:creationId xmlns:a16="http://schemas.microsoft.com/office/drawing/2014/main" id="{169A4662-7585-46D9-ABF2-000B240F6CF7}"/>
            </a:ext>
          </a:extLst>
        </xdr:cNvPr>
        <xdr:cNvSpPr txBox="1"/>
      </xdr:nvSpPr>
      <xdr:spPr>
        <a:xfrm>
          <a:off x="10760529" y="2486298"/>
          <a:ext cx="9249591" cy="12801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solidFill>
                <a:schemeClr val="dk1"/>
              </a:solidFill>
              <a:effectLst/>
              <a:latin typeface="+mn-lt"/>
              <a:ea typeface="+mn-ea"/>
              <a:cs typeface="+mn-cs"/>
            </a:rPr>
            <a:t>2.0 A : Tarifa de Precio</a:t>
          </a:r>
          <a:r>
            <a:rPr lang="es-ES" sz="1100" baseline="0">
              <a:solidFill>
                <a:schemeClr val="dk1"/>
              </a:solidFill>
              <a:effectLst/>
              <a:latin typeface="+mn-lt"/>
              <a:ea typeface="+mn-ea"/>
              <a:cs typeface="+mn-cs"/>
            </a:rPr>
            <a:t> Fijo</a:t>
          </a:r>
          <a:endParaRPr lang="es-ES">
            <a:effectLst/>
          </a:endParaRPr>
        </a:p>
        <a:p>
          <a:r>
            <a:rPr lang="es-ES" sz="1100">
              <a:solidFill>
                <a:schemeClr val="dk1"/>
              </a:solidFill>
              <a:effectLst/>
              <a:latin typeface="+mn-lt"/>
              <a:ea typeface="+mn-ea"/>
              <a:cs typeface="+mn-cs"/>
            </a:rPr>
            <a:t>2.0 DHA: Tarifa con discriminación horaria en 2</a:t>
          </a:r>
          <a:r>
            <a:rPr lang="es-ES" sz="1100" baseline="0">
              <a:solidFill>
                <a:schemeClr val="dk1"/>
              </a:solidFill>
              <a:effectLst/>
              <a:latin typeface="+mn-lt"/>
              <a:ea typeface="+mn-ea"/>
              <a:cs typeface="+mn-cs"/>
            </a:rPr>
            <a:t> tramos</a:t>
          </a:r>
          <a:endParaRPr lang="es-ES">
            <a:effectLst/>
          </a:endParaRPr>
        </a:p>
        <a:p>
          <a:r>
            <a:rPr lang="es-ES" sz="1100" baseline="0">
              <a:solidFill>
                <a:schemeClr val="dk1"/>
              </a:solidFill>
              <a:effectLst/>
              <a:latin typeface="+mn-lt"/>
              <a:ea typeface="+mn-ea"/>
              <a:cs typeface="+mn-cs"/>
            </a:rPr>
            <a:t>2.0 TD: La actual y obligatoria, con discriminación horaria en 3 tramos.</a:t>
          </a:r>
          <a:endParaRPr lang="es-ES">
            <a:effectLst/>
          </a:endParaRPr>
        </a:p>
        <a:p>
          <a:r>
            <a:rPr lang="es-ES" sz="1100">
              <a:solidFill>
                <a:schemeClr val="tx1"/>
              </a:solidFill>
              <a:effectLst/>
              <a:latin typeface="+mn-lt"/>
              <a:ea typeface="+mn-ea"/>
              <a:cs typeface="+mn-cs"/>
            </a:rPr>
            <a:t>Precio</a:t>
          </a:r>
          <a:r>
            <a:rPr lang="es-ES" sz="1100" baseline="0">
              <a:solidFill>
                <a:schemeClr val="tx1"/>
              </a:solidFill>
              <a:effectLst/>
              <a:latin typeface="+mn-lt"/>
              <a:ea typeface="+mn-ea"/>
              <a:cs typeface="+mn-cs"/>
            </a:rPr>
            <a:t> Indexado: Tarifa en el mercado libre( pagas una tasa a la compañía eléctrica) y precios a precio de mercado regulado</a:t>
          </a:r>
          <a:endParaRPr lang="es-ES">
            <a:solidFill>
              <a:schemeClr val="tx1"/>
            </a:solidFill>
            <a:effectLst/>
          </a:endParaRPr>
        </a:p>
        <a:p>
          <a:r>
            <a:rPr lang="es-ES" sz="1100" baseline="0">
              <a:solidFill>
                <a:schemeClr val="dk1"/>
              </a:solidFill>
              <a:effectLst/>
              <a:latin typeface="+mn-lt"/>
              <a:ea typeface="+mn-ea"/>
              <a:cs typeface="+mn-cs"/>
            </a:rPr>
            <a:t>PVPC ( Precio de venta al Pequeño Consumidor): Precios del mercado regulado ( el mayorista)</a:t>
          </a:r>
          <a:endParaRPr lang="es-ES">
            <a:effectLst/>
          </a:endParaRPr>
        </a:p>
        <a:p>
          <a:endParaRPr lang="es-ES" sz="1100"/>
        </a:p>
      </xdr:txBody>
    </xdr:sp>
    <xdr:clientData/>
  </xdr:twoCellAnchor>
  <xdr:twoCellAnchor>
    <xdr:from>
      <xdr:col>5</xdr:col>
      <xdr:colOff>762000</xdr:colOff>
      <xdr:row>34</xdr:row>
      <xdr:rowOff>21771</xdr:rowOff>
    </xdr:from>
    <xdr:to>
      <xdr:col>10</xdr:col>
      <xdr:colOff>152400</xdr:colOff>
      <xdr:row>39</xdr:row>
      <xdr:rowOff>21771</xdr:rowOff>
    </xdr:to>
    <xdr:sp macro="" textlink="">
      <xdr:nvSpPr>
        <xdr:cNvPr id="3" name="CuadroTexto 2">
          <a:extLst>
            <a:ext uri="{FF2B5EF4-FFF2-40B4-BE49-F238E27FC236}">
              <a16:creationId xmlns:a16="http://schemas.microsoft.com/office/drawing/2014/main" id="{D1A3C3E0-B28A-4CE2-AC39-9948DAD58A9B}"/>
            </a:ext>
          </a:extLst>
        </xdr:cNvPr>
        <xdr:cNvSpPr txBox="1"/>
      </xdr:nvSpPr>
      <xdr:spPr>
        <a:xfrm>
          <a:off x="8846820" y="6056811"/>
          <a:ext cx="5234940" cy="14630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Si</a:t>
          </a:r>
          <a:r>
            <a:rPr lang="es-ES" sz="1100" baseline="0"/>
            <a:t> desconoce su consumo en todos los meses del año se permite la opción de introducir los kWh consumidos en una única factura y el programa extrapolará al resto de meses aunque se perderá precisión</a:t>
          </a:r>
          <a:endParaRPr lang="es-ES" sz="1100"/>
        </a:p>
      </xdr:txBody>
    </xdr:sp>
    <xdr:clientData/>
  </xdr:twoCellAnchor>
  <xdr:twoCellAnchor>
    <xdr:from>
      <xdr:col>4</xdr:col>
      <xdr:colOff>541565</xdr:colOff>
      <xdr:row>3</xdr:row>
      <xdr:rowOff>187779</xdr:rowOff>
    </xdr:from>
    <xdr:to>
      <xdr:col>12</xdr:col>
      <xdr:colOff>704850</xdr:colOff>
      <xdr:row>8</xdr:row>
      <xdr:rowOff>57150</xdr:rowOff>
    </xdr:to>
    <xdr:sp macro="" textlink="">
      <xdr:nvSpPr>
        <xdr:cNvPr id="5" name="CuadroTexto 4">
          <a:extLst>
            <a:ext uri="{FF2B5EF4-FFF2-40B4-BE49-F238E27FC236}">
              <a16:creationId xmlns:a16="http://schemas.microsoft.com/office/drawing/2014/main" id="{47BC3BA5-E147-4C71-8D45-E368326A4F38}"/>
            </a:ext>
          </a:extLst>
        </xdr:cNvPr>
        <xdr:cNvSpPr txBox="1"/>
      </xdr:nvSpPr>
      <xdr:spPr>
        <a:xfrm>
          <a:off x="7818665" y="606879"/>
          <a:ext cx="8592910" cy="917121"/>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chemeClr val="tx1"/>
              </a:solidFill>
              <a:effectLst/>
              <a:uLnTx/>
              <a:uFillTx/>
              <a:latin typeface="Calibri" panose="020F0502020204030204"/>
              <a:ea typeface="+mn-ea"/>
              <a:cs typeface="+mn-cs"/>
            </a:rPr>
            <a:t>Autoconsumo Aislado: Instalación aislada sin importar la potencia.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rPr>
            <a:t>Autoconsumo Individual con Excedentes: Instalación de Potencia Inferior a 15kW que vierta excedentes a la red y estos sean compensados por la comercializadora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rPr>
            <a:t>Autoconsumo Individual sin Excedentes: Instalación de Pontencia Inferior a 15kW que no reciba compensación por los excedentes</a:t>
          </a:r>
        </a:p>
      </xdr:txBody>
    </xdr:sp>
    <xdr:clientData/>
  </xdr:twoCellAnchor>
  <xdr:twoCellAnchor>
    <xdr:from>
      <xdr:col>2</xdr:col>
      <xdr:colOff>442231</xdr:colOff>
      <xdr:row>61</xdr:row>
      <xdr:rowOff>182336</xdr:rowOff>
    </xdr:from>
    <xdr:to>
      <xdr:col>2</xdr:col>
      <xdr:colOff>1819275</xdr:colOff>
      <xdr:row>63</xdr:row>
      <xdr:rowOff>190500</xdr:rowOff>
    </xdr:to>
    <xdr:sp macro="" textlink="">
      <xdr:nvSpPr>
        <xdr:cNvPr id="6" name="Rectángulo: esquinas redondeadas 5">
          <a:hlinkClick xmlns:r="http://schemas.openxmlformats.org/officeDocument/2006/relationships" r:id="rId1"/>
          <a:extLst>
            <a:ext uri="{FF2B5EF4-FFF2-40B4-BE49-F238E27FC236}">
              <a16:creationId xmlns:a16="http://schemas.microsoft.com/office/drawing/2014/main" id="{5511F3DB-3EC4-4F6B-BD72-EF72984185D0}"/>
            </a:ext>
          </a:extLst>
        </xdr:cNvPr>
        <xdr:cNvSpPr/>
      </xdr:nvSpPr>
      <xdr:spPr>
        <a:xfrm>
          <a:off x="4566556" y="14584136"/>
          <a:ext cx="1377044" cy="427264"/>
        </a:xfrm>
        <a:prstGeom prst="roundRect">
          <a:avLst/>
        </a:pr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600" b="1">
              <a:solidFill>
                <a:schemeClr val="tx1"/>
              </a:solidFill>
            </a:rPr>
            <a:t>RESUMEN</a:t>
          </a:r>
        </a:p>
      </xdr:txBody>
    </xdr:sp>
    <xdr:clientData/>
  </xdr:twoCellAnchor>
  <xdr:twoCellAnchor>
    <xdr:from>
      <xdr:col>1</xdr:col>
      <xdr:colOff>914400</xdr:colOff>
      <xdr:row>61</xdr:row>
      <xdr:rowOff>141513</xdr:rowOff>
    </xdr:from>
    <xdr:to>
      <xdr:col>1</xdr:col>
      <xdr:colOff>2220685</xdr:colOff>
      <xdr:row>63</xdr:row>
      <xdr:rowOff>206827</xdr:rowOff>
    </xdr:to>
    <xdr:sp macro="" textlink="">
      <xdr:nvSpPr>
        <xdr:cNvPr id="7" name="Rectángulo: esquinas redondeadas 6">
          <a:extLst>
            <a:ext uri="{FF2B5EF4-FFF2-40B4-BE49-F238E27FC236}">
              <a16:creationId xmlns:a16="http://schemas.microsoft.com/office/drawing/2014/main" id="{DDC341D9-EF75-4812-AEDE-4849DB5A5748}"/>
            </a:ext>
          </a:extLst>
        </xdr:cNvPr>
        <xdr:cNvSpPr/>
      </xdr:nvSpPr>
      <xdr:spPr>
        <a:xfrm>
          <a:off x="2960914" y="14205856"/>
          <a:ext cx="1306285" cy="47897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600" b="1">
              <a:solidFill>
                <a:schemeClr val="tx1"/>
              </a:solidFill>
              <a:latin typeface="+mn-lt"/>
              <a:ea typeface="Verdana" panose="020B0604030504040204" pitchFamily="34" charset="0"/>
            </a:rPr>
            <a:t>INICIO</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762000</xdr:colOff>
      <xdr:row>33</xdr:row>
      <xdr:rowOff>21771</xdr:rowOff>
    </xdr:from>
    <xdr:to>
      <xdr:col>10</xdr:col>
      <xdr:colOff>152400</xdr:colOff>
      <xdr:row>38</xdr:row>
      <xdr:rowOff>21771</xdr:rowOff>
    </xdr:to>
    <xdr:sp macro="" textlink="">
      <xdr:nvSpPr>
        <xdr:cNvPr id="3" name="CuadroTexto 2">
          <a:extLst>
            <a:ext uri="{FF2B5EF4-FFF2-40B4-BE49-F238E27FC236}">
              <a16:creationId xmlns:a16="http://schemas.microsoft.com/office/drawing/2014/main" id="{85DA788B-DB33-4F60-BE6E-05A48DB824C3}"/>
            </a:ext>
          </a:extLst>
        </xdr:cNvPr>
        <xdr:cNvSpPr txBox="1"/>
      </xdr:nvSpPr>
      <xdr:spPr>
        <a:xfrm>
          <a:off x="8055429" y="6128657"/>
          <a:ext cx="5246914" cy="7402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Si</a:t>
          </a:r>
          <a:r>
            <a:rPr lang="es-ES" sz="1100" baseline="0"/>
            <a:t> desconoce su consumo en todos los meses del año se permite la opción de introducir los kWh consumidos en una única factura y el programa extrapolará al resto de meses aunque se perderá precisión</a:t>
          </a:r>
          <a:endParaRPr lang="es-ES" sz="1100"/>
        </a:p>
      </xdr:txBody>
    </xdr:sp>
    <xdr:clientData/>
  </xdr:twoCellAnchor>
  <xdr:twoCellAnchor>
    <xdr:from>
      <xdr:col>3</xdr:col>
      <xdr:colOff>304799</xdr:colOff>
      <xdr:row>61</xdr:row>
      <xdr:rowOff>174172</xdr:rowOff>
    </xdr:from>
    <xdr:to>
      <xdr:col>4</xdr:col>
      <xdr:colOff>990599</xdr:colOff>
      <xdr:row>64</xdr:row>
      <xdr:rowOff>141515</xdr:rowOff>
    </xdr:to>
    <xdr:sp macro="" textlink="">
      <xdr:nvSpPr>
        <xdr:cNvPr id="4" name="Rectángulo: esquinas redondeadas 3">
          <a:extLst>
            <a:ext uri="{FF2B5EF4-FFF2-40B4-BE49-F238E27FC236}">
              <a16:creationId xmlns:a16="http://schemas.microsoft.com/office/drawing/2014/main" id="{1B0BD516-8C46-4280-98BB-2C550819DD9C}"/>
            </a:ext>
          </a:extLst>
        </xdr:cNvPr>
        <xdr:cNvSpPr/>
      </xdr:nvSpPr>
      <xdr:spPr>
        <a:xfrm>
          <a:off x="5747656" y="12192001"/>
          <a:ext cx="1632857" cy="522514"/>
        </a:xfrm>
        <a:prstGeom prst="round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ES" sz="2000" b="1"/>
            <a:t>Limpiar Hoja</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1415144</xdr:colOff>
      <xdr:row>61</xdr:row>
      <xdr:rowOff>32657</xdr:rowOff>
    </xdr:from>
    <xdr:to>
      <xdr:col>3</xdr:col>
      <xdr:colOff>1306286</xdr:colOff>
      <xdr:row>63</xdr:row>
      <xdr:rowOff>54429</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F7BD41C0-BF64-4E6B-967A-943FBA737812}"/>
            </a:ext>
          </a:extLst>
        </xdr:cNvPr>
        <xdr:cNvSpPr/>
      </xdr:nvSpPr>
      <xdr:spPr>
        <a:xfrm>
          <a:off x="4005944" y="14347371"/>
          <a:ext cx="1578428" cy="43542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600" b="1">
              <a:solidFill>
                <a:schemeClr val="tx1"/>
              </a:solidFill>
              <a:latin typeface="+mn-lt"/>
              <a:ea typeface="Verdana" panose="020B0604030504040204" pitchFamily="34" charset="0"/>
            </a:rPr>
            <a:t>INICIO</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237066</xdr:colOff>
      <xdr:row>1</xdr:row>
      <xdr:rowOff>169333</xdr:rowOff>
    </xdr:from>
    <xdr:to>
      <xdr:col>13</xdr:col>
      <xdr:colOff>753533</xdr:colOff>
      <xdr:row>8</xdr:row>
      <xdr:rowOff>84667</xdr:rowOff>
    </xdr:to>
    <xdr:sp macro="" textlink="">
      <xdr:nvSpPr>
        <xdr:cNvPr id="2" name="CuadroTexto 1">
          <a:extLst>
            <a:ext uri="{FF2B5EF4-FFF2-40B4-BE49-F238E27FC236}">
              <a16:creationId xmlns:a16="http://schemas.microsoft.com/office/drawing/2014/main" id="{B9B2E203-80EA-4189-B708-2A63BD9BF628}"/>
            </a:ext>
          </a:extLst>
        </xdr:cNvPr>
        <xdr:cNvSpPr txBox="1"/>
      </xdr:nvSpPr>
      <xdr:spPr>
        <a:xfrm>
          <a:off x="9618133" y="355600"/>
          <a:ext cx="7086600" cy="121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Autoconsumo Aislado: Instalación aislada</a:t>
          </a:r>
          <a:r>
            <a:rPr lang="es-ES" sz="1100" baseline="0"/>
            <a:t> sin importar la potencia.</a:t>
          </a:r>
        </a:p>
        <a:p>
          <a:r>
            <a:rPr lang="es-ES" sz="1100" baseline="0"/>
            <a:t>Autoconsumo Individual con Excedentes: Instalación de Potencia Inferior a 15kW que vierta excedentes a la red</a:t>
          </a:r>
        </a:p>
        <a:p>
          <a:pPr marL="0" marR="0" lvl="0" indent="0" defTabSz="914400" eaLnBrk="1" fontAlgn="auto" latinLnBrk="0" hangingPunct="1">
            <a:lnSpc>
              <a:spcPct val="100000"/>
            </a:lnSpc>
            <a:spcBef>
              <a:spcPts val="0"/>
            </a:spcBef>
            <a:spcAft>
              <a:spcPts val="0"/>
            </a:spcAft>
            <a:buClrTx/>
            <a:buSzTx/>
            <a:buFontTx/>
            <a:buNone/>
            <a:tabLst/>
            <a:defRPr/>
          </a:pPr>
          <a:r>
            <a:rPr lang="es-ES" sz="1100">
              <a:solidFill>
                <a:schemeClr val="dk1"/>
              </a:solidFill>
              <a:effectLst/>
              <a:latin typeface="+mn-lt"/>
              <a:ea typeface="+mn-ea"/>
              <a:cs typeface="+mn-cs"/>
            </a:rPr>
            <a:t>Autoconsumo Individual Aislado: Instalación de Pontencia Inferior a 15kW que no vierta excedentes a la</a:t>
          </a:r>
          <a:r>
            <a:rPr lang="es-ES" sz="1100" baseline="0">
              <a:solidFill>
                <a:schemeClr val="dk1"/>
              </a:solidFill>
              <a:effectLst/>
              <a:latin typeface="+mn-lt"/>
              <a:ea typeface="+mn-ea"/>
              <a:cs typeface="+mn-cs"/>
            </a:rPr>
            <a:t> red</a:t>
          </a:r>
        </a:p>
        <a:p>
          <a:pPr marL="0" marR="0" lvl="0" indent="0" defTabSz="914400" eaLnBrk="1" fontAlgn="auto" latinLnBrk="0" hangingPunct="1">
            <a:lnSpc>
              <a:spcPct val="100000"/>
            </a:lnSpc>
            <a:spcBef>
              <a:spcPts val="0"/>
            </a:spcBef>
            <a:spcAft>
              <a:spcPts val="0"/>
            </a:spcAft>
            <a:buClrTx/>
            <a:buSzTx/>
            <a:buFontTx/>
            <a:buNone/>
            <a:tabLst/>
            <a:defRPr/>
          </a:pPr>
          <a:endParaRPr lang="es-ES" sz="1100" baseline="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50800</xdr:colOff>
      <xdr:row>9</xdr:row>
      <xdr:rowOff>169333</xdr:rowOff>
    </xdr:from>
    <xdr:to>
      <xdr:col>10</xdr:col>
      <xdr:colOff>584200</xdr:colOff>
      <xdr:row>20</xdr:row>
      <xdr:rowOff>8466</xdr:rowOff>
    </xdr:to>
    <xdr:sp macro="" textlink="">
      <xdr:nvSpPr>
        <xdr:cNvPr id="2" name="CuadroTexto 1">
          <a:extLst>
            <a:ext uri="{FF2B5EF4-FFF2-40B4-BE49-F238E27FC236}">
              <a16:creationId xmlns:a16="http://schemas.microsoft.com/office/drawing/2014/main" id="{ED104151-9BE0-48E9-AAE2-F08248EE105B}"/>
            </a:ext>
          </a:extLst>
        </xdr:cNvPr>
        <xdr:cNvSpPr txBox="1"/>
      </xdr:nvSpPr>
      <xdr:spPr>
        <a:xfrm>
          <a:off x="8466667" y="1845733"/>
          <a:ext cx="29210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-Limite</a:t>
          </a:r>
          <a:r>
            <a:rPr lang="es-ES" sz="1100" baseline="0"/>
            <a:t> Mensual de kW que se compensan de la factura.</a:t>
          </a:r>
        </a:p>
        <a:p>
          <a:r>
            <a:rPr lang="es-ES" sz="1100" baseline="0"/>
            <a:t>-Si se deja en blanco se supondrá que compensará hasta dejar la factura de la luz en 0€.</a:t>
          </a:r>
        </a:p>
        <a:p>
          <a:endParaRPr lang="es-ES" sz="1100"/>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373380</xdr:colOff>
      <xdr:row>15</xdr:row>
      <xdr:rowOff>15240</xdr:rowOff>
    </xdr:from>
    <xdr:to>
      <xdr:col>13</xdr:col>
      <xdr:colOff>576892</xdr:colOff>
      <xdr:row>18</xdr:row>
      <xdr:rowOff>142790</xdr:rowOff>
    </xdr:to>
    <xdr:pic>
      <xdr:nvPicPr>
        <xdr:cNvPr id="3" name="Imagen 2">
          <a:extLst>
            <a:ext uri="{FF2B5EF4-FFF2-40B4-BE49-F238E27FC236}">
              <a16:creationId xmlns:a16="http://schemas.microsoft.com/office/drawing/2014/main" id="{982DDBBE-3336-4C82-B112-642183672B5B}"/>
            </a:ext>
          </a:extLst>
        </xdr:cNvPr>
        <xdr:cNvPicPr>
          <a:picLocks noChangeAspect="1"/>
        </xdr:cNvPicPr>
      </xdr:nvPicPr>
      <xdr:blipFill>
        <a:blip xmlns:r="http://schemas.openxmlformats.org/officeDocument/2006/relationships" r:embed="rId1"/>
        <a:stretch>
          <a:fillRect/>
        </a:stretch>
      </xdr:blipFill>
      <xdr:spPr>
        <a:xfrm>
          <a:off x="8686800" y="2910840"/>
          <a:ext cx="2580952" cy="67619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Mario Obispo Alonso" id="{E2F2373E-E7F8-46E6-999A-59E99AD51C25}" userId="Mario Obispo Alonso" providerId="None"/>
</personList>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atosExternos_2" connectionId="1" xr16:uid="{8D97B28E-B27B-4AB3-86B3-9D8279869A75}" autoFormatId="16" applyNumberFormats="0" applyBorderFormats="0" applyFontFormats="0" applyPatternFormats="0" applyAlignmentFormats="0" applyWidthHeightFormats="0">
  <queryTableRefresh nextId="45">
    <queryTableFields count="44">
      <queryTableField id="1" name="Column1" tableColumnId="1"/>
      <queryTableField id="2" name="Column2" tableColumnId="2"/>
      <queryTableField id="3" name="Column3" tableColumnId="3"/>
      <queryTableField id="4" name="Column4" tableColumnId="4"/>
      <queryTableField id="5" name="Column5" tableColumnId="5"/>
      <queryTableField id="6" name="Column6" tableColumnId="6"/>
      <queryTableField id="7" name="Column7" tableColumnId="7"/>
      <queryTableField id="8" name="Column8" tableColumnId="8"/>
      <queryTableField id="9" name="Column9" tableColumnId="9"/>
      <queryTableField id="10" name="Column10" tableColumnId="10"/>
      <queryTableField id="11" name="Column11" tableColumnId="11"/>
      <queryTableField id="12" name="Column12" tableColumnId="12"/>
      <queryTableField id="13" name="Column13" tableColumnId="13"/>
      <queryTableField id="14" name="Column14" tableColumnId="14"/>
      <queryTableField id="15" name="Column15" tableColumnId="15"/>
      <queryTableField id="16" name="Column16" tableColumnId="16"/>
      <queryTableField id="17" name="Column17" tableColumnId="17"/>
      <queryTableField id="18" name="Column18" tableColumnId="18"/>
      <queryTableField id="19" name="Column19" tableColumnId="19"/>
      <queryTableField id="20" name="Column20" tableColumnId="20"/>
      <queryTableField id="21" name="Column21" tableColumnId="21"/>
      <queryTableField id="22" name="Column22" tableColumnId="22"/>
      <queryTableField id="23" name="Column23" tableColumnId="23"/>
      <queryTableField id="24" name="Column24" tableColumnId="24"/>
      <queryTableField id="25" name="Column25" tableColumnId="25"/>
      <queryTableField id="26" name="Column26" tableColumnId="26"/>
      <queryTableField id="27" name="Column27" tableColumnId="27"/>
      <queryTableField id="28" name="Column28" tableColumnId="28"/>
      <queryTableField id="29" name="Column29" tableColumnId="29"/>
      <queryTableField id="30" name="Column30" tableColumnId="30"/>
      <queryTableField id="31" name="Column31" tableColumnId="31"/>
      <queryTableField id="32" name="Column32" tableColumnId="32"/>
      <queryTableField id="33" name="Column33" tableColumnId="33"/>
      <queryTableField id="34" name="Column34" tableColumnId="34"/>
      <queryTableField id="35" name="Column35" tableColumnId="35"/>
      <queryTableField id="36" name="Column36" tableColumnId="36"/>
      <queryTableField id="37" name="Column37" tableColumnId="37"/>
      <queryTableField id="38" name="Column38" tableColumnId="38"/>
      <queryTableField id="39" name="Column39" tableColumnId="39"/>
      <queryTableField id="40" name="Column40" tableColumnId="40"/>
      <queryTableField id="41" name="Column41" tableColumnId="41"/>
      <queryTableField id="42" name="Column42" tableColumnId="42"/>
      <queryTableField id="43" name="Column43" tableColumnId="43"/>
      <queryTableField id="44" name="Column44" tableColumnId="44"/>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B9207FF-CA12-4AF0-A819-9DBEB499AAFB}" name="Table_0__3" displayName="Table_0__3" ref="A1:AR9" tableType="queryTable" totalsRowShown="0">
  <autoFilter ref="A1:AR9" xr:uid="{FB9207FF-CA12-4AF0-A819-9DBEB499AAFB}"/>
  <tableColumns count="44">
    <tableColumn id="1" xr3:uid="{1A849FD5-9AB7-48BA-8697-5FC8DF91B6F2}" uniqueName="1" name="Column1" queryTableFieldId="1" dataDxfId="81"/>
    <tableColumn id="2" xr3:uid="{1255C828-0E53-4341-AE67-D4FE8E6E1A89}" uniqueName="2" name="Column2" queryTableFieldId="2"/>
    <tableColumn id="3" xr3:uid="{B6D54ECE-4CB4-45FD-A239-DF19E13C331F}" uniqueName="3" name="Column3" queryTableFieldId="3" dataDxfId="80"/>
    <tableColumn id="4" xr3:uid="{F4B9BE55-0C98-43AA-8056-602A69487AF0}" uniqueName="4" name="Column4" queryTableFieldId="4" dataDxfId="79"/>
    <tableColumn id="5" xr3:uid="{47D59986-5273-4D51-ADD5-ADA9B963CF89}" uniqueName="5" name="Column5" queryTableFieldId="5" dataDxfId="78"/>
    <tableColumn id="6" xr3:uid="{A96B9E7B-2E71-4F94-9BFA-02D30F2E9FE8}" uniqueName="6" name="Column6" queryTableFieldId="6" dataDxfId="77"/>
    <tableColumn id="7" xr3:uid="{F77447EF-FFD3-4C4E-A274-EF55371966A7}" uniqueName="7" name="Column7" queryTableFieldId="7" dataDxfId="76"/>
    <tableColumn id="8" xr3:uid="{3876987F-1844-4FAC-A043-1D482D820528}" uniqueName="8" name="Column8" queryTableFieldId="8" dataDxfId="75"/>
    <tableColumn id="9" xr3:uid="{37B41356-F6C4-417D-8A44-07CD55D5067B}" uniqueName="9" name="Column9" queryTableFieldId="9" dataDxfId="74"/>
    <tableColumn id="10" xr3:uid="{6922F869-1603-4329-99C7-3E242D557E78}" uniqueName="10" name="Column10" queryTableFieldId="10" dataDxfId="73"/>
    <tableColumn id="11" xr3:uid="{F3EF6B84-11F9-4FCD-9BE8-6EE13F30DF0C}" uniqueName="11" name="Column11" queryTableFieldId="11" dataDxfId="72"/>
    <tableColumn id="12" xr3:uid="{74BF028D-4466-4266-82C6-9A46598B086C}" uniqueName="12" name="Column12" queryTableFieldId="12" dataDxfId="71"/>
    <tableColumn id="13" xr3:uid="{DE7D2E67-ED46-4CC8-AEDA-EFA691A59B25}" uniqueName="13" name="Column13" queryTableFieldId="13" dataDxfId="70"/>
    <tableColumn id="14" xr3:uid="{1CBCA9D0-8B4F-4B4C-8A13-9F2CC75CEAEF}" uniqueName="14" name="Column14" queryTableFieldId="14" dataDxfId="69"/>
    <tableColumn id="15" xr3:uid="{89B4604F-3513-464D-AC5C-A4B4896C9CE9}" uniqueName="15" name="Column15" queryTableFieldId="15" dataDxfId="68"/>
    <tableColumn id="16" xr3:uid="{A815AEFC-074F-4B97-8AD8-A587277C4B9F}" uniqueName="16" name="Column16" queryTableFieldId="16" dataDxfId="67"/>
    <tableColumn id="17" xr3:uid="{046D5B49-3BF9-485F-843E-10D5E8DB12A4}" uniqueName="17" name="Column17" queryTableFieldId="17" dataDxfId="66"/>
    <tableColumn id="18" xr3:uid="{DCF1C0C7-FB3C-49C3-8EA9-56EFDA53DCF1}" uniqueName="18" name="Column18" queryTableFieldId="18" dataDxfId="65"/>
    <tableColumn id="19" xr3:uid="{944B48B9-777A-4532-B5E7-4EAE738F67FB}" uniqueName="19" name="Column19" queryTableFieldId="19" dataDxfId="64"/>
    <tableColumn id="20" xr3:uid="{A018DB4A-C429-489B-83B9-C115618E04F5}" uniqueName="20" name="Column20" queryTableFieldId="20" dataDxfId="63"/>
    <tableColumn id="21" xr3:uid="{F5DA58D1-378B-43A3-8E93-42ECD890D785}" uniqueName="21" name="Column21" queryTableFieldId="21" dataDxfId="62"/>
    <tableColumn id="22" xr3:uid="{1892D087-C311-401D-96F7-8F85EB6DB0C7}" uniqueName="22" name="Column22" queryTableFieldId="22" dataDxfId="61"/>
    <tableColumn id="23" xr3:uid="{85CD2CD9-DBE6-4354-B62D-F98F356F1B7F}" uniqueName="23" name="Column23" queryTableFieldId="23" dataDxfId="60"/>
    <tableColumn id="24" xr3:uid="{71A1DC40-01FD-4DFE-82C6-A2EADA0F19BA}" uniqueName="24" name="Column24" queryTableFieldId="24" dataDxfId="59"/>
    <tableColumn id="25" xr3:uid="{473EEE91-6351-4368-9107-9F33AF5F3200}" uniqueName="25" name="Column25" queryTableFieldId="25" dataDxfId="58"/>
    <tableColumn id="26" xr3:uid="{756C05A3-9F07-4015-85CD-BDBFE0F204EC}" uniqueName="26" name="Column26" queryTableFieldId="26" dataDxfId="57"/>
    <tableColumn id="27" xr3:uid="{34927276-E596-4DFF-BF40-96FC5770904C}" uniqueName="27" name="Column27" queryTableFieldId="27" dataDxfId="56"/>
    <tableColumn id="28" xr3:uid="{C1CFCE9D-66C5-4537-BF67-441CA4C82055}" uniqueName="28" name="Column28" queryTableFieldId="28" dataDxfId="55"/>
    <tableColumn id="29" xr3:uid="{19281A2F-6630-4EA3-984D-12F6AB656812}" uniqueName="29" name="Column29" queryTableFieldId="29" dataDxfId="54"/>
    <tableColumn id="30" xr3:uid="{B5ED3DE5-DD91-4E00-9694-3730585D3C86}" uniqueName="30" name="Column30" queryTableFieldId="30" dataDxfId="53"/>
    <tableColumn id="31" xr3:uid="{71C6FB77-49F8-47D7-916D-8D797BDBBB45}" uniqueName="31" name="Column31" queryTableFieldId="31" dataDxfId="52"/>
    <tableColumn id="32" xr3:uid="{C17CA38C-0257-4718-8388-5DD6C6ACDA35}" uniqueName="32" name="Column32" queryTableFieldId="32" dataDxfId="51"/>
    <tableColumn id="33" xr3:uid="{10CB21BF-FF59-4F05-A581-34A399A2FDFC}" uniqueName="33" name="Column33" queryTableFieldId="33" dataDxfId="50"/>
    <tableColumn id="34" xr3:uid="{194547EE-4318-4C3D-B3F4-866F70D50968}" uniqueName="34" name="Column34" queryTableFieldId="34" dataDxfId="49"/>
    <tableColumn id="35" xr3:uid="{B9A47532-0131-44FF-9A63-6D72744A2037}" uniqueName="35" name="Column35" queryTableFieldId="35" dataDxfId="48"/>
    <tableColumn id="36" xr3:uid="{8B1B812D-DBE1-4D1F-9EAC-F879C24D00FB}" uniqueName="36" name="Column36" queryTableFieldId="36" dataDxfId="47"/>
    <tableColumn id="37" xr3:uid="{9A0E4422-2645-4385-B29B-CE018EDDDABF}" uniqueName="37" name="Column37" queryTableFieldId="37" dataDxfId="46"/>
    <tableColumn id="38" xr3:uid="{59894412-7874-420A-9BB4-939301C34C97}" uniqueName="38" name="Column38" queryTableFieldId="38" dataDxfId="45"/>
    <tableColumn id="39" xr3:uid="{8AA6AA07-FB86-4FB6-BA3C-170A91162897}" uniqueName="39" name="Column39" queryTableFieldId="39" dataDxfId="44"/>
    <tableColumn id="40" xr3:uid="{0EEEC917-5381-4D13-BD39-86578E719346}" uniqueName="40" name="Column40" queryTableFieldId="40" dataDxfId="43"/>
    <tableColumn id="41" xr3:uid="{E07A1AB5-1837-43FE-9F37-9D1748FB2345}" uniqueName="41" name="Column41" queryTableFieldId="41" dataDxfId="42"/>
    <tableColumn id="42" xr3:uid="{65236267-9E23-4988-B936-3D0B24A0FA4E}" uniqueName="42" name="Column42" queryTableFieldId="42" dataDxfId="41"/>
    <tableColumn id="43" xr3:uid="{E179829B-B8B9-4005-A71D-9C2C41BD5527}" uniqueName="43" name="Column43" queryTableFieldId="43" dataDxfId="40"/>
    <tableColumn id="44" xr3:uid="{960A0959-F7FE-4DFA-BA49-B564FDE22997}" uniqueName="44" name="Column44" queryTableFieldId="44" dataDxfId="39"/>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E406C97-D013-4174-BD4D-BB4915D599A1}" name="Tabla1" displayName="Tabla1" ref="A2:U8" totalsRowShown="0" headerRowDxfId="24">
  <autoFilter ref="A2:U8" xr:uid="{CE406C97-D013-4174-BD4D-BB4915D599A1}"/>
  <tableColumns count="21">
    <tableColumn id="1" xr3:uid="{A5A24282-C0B2-4863-887C-47E87F520051}" name="Nombre"/>
    <tableColumn id="2" xr3:uid="{07872447-9C77-4957-83C8-1D02272B21E7}" name="Tarifa Plana"/>
    <tableColumn id="3" xr3:uid="{C5F5AA16-38B8-4C50-AC96-BEC2FC270FE0}" name="Precio Variable"/>
    <tableColumn id="22" xr3:uid="{9AE90CDB-5C5F-4F7B-AD9D-AF55E3D33F67}" name="Discriminación en Meses"/>
    <tableColumn id="4" xr3:uid="{9861691D-2DDB-4B04-9C47-D7DA4ACF8C76}" name="Número de Tramos"/>
    <tableColumn id="5" xr3:uid="{D3C652C1-27AF-4405-A3A9-50B378C5EE2E}" name="Hora Inicio" dataDxfId="23"/>
    <tableColumn id="6" xr3:uid="{04C8F7D4-9CB4-4F18-82F8-C9BC0B9D6B9E}" name="Hora Fin" dataDxfId="22"/>
    <tableColumn id="18" xr3:uid="{6CB816FD-D659-466A-9AC8-32A4D9EB9D57}" name="Nombre Tramo" dataDxfId="21">
      <calculatedColumnFormula>Tabla1[[#This Row],[Hora Fin]]-Tabla1[[#This Row],[Hora Inicio]]</calculatedColumnFormula>
    </tableColumn>
    <tableColumn id="7" xr3:uid="{36505394-1D7D-4C52-BBFC-3FF87CFCB6B6}" name="Incluye Fines de Semana" dataDxfId="20"/>
    <tableColumn id="8" xr3:uid="{6FC8ACF7-B241-4FBD-8EE4-A63B222261FE}" name="Hora Inicio_2" dataDxfId="19"/>
    <tableColumn id="9" xr3:uid="{CAD0A039-08DE-49AC-9492-D6F1C6686901}" name="Hora Fin_2" dataDxfId="18"/>
    <tableColumn id="19" xr3:uid="{37F28FD9-158D-4DAD-8C4E-34DA22216C75}" name="Nombre Tramo_2" dataDxfId="17"/>
    <tableColumn id="10" xr3:uid="{3D706662-3436-4FE4-9621-D7EA18959DA0}" name="Incluye Fines de Semana_2" dataDxfId="16"/>
    <tableColumn id="11" xr3:uid="{A08851CD-3EB6-4671-B3EA-AB1F105E0B63}" name="Hora Inicio3_" dataDxfId="15"/>
    <tableColumn id="12" xr3:uid="{9D7028C6-E461-4F8E-97FF-6DB054E84CB1}" name="Hora Fin_3" dataDxfId="14"/>
    <tableColumn id="20" xr3:uid="{180625C9-2CD6-4139-B09F-06A076D14BDD}" name="Hora Fin_32" dataDxfId="13"/>
    <tableColumn id="13" xr3:uid="{F36B639C-F5BC-41A2-A10C-B6C75BF835F6}" name="Incluye Fines de Semana_3" dataDxfId="12"/>
    <tableColumn id="14" xr3:uid="{F6315646-837A-4999-897D-2B606A8FAAE7}" name="Hora Inicio_4" dataDxfId="11"/>
    <tableColumn id="15" xr3:uid="{1CC4DE56-7244-4DA6-B6EE-C47A5646352A}" name="Hora Fin_4" dataDxfId="10"/>
    <tableColumn id="21" xr3:uid="{436F0649-844C-4AF7-B442-18305E6656BF}" name="Hora Fin_5" dataDxfId="9"/>
    <tableColumn id="16" xr3:uid="{92573712-EB96-4023-A9C4-03EC1AE457DE}" name="Incluye Fines de Semana_4" dataDxfId="8"/>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4" dT="2021-04-03T10:00:14.38" personId="{E2F2373E-E7F8-46E6-999A-59E99AD51C25}" id="{FA337FC3-807B-44F8-9437-F07CB9D90BBF}">
    <text>Sobre Potencia y Consumo</text>
  </threadedComment>
  <threadedComment ref="E5" dT="2021-04-03T10:00:34.51" personId="{E2F2373E-E7F8-46E6-999A-59E99AD51C25}" id="{C6647352-5425-4C73-86CF-DEE911D2D37B}">
    <text>Sobre Potencia, Consumo e Impuesto Eléctrico</text>
  </threadedComment>
  <threadedComment ref="D40" dT="2021-04-27T18:29:58.60" personId="{E2F2373E-E7F8-46E6-999A-59E99AD51C25}" id="{CB528E1E-168A-4BE7-AC1B-44E042565116}">
    <text>Solo funciona de manera mensual</text>
  </threadedComment>
</ThreadedComment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sotysolar.es/blog/como-afecta-la-orientacion-de-tu-tejado-a-tu-instalacion-de-placas-solares"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hyperlink" Target="https://www.ree.es/sites/default/files/interactivos/como_consumimos_electricidad/como-varia-mi-consumo.html" TargetMode="External"/><Relationship Id="rId1" Type="http://schemas.openxmlformats.org/officeDocument/2006/relationships/hyperlink" Target="https://selectra.es/autoconsumo/info/instalacion" TargetMode="Externa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2.xml.rels><?xml version="1.0" encoding="UTF-8" standalone="yes"?>
<Relationships xmlns="http://schemas.openxmlformats.org/package/2006/relationships"><Relationship Id="rId1" Type="http://schemas.openxmlformats.org/officeDocument/2006/relationships/hyperlink" Target="../%22https:/www.epdata.es/horas-luz-provincias-2019/6841c77e-e946-420e-a0c4-cff4de1154f3%22"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3EFC0-FC29-4F68-96DC-8A8592CEE72F}">
  <dimension ref="C4:D107"/>
  <sheetViews>
    <sheetView topLeftCell="A85" zoomScale="80" zoomScaleNormal="80" workbookViewId="0">
      <selection activeCell="C104" sqref="C104"/>
    </sheetView>
  </sheetViews>
  <sheetFormatPr baseColWidth="10" defaultRowHeight="14.4"/>
  <cols>
    <col min="3" max="3" width="43.6640625" customWidth="1"/>
    <col min="4" max="4" width="42.33203125" customWidth="1"/>
  </cols>
  <sheetData>
    <row r="4" spans="3:3">
      <c r="C4" t="s">
        <v>234</v>
      </c>
    </row>
    <row r="5" spans="3:3">
      <c r="C5" t="s">
        <v>235</v>
      </c>
    </row>
    <row r="7" spans="3:3">
      <c r="C7" t="s">
        <v>236</v>
      </c>
    </row>
    <row r="8" spans="3:3">
      <c r="C8" t="s">
        <v>237</v>
      </c>
    </row>
    <row r="9" spans="3:3">
      <c r="C9" t="s">
        <v>238</v>
      </c>
    </row>
    <row r="14" spans="3:3">
      <c r="C14" t="s">
        <v>239</v>
      </c>
    </row>
    <row r="17" spans="3:3">
      <c r="C17" t="s">
        <v>240</v>
      </c>
    </row>
    <row r="20" spans="3:3">
      <c r="C20" t="s">
        <v>241</v>
      </c>
    </row>
    <row r="21" spans="3:3">
      <c r="C21" t="s">
        <v>242</v>
      </c>
    </row>
    <row r="22" spans="3:3">
      <c r="C22" t="s">
        <v>243</v>
      </c>
    </row>
    <row r="23" spans="3:3">
      <c r="C23" t="s">
        <v>244</v>
      </c>
    </row>
    <row r="25" spans="3:3">
      <c r="C25" t="s">
        <v>245</v>
      </c>
    </row>
    <row r="27" spans="3:3">
      <c r="C27" t="s">
        <v>246</v>
      </c>
    </row>
    <row r="28" spans="3:3">
      <c r="C28" t="s">
        <v>247</v>
      </c>
    </row>
    <row r="30" spans="3:3">
      <c r="C30" t="s">
        <v>248</v>
      </c>
    </row>
    <row r="33" spans="3:4">
      <c r="C33" t="s">
        <v>249</v>
      </c>
    </row>
    <row r="34" spans="3:4">
      <c r="C34" t="s">
        <v>250</v>
      </c>
      <c r="D34" t="s">
        <v>251</v>
      </c>
    </row>
    <row r="36" spans="3:4">
      <c r="C36" t="s">
        <v>252</v>
      </c>
      <c r="D36" t="s">
        <v>253</v>
      </c>
    </row>
    <row r="37" spans="3:4">
      <c r="C37" t="s">
        <v>254</v>
      </c>
      <c r="D37" t="s">
        <v>255</v>
      </c>
    </row>
    <row r="38" spans="3:4">
      <c r="D38" t="s">
        <v>256</v>
      </c>
    </row>
    <row r="41" spans="3:4">
      <c r="C41" t="s">
        <v>257</v>
      </c>
    </row>
    <row r="44" spans="3:4">
      <c r="C44" t="s">
        <v>258</v>
      </c>
    </row>
    <row r="45" spans="3:4">
      <c r="C45" t="s">
        <v>260</v>
      </c>
    </row>
    <row r="48" spans="3:4">
      <c r="C48" t="s">
        <v>261</v>
      </c>
    </row>
    <row r="51" spans="3:3">
      <c r="C51" t="s">
        <v>262</v>
      </c>
    </row>
    <row r="53" spans="3:3">
      <c r="C53" t="s">
        <v>263</v>
      </c>
    </row>
    <row r="58" spans="3:3">
      <c r="C58" t="s">
        <v>264</v>
      </c>
    </row>
    <row r="59" spans="3:3">
      <c r="C59" t="s">
        <v>294</v>
      </c>
    </row>
    <row r="74" spans="3:3" s="11" customFormat="1"/>
    <row r="78" spans="3:3">
      <c r="C78" t="s">
        <v>339</v>
      </c>
    </row>
    <row r="80" spans="3:3">
      <c r="C80" t="s">
        <v>340</v>
      </c>
    </row>
    <row r="82" spans="3:3">
      <c r="C82" t="s">
        <v>341</v>
      </c>
    </row>
    <row r="84" spans="3:3">
      <c r="C84" t="s">
        <v>342</v>
      </c>
    </row>
    <row r="86" spans="3:3">
      <c r="C86" t="s">
        <v>343</v>
      </c>
    </row>
    <row r="88" spans="3:3">
      <c r="C88" t="s">
        <v>345</v>
      </c>
    </row>
    <row r="90" spans="3:3">
      <c r="C90" t="s">
        <v>346</v>
      </c>
    </row>
    <row r="92" spans="3:3">
      <c r="C92" t="s">
        <v>347</v>
      </c>
    </row>
    <row r="94" spans="3:3">
      <c r="C94" t="s">
        <v>348</v>
      </c>
    </row>
    <row r="96" spans="3:3">
      <c r="C96" t="s">
        <v>349</v>
      </c>
    </row>
    <row r="98" spans="3:3">
      <c r="C98" t="s">
        <v>350</v>
      </c>
    </row>
    <row r="100" spans="3:3">
      <c r="C100" t="s">
        <v>356</v>
      </c>
    </row>
    <row r="104" spans="3:3">
      <c r="C104" t="s">
        <v>357</v>
      </c>
    </row>
    <row r="107" spans="3:3">
      <c r="C107" t="s">
        <v>360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EA5F-58A2-436F-BF17-8B418E112494}">
  <dimension ref="A2:AN33"/>
  <sheetViews>
    <sheetView showGridLines="0" zoomScale="70" zoomScaleNormal="70" workbookViewId="0">
      <selection activeCell="M20" sqref="M20"/>
    </sheetView>
  </sheetViews>
  <sheetFormatPr baseColWidth="10" defaultRowHeight="14.4"/>
  <cols>
    <col min="1" max="1" width="14.44140625" style="1" customWidth="1"/>
    <col min="2" max="2" width="24.44140625" style="1" customWidth="1"/>
    <col min="3" max="3" width="18.21875" style="1" customWidth="1"/>
    <col min="4" max="4" width="11.5546875" style="1"/>
    <col min="5" max="5" width="18.33203125" style="1" customWidth="1"/>
    <col min="6" max="6" width="39.5546875" style="1" customWidth="1"/>
    <col min="7" max="7" width="13.77734375" style="1" customWidth="1"/>
    <col min="8" max="8" width="14" style="1" customWidth="1"/>
    <col min="9" max="9" width="11.5546875" style="1"/>
    <col min="10" max="10" width="23.5546875" style="1" customWidth="1"/>
    <col min="11" max="11" width="13.6640625" style="1" customWidth="1"/>
    <col min="12" max="12" width="11.5546875" style="1"/>
    <col min="13" max="13" width="21.33203125" style="1" customWidth="1"/>
    <col min="14" max="14" width="15.21875" style="1" customWidth="1"/>
    <col min="15" max="20" width="11.5546875" style="1"/>
    <col min="21" max="21" width="20.5546875" style="1" customWidth="1"/>
    <col min="22" max="22" width="21.5546875" style="1" customWidth="1"/>
    <col min="23" max="24" width="11.5546875" style="1"/>
    <col min="25" max="25" width="37.109375" style="1" customWidth="1"/>
    <col min="26" max="33" width="11.5546875" style="1"/>
    <col min="34" max="34" width="20.109375" style="1" customWidth="1"/>
    <col min="35" max="16384" width="11.5546875" style="1"/>
  </cols>
  <sheetData>
    <row r="2" spans="1:40">
      <c r="C2" s="19"/>
    </row>
    <row r="4" spans="1:40">
      <c r="B4" s="6" t="s">
        <v>65</v>
      </c>
      <c r="AH4" s="1" t="s">
        <v>31</v>
      </c>
      <c r="AJ4" s="1" t="s">
        <v>33</v>
      </c>
      <c r="AL4" s="1" t="s">
        <v>38</v>
      </c>
      <c r="AN4" s="1" t="s">
        <v>49</v>
      </c>
    </row>
    <row r="5" spans="1:40">
      <c r="AH5" s="1" t="s">
        <v>32</v>
      </c>
      <c r="AJ5" s="1" t="s">
        <v>34</v>
      </c>
      <c r="AL5" s="1" t="s">
        <v>39</v>
      </c>
      <c r="AN5" s="1" t="s">
        <v>50</v>
      </c>
    </row>
    <row r="6" spans="1:40">
      <c r="A6" s="19"/>
      <c r="B6" s="40"/>
      <c r="C6" s="19"/>
      <c r="E6" s="4" t="s">
        <v>63</v>
      </c>
      <c r="F6" s="98" t="str">
        <f>'Hoja Cliente Aux'!C5</f>
        <v>Autoconsumo Individual con Excedentes</v>
      </c>
      <c r="G6" s="19"/>
      <c r="AJ6" s="1" t="s">
        <v>35</v>
      </c>
    </row>
    <row r="7" spans="1:40">
      <c r="A7" s="19"/>
      <c r="B7" s="4" t="s">
        <v>30</v>
      </c>
      <c r="C7" s="97" t="str">
        <f>'Hoja Cliente Aux'!C11</f>
        <v>Este-Oeste</v>
      </c>
    </row>
    <row r="8" spans="1:40">
      <c r="B8" s="4" t="s">
        <v>29</v>
      </c>
      <c r="C8" s="97" t="str">
        <f>'Hoja Cliente Aux'!C10</f>
        <v>Toledo</v>
      </c>
    </row>
    <row r="9" spans="1:40">
      <c r="U9" s="1" t="s">
        <v>140</v>
      </c>
      <c r="V9" s="1" t="s">
        <v>58</v>
      </c>
      <c r="Y9" s="1" t="s">
        <v>311</v>
      </c>
    </row>
    <row r="10" spans="1:40">
      <c r="U10" s="1" t="s">
        <v>48</v>
      </c>
      <c r="V10" s="1" t="s">
        <v>59</v>
      </c>
      <c r="Y10" s="1" t="s">
        <v>64</v>
      </c>
    </row>
    <row r="11" spans="1:40" ht="18">
      <c r="F11" s="22" t="s">
        <v>284</v>
      </c>
      <c r="J11" s="21"/>
      <c r="Y11" s="1" t="s">
        <v>312</v>
      </c>
    </row>
    <row r="12" spans="1:40">
      <c r="B12" s="6" t="s">
        <v>66</v>
      </c>
      <c r="F12" s="90">
        <f>RESUMEN!B4</f>
        <v>3</v>
      </c>
    </row>
    <row r="13" spans="1:40">
      <c r="B13" s="4"/>
    </row>
    <row r="14" spans="1:40">
      <c r="A14" s="267" t="s">
        <v>154</v>
      </c>
      <c r="B14" s="4" t="s">
        <v>153</v>
      </c>
      <c r="C14" s="97">
        <f>_xlfn.XLOOKUP('Hoja BIPV'!I$10,'Hoja BIPV'!$C$10:$C$13,'Hoja BIPV'!$D$10:$D$13)</f>
        <v>233</v>
      </c>
      <c r="G14" s="86"/>
      <c r="J14" s="19"/>
      <c r="U14" s="1" t="s">
        <v>156</v>
      </c>
      <c r="AH14" s="1" t="s">
        <v>353</v>
      </c>
    </row>
    <row r="15" spans="1:40">
      <c r="A15" s="267"/>
      <c r="B15" s="4" t="s">
        <v>158</v>
      </c>
      <c r="C15" s="97">
        <f>_xlfn.XLOOKUP('Hoja BIPV'!I$10,'Hoja BIPV'!$C$10:$C$13,'Hoja BIPV'!$E$10:$E$13)</f>
        <v>20</v>
      </c>
      <c r="U15" s="1" t="s">
        <v>157</v>
      </c>
      <c r="AH15" s="1" t="s">
        <v>355</v>
      </c>
    </row>
    <row r="16" spans="1:40">
      <c r="A16" s="268" t="s">
        <v>155</v>
      </c>
      <c r="B16" s="4" t="s">
        <v>153</v>
      </c>
      <c r="C16" s="97">
        <f>_xlfn.XLOOKUP('Hoja BIPV'!$I$4,'Hoja BIPV'!$C$5:$C$9,'Hoja BIPV'!$D$5:$D$9)</f>
        <v>330</v>
      </c>
      <c r="E16" s="4" t="s">
        <v>265</v>
      </c>
      <c r="F16" s="73">
        <f>ROUNDUP('Datos Instalación'!F12/'Datos Instalación'!C16*1000,0)</f>
        <v>10</v>
      </c>
    </row>
    <row r="17" spans="1:34">
      <c r="A17" s="269"/>
      <c r="B17" s="4" t="s">
        <v>158</v>
      </c>
      <c r="C17" s="97">
        <f>_xlfn.XLOOKUP('Hoja BIPV'!$I$4,'Hoja BIPV'!$C$5:$C$9,'Hoja BIPV'!$E$5:$E$9)</f>
        <v>144</v>
      </c>
      <c r="E17" s="4" t="s">
        <v>266</v>
      </c>
      <c r="F17" s="73">
        <f>ROUNDUP(F12*1000/C14,0)</f>
        <v>13</v>
      </c>
    </row>
    <row r="18" spans="1:34">
      <c r="AH18" s="1" t="s">
        <v>156</v>
      </c>
    </row>
    <row r="19" spans="1:34">
      <c r="B19" s="72" t="s">
        <v>230</v>
      </c>
      <c r="AH19" s="1" t="s">
        <v>157</v>
      </c>
    </row>
    <row r="20" spans="1:34" ht="28.8">
      <c r="B20" s="4" t="s">
        <v>78</v>
      </c>
      <c r="C20" s="73" t="str">
        <f>'Hoja Cliente Aux'!C58</f>
        <v>25</v>
      </c>
      <c r="E20" s="60" t="s">
        <v>222</v>
      </c>
      <c r="F20" s="83">
        <f>'Hoja BIPV'!C26</f>
        <v>5.4000000000000003E-3</v>
      </c>
      <c r="AH20" s="1" t="s">
        <v>354</v>
      </c>
    </row>
    <row r="22" spans="1:34">
      <c r="L22" s="5"/>
    </row>
    <row r="23" spans="1:34">
      <c r="B23" s="6" t="s">
        <v>75</v>
      </c>
      <c r="F23" s="6" t="s">
        <v>76</v>
      </c>
    </row>
    <row r="24" spans="1:34">
      <c r="G24" s="1" t="s">
        <v>268</v>
      </c>
      <c r="H24" s="1" t="s">
        <v>156</v>
      </c>
      <c r="I24" s="1" t="s">
        <v>157</v>
      </c>
      <c r="J24" s="102"/>
    </row>
    <row r="25" spans="1:34" ht="14.4" customHeight="1">
      <c r="A25" s="19"/>
      <c r="B25" s="1" t="s">
        <v>77</v>
      </c>
      <c r="C25" s="73">
        <f>IF(RESUMEN!J28="No",0,RESUMEN!C35)</f>
        <v>4500</v>
      </c>
      <c r="D25" s="80"/>
      <c r="E25" s="270" t="s">
        <v>232</v>
      </c>
      <c r="F25" s="4" t="s">
        <v>151</v>
      </c>
      <c r="G25" s="99">
        <f>'Hoja BIPV'!C30</f>
        <v>700</v>
      </c>
      <c r="H25" s="87">
        <f>G25</f>
        <v>700</v>
      </c>
      <c r="I25" s="87">
        <f>H25</f>
        <v>700</v>
      </c>
      <c r="J25" s="19"/>
    </row>
    <row r="26" spans="1:34">
      <c r="A26" s="19"/>
      <c r="B26" s="1" t="s">
        <v>79</v>
      </c>
      <c r="C26" s="83">
        <f>'Hoja BIPV'!C47</f>
        <v>0.05</v>
      </c>
      <c r="D26" s="19"/>
      <c r="E26" s="270"/>
      <c r="F26" s="4" t="s">
        <v>149</v>
      </c>
      <c r="G26" s="100"/>
      <c r="H26" s="1">
        <f>F16*C17</f>
        <v>1440</v>
      </c>
      <c r="I26" s="1">
        <f>F17*C15</f>
        <v>260</v>
      </c>
      <c r="J26" s="19"/>
    </row>
    <row r="27" spans="1:34">
      <c r="A27" s="19"/>
      <c r="B27" s="1" t="s">
        <v>78</v>
      </c>
      <c r="C27" s="73">
        <f>'Hoja BIPV'!C49</f>
        <v>10</v>
      </c>
      <c r="D27" s="81"/>
      <c r="E27" s="270"/>
      <c r="F27" s="4" t="s">
        <v>150</v>
      </c>
      <c r="G27" s="99">
        <f>'Hoja BIPV'!C31</f>
        <v>1300</v>
      </c>
      <c r="H27" s="87">
        <f>G27</f>
        <v>1300</v>
      </c>
      <c r="I27" s="87">
        <f>H27</f>
        <v>1300</v>
      </c>
      <c r="J27" s="19"/>
    </row>
    <row r="28" spans="1:34">
      <c r="A28" s="19"/>
      <c r="E28" s="270"/>
      <c r="F28" s="4" t="s">
        <v>0</v>
      </c>
      <c r="G28" s="99">
        <f>'Hoja BIPV'!C34</f>
        <v>1000</v>
      </c>
      <c r="H28" s="87">
        <f>G28</f>
        <v>1000</v>
      </c>
      <c r="I28" s="87">
        <f>H28</f>
        <v>1000</v>
      </c>
      <c r="J28" s="19"/>
    </row>
    <row r="29" spans="1:34">
      <c r="A29" s="19"/>
      <c r="E29" s="270"/>
      <c r="F29" s="4" t="s">
        <v>201</v>
      </c>
      <c r="G29" s="101">
        <f>'Hoja BIPV'!C32</f>
        <v>85</v>
      </c>
      <c r="H29" s="88">
        <f>G29*F16/2</f>
        <v>425</v>
      </c>
      <c r="I29" s="88">
        <f>G29*F17/2</f>
        <v>552.5</v>
      </c>
      <c r="J29" s="19"/>
    </row>
    <row r="30" spans="1:34">
      <c r="E30" s="270"/>
      <c r="F30" s="4" t="s">
        <v>160</v>
      </c>
      <c r="G30" s="101">
        <f>'Hoja BIPV'!C33</f>
        <v>0</v>
      </c>
      <c r="H30" s="88">
        <f>G30</f>
        <v>0</v>
      </c>
      <c r="I30" s="88">
        <f>H30</f>
        <v>0</v>
      </c>
      <c r="J30" s="19"/>
    </row>
    <row r="31" spans="1:34">
      <c r="E31" s="270"/>
      <c r="F31" s="4" t="s">
        <v>227</v>
      </c>
      <c r="G31" s="74">
        <f>SUM(G25:G30)</f>
        <v>3085</v>
      </c>
    </row>
    <row r="33" spans="5:9">
      <c r="E33" s="78" t="s">
        <v>233</v>
      </c>
      <c r="F33" s="4" t="s">
        <v>231</v>
      </c>
      <c r="I33" s="79">
        <f>'Hoja BIPV'!C43*'Datos Instalación'!F17</f>
        <v>0</v>
      </c>
    </row>
  </sheetData>
  <sheetProtection selectLockedCells="1"/>
  <mergeCells count="3">
    <mergeCell ref="A14:A15"/>
    <mergeCell ref="A16:A17"/>
    <mergeCell ref="E25:E31"/>
  </mergeCells>
  <dataValidations count="1">
    <dataValidation type="list" allowBlank="1" showInputMessage="1" showErrorMessage="1" sqref="C6" xr:uid="{5B7A6196-D9E8-4A86-9966-0C8C530F4E2E}">
      <formula1>$AH$4:$AH$5</formula1>
    </dataValidation>
  </dataValidations>
  <pageMargins left="0.7" right="0.7" top="0.75" bottom="0.75" header="0.3" footer="0.3"/>
  <pageSetup paperSize="9" orientation="portrait" r:id="rId1"/>
  <ignoredErrors>
    <ignoredError sqref="H26:I26" formula="1"/>
  </ignoredErrors>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9E8D0-0B29-4087-AA26-252E371D7A51}">
  <dimension ref="A1:BF61"/>
  <sheetViews>
    <sheetView showGridLines="0" zoomScale="70" zoomScaleNormal="70" workbookViewId="0">
      <selection activeCell="I4" sqref="I4"/>
    </sheetView>
  </sheetViews>
  <sheetFormatPr baseColWidth="10" defaultRowHeight="14.4"/>
  <cols>
    <col min="2" max="2" width="36.77734375" customWidth="1"/>
    <col min="5" max="5" width="27.88671875" customWidth="1"/>
    <col min="13" max="13" width="26.88671875" customWidth="1"/>
  </cols>
  <sheetData>
    <row r="1" spans="1:58">
      <c r="A1" s="46"/>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row>
    <row r="2" spans="1:58">
      <c r="A2" s="46"/>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row>
    <row r="3" spans="1:58">
      <c r="D3" s="46"/>
      <c r="E3" s="48" t="s">
        <v>60</v>
      </c>
      <c r="F3" s="49"/>
      <c r="G3" s="49"/>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row>
    <row r="4" spans="1:58">
      <c r="D4" s="49"/>
      <c r="E4" s="46" t="s">
        <v>61</v>
      </c>
      <c r="F4" s="50">
        <f>'Hoja BIPV'!C57</f>
        <v>5.1169632E-2</v>
      </c>
      <c r="G4" s="57"/>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t="s">
        <v>49</v>
      </c>
      <c r="AO4" s="46"/>
      <c r="AP4" s="46"/>
      <c r="AQ4" s="46"/>
      <c r="AR4" s="46"/>
      <c r="AS4" s="46"/>
      <c r="AT4" s="46"/>
      <c r="AU4" s="46"/>
      <c r="AV4" s="46"/>
      <c r="AW4" s="46"/>
      <c r="AX4" s="46"/>
      <c r="AY4" s="46"/>
      <c r="AZ4" s="46"/>
      <c r="BA4" s="46"/>
      <c r="BB4" s="46"/>
      <c r="BC4" s="46"/>
      <c r="BD4" s="46"/>
      <c r="BE4" s="46"/>
      <c r="BF4" s="46"/>
    </row>
    <row r="5" spans="1:58">
      <c r="A5" s="272"/>
      <c r="D5" s="46"/>
      <c r="E5" s="46" t="s">
        <v>62</v>
      </c>
      <c r="F5" s="50">
        <f>'Hoja BIPV'!C58</f>
        <v>0.21</v>
      </c>
      <c r="G5" s="57"/>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t="s">
        <v>51</v>
      </c>
      <c r="AO5" s="46"/>
      <c r="AP5" s="46"/>
      <c r="AQ5" s="46"/>
      <c r="AR5" s="46"/>
      <c r="AS5" s="46"/>
      <c r="AT5" s="46"/>
      <c r="AU5" s="46"/>
      <c r="AV5" s="46"/>
      <c r="AW5" s="46"/>
      <c r="AX5" s="46"/>
      <c r="AY5" s="46"/>
      <c r="AZ5" s="46"/>
      <c r="BA5" s="46"/>
      <c r="BB5" s="46"/>
      <c r="BC5" s="46"/>
      <c r="BD5" s="46"/>
      <c r="BE5" s="46"/>
      <c r="BF5" s="46"/>
    </row>
    <row r="6" spans="1:58">
      <c r="A6" s="272"/>
      <c r="D6" s="46"/>
      <c r="E6" s="46"/>
      <c r="F6" s="46"/>
      <c r="G6" s="46"/>
      <c r="H6" s="46"/>
      <c r="I6" s="46"/>
      <c r="J6" s="46"/>
      <c r="K6" s="46"/>
      <c r="L6" s="46"/>
      <c r="M6" s="53" t="s">
        <v>41</v>
      </c>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row>
    <row r="7" spans="1:58">
      <c r="A7" s="272"/>
      <c r="D7" s="46"/>
      <c r="E7" s="46"/>
      <c r="F7" s="46"/>
      <c r="G7" s="46"/>
      <c r="H7" s="46"/>
      <c r="I7" s="46"/>
      <c r="J7" s="46"/>
      <c r="K7" s="46"/>
      <c r="L7" s="46"/>
      <c r="M7" s="54" t="s">
        <v>42</v>
      </c>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row>
    <row r="8" spans="1:58">
      <c r="A8" s="46"/>
      <c r="B8" s="46"/>
      <c r="C8" s="46"/>
      <c r="D8" s="46"/>
      <c r="E8" s="46"/>
      <c r="F8" s="46"/>
      <c r="G8" s="46"/>
      <c r="H8" s="46"/>
      <c r="I8" s="46"/>
      <c r="J8" s="46"/>
      <c r="K8" s="46"/>
      <c r="L8" s="46"/>
      <c r="M8" s="54" t="s">
        <v>43</v>
      </c>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row>
    <row r="9" spans="1:58">
      <c r="A9" s="46"/>
      <c r="B9" s="47" t="s">
        <v>52</v>
      </c>
      <c r="C9" s="46"/>
      <c r="D9" s="46"/>
      <c r="E9" s="48" t="s">
        <v>67</v>
      </c>
      <c r="F9" s="46"/>
      <c r="G9" s="46"/>
      <c r="H9" s="46"/>
      <c r="I9" s="46"/>
      <c r="J9" s="46"/>
      <c r="K9" s="46"/>
      <c r="L9" s="46"/>
      <c r="M9" s="53" t="s">
        <v>44</v>
      </c>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row>
    <row r="10" spans="1:58">
      <c r="A10" s="46"/>
      <c r="B10" s="46"/>
      <c r="C10" s="46"/>
      <c r="D10" s="46"/>
      <c r="E10" s="46"/>
      <c r="F10" s="46"/>
      <c r="G10" s="46"/>
      <c r="H10" s="46"/>
      <c r="I10" s="46"/>
      <c r="J10" s="46"/>
      <c r="K10" s="46"/>
      <c r="L10" s="46"/>
      <c r="M10" s="54" t="s">
        <v>45</v>
      </c>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row>
    <row r="11" spans="1:58">
      <c r="A11" s="46"/>
      <c r="B11" s="55" t="s">
        <v>40</v>
      </c>
      <c r="C11" s="103" t="str">
        <f>IF(T12="2.0A","No","Si")</f>
        <v>Si</v>
      </c>
      <c r="D11" s="46"/>
      <c r="E11" s="46" t="s">
        <v>68</v>
      </c>
      <c r="F11" s="106">
        <f>'Hoja Cliente Aux'!C53</f>
        <v>0.05</v>
      </c>
      <c r="G11" s="46" t="s">
        <v>70</v>
      </c>
      <c r="H11" s="46"/>
      <c r="I11" s="46"/>
      <c r="J11" s="46"/>
      <c r="K11" s="46"/>
      <c r="L11" s="46"/>
      <c r="M11" s="54" t="s">
        <v>46</v>
      </c>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row>
    <row r="12" spans="1:58">
      <c r="A12" s="46"/>
      <c r="B12" s="55" t="s">
        <v>159</v>
      </c>
      <c r="C12" s="103" t="str">
        <f>IF(OR(T12="PVPC",T12="Precio Indexado"),"Si","No")</f>
        <v>No</v>
      </c>
      <c r="D12" s="46"/>
      <c r="E12" s="46" t="s">
        <v>69</v>
      </c>
      <c r="F12" s="106"/>
      <c r="G12" s="46"/>
      <c r="H12" s="46"/>
      <c r="I12" s="46"/>
      <c r="J12" s="46"/>
      <c r="K12" s="46"/>
      <c r="L12" s="46"/>
      <c r="M12" s="46"/>
      <c r="N12" s="46"/>
      <c r="O12" s="46"/>
      <c r="P12" s="46"/>
      <c r="Q12" s="46"/>
      <c r="R12" s="46"/>
      <c r="S12" s="46"/>
      <c r="T12" s="46" t="str">
        <f>'Hoja Cliente Aux'!C15</f>
        <v>2.0 TD</v>
      </c>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row>
    <row r="13" spans="1:58">
      <c r="A13" s="46"/>
      <c r="B13" s="55" t="s">
        <v>47</v>
      </c>
      <c r="C13" s="65"/>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row>
    <row r="14" spans="1:58">
      <c r="A14" s="46"/>
      <c r="B14" s="49" t="str">
        <f>'Hoja Cliente Aux'!A18</f>
        <v>Precio Hora Pico</v>
      </c>
      <c r="C14" s="52" t="str">
        <f>'Hoja Cliente Aux'!B18</f>
        <v>0,15</v>
      </c>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row>
    <row r="15" spans="1:58">
      <c r="A15" s="46"/>
      <c r="B15" s="49" t="str">
        <f>'Hoja Cliente Aux'!A19</f>
        <v>Precio Hora Llano</v>
      </c>
      <c r="C15" s="52" t="str">
        <f>'Hoja Cliente Aux'!B19</f>
        <v>0,14</v>
      </c>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row>
    <row r="16" spans="1:58">
      <c r="A16" s="46"/>
      <c r="B16" s="49" t="str">
        <f>'Hoja Cliente Aux'!A20</f>
        <v>Precio Hora Valle</v>
      </c>
      <c r="C16" s="52" t="str">
        <f>'Hoja Cliente Aux'!B20</f>
        <v>0,12</v>
      </c>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row>
    <row r="17" spans="1:58">
      <c r="A17" s="46"/>
      <c r="B17" s="49"/>
      <c r="C17" s="6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row>
    <row r="18" spans="1:58">
      <c r="A18" s="46"/>
      <c r="B18" s="49" t="s">
        <v>329</v>
      </c>
      <c r="C18" s="131">
        <f>(C14+C15)/2</f>
        <v>0.14500000000000002</v>
      </c>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row>
    <row r="19" spans="1:58">
      <c r="A19" s="46"/>
      <c r="B19" s="49"/>
      <c r="C19" s="65"/>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row>
    <row r="20" spans="1:58">
      <c r="A20" s="46"/>
      <c r="B20" s="46" t="str">
        <f>IF($C$12="No","",AD22)</f>
        <v/>
      </c>
      <c r="C20">
        <f>'Hoja Cliente Aux'!D18</f>
        <v>0</v>
      </c>
      <c r="D20" s="46"/>
      <c r="E20" s="46" t="s">
        <v>152</v>
      </c>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row>
    <row r="21" spans="1:58">
      <c r="A21" s="46"/>
      <c r="B21" s="46" t="str">
        <f t="shared" ref="B21:B31" si="0">IF($C$12="No","",AD23)</f>
        <v/>
      </c>
      <c r="C21">
        <f>'Hoja Cliente Aux'!D19</f>
        <v>0</v>
      </c>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row>
    <row r="22" spans="1:58">
      <c r="A22" s="46"/>
      <c r="B22" s="46" t="str">
        <f t="shared" si="0"/>
        <v/>
      </c>
      <c r="C22">
        <f>'Hoja Cliente Aux'!D20</f>
        <v>0</v>
      </c>
      <c r="D22" s="46"/>
      <c r="E22" s="46"/>
      <c r="F22" s="46"/>
      <c r="G22" s="46"/>
      <c r="H22" s="46"/>
      <c r="I22" s="46"/>
      <c r="J22" s="46"/>
      <c r="K22" s="46"/>
      <c r="L22" s="46"/>
      <c r="M22" s="46"/>
      <c r="N22" s="46"/>
      <c r="O22" s="46"/>
      <c r="P22" s="46"/>
      <c r="Q22" s="46"/>
      <c r="R22" s="46"/>
      <c r="S22" s="46"/>
      <c r="T22" s="46"/>
      <c r="U22" s="46"/>
      <c r="V22" s="46"/>
      <c r="W22" s="46"/>
      <c r="X22" s="46"/>
      <c r="Y22" s="46"/>
      <c r="Z22" s="46" t="s">
        <v>38</v>
      </c>
      <c r="AA22" s="46"/>
      <c r="AB22" s="46" t="s">
        <v>55</v>
      </c>
      <c r="AC22" s="46"/>
      <c r="AD22" s="46" t="s">
        <v>4</v>
      </c>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row>
    <row r="23" spans="1:58">
      <c r="A23" s="46"/>
      <c r="B23" s="46" t="str">
        <f t="shared" si="0"/>
        <v/>
      </c>
      <c r="C23">
        <f>'Hoja Cliente Aux'!D21</f>
        <v>0</v>
      </c>
      <c r="D23" s="46"/>
      <c r="E23" s="46"/>
      <c r="F23" s="46"/>
      <c r="G23" s="46"/>
      <c r="H23" s="46"/>
      <c r="I23" s="46"/>
      <c r="J23" s="46"/>
      <c r="K23" s="46"/>
      <c r="L23" s="46"/>
      <c r="M23" s="46"/>
      <c r="N23" s="46"/>
      <c r="O23" s="46"/>
      <c r="P23" s="46"/>
      <c r="Q23" s="46"/>
      <c r="R23" s="46"/>
      <c r="S23" s="46"/>
      <c r="T23" s="46"/>
      <c r="U23" s="46"/>
      <c r="V23" s="46"/>
      <c r="W23" s="46"/>
      <c r="X23" s="46"/>
      <c r="Y23" s="46"/>
      <c r="Z23" s="46" t="s">
        <v>39</v>
      </c>
      <c r="AA23" s="46"/>
      <c r="AB23" s="46" t="s">
        <v>56</v>
      </c>
      <c r="AC23" s="46"/>
      <c r="AD23" s="46" t="s">
        <v>5</v>
      </c>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row>
    <row r="24" spans="1:58">
      <c r="A24" s="46"/>
      <c r="B24" s="46" t="str">
        <f t="shared" si="0"/>
        <v/>
      </c>
      <c r="C24">
        <f>'Hoja Cliente Aux'!D22</f>
        <v>0</v>
      </c>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t="s">
        <v>6</v>
      </c>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row>
    <row r="25" spans="1:58">
      <c r="A25" s="46"/>
      <c r="B25" s="46" t="str">
        <f t="shared" si="0"/>
        <v/>
      </c>
      <c r="C25">
        <f>'Hoja Cliente Aux'!D23</f>
        <v>0</v>
      </c>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t="s">
        <v>7</v>
      </c>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row>
    <row r="26" spans="1:58">
      <c r="A26" s="46"/>
      <c r="B26" s="46" t="str">
        <f t="shared" si="0"/>
        <v/>
      </c>
      <c r="C26">
        <f>'Hoja Cliente Aux'!D24</f>
        <v>0</v>
      </c>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t="s">
        <v>8</v>
      </c>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row>
    <row r="27" spans="1:58">
      <c r="A27" s="46"/>
      <c r="B27" s="46" t="str">
        <f t="shared" si="0"/>
        <v/>
      </c>
      <c r="C27">
        <f>'Hoja Cliente Aux'!D25</f>
        <v>0</v>
      </c>
      <c r="D27" s="46"/>
      <c r="E27" s="46"/>
      <c r="F27" s="46"/>
      <c r="G27" s="46"/>
      <c r="H27" s="57"/>
      <c r="I27" s="46"/>
      <c r="J27" s="46"/>
      <c r="K27" s="46"/>
      <c r="L27" s="46"/>
      <c r="M27" s="46"/>
      <c r="N27" s="46"/>
      <c r="O27" s="46"/>
      <c r="P27" s="46"/>
      <c r="Q27" s="46"/>
      <c r="R27" s="46"/>
      <c r="S27" s="46"/>
      <c r="T27" s="46"/>
      <c r="U27" s="46"/>
      <c r="V27" s="46"/>
      <c r="W27" s="46"/>
      <c r="X27" s="46"/>
      <c r="Y27" s="46"/>
      <c r="Z27" s="46"/>
      <c r="AA27" s="46"/>
      <c r="AB27" s="46"/>
      <c r="AC27" s="46"/>
      <c r="AD27" s="46" t="s">
        <v>9</v>
      </c>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row>
    <row r="28" spans="1:58">
      <c r="A28" s="46"/>
      <c r="B28" s="46" t="str">
        <f t="shared" si="0"/>
        <v/>
      </c>
      <c r="C28">
        <f>'Hoja Cliente Aux'!D26</f>
        <v>0</v>
      </c>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t="s">
        <v>10</v>
      </c>
      <c r="AE28" s="46"/>
      <c r="AF28" s="46" t="s">
        <v>147</v>
      </c>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row>
    <row r="29" spans="1:58">
      <c r="A29" s="46"/>
      <c r="B29" s="46" t="str">
        <f t="shared" si="0"/>
        <v/>
      </c>
      <c r="C29">
        <f>'Hoja Cliente Aux'!D27</f>
        <v>0</v>
      </c>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t="s">
        <v>11</v>
      </c>
      <c r="AE29" s="46"/>
      <c r="AF29" s="46" t="s">
        <v>148</v>
      </c>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row>
    <row r="30" spans="1:58">
      <c r="A30" s="46"/>
      <c r="B30" s="46" t="str">
        <f t="shared" si="0"/>
        <v/>
      </c>
      <c r="C30">
        <f>'Hoja Cliente Aux'!D28</f>
        <v>0</v>
      </c>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t="s">
        <v>12</v>
      </c>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row>
    <row r="31" spans="1:58">
      <c r="A31" s="46"/>
      <c r="B31" s="46" t="str">
        <f t="shared" si="0"/>
        <v/>
      </c>
      <c r="C31">
        <f>'Hoja Cliente Aux'!D29</f>
        <v>0</v>
      </c>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t="s">
        <v>57</v>
      </c>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6"/>
    </row>
    <row r="32" spans="1:58">
      <c r="A32" s="46"/>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t="s">
        <v>14</v>
      </c>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6"/>
    </row>
    <row r="33" spans="1:58">
      <c r="A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t="s">
        <v>15</v>
      </c>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row>
    <row r="34" spans="1:58">
      <c r="A34" s="46"/>
      <c r="B34" s="46"/>
      <c r="C34" s="46"/>
      <c r="D34" s="49"/>
      <c r="E34" s="49"/>
      <c r="F34" s="49"/>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row>
    <row r="35" spans="1:58">
      <c r="A35" s="57" t="s">
        <v>145</v>
      </c>
      <c r="B35" s="49"/>
      <c r="C35" s="49"/>
      <c r="D35" s="49"/>
      <c r="E35" s="49"/>
      <c r="F35" s="49"/>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row>
    <row r="36" spans="1:58">
      <c r="A36" s="57" t="s">
        <v>146</v>
      </c>
      <c r="B36" s="49"/>
      <c r="C36" s="46"/>
      <c r="D36" s="49"/>
      <c r="E36" s="49"/>
      <c r="F36" s="49"/>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row>
    <row r="37" spans="1:58">
      <c r="A37" s="57" t="s">
        <v>145</v>
      </c>
      <c r="B37" s="271" t="s">
        <v>53</v>
      </c>
      <c r="C37" s="271"/>
      <c r="D37" s="271"/>
      <c r="E37" s="271"/>
      <c r="F37" s="49"/>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row>
    <row r="38" spans="1:58">
      <c r="A38" s="46"/>
      <c r="B38" s="49"/>
      <c r="C38" s="46"/>
      <c r="D38" s="49"/>
      <c r="E38" s="49"/>
      <c r="F38" s="49"/>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row>
    <row r="39" spans="1:58" ht="28.8">
      <c r="A39" s="46"/>
      <c r="B39" s="58" t="s">
        <v>74</v>
      </c>
      <c r="C39" s="105" t="str">
        <f>'Hoja Cliente Aux'!C36</f>
        <v>25%</v>
      </c>
      <c r="D39" s="82" t="s">
        <v>148</v>
      </c>
      <c r="E39" s="67"/>
      <c r="F39" s="68"/>
      <c r="G39" s="5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row>
    <row r="40" spans="1:58">
      <c r="A40" s="46"/>
      <c r="B40" s="51" t="s">
        <v>54</v>
      </c>
      <c r="C40" s="64" t="s">
        <v>55</v>
      </c>
      <c r="D40" s="49"/>
      <c r="E40" s="49"/>
      <c r="F40" s="49"/>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row>
    <row r="41" spans="1:58">
      <c r="A41" s="46"/>
      <c r="B41" s="49" t="str">
        <f>IF(C40="Anual"," Potencia anual consumida", "Potencia Mensual Consumida:")</f>
        <v>Potencia Mensual Consumida:</v>
      </c>
      <c r="C41" s="66" t="s">
        <v>144</v>
      </c>
      <c r="D41" s="49"/>
      <c r="E41" s="49"/>
      <c r="F41" s="49"/>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row>
    <row r="42" spans="1:58">
      <c r="A42" s="46"/>
      <c r="B42" s="59" t="str">
        <f t="shared" ref="B42:B53" si="1">IF($C$40="Mensual",AD22, "")</f>
        <v>Enero</v>
      </c>
      <c r="C42" s="106">
        <f>IF('Hoja Cliente Aux'!$C$34="No",'Datos Consumo '!$D$56*Estándares!$O5,'Hoja Cliente Aux'!$C38)</f>
        <v>546.79245283018872</v>
      </c>
      <c r="D42" s="49"/>
      <c r="E42" s="49"/>
      <c r="F42" s="49"/>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row>
    <row r="43" spans="1:58">
      <c r="A43" s="46"/>
      <c r="B43" s="59" t="str">
        <f t="shared" si="1"/>
        <v>Febrero</v>
      </c>
      <c r="C43" s="106">
        <f>IF('Hoja Cliente Aux'!$C$34="No",'Datos Consumo '!$D$56*Estándares!$O6,'Hoja Cliente Aux'!$C39)</f>
        <v>499.92452830188682</v>
      </c>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row>
    <row r="44" spans="1:58">
      <c r="A44" s="46"/>
      <c r="B44" s="59" t="str">
        <f t="shared" si="1"/>
        <v>Marzo</v>
      </c>
      <c r="C44" s="106">
        <f>IF('Hoja Cliente Aux'!$C$34="No",'Datos Consumo '!$D$56*Estándares!$O7,'Hoja Cliente Aux'!$C40)</f>
        <v>421.81132075471703</v>
      </c>
      <c r="D44" s="46"/>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row>
    <row r="45" spans="1:58">
      <c r="A45" s="46"/>
      <c r="B45" s="59" t="str">
        <f t="shared" si="1"/>
        <v>Abril</v>
      </c>
      <c r="C45" s="106">
        <f>IF('Hoja Cliente Aux'!$C$34="No",'Datos Consumo '!$D$56*Estándares!$O8,'Hoja Cliente Aux'!$C41)</f>
        <v>374.94339622641508</v>
      </c>
      <c r="D45" s="49"/>
      <c r="E45" s="49"/>
      <c r="F45" s="49"/>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row>
    <row r="46" spans="1:58">
      <c r="A46" s="46"/>
      <c r="B46" s="59" t="str">
        <f t="shared" si="1"/>
        <v>Mayo</v>
      </c>
      <c r="C46" s="106">
        <f>IF('Hoja Cliente Aux'!$C$34="No",'Datos Consumo '!$D$56*Estándares!$O9,'Hoja Cliente Aux'!$C42)</f>
        <v>382.75471698113211</v>
      </c>
      <c r="D46" s="49"/>
      <c r="E46" s="46"/>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c r="BA46" s="46"/>
      <c r="BB46" s="46"/>
      <c r="BC46" s="46"/>
      <c r="BD46" s="46"/>
      <c r="BE46" s="46"/>
      <c r="BF46" s="46"/>
    </row>
    <row r="47" spans="1:58">
      <c r="A47" s="46"/>
      <c r="B47" s="59" t="str">
        <f t="shared" si="1"/>
        <v>Junio</v>
      </c>
      <c r="C47" s="106">
        <f>IF('Hoja Cliente Aux'!$C$34="No",'Datos Consumo '!$D$56*Estándares!$O10,'Hoja Cliente Aux'!$C43)</f>
        <v>390.56603773584908</v>
      </c>
      <c r="D47" s="49"/>
      <c r="E47" s="46"/>
      <c r="F47" s="49"/>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row>
    <row r="48" spans="1:58">
      <c r="A48" s="46"/>
      <c r="B48" s="59" t="str">
        <f t="shared" si="1"/>
        <v>Julio</v>
      </c>
      <c r="C48" s="106">
        <f>IF('Hoja Cliente Aux'!$C$34="No",'Datos Consumo '!$D$56*Estándares!$O11,'Hoja Cliente Aux'!$C44)</f>
        <v>484.30188679245288</v>
      </c>
      <c r="D48" s="46"/>
      <c r="E48" s="46"/>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6"/>
    </row>
    <row r="49" spans="1:58">
      <c r="A49" s="46"/>
      <c r="B49" s="59" t="str">
        <f t="shared" si="1"/>
        <v>Agosto</v>
      </c>
      <c r="C49" s="106">
        <f>IF('Hoja Cliente Aux'!$C$34="No",'Datos Consumo '!$D$56*Estándares!$O12,'Hoja Cliente Aux'!$C45)</f>
        <v>414</v>
      </c>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row>
    <row r="50" spans="1:58">
      <c r="A50" s="46"/>
      <c r="B50" s="59" t="str">
        <f t="shared" si="1"/>
        <v>Septiembre</v>
      </c>
      <c r="C50" s="106">
        <f>IF('Hoja Cliente Aux'!$C$34="No",'Datos Consumo '!$D$56*Estándares!$O13,'Hoja Cliente Aux'!$C46)</f>
        <v>390.56603773584908</v>
      </c>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row>
    <row r="51" spans="1:58">
      <c r="A51" s="46"/>
      <c r="B51" s="59" t="str">
        <f t="shared" si="1"/>
        <v>Octubre</v>
      </c>
      <c r="C51" s="106">
        <f>IF('Hoja Cliente Aux'!$C$34="No",'Datos Consumo '!$D$56*Estándares!$O14,'Hoja Cliente Aux'!$C47)</f>
        <v>406.18867924528308</v>
      </c>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row>
    <row r="52" spans="1:58">
      <c r="A52" s="46"/>
      <c r="B52" s="59" t="str">
        <f t="shared" si="1"/>
        <v>Noviembre</v>
      </c>
      <c r="C52" s="106">
        <f>IF('Hoja Cliente Aux'!$C$34="No",'Datos Consumo '!$D$56*Estándares!$O15,'Hoja Cliente Aux'!$C48)</f>
        <v>390.56603773584908</v>
      </c>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row>
    <row r="53" spans="1:58">
      <c r="A53" s="46"/>
      <c r="B53" s="59" t="str">
        <f t="shared" si="1"/>
        <v>Diciembre</v>
      </c>
      <c r="C53" s="106">
        <f>IF('Hoja Cliente Aux'!$C$34="No",'Datos Consumo '!$D$56*Estándares!$O16,'Hoja Cliente Aux'!$C49)</f>
        <v>546.79245283018872</v>
      </c>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row>
    <row r="54" spans="1:58">
      <c r="A54" s="46"/>
      <c r="B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row>
    <row r="55" spans="1:58">
      <c r="A55" s="46"/>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row>
    <row r="56" spans="1:58">
      <c r="A56" s="46"/>
      <c r="B56" s="46"/>
      <c r="C56" s="46" t="s">
        <v>285</v>
      </c>
      <c r="D56" s="46">
        <f>'Hoja Cliente Aux'!E37/_xlfn.XLOOKUP('Hoja Cliente Aux'!E38,Estándares!N5:N16,Estándares!O5:O16)</f>
        <v>5249.2075471698117</v>
      </c>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row>
    <row r="57" spans="1:58">
      <c r="A57" s="46"/>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row>
    <row r="58" spans="1:58">
      <c r="A58" s="46"/>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row>
    <row r="59" spans="1:58">
      <c r="A59" s="46"/>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row>
    <row r="60" spans="1:58">
      <c r="A60" s="46"/>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row>
    <row r="61" spans="1:58">
      <c r="A61" s="46"/>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row>
  </sheetData>
  <sheetProtection selectLockedCells="1"/>
  <mergeCells count="2">
    <mergeCell ref="B37:E37"/>
    <mergeCell ref="A5:A7"/>
  </mergeCells>
  <dataValidations count="3">
    <dataValidation type="list" allowBlank="1" showInputMessage="1" showErrorMessage="1" sqref="C5" xr:uid="{1AA07C32-C38E-44EE-B0AE-36A30EB08CF6}">
      <formula1>$Z$22:$Z$23</formula1>
    </dataValidation>
    <dataValidation type="list" allowBlank="1" showInputMessage="1" showErrorMessage="1" sqref="C35" xr:uid="{970DE343-49A1-4C8F-98B8-B540F69F5BE6}">
      <formula1>$AN$4:$AN$5</formula1>
    </dataValidation>
    <dataValidation type="list" allowBlank="1" showInputMessage="1" showErrorMessage="1" sqref="C40" xr:uid="{912A3940-F84E-43E9-A6FE-A6E1282C909A}">
      <formula1>$AB$22:$AB$23</formula1>
    </dataValidation>
  </dataValidations>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8FA8D-CAA4-4538-AC1B-134CF0204158}">
  <dimension ref="A3:AJ22"/>
  <sheetViews>
    <sheetView zoomScale="70" zoomScaleNormal="70" workbookViewId="0">
      <selection activeCell="N32" sqref="N32"/>
    </sheetView>
  </sheetViews>
  <sheetFormatPr baseColWidth="10" defaultRowHeight="14.4"/>
  <cols>
    <col min="1" max="1" width="23.109375" customWidth="1"/>
  </cols>
  <sheetData>
    <row r="3" spans="1:36">
      <c r="A3" s="273" t="s">
        <v>161</v>
      </c>
      <c r="B3" s="273"/>
      <c r="D3" s="91">
        <f>'Datos Instalación'!F20</f>
        <v>5.4000000000000003E-3</v>
      </c>
    </row>
    <row r="6" spans="1:36">
      <c r="A6" s="20" t="s">
        <v>287</v>
      </c>
    </row>
    <row r="7" spans="1:36" s="92" customFormat="1">
      <c r="A7" s="92" t="s">
        <v>285</v>
      </c>
      <c r="B7" s="92">
        <v>1</v>
      </c>
      <c r="C7" s="92">
        <v>2</v>
      </c>
      <c r="D7" s="92">
        <v>3</v>
      </c>
      <c r="E7" s="92">
        <v>4</v>
      </c>
      <c r="F7" s="92">
        <v>5</v>
      </c>
      <c r="G7" s="92">
        <v>6</v>
      </c>
      <c r="H7" s="92">
        <v>7</v>
      </c>
      <c r="I7" s="92">
        <v>8</v>
      </c>
      <c r="J7" s="92">
        <v>9</v>
      </c>
      <c r="K7" s="92">
        <v>10</v>
      </c>
      <c r="L7" s="92">
        <v>11</v>
      </c>
      <c r="M7" s="92">
        <v>12</v>
      </c>
      <c r="N7" s="92">
        <v>13</v>
      </c>
      <c r="O7" s="92">
        <v>14</v>
      </c>
      <c r="P7" s="92">
        <v>15</v>
      </c>
      <c r="Q7" s="92">
        <v>16</v>
      </c>
      <c r="R7" s="92">
        <v>17</v>
      </c>
      <c r="S7" s="92">
        <v>18</v>
      </c>
      <c r="T7" s="92">
        <v>19</v>
      </c>
      <c r="U7" s="92">
        <v>20</v>
      </c>
      <c r="V7" s="92">
        <f>U7+1</f>
        <v>21</v>
      </c>
      <c r="W7" s="92">
        <f t="shared" ref="W7:AJ8" si="0">V7+1</f>
        <v>22</v>
      </c>
      <c r="X7" s="92">
        <f t="shared" si="0"/>
        <v>23</v>
      </c>
      <c r="Y7" s="92">
        <f t="shared" si="0"/>
        <v>24</v>
      </c>
      <c r="Z7" s="92">
        <f t="shared" si="0"/>
        <v>25</v>
      </c>
      <c r="AA7" s="92">
        <f t="shared" si="0"/>
        <v>26</v>
      </c>
      <c r="AB7" s="92">
        <f t="shared" si="0"/>
        <v>27</v>
      </c>
      <c r="AC7" s="92">
        <f t="shared" si="0"/>
        <v>28</v>
      </c>
      <c r="AD7" s="92">
        <f t="shared" si="0"/>
        <v>29</v>
      </c>
      <c r="AE7" s="92">
        <f t="shared" si="0"/>
        <v>30</v>
      </c>
      <c r="AF7" s="92">
        <f t="shared" si="0"/>
        <v>31</v>
      </c>
      <c r="AG7" s="92">
        <f t="shared" si="0"/>
        <v>32</v>
      </c>
      <c r="AH7" s="92">
        <f t="shared" si="0"/>
        <v>33</v>
      </c>
      <c r="AI7" s="92">
        <f t="shared" si="0"/>
        <v>34</v>
      </c>
      <c r="AJ7" s="92">
        <f t="shared" si="0"/>
        <v>35</v>
      </c>
    </row>
    <row r="8" spans="1:36" s="94" customFormat="1">
      <c r="A8" s="94" t="s">
        <v>80</v>
      </c>
      <c r="B8" s="94">
        <v>2021</v>
      </c>
      <c r="C8" s="94">
        <f>B8+1</f>
        <v>2022</v>
      </c>
      <c r="D8" s="94">
        <f t="shared" ref="D8:U8" si="1">C8+1</f>
        <v>2023</v>
      </c>
      <c r="E8" s="94">
        <f t="shared" si="1"/>
        <v>2024</v>
      </c>
      <c r="F8" s="94">
        <f t="shared" si="1"/>
        <v>2025</v>
      </c>
      <c r="G8" s="94">
        <f t="shared" si="1"/>
        <v>2026</v>
      </c>
      <c r="H8" s="94">
        <f t="shared" si="1"/>
        <v>2027</v>
      </c>
      <c r="I8" s="94">
        <f t="shared" si="1"/>
        <v>2028</v>
      </c>
      <c r="J8" s="94">
        <f t="shared" si="1"/>
        <v>2029</v>
      </c>
      <c r="K8" s="94">
        <f t="shared" si="1"/>
        <v>2030</v>
      </c>
      <c r="L8" s="94">
        <f t="shared" si="1"/>
        <v>2031</v>
      </c>
      <c r="M8" s="94">
        <f t="shared" si="1"/>
        <v>2032</v>
      </c>
      <c r="N8" s="94">
        <f t="shared" si="1"/>
        <v>2033</v>
      </c>
      <c r="O8" s="94">
        <f t="shared" si="1"/>
        <v>2034</v>
      </c>
      <c r="P8" s="94">
        <f t="shared" si="1"/>
        <v>2035</v>
      </c>
      <c r="Q8" s="94">
        <f t="shared" si="1"/>
        <v>2036</v>
      </c>
      <c r="R8" s="94">
        <f t="shared" si="1"/>
        <v>2037</v>
      </c>
      <c r="S8" s="94">
        <f t="shared" si="1"/>
        <v>2038</v>
      </c>
      <c r="T8" s="94">
        <f t="shared" si="1"/>
        <v>2039</v>
      </c>
      <c r="U8" s="94">
        <f t="shared" si="1"/>
        <v>2040</v>
      </c>
      <c r="V8" s="94">
        <f t="shared" ref="V8" si="2">U8+1</f>
        <v>2041</v>
      </c>
      <c r="W8" s="94">
        <f t="shared" si="0"/>
        <v>2042</v>
      </c>
      <c r="X8" s="94">
        <f t="shared" si="0"/>
        <v>2043</v>
      </c>
      <c r="Y8" s="94">
        <f t="shared" si="0"/>
        <v>2044</v>
      </c>
      <c r="Z8" s="94">
        <f t="shared" si="0"/>
        <v>2045</v>
      </c>
      <c r="AA8" s="94">
        <f t="shared" si="0"/>
        <v>2046</v>
      </c>
      <c r="AB8" s="94">
        <f t="shared" si="0"/>
        <v>2047</v>
      </c>
      <c r="AC8" s="94">
        <f t="shared" si="0"/>
        <v>2048</v>
      </c>
      <c r="AD8" s="94">
        <f t="shared" si="0"/>
        <v>2049</v>
      </c>
      <c r="AE8" s="94">
        <f t="shared" si="0"/>
        <v>2050</v>
      </c>
      <c r="AF8" s="94">
        <f t="shared" si="0"/>
        <v>2051</v>
      </c>
      <c r="AG8" s="94">
        <f t="shared" si="0"/>
        <v>2052</v>
      </c>
      <c r="AH8" s="94">
        <f t="shared" si="0"/>
        <v>2053</v>
      </c>
      <c r="AI8" s="94">
        <f t="shared" si="0"/>
        <v>2054</v>
      </c>
      <c r="AJ8" s="94">
        <f t="shared" si="0"/>
        <v>2055</v>
      </c>
    </row>
    <row r="9" spans="1:36" s="94" customFormat="1">
      <c r="A9" s="94" t="s">
        <v>286</v>
      </c>
      <c r="B9" s="94">
        <v>0.98</v>
      </c>
      <c r="C9" s="94">
        <f>IF(C7&lt;='Datos Instalación'!$C$20,B9-B9*$D$3,0)</f>
        <v>0.97470800000000002</v>
      </c>
      <c r="D9" s="94">
        <f>IF(D7&lt;='Datos Instalación'!$C$20,C9-C9*$D$3,0)</f>
        <v>0.96944457680000007</v>
      </c>
      <c r="E9" s="94">
        <f>IF(E7&lt;='Datos Instalación'!$C$20,D9-D9*$D$3,0)</f>
        <v>0.96420957608528002</v>
      </c>
      <c r="F9" s="94">
        <f>IF(F7&lt;='Datos Instalación'!$C$20,E9-E9*$D$3,0)</f>
        <v>0.95900284437441952</v>
      </c>
      <c r="G9" s="94">
        <f>IF(G7&lt;='Datos Instalación'!$C$20,F9-F9*$D$3,0)</f>
        <v>0.95382422901479769</v>
      </c>
      <c r="H9" s="94">
        <f>IF(H7&lt;='Datos Instalación'!$C$20,G9-G9*$D$3,0)</f>
        <v>0.94867357817811782</v>
      </c>
      <c r="I9" s="94">
        <f>IF(I7&lt;='Datos Instalación'!$C$20,H9-H9*$D$3,0)</f>
        <v>0.94355074085595603</v>
      </c>
      <c r="J9" s="94">
        <f>IF(J7&lt;='Datos Instalación'!$C$20,I9-I9*$D$3,0)</f>
        <v>0.93845556685533382</v>
      </c>
      <c r="K9" s="94">
        <f>IF(K7&lt;='Datos Instalación'!$C$20,J9-J9*$D$3,0)</f>
        <v>0.93338790679431505</v>
      </c>
      <c r="L9" s="94">
        <f>IF(L7&lt;='Datos Instalación'!$C$20,K9-K9*$D$3,0)</f>
        <v>0.92834761209762573</v>
      </c>
      <c r="M9" s="94">
        <f>IF(M7&lt;='Datos Instalación'!$C$20,L9-L9*$D$3,0)</f>
        <v>0.92333453499229856</v>
      </c>
      <c r="N9" s="94">
        <f>IF(N7&lt;='Datos Instalación'!$C$20,M9-M9*$D$3,0)</f>
        <v>0.91834852850334014</v>
      </c>
      <c r="O9" s="94">
        <f>IF(O7&lt;='Datos Instalación'!$C$20,N9-N9*$D$3,0)</f>
        <v>0.9133894464494221</v>
      </c>
      <c r="P9" s="94">
        <f>IF(P7&lt;='Datos Instalación'!$C$20,O9-O9*$D$3,0)</f>
        <v>0.90845714343859518</v>
      </c>
      <c r="Q9" s="94">
        <f>IF(Q7&lt;='Datos Instalación'!$C$20,P9-P9*$D$3,0)</f>
        <v>0.90355147486402676</v>
      </c>
      <c r="R9" s="94">
        <f>IF(R7&lt;='Datos Instalación'!$C$20,Q9-Q9*$D$3,0)</f>
        <v>0.89867229689976103</v>
      </c>
      <c r="S9" s="94">
        <f>IF(S7&lt;='Datos Instalación'!$C$20,R9-R9*$D$3,0)</f>
        <v>0.89381946649650235</v>
      </c>
      <c r="T9" s="94">
        <f>IF(T7&lt;='Datos Instalación'!$C$20,S9-S9*$D$3,0)</f>
        <v>0.88899284137742118</v>
      </c>
      <c r="U9" s="94">
        <f>IF(U7&lt;='Datos Instalación'!$C$20,T9-T9*$D$3,0)</f>
        <v>0.88419228003398309</v>
      </c>
      <c r="V9" s="94">
        <f>IF(V7&lt;='Datos Instalación'!$C$20,U9-U9*$D$3,0)</f>
        <v>0.87941764172179959</v>
      </c>
      <c r="W9" s="94">
        <f>IF(W7&lt;='Datos Instalación'!$C$20,V9-V9*$D$3,0)</f>
        <v>0.87466878645650192</v>
      </c>
      <c r="X9" s="94">
        <f>IF(X7&lt;='Datos Instalación'!$C$20,W9-W9*$D$3,0)</f>
        <v>0.86994557500963676</v>
      </c>
      <c r="Y9" s="94">
        <f>IF(Y7&lt;='Datos Instalación'!$C$20,X9-X9*$D$3,0)</f>
        <v>0.86524786890458472</v>
      </c>
      <c r="Z9" s="94">
        <f>IF(Z7&lt;='Datos Instalación'!$C$20,Y9-Y9*$D$3,0)</f>
        <v>0.86057553041250001</v>
      </c>
      <c r="AA9" s="94">
        <f>IF(AA7&lt;='Datos Instalación'!$C$20,Z9-Z9*$D$3,0)</f>
        <v>0.85592842254827251</v>
      </c>
      <c r="AB9" s="94">
        <f>IF(AB7&lt;='Datos Instalación'!$C$20,AA9-AA9*$D$3,0)</f>
        <v>0.85130640906651178</v>
      </c>
      <c r="AC9" s="94">
        <f>IF(AC7&lt;='Datos Instalación'!$C$20,AB9-AB9*$D$3,0)</f>
        <v>0.84670935445755258</v>
      </c>
      <c r="AD9" s="94">
        <f>IF(AD7&lt;='Datos Instalación'!$C$20,AC9-AC9*$D$3,0)</f>
        <v>0.84213712394348184</v>
      </c>
      <c r="AE9" s="94">
        <f>IF(AE7&lt;='Datos Instalación'!$C$20,AD9-AD9*$D$3,0)</f>
        <v>0.83758958347418699</v>
      </c>
      <c r="AF9" s="94">
        <f>IF(AF7&lt;='Datos Instalación'!$C$20,AE9-AE9*$D$3,0)</f>
        <v>0.83306659972342634</v>
      </c>
      <c r="AG9" s="94">
        <f>IF(AG7&lt;='Datos Instalación'!$C$20,AF9-AF9*$D$3,0)</f>
        <v>0.8285680400849198</v>
      </c>
      <c r="AH9" s="94">
        <f>IF(AH7&lt;='Datos Instalación'!$C$20,AG9-AG9*$D$3,0)</f>
        <v>0.82409377266846118</v>
      </c>
      <c r="AI9" s="94">
        <f>IF(AI7&lt;='Datos Instalación'!$C$20,AH9-AH9*$D$3,0)</f>
        <v>0.81964366629605145</v>
      </c>
      <c r="AJ9" s="94">
        <f>IF(AJ7&lt;='Datos Instalación'!$C$20,AI9-AI9*$D$3,0)</f>
        <v>0.81521759049805276</v>
      </c>
    </row>
    <row r="10" spans="1:36">
      <c r="C10" s="18"/>
    </row>
    <row r="11" spans="1:36">
      <c r="C11" s="18"/>
    </row>
    <row r="12" spans="1:36">
      <c r="C12" s="18"/>
    </row>
    <row r="13" spans="1:36">
      <c r="A13" s="20" t="s">
        <v>288</v>
      </c>
      <c r="C13" s="18"/>
    </row>
    <row r="14" spans="1:36">
      <c r="C14" s="18"/>
    </row>
    <row r="15" spans="1:36" s="89" customFormat="1" ht="28.8">
      <c r="A15" s="89" t="s">
        <v>293</v>
      </c>
      <c r="B15" s="95">
        <f>ROUNDDOWN(IF('Hoja BIPV'!C18="10 años",10,'Datos Instalación'!C20/2),0)</f>
        <v>12</v>
      </c>
      <c r="C15" s="18"/>
    </row>
    <row r="16" spans="1:36">
      <c r="C16" s="18"/>
    </row>
    <row r="17" spans="1:36" s="93" customFormat="1">
      <c r="A17" s="93" t="s">
        <v>285</v>
      </c>
      <c r="B17" s="93">
        <v>1</v>
      </c>
      <c r="C17" s="93">
        <f t="shared" ref="C17:AJ17" si="3">C7</f>
        <v>2</v>
      </c>
      <c r="D17" s="93">
        <f t="shared" si="3"/>
        <v>3</v>
      </c>
      <c r="E17" s="93">
        <f t="shared" si="3"/>
        <v>4</v>
      </c>
      <c r="F17" s="93">
        <f t="shared" si="3"/>
        <v>5</v>
      </c>
      <c r="G17" s="93">
        <f t="shared" si="3"/>
        <v>6</v>
      </c>
      <c r="H17" s="93">
        <f t="shared" si="3"/>
        <v>7</v>
      </c>
      <c r="I17" s="93">
        <f t="shared" si="3"/>
        <v>8</v>
      </c>
      <c r="J17" s="93">
        <f t="shared" si="3"/>
        <v>9</v>
      </c>
      <c r="K17" s="93">
        <f t="shared" si="3"/>
        <v>10</v>
      </c>
      <c r="L17" s="93">
        <f t="shared" si="3"/>
        <v>11</v>
      </c>
      <c r="M17" s="93">
        <f t="shared" si="3"/>
        <v>12</v>
      </c>
      <c r="N17" s="93">
        <f t="shared" si="3"/>
        <v>13</v>
      </c>
      <c r="O17" s="93">
        <f t="shared" si="3"/>
        <v>14</v>
      </c>
      <c r="P17" s="93">
        <f t="shared" si="3"/>
        <v>15</v>
      </c>
      <c r="Q17" s="93">
        <f t="shared" si="3"/>
        <v>16</v>
      </c>
      <c r="R17" s="93">
        <f t="shared" si="3"/>
        <v>17</v>
      </c>
      <c r="S17" s="93">
        <f t="shared" si="3"/>
        <v>18</v>
      </c>
      <c r="T17" s="93">
        <f t="shared" si="3"/>
        <v>19</v>
      </c>
      <c r="U17" s="93">
        <f t="shared" si="3"/>
        <v>20</v>
      </c>
      <c r="V17" s="93">
        <f t="shared" si="3"/>
        <v>21</v>
      </c>
      <c r="W17" s="93">
        <f t="shared" si="3"/>
        <v>22</v>
      </c>
      <c r="X17" s="93">
        <f t="shared" si="3"/>
        <v>23</v>
      </c>
      <c r="Y17" s="93">
        <f t="shared" si="3"/>
        <v>24</v>
      </c>
      <c r="Z17" s="93">
        <f t="shared" si="3"/>
        <v>25</v>
      </c>
      <c r="AA17" s="93">
        <f t="shared" si="3"/>
        <v>26</v>
      </c>
      <c r="AB17" s="93">
        <f t="shared" si="3"/>
        <v>27</v>
      </c>
      <c r="AC17" s="93">
        <f t="shared" si="3"/>
        <v>28</v>
      </c>
      <c r="AD17" s="93">
        <f t="shared" si="3"/>
        <v>29</v>
      </c>
      <c r="AE17" s="93">
        <f t="shared" si="3"/>
        <v>30</v>
      </c>
      <c r="AF17" s="93">
        <f t="shared" si="3"/>
        <v>31</v>
      </c>
      <c r="AG17" s="93">
        <f t="shared" si="3"/>
        <v>32</v>
      </c>
      <c r="AH17" s="93">
        <f t="shared" si="3"/>
        <v>33</v>
      </c>
      <c r="AI17" s="93">
        <f t="shared" si="3"/>
        <v>34</v>
      </c>
      <c r="AJ17" s="93">
        <f t="shared" si="3"/>
        <v>35</v>
      </c>
    </row>
    <row r="18" spans="1:36" s="94" customFormat="1">
      <c r="A18" s="94" t="s">
        <v>80</v>
      </c>
      <c r="B18" s="94">
        <f>B8</f>
        <v>2021</v>
      </c>
      <c r="C18" s="94">
        <f t="shared" ref="C18:AJ18" si="4">C8</f>
        <v>2022</v>
      </c>
      <c r="D18" s="94">
        <f t="shared" si="4"/>
        <v>2023</v>
      </c>
      <c r="E18" s="94">
        <f t="shared" si="4"/>
        <v>2024</v>
      </c>
      <c r="F18" s="94">
        <f t="shared" si="4"/>
        <v>2025</v>
      </c>
      <c r="G18" s="94">
        <f t="shared" si="4"/>
        <v>2026</v>
      </c>
      <c r="H18" s="94">
        <f t="shared" si="4"/>
        <v>2027</v>
      </c>
      <c r="I18" s="94">
        <f t="shared" si="4"/>
        <v>2028</v>
      </c>
      <c r="J18" s="94">
        <f t="shared" si="4"/>
        <v>2029</v>
      </c>
      <c r="K18" s="94">
        <f t="shared" si="4"/>
        <v>2030</v>
      </c>
      <c r="L18" s="94">
        <f t="shared" si="4"/>
        <v>2031</v>
      </c>
      <c r="M18" s="94">
        <f t="shared" si="4"/>
        <v>2032</v>
      </c>
      <c r="N18" s="94">
        <f t="shared" si="4"/>
        <v>2033</v>
      </c>
      <c r="O18" s="94">
        <f t="shared" si="4"/>
        <v>2034</v>
      </c>
      <c r="P18" s="94">
        <f t="shared" si="4"/>
        <v>2035</v>
      </c>
      <c r="Q18" s="94">
        <f t="shared" si="4"/>
        <v>2036</v>
      </c>
      <c r="R18" s="94">
        <f t="shared" si="4"/>
        <v>2037</v>
      </c>
      <c r="S18" s="94">
        <f t="shared" si="4"/>
        <v>2038</v>
      </c>
      <c r="T18" s="94">
        <f t="shared" si="4"/>
        <v>2039</v>
      </c>
      <c r="U18" s="94">
        <f t="shared" si="4"/>
        <v>2040</v>
      </c>
      <c r="V18" s="94">
        <f t="shared" si="4"/>
        <v>2041</v>
      </c>
      <c r="W18" s="94">
        <f t="shared" si="4"/>
        <v>2042</v>
      </c>
      <c r="X18" s="94">
        <f t="shared" si="4"/>
        <v>2043</v>
      </c>
      <c r="Y18" s="94">
        <f t="shared" si="4"/>
        <v>2044</v>
      </c>
      <c r="Z18" s="94">
        <f t="shared" si="4"/>
        <v>2045</v>
      </c>
      <c r="AA18" s="94">
        <f t="shared" si="4"/>
        <v>2046</v>
      </c>
      <c r="AB18" s="94">
        <f t="shared" si="4"/>
        <v>2047</v>
      </c>
      <c r="AC18" s="94">
        <f t="shared" si="4"/>
        <v>2048</v>
      </c>
      <c r="AD18" s="94">
        <f t="shared" si="4"/>
        <v>2049</v>
      </c>
      <c r="AE18" s="94">
        <f t="shared" si="4"/>
        <v>2050</v>
      </c>
      <c r="AF18" s="94">
        <f t="shared" si="4"/>
        <v>2051</v>
      </c>
      <c r="AG18" s="94">
        <f t="shared" si="4"/>
        <v>2052</v>
      </c>
      <c r="AH18" s="94">
        <f t="shared" si="4"/>
        <v>2053</v>
      </c>
      <c r="AI18" s="94">
        <f t="shared" si="4"/>
        <v>2054</v>
      </c>
      <c r="AJ18" s="94">
        <f t="shared" si="4"/>
        <v>2055</v>
      </c>
    </row>
    <row r="19" spans="1:36" s="94" customFormat="1">
      <c r="A19" s="94" t="s">
        <v>291</v>
      </c>
      <c r="B19" s="94">
        <f>IF(B17&lt;=$B$15,'Datos Instalación'!$F$17,'Datos Instalación'!$F$17*(1-'Hoja BIPV'!$C$19))</f>
        <v>13</v>
      </c>
      <c r="C19" s="94">
        <f>IF(C17&lt;=$B$15,'Datos Instalación'!$F$17,'Datos Instalación'!$F$17*(1-'Hoja BIPV'!$C$19))</f>
        <v>13</v>
      </c>
      <c r="D19" s="94">
        <f>IF(D17&lt;=$B$15,'Datos Instalación'!$F$17,'Datos Instalación'!$F$17*(1-'Hoja BIPV'!$C$19))</f>
        <v>13</v>
      </c>
      <c r="E19" s="94">
        <f>IF(E17&lt;=$B$15,'Datos Instalación'!$F$17,'Datos Instalación'!$F$17*(1-'Hoja BIPV'!$C$19))</f>
        <v>13</v>
      </c>
      <c r="F19" s="94">
        <f>IF(F17&lt;=$B$15,'Datos Instalación'!$F$17,'Datos Instalación'!$F$17*(1-'Hoja BIPV'!$C$19))</f>
        <v>13</v>
      </c>
      <c r="G19" s="94">
        <f>IF(G17&lt;=$B$15,'Datos Instalación'!$F$17,'Datos Instalación'!$F$17*(1-'Hoja BIPV'!$C$19))</f>
        <v>13</v>
      </c>
      <c r="H19" s="94">
        <f>IF(H17&lt;=$B$15,'Datos Instalación'!$F$17,'Datos Instalación'!$F$17*(1-'Hoja BIPV'!$C$19))</f>
        <v>13</v>
      </c>
      <c r="I19" s="94">
        <f>IF(I17&lt;=$B$15,'Datos Instalación'!$F$17,'Datos Instalación'!$F$17*(1-'Hoja BIPV'!$C$19))</f>
        <v>13</v>
      </c>
      <c r="J19" s="94">
        <f>IF(J17&lt;=$B$15,'Datos Instalación'!$F$17,'Datos Instalación'!$F$17*(1-'Hoja BIPV'!$C$19))</f>
        <v>13</v>
      </c>
      <c r="K19" s="94">
        <f>IF(K17&lt;=$B$15,'Datos Instalación'!$F$17,'Datos Instalación'!$F$17*(1-'Hoja BIPV'!$C$19))</f>
        <v>13</v>
      </c>
      <c r="L19" s="94">
        <f>IF(L17&lt;=$B$15,'Datos Instalación'!$F$17,'Datos Instalación'!$F$17*(1-'Hoja BIPV'!$C$19))</f>
        <v>13</v>
      </c>
      <c r="M19" s="94">
        <f>IF(M17&lt;=$B$15,'Datos Instalación'!$F$17,'Datos Instalación'!$F$17*(1-'Hoja BIPV'!$C$19))</f>
        <v>13</v>
      </c>
      <c r="N19" s="94">
        <f>IF(N17&lt;=$B$15,'Datos Instalación'!$F$17,'Datos Instalación'!$F$17*(1-'Hoja BIPV'!$C$19))</f>
        <v>6.5</v>
      </c>
      <c r="O19" s="94">
        <f>IF(O17&lt;=$B$15,'Datos Instalación'!$F$17,'Datos Instalación'!$F$17*(1-'Hoja BIPV'!$C$19))</f>
        <v>6.5</v>
      </c>
      <c r="P19" s="94">
        <f>IF(P17&lt;=$B$15,'Datos Instalación'!$F$17,'Datos Instalación'!$F$17*(1-'Hoja BIPV'!$C$19))</f>
        <v>6.5</v>
      </c>
      <c r="Q19" s="94">
        <f>IF(Q17&lt;=$B$15,'Datos Instalación'!$F$17,'Datos Instalación'!$F$17*(1-'Hoja BIPV'!$C$19))</f>
        <v>6.5</v>
      </c>
      <c r="R19" s="94">
        <f>IF(R17&lt;=$B$15,'Datos Instalación'!$F$17,'Datos Instalación'!$F$17*(1-'Hoja BIPV'!$C$19))</f>
        <v>6.5</v>
      </c>
      <c r="S19" s="94">
        <f>IF(S17&lt;=$B$15,'Datos Instalación'!$F$17,'Datos Instalación'!$F$17*(1-'Hoja BIPV'!$C$19))</f>
        <v>6.5</v>
      </c>
      <c r="T19" s="94">
        <f>IF(T17&lt;=$B$15,'Datos Instalación'!$F$17,'Datos Instalación'!$F$17*(1-'Hoja BIPV'!$C$19))</f>
        <v>6.5</v>
      </c>
      <c r="U19" s="94">
        <f>IF(U17&lt;=$B$15,'Datos Instalación'!$F$17,'Datos Instalación'!$F$17*(1-'Hoja BIPV'!$C$19))</f>
        <v>6.5</v>
      </c>
      <c r="V19" s="94">
        <f>IF(V17&lt;=$B$15,'Datos Instalación'!$F$17,'Datos Instalación'!$F$17*(1-'Hoja BIPV'!$C$19))</f>
        <v>6.5</v>
      </c>
      <c r="W19" s="94">
        <f>IF(W17&lt;=$B$15,'Datos Instalación'!$F$17,'Datos Instalación'!$F$17*(1-'Hoja BIPV'!$C$19))</f>
        <v>6.5</v>
      </c>
      <c r="X19" s="94">
        <f>IF(X17&lt;=$B$15,'Datos Instalación'!$F$17,'Datos Instalación'!$F$17*(1-'Hoja BIPV'!$C$19))</f>
        <v>6.5</v>
      </c>
      <c r="Y19" s="94">
        <f>IF(Y17&lt;=$B$15,'Datos Instalación'!$F$17,'Datos Instalación'!$F$17*(1-'Hoja BIPV'!$C$19))</f>
        <v>6.5</v>
      </c>
      <c r="Z19" s="94">
        <f>IF(Z17&lt;=$B$15,'Datos Instalación'!$F$17,'Datos Instalación'!$F$17*(1-'Hoja BIPV'!$C$19))</f>
        <v>6.5</v>
      </c>
      <c r="AA19" s="94">
        <f>IF(AA17&lt;=$B$15,'Datos Instalación'!$F$17,'Datos Instalación'!$F$17*(1-'Hoja BIPV'!$C$19))</f>
        <v>6.5</v>
      </c>
      <c r="AB19" s="94">
        <f>IF(AB17&lt;=$B$15,'Datos Instalación'!$F$17,'Datos Instalación'!$F$17*(1-'Hoja BIPV'!$C$19))</f>
        <v>6.5</v>
      </c>
      <c r="AC19" s="94">
        <f>IF(AC17&lt;=$B$15,'Datos Instalación'!$F$17,'Datos Instalación'!$F$17*(1-'Hoja BIPV'!$C$19))</f>
        <v>6.5</v>
      </c>
      <c r="AD19" s="94">
        <f>IF(AD17&lt;=$B$15,'Datos Instalación'!$F$17,'Datos Instalación'!$F$17*(1-'Hoja BIPV'!$C$19))</f>
        <v>6.5</v>
      </c>
      <c r="AE19" s="94">
        <f>IF(AE17&lt;=$B$15,'Datos Instalación'!$F$17,'Datos Instalación'!$F$17*(1-'Hoja BIPV'!$C$19))</f>
        <v>6.5</v>
      </c>
      <c r="AF19" s="94">
        <f>IF(AF17&lt;=$B$15,'Datos Instalación'!$F$17,'Datos Instalación'!$F$17*(1-'Hoja BIPV'!$C$19))</f>
        <v>6.5</v>
      </c>
      <c r="AG19" s="94">
        <f>IF(AG17&lt;=$B$15,'Datos Instalación'!$F$17,'Datos Instalación'!$F$17*(1-'Hoja BIPV'!$C$19))</f>
        <v>6.5</v>
      </c>
      <c r="AH19" s="94">
        <f>IF(AH17&lt;=$B$15,'Datos Instalación'!$F$17,'Datos Instalación'!$F$17*(1-'Hoja BIPV'!$C$19))</f>
        <v>6.5</v>
      </c>
      <c r="AI19" s="94">
        <f>IF(AI17&lt;=$B$15,'Datos Instalación'!$F$17,'Datos Instalación'!$F$17*(1-'Hoja BIPV'!$C$19))</f>
        <v>6.5</v>
      </c>
      <c r="AJ19" s="94">
        <f>IF(AJ17&lt;=$B$15,'Datos Instalación'!$F$17,'Datos Instalación'!$F$17*(1-'Hoja BIPV'!$C$19))</f>
        <v>6.5</v>
      </c>
    </row>
    <row r="20" spans="1:36" s="94" customFormat="1">
      <c r="A20" s="94" t="s">
        <v>289</v>
      </c>
      <c r="B20" s="94">
        <v>1</v>
      </c>
      <c r="C20" s="94">
        <f>IF(C17&lt;='Datos Instalación'!$C$20,B20-B20*$D$3,0)</f>
        <v>0.99460000000000004</v>
      </c>
      <c r="D20" s="94">
        <f>IF(D17&lt;='Datos Instalación'!$C$20,C20-C20*$D$3,0)</f>
        <v>0.98922916000000005</v>
      </c>
      <c r="E20" s="94">
        <f>IF(E17&lt;='Datos Instalación'!$C$20,D20-D20*$D$3,0)</f>
        <v>0.98388732253600009</v>
      </c>
      <c r="F20" s="94">
        <f>IF(F17&lt;='Datos Instalación'!$C$20,E20-E20*$D$3,0)</f>
        <v>0.97857433099430569</v>
      </c>
      <c r="G20" s="94">
        <f>IF(G17&lt;='Datos Instalación'!$C$20,F20-F20*$D$3,0)</f>
        <v>0.97329002960693645</v>
      </c>
      <c r="H20" s="94">
        <f>IF(H17&lt;='Datos Instalación'!$C$20,G20-G20*$D$3,0)</f>
        <v>0.96803426344705901</v>
      </c>
      <c r="I20" s="94">
        <f>IF(I17&lt;='Datos Instalación'!$C$20,H20-H20*$D$3,0)</f>
        <v>0.9628068784244449</v>
      </c>
      <c r="J20" s="94">
        <f>IF(J17&lt;='Datos Instalación'!$C$20,I20-I20*$D$3,0)</f>
        <v>0.95760772128095295</v>
      </c>
      <c r="K20" s="94">
        <f>IF(K17&lt;='Datos Instalación'!$C$20,J20-J20*$D$3,0)</f>
        <v>0.95243663958603575</v>
      </c>
      <c r="L20" s="94">
        <f>IF(L17&lt;='Datos Instalación'!$C$20,K20-K20*$D$3,0)</f>
        <v>0.94729348173227113</v>
      </c>
      <c r="M20" s="94">
        <f>IF(M17&lt;='Datos Instalación'!$C$20,L20-L20*$D$3,0)</f>
        <v>0.94217809693091681</v>
      </c>
      <c r="N20" s="94">
        <f>IF(N17&lt;='Datos Instalación'!$C$20,M20-M20*$D$3,0)</f>
        <v>0.93709033520748986</v>
      </c>
      <c r="O20" s="94">
        <f>IF(O17&lt;='Datos Instalación'!$C$20,N20-N20*$D$3,0)</f>
        <v>0.93203004739736939</v>
      </c>
      <c r="P20" s="94">
        <f>IF(P17&lt;='Datos Instalación'!$C$20,O20-O20*$D$3,0)</f>
        <v>0.92699708514142354</v>
      </c>
      <c r="Q20" s="94">
        <f>IF(Q17&lt;='Datos Instalación'!$C$20,P20-P20*$D$3,0)</f>
        <v>0.92199130088165981</v>
      </c>
      <c r="R20" s="94">
        <f>IF(R17&lt;='Datos Instalación'!$C$20,Q20-Q20*$D$3,0)</f>
        <v>0.9170125478568989</v>
      </c>
      <c r="S20" s="94">
        <f>IF(S17&lt;='Datos Instalación'!$C$20,R20-R20*$D$3,0)</f>
        <v>0.91206068009847163</v>
      </c>
      <c r="T20" s="94">
        <f>IF(T17&lt;='Datos Instalación'!$C$20,S20-S20*$D$3,0)</f>
        <v>0.90713555242593991</v>
      </c>
      <c r="U20" s="94">
        <f>IF(U17&lt;='Datos Instalación'!$C$20,T20-T20*$D$3,0)</f>
        <v>0.90223702044283982</v>
      </c>
      <c r="V20" s="94">
        <f>IF(V17&lt;='Datos Instalación'!$C$20,U20-U20*$D$3,0)</f>
        <v>0.89736494053244853</v>
      </c>
      <c r="W20" s="94">
        <f>IF(W17&lt;='Datos Instalación'!$C$20,V20-V20*$D$3,0)</f>
        <v>0.89251916985357327</v>
      </c>
      <c r="X20" s="94">
        <f>IF(X17&lt;='Datos Instalación'!$C$20,W20-W20*$D$3,0)</f>
        <v>0.88769956633636393</v>
      </c>
      <c r="Y20" s="94">
        <f>IF(Y17&lt;='Datos Instalación'!$C$20,X20-X20*$D$3,0)</f>
        <v>0.88290598867814751</v>
      </c>
      <c r="Z20" s="94">
        <f>IF(Z17&lt;='Datos Instalación'!$C$20,Y20-Y20*$D$3,0)</f>
        <v>0.87813829633928553</v>
      </c>
      <c r="AA20" s="94">
        <f>IF(AA17&lt;='Datos Instalación'!$C$20,Z20-Z20*$D$3,0)</f>
        <v>0.87339634953905343</v>
      </c>
      <c r="AB20" s="94">
        <f>IF(AB17&lt;='Datos Instalación'!$C$20,AA20-AA20*$D$3,0)</f>
        <v>0.86868000925154254</v>
      </c>
      <c r="AC20" s="94">
        <f>IF(AC17&lt;='Datos Instalación'!$C$20,AB20-AB20*$D$3,0)</f>
        <v>0.86398913720158421</v>
      </c>
      <c r="AD20" s="94">
        <f>IF(AD17&lt;='Datos Instalación'!$C$20,AC20-AC20*$D$3,0)</f>
        <v>0.85932359586069562</v>
      </c>
      <c r="AE20" s="94">
        <f>IF(AE17&lt;='Datos Instalación'!$C$20,AD20-AD20*$D$3,0)</f>
        <v>0.85468324844304788</v>
      </c>
      <c r="AF20" s="94">
        <f>IF(AF17&lt;='Datos Instalación'!$C$20,AE20-AE20*$D$3,0)</f>
        <v>0.85006795890145548</v>
      </c>
      <c r="AG20" s="94">
        <f>IF(AG17&lt;='Datos Instalación'!$C$20,AF20-AF20*$D$3,0)</f>
        <v>0.84547759192338767</v>
      </c>
      <c r="AH20" s="94">
        <f>IF(AH17&lt;='Datos Instalación'!$C$20,AG20-AG20*$D$3,0)</f>
        <v>0.84091201292700135</v>
      </c>
      <c r="AI20" s="94">
        <f>IF(AI17&lt;='Datos Instalación'!$C$20,AH20-AH20*$D$3,0)</f>
        <v>0.83637108805719551</v>
      </c>
      <c r="AJ20" s="94">
        <f>IF(AJ17&lt;='Datos Instalación'!$C$20,AI20-AI20*$D$3,0)</f>
        <v>0.83185468418168662</v>
      </c>
    </row>
    <row r="21" spans="1:36" s="94" customFormat="1">
      <c r="A21" s="94" t="s">
        <v>292</v>
      </c>
      <c r="B21" s="94">
        <f>IF(B17&lt;=$B$15,0,'Datos Instalación'!$F$17*'Hoja BIPV'!$C$19)</f>
        <v>0</v>
      </c>
      <c r="C21" s="94">
        <f>IF(C17&lt;=$B$15,0,'Datos Instalación'!$F$17*'Hoja BIPV'!$C$19)</f>
        <v>0</v>
      </c>
      <c r="D21" s="94">
        <f>IF(D17&lt;=$B$15,0,'Datos Instalación'!$F$17*'Hoja BIPV'!$C$19)</f>
        <v>0</v>
      </c>
      <c r="E21" s="94">
        <f>IF(E17&lt;=$B$15,0,'Datos Instalación'!$F$17*'Hoja BIPV'!$C$19)</f>
        <v>0</v>
      </c>
      <c r="F21" s="94">
        <f>IF(F17&lt;=$B$15,0,'Datos Instalación'!$F$17*'Hoja BIPV'!$C$19)</f>
        <v>0</v>
      </c>
      <c r="G21" s="94">
        <f>IF(G17&lt;=$B$15,0,'Datos Instalación'!$F$17*'Hoja BIPV'!$C$19)</f>
        <v>0</v>
      </c>
      <c r="H21" s="94">
        <f>IF(H17&lt;=$B$15,0,'Datos Instalación'!$F$17*'Hoja BIPV'!$C$19)</f>
        <v>0</v>
      </c>
      <c r="I21" s="94">
        <f>IF(I17&lt;=$B$15,0,'Datos Instalación'!$F$17*'Hoja BIPV'!$C$19)</f>
        <v>0</v>
      </c>
      <c r="J21" s="94">
        <f>IF(J17&lt;=$B$15,0,'Datos Instalación'!$F$17*'Hoja BIPV'!$C$19)</f>
        <v>0</v>
      </c>
      <c r="K21" s="94">
        <f>IF(K17&lt;=$B$15,0,'Datos Instalación'!$F$17*'Hoja BIPV'!$C$19)</f>
        <v>0</v>
      </c>
      <c r="L21" s="94">
        <f>IF(L17&lt;=$B$15,0,'Datos Instalación'!$F$17*'Hoja BIPV'!$C$19)</f>
        <v>0</v>
      </c>
      <c r="M21" s="94">
        <f>IF(M17&lt;=$B$15,0,'Datos Instalación'!$F$17*'Hoja BIPV'!$C$19)</f>
        <v>0</v>
      </c>
      <c r="N21" s="94">
        <f>IF(N17&lt;=$B$15,0,'Datos Instalación'!$F$17*'Hoja BIPV'!$C$19)</f>
        <v>6.5</v>
      </c>
      <c r="O21" s="94">
        <f>IF(O17&lt;=$B$15,0,'Datos Instalación'!$F$17*'Hoja BIPV'!$C$19)</f>
        <v>6.5</v>
      </c>
      <c r="P21" s="94">
        <f>IF(P17&lt;=$B$15,0,'Datos Instalación'!$F$17*'Hoja BIPV'!$C$19)</f>
        <v>6.5</v>
      </c>
      <c r="Q21" s="94">
        <f>IF(Q17&lt;=$B$15,0,'Datos Instalación'!$F$17*'Hoja BIPV'!$C$19)</f>
        <v>6.5</v>
      </c>
      <c r="R21" s="94">
        <f>IF(R17&lt;=$B$15,0,'Datos Instalación'!$F$17*'Hoja BIPV'!$C$19)</f>
        <v>6.5</v>
      </c>
      <c r="S21" s="94">
        <f>IF(S17&lt;=$B$15,0,'Datos Instalación'!$F$17*'Hoja BIPV'!$C$19)</f>
        <v>6.5</v>
      </c>
      <c r="T21" s="94">
        <f>IF(T17&lt;=$B$15,0,'Datos Instalación'!$F$17*'Hoja BIPV'!$C$19)</f>
        <v>6.5</v>
      </c>
      <c r="U21" s="94">
        <f>IF(U17&lt;=$B$15,0,'Datos Instalación'!$F$17*'Hoja BIPV'!$C$19)</f>
        <v>6.5</v>
      </c>
      <c r="V21" s="94">
        <f>IF(V17&lt;=$B$15,0,'Datos Instalación'!$F$17*'Hoja BIPV'!$C$19)</f>
        <v>6.5</v>
      </c>
      <c r="W21" s="94">
        <f>IF(W17&lt;=$B$15,0,'Datos Instalación'!$F$17*'Hoja BIPV'!$C$19)</f>
        <v>6.5</v>
      </c>
      <c r="X21" s="94">
        <f>IF(X17&lt;=$B$15,0,'Datos Instalación'!$F$17*'Hoja BIPV'!$C$19)</f>
        <v>6.5</v>
      </c>
      <c r="Y21" s="94">
        <f>IF(Y17&lt;=$B$15,0,'Datos Instalación'!$F$17*'Hoja BIPV'!$C$19)</f>
        <v>6.5</v>
      </c>
      <c r="Z21" s="94">
        <f>IF(Z17&lt;=$B$15,0,'Datos Instalación'!$F$17*'Hoja BIPV'!$C$19)</f>
        <v>6.5</v>
      </c>
      <c r="AA21" s="94">
        <f>IF(AA17&lt;=$B$15,0,'Datos Instalación'!$F$17*'Hoja BIPV'!$C$19)</f>
        <v>6.5</v>
      </c>
      <c r="AB21" s="94">
        <f>IF(AB17&lt;=$B$15,0,'Datos Instalación'!$F$17*'Hoja BIPV'!$C$19)</f>
        <v>6.5</v>
      </c>
      <c r="AC21" s="94">
        <f>IF(AC17&lt;=$B$15,0,'Datos Instalación'!$F$17*'Hoja BIPV'!$C$19)</f>
        <v>6.5</v>
      </c>
      <c r="AD21" s="94">
        <f>IF(AD17&lt;=$B$15,0,'Datos Instalación'!$F$17*'Hoja BIPV'!$C$19)</f>
        <v>6.5</v>
      </c>
      <c r="AE21" s="94">
        <f>IF(AE17&lt;=$B$15,0,'Datos Instalación'!$F$17*'Hoja BIPV'!$C$19)</f>
        <v>6.5</v>
      </c>
      <c r="AF21" s="94">
        <f>IF(AF17&lt;=$B$15,0,'Datos Instalación'!$F$17*'Hoja BIPV'!$C$19)</f>
        <v>6.5</v>
      </c>
      <c r="AG21" s="94">
        <f>IF(AG17&lt;=$B$15,0,'Datos Instalación'!$F$17*'Hoja BIPV'!$C$19)</f>
        <v>6.5</v>
      </c>
      <c r="AH21" s="94">
        <f>IF(AH17&lt;=$B$15,0,'Datos Instalación'!$F$17*'Hoja BIPV'!$C$19)</f>
        <v>6.5</v>
      </c>
      <c r="AI21" s="94">
        <f>IF(AI17&lt;=$B$15,0,'Datos Instalación'!$F$17*'Hoja BIPV'!$C$19)</f>
        <v>6.5</v>
      </c>
      <c r="AJ21" s="94">
        <f>IF(AJ17&lt;=$B$15,0,'Datos Instalación'!$F$17*'Hoja BIPV'!$C$19)</f>
        <v>6.5</v>
      </c>
    </row>
    <row r="22" spans="1:36" s="94" customFormat="1">
      <c r="A22" s="94" t="s">
        <v>290</v>
      </c>
      <c r="B22" s="94">
        <v>1</v>
      </c>
      <c r="C22" s="94">
        <f>IF(C17&gt;'Datos Instalación'!$C$20,0,IF(C21&gt;=1,B22-B22*$D$3,1))</f>
        <v>1</v>
      </c>
      <c r="D22" s="94">
        <f>IF(D17&gt;'Datos Instalación'!$C$20,0,IF(D21&gt;=1,C22-C22*$D$3,1))</f>
        <v>1</v>
      </c>
      <c r="E22" s="94">
        <f>IF(E17&gt;'Datos Instalación'!$C$20,0,IF(E21&gt;=1,D22-D22*$D$3,1))</f>
        <v>1</v>
      </c>
      <c r="F22" s="94">
        <f>IF(F17&gt;'Datos Instalación'!$C$20,0,IF(F21&gt;=1,E22-E22*$D$3,1))</f>
        <v>1</v>
      </c>
      <c r="G22" s="94">
        <f>IF(G17&gt;'Datos Instalación'!$C$20,0,IF(G21&gt;=1,F22-F22*$D$3,1))</f>
        <v>1</v>
      </c>
      <c r="H22" s="94">
        <f>IF(H17&gt;'Datos Instalación'!$C$20,0,IF(H21&gt;=1,G22-G22*$D$3,1))</f>
        <v>1</v>
      </c>
      <c r="I22" s="94">
        <f>IF(I17&gt;'Datos Instalación'!$C$20,0,IF(I21&gt;=1,H22-H22*$D$3,1))</f>
        <v>1</v>
      </c>
      <c r="J22" s="94">
        <f>IF(J17&gt;'Datos Instalación'!$C$20,0,IF(J21&gt;=1,I22-I22*$D$3,1))</f>
        <v>1</v>
      </c>
      <c r="K22" s="94">
        <f>IF(K17&gt;'Datos Instalación'!$C$20,0,IF(K21&gt;=1,J22-J22*$D$3,1))</f>
        <v>1</v>
      </c>
      <c r="L22" s="94">
        <f>IF(L17&gt;'Datos Instalación'!$C$20,0,IF(L21&gt;=1,K22-K22*$D$3,1))</f>
        <v>1</v>
      </c>
      <c r="M22" s="94">
        <f>IF(M17&gt;'Datos Instalación'!$C$20,0,IF(M21&gt;=1,L22-L22*$D$3,1))</f>
        <v>1</v>
      </c>
      <c r="N22" s="94">
        <f>IF(N17&gt;'Datos Instalación'!$C$20,0,IF(N21&gt;=1,M22-M22*$D$3,1))</f>
        <v>0.99460000000000004</v>
      </c>
      <c r="O22" s="94">
        <f>IF(O17&gt;'Datos Instalación'!$C$20,0,IF(O21&gt;=1,N22-N22*$D$3,1))</f>
        <v>0.98922916000000005</v>
      </c>
      <c r="P22" s="94">
        <f>IF(P17&gt;'Datos Instalación'!$C$20,0,IF(P21&gt;=1,O22-O22*$D$3,1))</f>
        <v>0.98388732253600009</v>
      </c>
      <c r="Q22" s="94">
        <f>IF(Q17&gt;'Datos Instalación'!$C$20,0,IF(Q21&gt;=1,P22-P22*$D$3,1))</f>
        <v>0.97857433099430569</v>
      </c>
      <c r="R22" s="94">
        <f>IF(R17&gt;'Datos Instalación'!$C$20,0,IF(R21&gt;=1,Q22-Q22*$D$3,1))</f>
        <v>0.97329002960693645</v>
      </c>
      <c r="S22" s="94">
        <f>IF(S17&gt;'Datos Instalación'!$C$20,0,IF(S21&gt;=1,R22-R22*$D$3,1))</f>
        <v>0.96803426344705901</v>
      </c>
      <c r="T22" s="94">
        <f>IF(T17&gt;'Datos Instalación'!$C$20,0,IF(T21&gt;=1,S22-S22*$D$3,1))</f>
        <v>0.9628068784244449</v>
      </c>
      <c r="U22" s="94">
        <f>IF(U17&gt;'Datos Instalación'!$C$20,0,IF(U21&gt;=1,T22-T22*$D$3,1))</f>
        <v>0.95760772128095295</v>
      </c>
      <c r="V22" s="94">
        <f>IF(V17&gt;'Datos Instalación'!$C$20,0,IF(V21&gt;=1,U22-U22*$D$3,1))</f>
        <v>0.95243663958603575</v>
      </c>
      <c r="W22" s="94">
        <f>IF(W17&gt;'Datos Instalación'!$C$20,0,IF(W21&gt;=1,V22-V22*$D$3,1))</f>
        <v>0.94729348173227113</v>
      </c>
      <c r="X22" s="94">
        <f>IF(X17&gt;'Datos Instalación'!$C$20,0,IF(X21&gt;=1,W22-W22*$D$3,1))</f>
        <v>0.94217809693091681</v>
      </c>
      <c r="Y22" s="94">
        <f>IF(Y17&gt;'Datos Instalación'!$C$20,0,IF(Y21&gt;=1,X22-X22*$D$3,1))</f>
        <v>0.93709033520748986</v>
      </c>
      <c r="Z22" s="94">
        <f>IF(Z17&gt;'Datos Instalación'!$C$20,0,IF(Z21&gt;=1,Y22-Y22*$D$3,1))</f>
        <v>0.93203004739736939</v>
      </c>
      <c r="AA22" s="94">
        <f>IF(AA17&gt;'Datos Instalación'!$C$20,0,IF(AA21&gt;=1,Z22-Z22*$D$3,1))</f>
        <v>0.92699708514142354</v>
      </c>
      <c r="AB22" s="94">
        <f>IF(AB17&gt;'Datos Instalación'!$C$20,0,IF(AB21&gt;=1,AA22-AA22*$D$3,1))</f>
        <v>0.92199130088165981</v>
      </c>
      <c r="AC22" s="94">
        <f>IF(AC17&gt;'Datos Instalación'!$C$20,0,IF(AC21&gt;=1,AB22-AB22*$D$3,1))</f>
        <v>0.9170125478568989</v>
      </c>
      <c r="AD22" s="94">
        <f>IF(AD17&gt;'Datos Instalación'!$C$20,0,IF(AD21&gt;=1,AC22-AC22*$D$3,1))</f>
        <v>0.91206068009847163</v>
      </c>
      <c r="AE22" s="94">
        <f>IF(AE17&gt;'Datos Instalación'!$C$20,0,IF(AE21&gt;=1,AD22-AD22*$D$3,1))</f>
        <v>0.90713555242593991</v>
      </c>
      <c r="AF22" s="94">
        <f>IF(AF17&gt;'Datos Instalación'!$C$20,0,IF(AF21&gt;=1,AE22-AE22*$D$3,1))</f>
        <v>0.90223702044283982</v>
      </c>
      <c r="AG22" s="94">
        <f>IF(AG17&gt;'Datos Instalación'!$C$20,0,IF(AG21&gt;=1,AF22-AF22*$D$3,1))</f>
        <v>0.89736494053244853</v>
      </c>
      <c r="AH22" s="94">
        <f>IF(AH17&gt;'Datos Instalación'!$C$20,0,IF(AH21&gt;=1,AG22-AG22*$D$3,1))</f>
        <v>0.89251916985357327</v>
      </c>
      <c r="AI22" s="94">
        <f>IF(AI17&gt;'Datos Instalación'!$C$20,0,IF(AI21&gt;=1,AH22-AH22*$D$3,1))</f>
        <v>0.88769956633636393</v>
      </c>
      <c r="AJ22" s="94">
        <f>IF(AJ17&gt;'Datos Instalación'!$C$20,0,IF(AJ21&gt;=1,AI22-AI22*$D$3,1))</f>
        <v>0.88290598867814751</v>
      </c>
    </row>
  </sheetData>
  <mergeCells count="1">
    <mergeCell ref="A3:B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BBEA2-1DF3-4DF6-B46E-E70F5C1815C4}">
  <dimension ref="A2:V46"/>
  <sheetViews>
    <sheetView zoomScale="70" zoomScaleNormal="70" workbookViewId="0">
      <selection activeCell="V4" sqref="V4"/>
    </sheetView>
  </sheetViews>
  <sheetFormatPr baseColWidth="10" defaultRowHeight="14.4"/>
  <cols>
    <col min="2" max="2" width="15.6640625" customWidth="1"/>
    <col min="3" max="3" width="16.5546875" customWidth="1"/>
    <col min="8" max="8" width="16.33203125" customWidth="1"/>
    <col min="10" max="10" width="14.6640625" customWidth="1"/>
    <col min="18" max="18" width="19.44140625" customWidth="1"/>
  </cols>
  <sheetData>
    <row r="2" spans="1:22">
      <c r="C2" t="s">
        <v>71</v>
      </c>
      <c r="D2" s="84" t="s">
        <v>72</v>
      </c>
      <c r="E2" t="s">
        <v>73</v>
      </c>
      <c r="J2" t="s">
        <v>337</v>
      </c>
    </row>
    <row r="3" spans="1:22" ht="14.4" customHeight="1">
      <c r="B3" s="26" t="s">
        <v>415</v>
      </c>
      <c r="C3" s="26"/>
      <c r="D3" s="26">
        <v>0.69</v>
      </c>
      <c r="I3" s="278" t="s">
        <v>330</v>
      </c>
      <c r="J3" s="110" t="s">
        <v>331</v>
      </c>
      <c r="K3" s="110">
        <v>104</v>
      </c>
      <c r="L3" s="278" t="s">
        <v>335</v>
      </c>
      <c r="M3" s="110"/>
      <c r="N3" s="110"/>
      <c r="Q3" s="274" t="s">
        <v>430</v>
      </c>
      <c r="R3" s="25" t="s">
        <v>426</v>
      </c>
      <c r="S3" s="25">
        <f>7*24</f>
        <v>168</v>
      </c>
      <c r="T3" s="274" t="s">
        <v>429</v>
      </c>
      <c r="U3" s="25">
        <f>365*24</f>
        <v>8760</v>
      </c>
      <c r="V3">
        <f>1</f>
        <v>1</v>
      </c>
    </row>
    <row r="4" spans="1:22">
      <c r="B4" s="26" t="s">
        <v>33</v>
      </c>
      <c r="C4" s="26"/>
      <c r="D4" s="26">
        <v>0.66600000000000004</v>
      </c>
      <c r="I4" s="278"/>
      <c r="J4" s="110" t="s">
        <v>332</v>
      </c>
      <c r="K4" s="110">
        <v>12</v>
      </c>
      <c r="L4" s="278"/>
      <c r="M4" s="110" t="s">
        <v>336</v>
      </c>
      <c r="N4" s="26">
        <f>(K3+K4)/K6</f>
        <v>0.31780821917808222</v>
      </c>
      <c r="Q4" s="274"/>
      <c r="R4" s="25" t="s">
        <v>428</v>
      </c>
      <c r="S4" s="25">
        <f>5*16</f>
        <v>80</v>
      </c>
      <c r="T4" s="274"/>
      <c r="U4" s="130">
        <f>S4/$S$3*U$3</f>
        <v>4171.4285714285716</v>
      </c>
      <c r="V4">
        <f>U4/U$3</f>
        <v>0.47619047619047622</v>
      </c>
    </row>
    <row r="5" spans="1:22">
      <c r="B5" s="26" t="s">
        <v>34</v>
      </c>
      <c r="C5" s="27">
        <v>0.2</v>
      </c>
      <c r="D5" s="26">
        <f>$D$4-$C$5*$D$4</f>
        <v>0.53280000000000005</v>
      </c>
      <c r="I5" s="278"/>
      <c r="J5" s="110" t="s">
        <v>334</v>
      </c>
      <c r="K5" s="110">
        <f>365-K3-K4</f>
        <v>249</v>
      </c>
      <c r="L5" s="278"/>
      <c r="M5" s="110" t="s">
        <v>334</v>
      </c>
      <c r="N5" s="26">
        <f>K5/K6</f>
        <v>0.68219178082191778</v>
      </c>
      <c r="Q5" s="274"/>
      <c r="R5" s="25" t="s">
        <v>427</v>
      </c>
      <c r="S5" s="25">
        <f>48+5*8</f>
        <v>88</v>
      </c>
      <c r="T5" s="274"/>
      <c r="U5" s="130">
        <f>S5/$S$3*U$3</f>
        <v>4588.5714285714284</v>
      </c>
      <c r="V5">
        <f>U5/U$3</f>
        <v>0.52380952380952384</v>
      </c>
    </row>
    <row r="6" spans="1:22">
      <c r="B6" s="26" t="s">
        <v>35</v>
      </c>
      <c r="C6" s="27">
        <v>0.2</v>
      </c>
      <c r="D6" s="26">
        <f>$D$4-$C$5*$D$4</f>
        <v>0.53280000000000005</v>
      </c>
      <c r="I6" s="278"/>
      <c r="J6" s="110" t="s">
        <v>333</v>
      </c>
      <c r="K6" s="110">
        <v>365</v>
      </c>
      <c r="L6" s="278"/>
      <c r="M6" s="111"/>
      <c r="N6" s="110"/>
    </row>
    <row r="7" spans="1:22">
      <c r="D7" s="275"/>
      <c r="M7" s="109"/>
    </row>
    <row r="8" spans="1:22">
      <c r="D8" s="275"/>
      <c r="M8" s="109"/>
    </row>
    <row r="9" spans="1:22" s="18" customFormat="1">
      <c r="A9" s="276"/>
    </row>
    <row r="10" spans="1:22" s="18" customFormat="1">
      <c r="A10" s="276"/>
    </row>
    <row r="11" spans="1:22" s="18" customFormat="1"/>
    <row r="14" spans="1:22" ht="28.8">
      <c r="B14" s="277" t="s">
        <v>1</v>
      </c>
      <c r="C14" s="277"/>
      <c r="D14" s="277"/>
      <c r="J14" s="29" t="s">
        <v>167</v>
      </c>
    </row>
    <row r="15" spans="1:22">
      <c r="B15" s="25"/>
      <c r="C15" s="25"/>
      <c r="D15" s="25" t="s">
        <v>142</v>
      </c>
      <c r="H15" s="1"/>
      <c r="J15" s="28">
        <f>'Datos Consumo '!F4+1</f>
        <v>1.0511696319999999</v>
      </c>
    </row>
    <row r="16" spans="1:22">
      <c r="B16" s="25" t="s">
        <v>4</v>
      </c>
      <c r="C16" s="25"/>
      <c r="D16" s="25">
        <f>IF('Datos Consumo '!$D$39="Porcentaje",'Datos Consumo '!C42*'Datos Consumo '!$C$39,"")</f>
        <v>136.69811320754718</v>
      </c>
      <c r="J16" s="28">
        <f>'Datos Consumo '!F5+1</f>
        <v>1.21</v>
      </c>
    </row>
    <row r="17" spans="2:10">
      <c r="B17" s="25" t="s">
        <v>5</v>
      </c>
      <c r="C17" s="25"/>
      <c r="D17" s="25">
        <f>IF('Datos Consumo '!$D$39="Porcentaje",'Datos Consumo '!C43*'Datos Consumo '!$C$39,"")</f>
        <v>124.98113207547171</v>
      </c>
    </row>
    <row r="18" spans="2:10">
      <c r="B18" s="25" t="s">
        <v>6</v>
      </c>
      <c r="C18" s="25"/>
      <c r="D18" s="25">
        <f>IF('Datos Consumo '!$D$39="Porcentaje",'Datos Consumo '!C44*'Datos Consumo '!$C$39,"")</f>
        <v>105.45283018867926</v>
      </c>
    </row>
    <row r="19" spans="2:10">
      <c r="B19" s="25" t="s">
        <v>7</v>
      </c>
      <c r="C19" s="25"/>
      <c r="D19" s="25">
        <f>IF('Datos Consumo '!$D$39="Porcentaje",'Datos Consumo '!C45*'Datos Consumo '!$C$39,"")</f>
        <v>93.735849056603769</v>
      </c>
      <c r="I19" s="25" t="s">
        <v>80</v>
      </c>
      <c r="J19" s="25">
        <v>1</v>
      </c>
    </row>
    <row r="20" spans="2:10">
      <c r="B20" s="25" t="s">
        <v>8</v>
      </c>
      <c r="C20" s="25"/>
      <c r="D20" s="25">
        <f>IF('Datos Consumo '!$D$39="Porcentaje",'Datos Consumo '!C46*'Datos Consumo '!$C$39,"")</f>
        <v>95.688679245283026</v>
      </c>
      <c r="I20" s="25" t="s">
        <v>169</v>
      </c>
      <c r="J20" s="25">
        <v>12</v>
      </c>
    </row>
    <row r="21" spans="2:10">
      <c r="B21" s="25" t="s">
        <v>9</v>
      </c>
      <c r="C21" s="25"/>
      <c r="D21" s="25">
        <f>IF('Datos Consumo '!$D$39="Porcentaje",'Datos Consumo '!C47*'Datos Consumo '!$C$39,"")</f>
        <v>97.64150943396227</v>
      </c>
      <c r="I21" s="25" t="s">
        <v>424</v>
      </c>
      <c r="J21" s="25">
        <v>365</v>
      </c>
    </row>
    <row r="22" spans="2:10">
      <c r="B22" s="25" t="s">
        <v>10</v>
      </c>
      <c r="C22" s="25"/>
      <c r="D22" s="25">
        <f>IF('Datos Consumo '!$D$39="Porcentaje",'Datos Consumo '!C48*'Datos Consumo '!$C$39,"")</f>
        <v>121.07547169811322</v>
      </c>
      <c r="I22" s="25" t="s">
        <v>425</v>
      </c>
      <c r="J22" s="25">
        <f>365*24</f>
        <v>8760</v>
      </c>
    </row>
    <row r="23" spans="2:10">
      <c r="B23" s="25" t="s">
        <v>11</v>
      </c>
      <c r="C23" s="25"/>
      <c r="D23" s="25">
        <f>IF('Datos Consumo '!$D$39="Porcentaje",'Datos Consumo '!C49*'Datos Consumo '!$C$39,"")</f>
        <v>103.5</v>
      </c>
    </row>
    <row r="24" spans="2:10">
      <c r="B24" s="25" t="s">
        <v>12</v>
      </c>
      <c r="C24" s="25"/>
      <c r="D24" s="25">
        <f>IF('Datos Consumo '!$D$39="Porcentaje",'Datos Consumo '!C50*'Datos Consumo '!$C$39,"")</f>
        <v>97.64150943396227</v>
      </c>
    </row>
    <row r="25" spans="2:10">
      <c r="B25" s="25" t="s">
        <v>57</v>
      </c>
      <c r="C25" s="25"/>
      <c r="D25" s="25">
        <f>IF('Datos Consumo '!$D$39="Porcentaje",'Datos Consumo '!C51*'Datos Consumo '!$C$39,"")</f>
        <v>101.54716981132077</v>
      </c>
    </row>
    <row r="26" spans="2:10">
      <c r="B26" s="25" t="s">
        <v>14</v>
      </c>
      <c r="C26" s="25"/>
      <c r="D26" s="25">
        <f>IF('Datos Consumo '!$D$39="Porcentaje",'Datos Consumo '!C52*'Datos Consumo '!$C$39,"")</f>
        <v>97.64150943396227</v>
      </c>
    </row>
    <row r="27" spans="2:10">
      <c r="B27" s="25" t="s">
        <v>15</v>
      </c>
      <c r="C27" s="25"/>
      <c r="D27" s="25">
        <f>IF('Datos Consumo '!$D$39="Porcentaje",'Datos Consumo '!C53*'Datos Consumo '!$C$39,"")</f>
        <v>136.69811320754718</v>
      </c>
    </row>
    <row r="45" spans="2:2">
      <c r="B45" t="s">
        <v>307</v>
      </c>
    </row>
    <row r="46" spans="2:2">
      <c r="B46" t="s">
        <v>39</v>
      </c>
    </row>
  </sheetData>
  <mergeCells count="7">
    <mergeCell ref="Q3:Q5"/>
    <mergeCell ref="T3:T5"/>
    <mergeCell ref="D7:D8"/>
    <mergeCell ref="A9:A10"/>
    <mergeCell ref="B14:D14"/>
    <mergeCell ref="I3:I6"/>
    <mergeCell ref="L3:L6"/>
  </mergeCells>
  <hyperlinks>
    <hyperlink ref="D2" r:id="rId1" xr:uid="{38788EA1-4415-47F6-A760-5E9828C40901}"/>
  </hyperlinks>
  <pageMargins left="0.7" right="0.7" top="0.75" bottom="0.75" header="0.3" footer="0.3"/>
  <pageSetup paperSize="9"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E6C75-9801-4FE5-B497-0EC47ED6FC0D}">
  <dimension ref="A3:AO129"/>
  <sheetViews>
    <sheetView zoomScale="80" zoomScaleNormal="80" workbookViewId="0">
      <selection activeCell="C6" sqref="C6"/>
    </sheetView>
  </sheetViews>
  <sheetFormatPr baseColWidth="10" defaultRowHeight="14.4"/>
  <cols>
    <col min="2" max="2" width="14.44140625" customWidth="1"/>
    <col min="3" max="4" width="11.6640625" bestFit="1" customWidth="1"/>
    <col min="5" max="5" width="12.44140625" bestFit="1" customWidth="1"/>
    <col min="6" max="14" width="11.6640625" bestFit="1" customWidth="1"/>
    <col min="15" max="15" width="25" customWidth="1"/>
    <col min="16" max="16" width="14.21875" customWidth="1"/>
    <col min="17" max="41" width="11.6640625" bestFit="1" customWidth="1"/>
  </cols>
  <sheetData>
    <row r="3" spans="1:32" ht="15.6">
      <c r="B3" s="282" t="s">
        <v>420</v>
      </c>
      <c r="C3" s="282"/>
      <c r="D3" s="282"/>
      <c r="F3" s="282" t="s">
        <v>421</v>
      </c>
      <c r="G3" s="282"/>
      <c r="H3" s="282"/>
      <c r="J3" s="282" t="s">
        <v>445</v>
      </c>
      <c r="K3" s="282"/>
      <c r="L3" s="282"/>
      <c r="O3" s="55" t="s">
        <v>40</v>
      </c>
      <c r="P3" s="103" t="str">
        <f>IF(RESUMEN!I16="2.0A","No","Si")</f>
        <v>Si</v>
      </c>
    </row>
    <row r="4" spans="1:32">
      <c r="O4" s="55" t="s">
        <v>159</v>
      </c>
      <c r="P4" s="103" t="str">
        <f>IF(OR(RESUMEN!I16="PVPC",RESUMEN!I16="Precio Indexado"),"Si","No")</f>
        <v>No</v>
      </c>
    </row>
    <row r="5" spans="1:32">
      <c r="B5" s="14"/>
      <c r="C5" s="129" t="s">
        <v>431</v>
      </c>
      <c r="F5" s="14"/>
      <c r="G5" s="129" t="s">
        <v>422</v>
      </c>
      <c r="J5" s="14"/>
      <c r="K5" s="129" t="s">
        <v>422</v>
      </c>
      <c r="P5" s="65"/>
    </row>
    <row r="6" spans="1:32">
      <c r="B6" s="129" t="s">
        <v>80</v>
      </c>
      <c r="C6" s="14" t="e">
        <f>_xlfn.XLOOKUP('Hoja Cliente Aux'!$B$24,Auxiliares!$I$19:$I$22,Auxiliares!$J$19:$J$22)*IF(OR('Hoja Cliente Aux'!$C$15="2.0 TD",'Hoja Cliente Aux'!$C$15="PVPC"),Auxiliares!$V$4*'Hoja Cliente Aux'!$B$22+'Hoja Cliente Aux'!$B$23*Auxiliares!$V$5,'Hoja Cliente Aux'!$B$22)*'Hoja Cliente'!B26</f>
        <v>#N/A</v>
      </c>
      <c r="D6" t="e">
        <f>IF(OR('Hoja Cliente Aux'!$C$15="2.0 TD", 'Hoja Cliente Aux'!$C$15="PVPC"),Auxiliares!V4*'Hoja Cliente Aux'!B22+'Hoja Cliente Aux'!B23*Auxiliares!V5,'Hoja Cliente Aux'!$B$22)</f>
        <v>#VALUE!</v>
      </c>
      <c r="F6" s="129" t="s">
        <v>80</v>
      </c>
      <c r="G6" s="14">
        <f xml:space="preserve"> _xlfn.XLOOKUP(RESUMEN!I20,Auxiliares!$I$19:$I$22,Auxiliares!$J$19:$J$22)*IF(OR(RESUMEN!I16="2.0 TD", RESUMEN!I16="PVPC"),RESUMEN!I18*RESUMEN!J18+RESUMEN!I19*RESUMEN!J19,RESUMEN!I18*RESUMEN!J18)</f>
        <v>42.945740000000001</v>
      </c>
      <c r="H6">
        <f>IF(OR(RESUMEN!I16="2.0 TD", RESUMEN!I16="PVPC"),Auxiliares!V4*RESUMEN!I18+RESUMEN!I19*Auxiliares!V5,RESUMEN!I18)</f>
        <v>17.352121904761905</v>
      </c>
      <c r="J6" s="129" t="s">
        <v>80</v>
      </c>
      <c r="K6" s="14" t="e">
        <f>-G6+C6</f>
        <v>#N/A</v>
      </c>
      <c r="O6" s="55" t="str">
        <f>'Hoja Cliente Aux'!A18</f>
        <v>Precio Hora Pico</v>
      </c>
      <c r="P6" s="132">
        <f>RESUMEN!I23</f>
        <v>0.2445</v>
      </c>
    </row>
    <row r="7" spans="1:32">
      <c r="K7" s="14"/>
      <c r="O7" s="55" t="str">
        <f>'Hoja Cliente Aux'!A19</f>
        <v>Precio Hora Llano</v>
      </c>
      <c r="P7" s="132">
        <f>RESUMEN!I24</f>
        <v>0.14649999999999999</v>
      </c>
    </row>
    <row r="8" spans="1:32">
      <c r="K8" s="14"/>
      <c r="O8" s="55" t="str">
        <f>'Hoja Cliente Aux'!A20</f>
        <v>Precio Hora Valle</v>
      </c>
      <c r="P8" s="132">
        <f>RESUMEN!I25</f>
        <v>9.8000000000000004E-2</v>
      </c>
    </row>
    <row r="9" spans="1:32">
      <c r="K9" s="14"/>
      <c r="O9" s="49"/>
      <c r="P9" s="65"/>
    </row>
    <row r="10" spans="1:32">
      <c r="K10" s="14"/>
      <c r="O10" s="55" t="s">
        <v>329</v>
      </c>
      <c r="P10" s="133">
        <f>(P6+P7)/2</f>
        <v>0.19550000000000001</v>
      </c>
    </row>
    <row r="11" spans="1:32">
      <c r="K11" s="14"/>
    </row>
    <row r="12" spans="1:32">
      <c r="K12" s="14"/>
    </row>
    <row r="13" spans="1:32">
      <c r="K13" s="14"/>
    </row>
    <row r="14" spans="1:32" s="134" customFormat="1">
      <c r="A14" s="279" t="s">
        <v>435</v>
      </c>
      <c r="B14" s="279"/>
      <c r="C14" s="279"/>
      <c r="K14" s="135"/>
    </row>
    <row r="15" spans="1:32">
      <c r="C15" s="24">
        <v>2021</v>
      </c>
      <c r="D15" s="24">
        <v>2022</v>
      </c>
      <c r="E15" s="24">
        <v>2023</v>
      </c>
      <c r="F15" s="24">
        <v>2024</v>
      </c>
      <c r="G15" s="24">
        <v>2025</v>
      </c>
      <c r="H15" s="24">
        <v>2026</v>
      </c>
      <c r="I15" s="24">
        <v>2027</v>
      </c>
      <c r="J15" s="24">
        <v>2028</v>
      </c>
      <c r="K15" s="24">
        <v>2029</v>
      </c>
      <c r="L15" s="24">
        <v>2030</v>
      </c>
      <c r="M15" s="24">
        <v>2031</v>
      </c>
      <c r="N15" s="24">
        <v>2032</v>
      </c>
      <c r="O15" s="24">
        <v>2033</v>
      </c>
      <c r="P15" s="24">
        <v>2034</v>
      </c>
      <c r="Q15" s="24">
        <v>2035</v>
      </c>
      <c r="R15" s="24">
        <v>2036</v>
      </c>
      <c r="S15" s="24">
        <v>2037</v>
      </c>
      <c r="T15" s="24">
        <v>2038</v>
      </c>
      <c r="U15" s="24">
        <v>2039</v>
      </c>
      <c r="V15" s="24">
        <v>2040</v>
      </c>
      <c r="W15" s="24">
        <v>2041</v>
      </c>
      <c r="X15" s="24">
        <v>2042</v>
      </c>
      <c r="Y15" s="24">
        <v>2043</v>
      </c>
      <c r="Z15" s="24">
        <v>2044</v>
      </c>
      <c r="AA15" s="24">
        <v>2045</v>
      </c>
      <c r="AB15" s="24">
        <v>2046</v>
      </c>
      <c r="AC15" s="24">
        <v>2047</v>
      </c>
      <c r="AD15" s="24">
        <v>2048</v>
      </c>
      <c r="AE15" s="24">
        <v>2049</v>
      </c>
      <c r="AF15" s="24">
        <v>2050</v>
      </c>
    </row>
    <row r="16" spans="1:32">
      <c r="A16">
        <v>31</v>
      </c>
      <c r="B16" s="24" t="s">
        <v>433</v>
      </c>
      <c r="C16">
        <f ca="1">IF(Auxiliares!$D16&lt;(Producción!C7*$A16),Auxiliares!$D16,Producción!C7*$A16)*Auxiliares!$J$15*Auxiliares!$J$16*IF($P$4="Si",'Datos Consumo '!$C20,IF($P$3="No",$P$6,$P$8*Auxiliares!$N$4+Auxiliares!$N$5*$P$10))</f>
        <v>28.603736105596038</v>
      </c>
      <c r="D16">
        <f ca="1">IF(Auxiliares!$D16&lt;(Producción!D7*$A16),Auxiliares!$D16,Producción!D7*$A16)*Auxiliares!$J$15*Auxiliares!$J$16*IF($P$4="Si",'Datos Consumo '!$C20,IF($P$3="No",$P$6,$P$8*Auxiliares!$N$4+Auxiliares!$N$5*$P$10))</f>
        <v>28.603736105596038</v>
      </c>
      <c r="E16">
        <f ca="1">IF(Auxiliares!$D16&lt;(Producción!E7*$A16),Auxiliares!$D16,Producción!E7*$A16)*Auxiliares!$J$15*Auxiliares!$J$16*IF($P$4="Si",'Datos Consumo '!$C20,IF($P$3="No",$P$6,$P$8*Auxiliares!$N$4+Auxiliares!$N$5*$P$10))</f>
        <v>28.603736105596038</v>
      </c>
      <c r="F16">
        <f ca="1">IF(Auxiliares!$D16&lt;(Producción!F7*$A16),Auxiliares!$D16,Producción!F7*$A16)*Auxiliares!$J$15*Auxiliares!$J$16*IF($P$4="Si",'Datos Consumo '!$C20,IF($P$3="No",$P$6,$P$8*Auxiliares!$N$4+Auxiliares!$N$5*$P$10))</f>
        <v>28.603736105596038</v>
      </c>
      <c r="G16">
        <f ca="1">IF(Auxiliares!$D16&lt;(Producción!G7*$A16),Auxiliares!$D16,Producción!G7*$A16)*Auxiliares!$J$15*Auxiliares!$J$16*IF($P$4="Si",'Datos Consumo '!$C20,IF($P$3="No",$P$6,$P$8*Auxiliares!$N$4+Auxiliares!$N$5*$P$10))</f>
        <v>28.603736105596038</v>
      </c>
      <c r="H16">
        <f ca="1">IF(Auxiliares!$D16&lt;(Producción!H7*$A16),Auxiliares!$D16,Producción!H7*$A16)*Auxiliares!$J$15*Auxiliares!$J$16*IF($P$4="Si",'Datos Consumo '!$C20,IF($P$3="No",$P$6,$P$8*Auxiliares!$N$4+Auxiliares!$N$5*$P$10))</f>
        <v>28.603736105596038</v>
      </c>
      <c r="I16">
        <f ca="1">IF(Auxiliares!$D16&lt;(Producción!I7*$A16),Auxiliares!$D16,Producción!I7*$A16)*Auxiliares!$J$15*Auxiliares!$J$16*IF($P$4="Si",'Datos Consumo '!$C20,IF($P$3="No",$P$6,$P$8*Auxiliares!$N$4+Auxiliares!$N$5*$P$10))</f>
        <v>28.603736105596038</v>
      </c>
      <c r="J16">
        <f ca="1">IF(Auxiliares!$D16&lt;(Producción!J7*$A16),Auxiliares!$D16,Producción!J7*$A16)*Auxiliares!$J$15*Auxiliares!$J$16*IF($P$4="Si",'Datos Consumo '!$C20,IF($P$3="No",$P$6,$P$8*Auxiliares!$N$4+Auxiliares!$N$5*$P$10))</f>
        <v>28.603736105596038</v>
      </c>
      <c r="K16">
        <f ca="1">IF(Auxiliares!$D16&lt;(Producción!K7*$A16),Auxiliares!$D16,Producción!K7*$A16)*Auxiliares!$J$15*Auxiliares!$J$16*IF($P$4="Si",'Datos Consumo '!$C20,IF($P$3="No",$P$6,$P$8*Auxiliares!$N$4+Auxiliares!$N$5*$P$10))</f>
        <v>28.603736105596038</v>
      </c>
      <c r="L16">
        <f ca="1">IF(Auxiliares!$D16&lt;(Producción!L7*$A16),Auxiliares!$D16,Producción!L7*$A16)*Auxiliares!$J$15*Auxiliares!$J$16*IF($P$4="Si",'Datos Consumo '!$C20,IF($P$3="No",$P$6,$P$8*Auxiliares!$N$4+Auxiliares!$N$5*$P$10))</f>
        <v>28.603736105596038</v>
      </c>
      <c r="M16">
        <f ca="1">IF(Auxiliares!$D16&lt;(Producción!M7*$A16),Auxiliares!$D16,Producción!M7*$A16)*Auxiliares!$J$15*Auxiliares!$J$16*IF($P$4="Si",'Datos Consumo '!$C20,IF($P$3="No",$P$6,$P$8*Auxiliares!$N$4+Auxiliares!$N$5*$P$10))</f>
        <v>28.603736105596038</v>
      </c>
      <c r="N16">
        <f ca="1">IF(Auxiliares!$D16&lt;(Producción!N7*$A16),Auxiliares!$D16,Producción!N7*$A16)*Auxiliares!$J$15*Auxiliares!$J$16*IF($P$4="Si",'Datos Consumo '!$C20,IF($P$3="No",$P$6,$P$8*Auxiliares!$N$4+Auxiliares!$N$5*$P$10))</f>
        <v>28.603736105596038</v>
      </c>
      <c r="O16">
        <f ca="1">IF(Auxiliares!$D16&lt;(Producción!O7*$A16),Auxiliares!$D16,Producción!O7*$A16)*Auxiliares!$J$15*Auxiliares!$J$16*IF($P$4="Si",'Datos Consumo '!$C20,IF($P$3="No",$P$6,$P$8*Auxiliares!$N$4+Auxiliares!$N$5*$P$10))</f>
        <v>28.603736105596038</v>
      </c>
      <c r="P16">
        <f ca="1">IF(Auxiliares!$D16&lt;(Producción!P7*$A16),Auxiliares!$D16,Producción!P7*$A16)*Auxiliares!$J$15*Auxiliares!$J$16*IF($P$4="Si",'Datos Consumo '!$C20,IF($P$3="No",$P$6,$P$8*Auxiliares!$N$4+Auxiliares!$N$5*$P$10))</f>
        <v>28.603736105596038</v>
      </c>
      <c r="Q16">
        <f ca="1">IF(Auxiliares!$D16&lt;(Producción!Q7*$A16),Auxiliares!$D16,Producción!Q7*$A16)*Auxiliares!$J$15*Auxiliares!$J$16*IF($P$4="Si",'Datos Consumo '!$C20,IF($P$3="No",$P$6,$P$8*Auxiliares!$N$4+Auxiliares!$N$5*$P$10))</f>
        <v>28.603736105596038</v>
      </c>
      <c r="R16">
        <f ca="1">IF(Auxiliares!$D16&lt;(Producción!R7*$A16),Auxiliares!$D16,Producción!R7*$A16)*Auxiliares!$J$15*Auxiliares!$J$16*IF($P$4="Si",'Datos Consumo '!$C20,IF($P$3="No",$P$6,$P$8*Auxiliares!$N$4+Auxiliares!$N$5*$P$10))</f>
        <v>28.603736105596038</v>
      </c>
      <c r="S16">
        <f ca="1">IF(Auxiliares!$D16&lt;(Producción!S7*$A16),Auxiliares!$D16,Producción!S7*$A16)*Auxiliares!$J$15*Auxiliares!$J$16*IF($P$4="Si",'Datos Consumo '!$C20,IF($P$3="No",$P$6,$P$8*Auxiliares!$N$4+Auxiliares!$N$5*$P$10))</f>
        <v>28.603736105596038</v>
      </c>
      <c r="T16">
        <f ca="1">IF(Auxiliares!$D16&lt;(Producción!T7*$A16),Auxiliares!$D16,Producción!T7*$A16)*Auxiliares!$J$15*Auxiliares!$J$16*IF($P$4="Si",'Datos Consumo '!$C20,IF($P$3="No",$P$6,$P$8*Auxiliares!$N$4+Auxiliares!$N$5*$P$10))</f>
        <v>28.603736105596038</v>
      </c>
      <c r="U16">
        <f ca="1">IF(Auxiliares!$D16&lt;(Producción!U7*$A16),Auxiliares!$D16,Producción!U7*$A16)*Auxiliares!$J$15*Auxiliares!$J$16*IF($P$4="Si",'Datos Consumo '!$C20,IF($P$3="No",$P$6,$P$8*Auxiliares!$N$4+Auxiliares!$N$5*$P$10))</f>
        <v>28.603736105596038</v>
      </c>
      <c r="V16">
        <f ca="1">IF(Auxiliares!$D16&lt;(Producción!V7*$A16),Auxiliares!$D16,Producción!V7*$A16)*Auxiliares!$J$15*Auxiliares!$J$16*IF($P$4="Si",'Datos Consumo '!$C20,IF($P$3="No",$P$6,$P$8*Auxiliares!$N$4+Auxiliares!$N$5*$P$10))</f>
        <v>28.603736105596038</v>
      </c>
      <c r="W16">
        <f ca="1">IF(Auxiliares!$D16&lt;(Producción!W7*$A16),Auxiliares!$D16,Producción!W7*$A16)*Auxiliares!$J$15*Auxiliares!$J$16*IF($P$4="Si",'Datos Consumo '!$C20,IF($P$3="No",$P$6,$P$8*Auxiliares!$N$4+Auxiliares!$N$5*$P$10))</f>
        <v>28.603736105596038</v>
      </c>
      <c r="X16">
        <f ca="1">IF(Auxiliares!$D16&lt;(Producción!X7*$A16),Auxiliares!$D16,Producción!X7*$A16)*Auxiliares!$J$15*Auxiliares!$J$16*IF($P$4="Si",'Datos Consumo '!$C20,IF($P$3="No",$P$6,$P$8*Auxiliares!$N$4+Auxiliares!$N$5*$P$10))</f>
        <v>28.603736105596038</v>
      </c>
      <c r="Y16">
        <f ca="1">IF(Auxiliares!$D16&lt;(Producción!Y7*$A16),Auxiliares!$D16,Producción!Y7*$A16)*Auxiliares!$J$15*Auxiliares!$J$16*IF($P$4="Si",'Datos Consumo '!$C20,IF($P$3="No",$P$6,$P$8*Auxiliares!$N$4+Auxiliares!$N$5*$P$10))</f>
        <v>28.603736105596038</v>
      </c>
      <c r="Z16">
        <f ca="1">IF(Auxiliares!$D16&lt;(Producción!Z7*$A16),Auxiliares!$D16,Producción!Z7*$A16)*Auxiliares!$J$15*Auxiliares!$J$16*IF($P$4="Si",'Datos Consumo '!$C20,IF($P$3="No",$P$6,$P$8*Auxiliares!$N$4+Auxiliares!$N$5*$P$10))</f>
        <v>28.603736105596038</v>
      </c>
      <c r="AA16">
        <f ca="1">IF(Auxiliares!$D16&lt;(Producción!AA7*$A16),Auxiliares!$D16,Producción!AA7*$A16)*Auxiliares!$J$15*Auxiliares!$J$16*IF($P$4="Si",'Datos Consumo '!$C20,IF($P$3="No",$P$6,$P$8*Auxiliares!$N$4+Auxiliares!$N$5*$P$10))</f>
        <v>28.603736105596038</v>
      </c>
      <c r="AB16">
        <f ca="1">IF(Auxiliares!$D16&lt;(Producción!AB7*$A16),Auxiliares!$D16,Producción!AB7*$A16)*Auxiliares!$J$15*Auxiliares!$J$16*IF($P$4="Si",'Datos Consumo '!$C20,IF($P$3="No",$P$6,$P$8*Auxiliares!$N$4+Auxiliares!$N$5*$P$10))</f>
        <v>28.603736105596038</v>
      </c>
      <c r="AC16">
        <f ca="1">IF(Auxiliares!$D16&lt;(Producción!AC7*$A16),Auxiliares!$D16,Producción!AC7*$A16)*Auxiliares!$J$15*Auxiliares!$J$16*IF($P$4="Si",'Datos Consumo '!$C20,IF($P$3="No",$P$6,$P$8*Auxiliares!$N$4+Auxiliares!$N$5*$P$10))</f>
        <v>28.603736105596038</v>
      </c>
      <c r="AD16">
        <f ca="1">IF(Auxiliares!$D16&lt;(Producción!AD7*$A16),Auxiliares!$D16,Producción!AD7*$A16)*Auxiliares!$J$15*Auxiliares!$J$16*IF($P$4="Si",'Datos Consumo '!$C20,IF($P$3="No",$P$6,$P$8*Auxiliares!$N$4+Auxiliares!$N$5*$P$10))</f>
        <v>28.603736105596038</v>
      </c>
      <c r="AE16">
        <f ca="1">IF(Auxiliares!$D16&lt;(Producción!AE7*$A16),Auxiliares!$D16,Producción!AE7*$A16)*Auxiliares!$J$15*Auxiliares!$J$16*IF($P$4="Si",'Datos Consumo '!$C20,IF($P$3="No",$P$6,$P$8*Auxiliares!$N$4+Auxiliares!$N$5*$P$10))</f>
        <v>28.603736105596038</v>
      </c>
      <c r="AF16">
        <f ca="1">IF(Auxiliares!$D16&lt;(Producción!AF7*$A16),Auxiliares!$D16,Producción!AF7*$A16)*Auxiliares!$J$15*Auxiliares!$J$16*IF($P$4="Si",'Datos Consumo '!$C20,IF($P$3="No",$P$6,$P$8*Auxiliares!$N$4+Auxiliares!$N$5*$P$10))</f>
        <v>28.603736105596038</v>
      </c>
    </row>
    <row r="17" spans="1:32">
      <c r="A17">
        <v>28</v>
      </c>
      <c r="B17" s="24" t="s">
        <v>434</v>
      </c>
      <c r="C17">
        <f ca="1">IF(Auxiliares!$D17&lt;(Producción!C8*$A17),Auxiliares!$D17,Producción!C8*$A17)*Auxiliares!$J$15*Auxiliares!$J$16*IF($P$4="Si",'Datos Consumo '!$C21,IF($P$3="No",$P$6,$P$8*Auxiliares!$N$4+Auxiliares!$N$5*$P$10))</f>
        <v>26.151987296544942</v>
      </c>
      <c r="D17">
        <f ca="1">IF(Auxiliares!$D17&lt;(Producción!D8*$A17),Auxiliares!$D17,Producción!D8*$A17)*Auxiliares!$J$15*Auxiliares!$J$16*IF($P$4="Si",'Datos Consumo '!$C21,IF($P$3="No",$P$6,$P$8*Auxiliares!$N$4+Auxiliares!$N$5*$P$10))</f>
        <v>26.151987296544942</v>
      </c>
      <c r="E17">
        <f ca="1">IF(Auxiliares!$D17&lt;(Producción!E8*$A17),Auxiliares!$D17,Producción!E8*$A17)*Auxiliares!$J$15*Auxiliares!$J$16*IF($P$4="Si",'Datos Consumo '!$C21,IF($P$3="No",$P$6,$P$8*Auxiliares!$N$4+Auxiliares!$N$5*$P$10))</f>
        <v>26.151987296544942</v>
      </c>
      <c r="F17">
        <f ca="1">IF(Auxiliares!$D17&lt;(Producción!F8*$A17),Auxiliares!$D17,Producción!F8*$A17)*Auxiliares!$J$15*Auxiliares!$J$16*IF($P$4="Si",'Datos Consumo '!$C21,IF($P$3="No",$P$6,$P$8*Auxiliares!$N$4+Auxiliares!$N$5*$P$10))</f>
        <v>26.151987296544942</v>
      </c>
      <c r="G17">
        <f ca="1">IF(Auxiliares!$D17&lt;(Producción!G8*$A17),Auxiliares!$D17,Producción!G8*$A17)*Auxiliares!$J$15*Auxiliares!$J$16*IF($P$4="Si",'Datos Consumo '!$C21,IF($P$3="No",$P$6,$P$8*Auxiliares!$N$4+Auxiliares!$N$5*$P$10))</f>
        <v>26.151987296544942</v>
      </c>
      <c r="H17">
        <f ca="1">IF(Auxiliares!$D17&lt;(Producción!H8*$A17),Auxiliares!$D17,Producción!H8*$A17)*Auxiliares!$J$15*Auxiliares!$J$16*IF($P$4="Si",'Datos Consumo '!$C21,IF($P$3="No",$P$6,$P$8*Auxiliares!$N$4+Auxiliares!$N$5*$P$10))</f>
        <v>26.151987296544942</v>
      </c>
      <c r="I17">
        <f ca="1">IF(Auxiliares!$D17&lt;(Producción!I8*$A17),Auxiliares!$D17,Producción!I8*$A17)*Auxiliares!$J$15*Auxiliares!$J$16*IF($P$4="Si",'Datos Consumo '!$C21,IF($P$3="No",$P$6,$P$8*Auxiliares!$N$4+Auxiliares!$N$5*$P$10))</f>
        <v>26.151987296544942</v>
      </c>
      <c r="J17">
        <f ca="1">IF(Auxiliares!$D17&lt;(Producción!J8*$A17),Auxiliares!$D17,Producción!J8*$A17)*Auxiliares!$J$15*Auxiliares!$J$16*IF($P$4="Si",'Datos Consumo '!$C21,IF($P$3="No",$P$6,$P$8*Auxiliares!$N$4+Auxiliares!$N$5*$P$10))</f>
        <v>26.151987296544942</v>
      </c>
      <c r="K17">
        <f ca="1">IF(Auxiliares!$D17&lt;(Producción!K8*$A17),Auxiliares!$D17,Producción!K8*$A17)*Auxiliares!$J$15*Auxiliares!$J$16*IF($P$4="Si",'Datos Consumo '!$C21,IF($P$3="No",$P$6,$P$8*Auxiliares!$N$4+Auxiliares!$N$5*$P$10))</f>
        <v>26.151987296544942</v>
      </c>
      <c r="L17">
        <f ca="1">IF(Auxiliares!$D17&lt;(Producción!L8*$A17),Auxiliares!$D17,Producción!L8*$A17)*Auxiliares!$J$15*Auxiliares!$J$16*IF($P$4="Si",'Datos Consumo '!$C21,IF($P$3="No",$P$6,$P$8*Auxiliares!$N$4+Auxiliares!$N$5*$P$10))</f>
        <v>26.151987296544942</v>
      </c>
      <c r="M17">
        <f ca="1">IF(Auxiliares!$D17&lt;(Producción!M8*$A17),Auxiliares!$D17,Producción!M8*$A17)*Auxiliares!$J$15*Auxiliares!$J$16*IF($P$4="Si",'Datos Consumo '!$C21,IF($P$3="No",$P$6,$P$8*Auxiliares!$N$4+Auxiliares!$N$5*$P$10))</f>
        <v>26.151987296544942</v>
      </c>
      <c r="N17">
        <f ca="1">IF(Auxiliares!$D17&lt;(Producción!N8*$A17),Auxiliares!$D17,Producción!N8*$A17)*Auxiliares!$J$15*Auxiliares!$J$16*IF($P$4="Si",'Datos Consumo '!$C21,IF($P$3="No",$P$6,$P$8*Auxiliares!$N$4+Auxiliares!$N$5*$P$10))</f>
        <v>26.151987296544942</v>
      </c>
      <c r="O17">
        <f ca="1">IF(Auxiliares!$D17&lt;(Producción!O8*$A17),Auxiliares!$D17,Producción!O8*$A17)*Auxiliares!$J$15*Auxiliares!$J$16*IF($P$4="Si",'Datos Consumo '!$C21,IF($P$3="No",$P$6,$P$8*Auxiliares!$N$4+Auxiliares!$N$5*$P$10))</f>
        <v>26.151987296544942</v>
      </c>
      <c r="P17">
        <f ca="1">IF(Auxiliares!$D17&lt;(Producción!P8*$A17),Auxiliares!$D17,Producción!P8*$A17)*Auxiliares!$J$15*Auxiliares!$J$16*IF($P$4="Si",'Datos Consumo '!$C21,IF($P$3="No",$P$6,$P$8*Auxiliares!$N$4+Auxiliares!$N$5*$P$10))</f>
        <v>26.151987296544942</v>
      </c>
      <c r="Q17">
        <f ca="1">IF(Auxiliares!$D17&lt;(Producción!Q8*$A17),Auxiliares!$D17,Producción!Q8*$A17)*Auxiliares!$J$15*Auxiliares!$J$16*IF($P$4="Si",'Datos Consumo '!$C21,IF($P$3="No",$P$6,$P$8*Auxiliares!$N$4+Auxiliares!$N$5*$P$10))</f>
        <v>26.151987296544942</v>
      </c>
      <c r="R17">
        <f ca="1">IF(Auxiliares!$D17&lt;(Producción!R8*$A17),Auxiliares!$D17,Producción!R8*$A17)*Auxiliares!$J$15*Auxiliares!$J$16*IF($P$4="Si",'Datos Consumo '!$C21,IF($P$3="No",$P$6,$P$8*Auxiliares!$N$4+Auxiliares!$N$5*$P$10))</f>
        <v>26.151987296544942</v>
      </c>
      <c r="S17">
        <f ca="1">IF(Auxiliares!$D17&lt;(Producción!S8*$A17),Auxiliares!$D17,Producción!S8*$A17)*Auxiliares!$J$15*Auxiliares!$J$16*IF($P$4="Si",'Datos Consumo '!$C21,IF($P$3="No",$P$6,$P$8*Auxiliares!$N$4+Auxiliares!$N$5*$P$10))</f>
        <v>26.151987296544942</v>
      </c>
      <c r="T17">
        <f ca="1">IF(Auxiliares!$D17&lt;(Producción!T8*$A17),Auxiliares!$D17,Producción!T8*$A17)*Auxiliares!$J$15*Auxiliares!$J$16*IF($P$4="Si",'Datos Consumo '!$C21,IF($P$3="No",$P$6,$P$8*Auxiliares!$N$4+Auxiliares!$N$5*$P$10))</f>
        <v>26.151987296544942</v>
      </c>
      <c r="U17">
        <f ca="1">IF(Auxiliares!$D17&lt;(Producción!U8*$A17),Auxiliares!$D17,Producción!U8*$A17)*Auxiliares!$J$15*Auxiliares!$J$16*IF($P$4="Si",'Datos Consumo '!$C21,IF($P$3="No",$P$6,$P$8*Auxiliares!$N$4+Auxiliares!$N$5*$P$10))</f>
        <v>26.151987296544942</v>
      </c>
      <c r="V17">
        <f ca="1">IF(Auxiliares!$D17&lt;(Producción!V8*$A17),Auxiliares!$D17,Producción!V8*$A17)*Auxiliares!$J$15*Auxiliares!$J$16*IF($P$4="Si",'Datos Consumo '!$C21,IF($P$3="No",$P$6,$P$8*Auxiliares!$N$4+Auxiliares!$N$5*$P$10))</f>
        <v>26.151987296544942</v>
      </c>
      <c r="W17">
        <f ca="1">IF(Auxiliares!$D17&lt;(Producción!W8*$A17),Auxiliares!$D17,Producción!W8*$A17)*Auxiliares!$J$15*Auxiliares!$J$16*IF($P$4="Si",'Datos Consumo '!$C21,IF($P$3="No",$P$6,$P$8*Auxiliares!$N$4+Auxiliares!$N$5*$P$10))</f>
        <v>26.151987296544942</v>
      </c>
      <c r="X17">
        <f ca="1">IF(Auxiliares!$D17&lt;(Producción!X8*$A17),Auxiliares!$D17,Producción!X8*$A17)*Auxiliares!$J$15*Auxiliares!$J$16*IF($P$4="Si",'Datos Consumo '!$C21,IF($P$3="No",$P$6,$P$8*Auxiliares!$N$4+Auxiliares!$N$5*$P$10))</f>
        <v>26.151987296544942</v>
      </c>
      <c r="Y17">
        <f ca="1">IF(Auxiliares!$D17&lt;(Producción!Y8*$A17),Auxiliares!$D17,Producción!Y8*$A17)*Auxiliares!$J$15*Auxiliares!$J$16*IF($P$4="Si",'Datos Consumo '!$C21,IF($P$3="No",$P$6,$P$8*Auxiliares!$N$4+Auxiliares!$N$5*$P$10))</f>
        <v>26.151987296544942</v>
      </c>
      <c r="Z17">
        <f ca="1">IF(Auxiliares!$D17&lt;(Producción!Z8*$A17),Auxiliares!$D17,Producción!Z8*$A17)*Auxiliares!$J$15*Auxiliares!$J$16*IF($P$4="Si",'Datos Consumo '!$C21,IF($P$3="No",$P$6,$P$8*Auxiliares!$N$4+Auxiliares!$N$5*$P$10))</f>
        <v>26.151987296544942</v>
      </c>
      <c r="AA17">
        <f ca="1">IF(Auxiliares!$D17&lt;(Producción!AA8*$A17),Auxiliares!$D17,Producción!AA8*$A17)*Auxiliares!$J$15*Auxiliares!$J$16*IF($P$4="Si",'Datos Consumo '!$C21,IF($P$3="No",$P$6,$P$8*Auxiliares!$N$4+Auxiliares!$N$5*$P$10))</f>
        <v>26.151987296544942</v>
      </c>
      <c r="AB17">
        <f ca="1">IF(Auxiliares!$D17&lt;(Producción!AB8*$A17),Auxiliares!$D17,Producción!AB8*$A17)*Auxiliares!$J$15*Auxiliares!$J$16*IF($P$4="Si",'Datos Consumo '!$C21,IF($P$3="No",$P$6,$P$8*Auxiliares!$N$4+Auxiliares!$N$5*$P$10))</f>
        <v>26.151987296544942</v>
      </c>
      <c r="AC17">
        <f ca="1">IF(Auxiliares!$D17&lt;(Producción!AC8*$A17),Auxiliares!$D17,Producción!AC8*$A17)*Auxiliares!$J$15*Auxiliares!$J$16*IF($P$4="Si",'Datos Consumo '!$C21,IF($P$3="No",$P$6,$P$8*Auxiliares!$N$4+Auxiliares!$N$5*$P$10))</f>
        <v>26.151987296544942</v>
      </c>
      <c r="AD17">
        <f ca="1">IF(Auxiliares!$D17&lt;(Producción!AD8*$A17),Auxiliares!$D17,Producción!AD8*$A17)*Auxiliares!$J$15*Auxiliares!$J$16*IF($P$4="Si",'Datos Consumo '!$C21,IF($P$3="No",$P$6,$P$8*Auxiliares!$N$4+Auxiliares!$N$5*$P$10))</f>
        <v>26.151987296544942</v>
      </c>
      <c r="AE17">
        <f ca="1">IF(Auxiliares!$D17&lt;(Producción!AE8*$A17),Auxiliares!$D17,Producción!AE8*$A17)*Auxiliares!$J$15*Auxiliares!$J$16*IF($P$4="Si",'Datos Consumo '!$C21,IF($P$3="No",$P$6,$P$8*Auxiliares!$N$4+Auxiliares!$N$5*$P$10))</f>
        <v>26.151987296544942</v>
      </c>
      <c r="AF17">
        <f ca="1">IF(Auxiliares!$D17&lt;(Producción!AF8*$A17),Auxiliares!$D17,Producción!AF8*$A17)*Auxiliares!$J$15*Auxiliares!$J$16*IF($P$4="Si",'Datos Consumo '!$C21,IF($P$3="No",$P$6,$P$8*Auxiliares!$N$4+Auxiliares!$N$5*$P$10))</f>
        <v>26.151987296544942</v>
      </c>
    </row>
    <row r="18" spans="1:32">
      <c r="A18">
        <v>31</v>
      </c>
      <c r="B18" s="24" t="s">
        <v>6</v>
      </c>
      <c r="C18">
        <f ca="1">IF(Auxiliares!$D18&lt;(Producción!C9*$A18),Auxiliares!$D18,Producción!C9*$A18)*Auxiliares!$J$15*Auxiliares!$J$16*IF($P$4="Si",'Datos Consumo '!$C22,IF($P$3="No",$P$6,$P$8*Auxiliares!$N$4+Auxiliares!$N$5*$P$10))</f>
        <v>22.065739281459798</v>
      </c>
      <c r="D18">
        <f ca="1">IF(Auxiliares!$D18&lt;(Producción!D9*$A18),Auxiliares!$D18,Producción!D9*$A18)*Auxiliares!$J$15*Auxiliares!$J$16*IF($P$4="Si",'Datos Consumo '!$C22,IF($P$3="No",$P$6,$P$8*Auxiliares!$N$4+Auxiliares!$N$5*$P$10))</f>
        <v>22.065739281459798</v>
      </c>
      <c r="E18">
        <f ca="1">IF(Auxiliares!$D18&lt;(Producción!E9*$A18),Auxiliares!$D18,Producción!E9*$A18)*Auxiliares!$J$15*Auxiliares!$J$16*IF($P$4="Si",'Datos Consumo '!$C22,IF($P$3="No",$P$6,$P$8*Auxiliares!$N$4+Auxiliares!$N$5*$P$10))</f>
        <v>22.065739281459798</v>
      </c>
      <c r="F18">
        <f ca="1">IF(Auxiliares!$D18&lt;(Producción!F9*$A18),Auxiliares!$D18,Producción!F9*$A18)*Auxiliares!$J$15*Auxiliares!$J$16*IF($P$4="Si",'Datos Consumo '!$C22,IF($P$3="No",$P$6,$P$8*Auxiliares!$N$4+Auxiliares!$N$5*$P$10))</f>
        <v>22.065739281459798</v>
      </c>
      <c r="G18">
        <f ca="1">IF(Auxiliares!$D18&lt;(Producción!G9*$A18),Auxiliares!$D18,Producción!G9*$A18)*Auxiliares!$J$15*Auxiliares!$J$16*IF($P$4="Si",'Datos Consumo '!$C22,IF($P$3="No",$P$6,$P$8*Auxiliares!$N$4+Auxiliares!$N$5*$P$10))</f>
        <v>22.065739281459798</v>
      </c>
      <c r="H18">
        <f ca="1">IF(Auxiliares!$D18&lt;(Producción!H9*$A18),Auxiliares!$D18,Producción!H9*$A18)*Auxiliares!$J$15*Auxiliares!$J$16*IF($P$4="Si",'Datos Consumo '!$C22,IF($P$3="No",$P$6,$P$8*Auxiliares!$N$4+Auxiliares!$N$5*$P$10))</f>
        <v>22.065739281459798</v>
      </c>
      <c r="I18">
        <f ca="1">IF(Auxiliares!$D18&lt;(Producción!I9*$A18),Auxiliares!$D18,Producción!I9*$A18)*Auxiliares!$J$15*Auxiliares!$J$16*IF($P$4="Si",'Datos Consumo '!$C22,IF($P$3="No",$P$6,$P$8*Auxiliares!$N$4+Auxiliares!$N$5*$P$10))</f>
        <v>22.065739281459798</v>
      </c>
      <c r="J18">
        <f ca="1">IF(Auxiliares!$D18&lt;(Producción!J9*$A18),Auxiliares!$D18,Producción!J9*$A18)*Auxiliares!$J$15*Auxiliares!$J$16*IF($P$4="Si",'Datos Consumo '!$C22,IF($P$3="No",$P$6,$P$8*Auxiliares!$N$4+Auxiliares!$N$5*$P$10))</f>
        <v>22.065739281459798</v>
      </c>
      <c r="K18">
        <f ca="1">IF(Auxiliares!$D18&lt;(Producción!K9*$A18),Auxiliares!$D18,Producción!K9*$A18)*Auxiliares!$J$15*Auxiliares!$J$16*IF($P$4="Si",'Datos Consumo '!$C22,IF($P$3="No",$P$6,$P$8*Auxiliares!$N$4+Auxiliares!$N$5*$P$10))</f>
        <v>22.065739281459798</v>
      </c>
      <c r="L18">
        <f ca="1">IF(Auxiliares!$D18&lt;(Producción!L9*$A18),Auxiliares!$D18,Producción!L9*$A18)*Auxiliares!$J$15*Auxiliares!$J$16*IF($P$4="Si",'Datos Consumo '!$C22,IF($P$3="No",$P$6,$P$8*Auxiliares!$N$4+Auxiliares!$N$5*$P$10))</f>
        <v>22.065739281459798</v>
      </c>
      <c r="M18">
        <f ca="1">IF(Auxiliares!$D18&lt;(Producción!M9*$A18),Auxiliares!$D18,Producción!M9*$A18)*Auxiliares!$J$15*Auxiliares!$J$16*IF($P$4="Si",'Datos Consumo '!$C22,IF($P$3="No",$P$6,$P$8*Auxiliares!$N$4+Auxiliares!$N$5*$P$10))</f>
        <v>22.065739281459798</v>
      </c>
      <c r="N18">
        <f ca="1">IF(Auxiliares!$D18&lt;(Producción!N9*$A18),Auxiliares!$D18,Producción!N9*$A18)*Auxiliares!$J$15*Auxiliares!$J$16*IF($P$4="Si",'Datos Consumo '!$C22,IF($P$3="No",$P$6,$P$8*Auxiliares!$N$4+Auxiliares!$N$5*$P$10))</f>
        <v>22.065739281459798</v>
      </c>
      <c r="O18">
        <f ca="1">IF(Auxiliares!$D18&lt;(Producción!O9*$A18),Auxiliares!$D18,Producción!O9*$A18)*Auxiliares!$J$15*Auxiliares!$J$16*IF($P$4="Si",'Datos Consumo '!$C22,IF($P$3="No",$P$6,$P$8*Auxiliares!$N$4+Auxiliares!$N$5*$P$10))</f>
        <v>22.065739281459798</v>
      </c>
      <c r="P18">
        <f ca="1">IF(Auxiliares!$D18&lt;(Producción!P9*$A18),Auxiliares!$D18,Producción!P9*$A18)*Auxiliares!$J$15*Auxiliares!$J$16*IF($P$4="Si",'Datos Consumo '!$C22,IF($P$3="No",$P$6,$P$8*Auxiliares!$N$4+Auxiliares!$N$5*$P$10))</f>
        <v>22.065739281459798</v>
      </c>
      <c r="Q18">
        <f ca="1">IF(Auxiliares!$D18&lt;(Producción!Q9*$A18),Auxiliares!$D18,Producción!Q9*$A18)*Auxiliares!$J$15*Auxiliares!$J$16*IF($P$4="Si",'Datos Consumo '!$C22,IF($P$3="No",$P$6,$P$8*Auxiliares!$N$4+Auxiliares!$N$5*$P$10))</f>
        <v>22.065739281459798</v>
      </c>
      <c r="R18">
        <f ca="1">IF(Auxiliares!$D18&lt;(Producción!R9*$A18),Auxiliares!$D18,Producción!R9*$A18)*Auxiliares!$J$15*Auxiliares!$J$16*IF($P$4="Si",'Datos Consumo '!$C22,IF($P$3="No",$P$6,$P$8*Auxiliares!$N$4+Auxiliares!$N$5*$P$10))</f>
        <v>22.065739281459798</v>
      </c>
      <c r="S18">
        <f ca="1">IF(Auxiliares!$D18&lt;(Producción!S9*$A18),Auxiliares!$D18,Producción!S9*$A18)*Auxiliares!$J$15*Auxiliares!$J$16*IF($P$4="Si",'Datos Consumo '!$C22,IF($P$3="No",$P$6,$P$8*Auxiliares!$N$4+Auxiliares!$N$5*$P$10))</f>
        <v>22.065739281459798</v>
      </c>
      <c r="T18">
        <f ca="1">IF(Auxiliares!$D18&lt;(Producción!T9*$A18),Auxiliares!$D18,Producción!T9*$A18)*Auxiliares!$J$15*Auxiliares!$J$16*IF($P$4="Si",'Datos Consumo '!$C22,IF($P$3="No",$P$6,$P$8*Auxiliares!$N$4+Auxiliares!$N$5*$P$10))</f>
        <v>22.065739281459798</v>
      </c>
      <c r="U18">
        <f ca="1">IF(Auxiliares!$D18&lt;(Producción!U9*$A18),Auxiliares!$D18,Producción!U9*$A18)*Auxiliares!$J$15*Auxiliares!$J$16*IF($P$4="Si",'Datos Consumo '!$C22,IF($P$3="No",$P$6,$P$8*Auxiliares!$N$4+Auxiliares!$N$5*$P$10))</f>
        <v>22.065739281459798</v>
      </c>
      <c r="V18">
        <f ca="1">IF(Auxiliares!$D18&lt;(Producción!V9*$A18),Auxiliares!$D18,Producción!V9*$A18)*Auxiliares!$J$15*Auxiliares!$J$16*IF($P$4="Si",'Datos Consumo '!$C22,IF($P$3="No",$P$6,$P$8*Auxiliares!$N$4+Auxiliares!$N$5*$P$10))</f>
        <v>22.065739281459798</v>
      </c>
      <c r="W18">
        <f ca="1">IF(Auxiliares!$D18&lt;(Producción!W9*$A18),Auxiliares!$D18,Producción!W9*$A18)*Auxiliares!$J$15*Auxiliares!$J$16*IF($P$4="Si",'Datos Consumo '!$C22,IF($P$3="No",$P$6,$P$8*Auxiliares!$N$4+Auxiliares!$N$5*$P$10))</f>
        <v>22.065739281459798</v>
      </c>
      <c r="X18">
        <f ca="1">IF(Auxiliares!$D18&lt;(Producción!X9*$A18),Auxiliares!$D18,Producción!X9*$A18)*Auxiliares!$J$15*Auxiliares!$J$16*IF($P$4="Si",'Datos Consumo '!$C22,IF($P$3="No",$P$6,$P$8*Auxiliares!$N$4+Auxiliares!$N$5*$P$10))</f>
        <v>22.065739281459798</v>
      </c>
      <c r="Y18">
        <f ca="1">IF(Auxiliares!$D18&lt;(Producción!Y9*$A18),Auxiliares!$D18,Producción!Y9*$A18)*Auxiliares!$J$15*Auxiliares!$J$16*IF($P$4="Si",'Datos Consumo '!$C22,IF($P$3="No",$P$6,$P$8*Auxiliares!$N$4+Auxiliares!$N$5*$P$10))</f>
        <v>22.065739281459798</v>
      </c>
      <c r="Z18">
        <f ca="1">IF(Auxiliares!$D18&lt;(Producción!Z9*$A18),Auxiliares!$D18,Producción!Z9*$A18)*Auxiliares!$J$15*Auxiliares!$J$16*IF($P$4="Si",'Datos Consumo '!$C22,IF($P$3="No",$P$6,$P$8*Auxiliares!$N$4+Auxiliares!$N$5*$P$10))</f>
        <v>22.065739281459798</v>
      </c>
      <c r="AA18">
        <f ca="1">IF(Auxiliares!$D18&lt;(Producción!AA9*$A18),Auxiliares!$D18,Producción!AA9*$A18)*Auxiliares!$J$15*Auxiliares!$J$16*IF($P$4="Si",'Datos Consumo '!$C22,IF($P$3="No",$P$6,$P$8*Auxiliares!$N$4+Auxiliares!$N$5*$P$10))</f>
        <v>22.065739281459798</v>
      </c>
      <c r="AB18">
        <f ca="1">IF(Auxiliares!$D18&lt;(Producción!AB9*$A18),Auxiliares!$D18,Producción!AB9*$A18)*Auxiliares!$J$15*Auxiliares!$J$16*IF($P$4="Si",'Datos Consumo '!$C22,IF($P$3="No",$P$6,$P$8*Auxiliares!$N$4+Auxiliares!$N$5*$P$10))</f>
        <v>22.065739281459798</v>
      </c>
      <c r="AC18">
        <f ca="1">IF(Auxiliares!$D18&lt;(Producción!AC9*$A18),Auxiliares!$D18,Producción!AC9*$A18)*Auxiliares!$J$15*Auxiliares!$J$16*IF($P$4="Si",'Datos Consumo '!$C22,IF($P$3="No",$P$6,$P$8*Auxiliares!$N$4+Auxiliares!$N$5*$P$10))</f>
        <v>22.065739281459798</v>
      </c>
      <c r="AD18">
        <f ca="1">IF(Auxiliares!$D18&lt;(Producción!AD9*$A18),Auxiliares!$D18,Producción!AD9*$A18)*Auxiliares!$J$15*Auxiliares!$J$16*IF($P$4="Si",'Datos Consumo '!$C22,IF($P$3="No",$P$6,$P$8*Auxiliares!$N$4+Auxiliares!$N$5*$P$10))</f>
        <v>22.065739281459798</v>
      </c>
      <c r="AE18">
        <f ca="1">IF(Auxiliares!$D18&lt;(Producción!AE9*$A18),Auxiliares!$D18,Producción!AE9*$A18)*Auxiliares!$J$15*Auxiliares!$J$16*IF($P$4="Si",'Datos Consumo '!$C22,IF($P$3="No",$P$6,$P$8*Auxiliares!$N$4+Auxiliares!$N$5*$P$10))</f>
        <v>22.065739281459798</v>
      </c>
      <c r="AF18">
        <f ca="1">IF(Auxiliares!$D18&lt;(Producción!AF9*$A18),Auxiliares!$D18,Producción!AF9*$A18)*Auxiliares!$J$15*Auxiliares!$J$16*IF($P$4="Si",'Datos Consumo '!$C22,IF($P$3="No",$P$6,$P$8*Auxiliares!$N$4+Auxiliares!$N$5*$P$10))</f>
        <v>22.065739281459798</v>
      </c>
    </row>
    <row r="19" spans="1:32">
      <c r="A19">
        <v>30</v>
      </c>
      <c r="B19" s="24" t="s">
        <v>7</v>
      </c>
      <c r="C19">
        <f ca="1">IF(Auxiliares!$D19&lt;(Producción!C10*$A19),Auxiliares!$D19,Producción!C10*$A19)*Auxiliares!$J$15*Auxiliares!$J$16*IF($P$4="Si",'Datos Consumo '!$C23,IF($P$3="No",$P$6,$P$8*Auxiliares!$N$4+Auxiliares!$N$5*$P$10))</f>
        <v>19.613990472408709</v>
      </c>
      <c r="D19">
        <f ca="1">IF(Auxiliares!$D19&lt;(Producción!D10*$A19),Auxiliares!$D19,Producción!D10*$A19)*Auxiliares!$J$15*Auxiliares!$J$16*IF($P$4="Si",'Datos Consumo '!$C23,IF($P$3="No",$P$6,$P$8*Auxiliares!$N$4+Auxiliares!$N$5*$P$10))</f>
        <v>19.613990472408709</v>
      </c>
      <c r="E19">
        <f ca="1">IF(Auxiliares!$D19&lt;(Producción!E10*$A19),Auxiliares!$D19,Producción!E10*$A19)*Auxiliares!$J$15*Auxiliares!$J$16*IF($P$4="Si",'Datos Consumo '!$C23,IF($P$3="No",$P$6,$P$8*Auxiliares!$N$4+Auxiliares!$N$5*$P$10))</f>
        <v>19.613990472408709</v>
      </c>
      <c r="F19">
        <f ca="1">IF(Auxiliares!$D19&lt;(Producción!F10*$A19),Auxiliares!$D19,Producción!F10*$A19)*Auxiliares!$J$15*Auxiliares!$J$16*IF($P$4="Si",'Datos Consumo '!$C23,IF($P$3="No",$P$6,$P$8*Auxiliares!$N$4+Auxiliares!$N$5*$P$10))</f>
        <v>19.613990472408709</v>
      </c>
      <c r="G19">
        <f ca="1">IF(Auxiliares!$D19&lt;(Producción!G10*$A19),Auxiliares!$D19,Producción!G10*$A19)*Auxiliares!$J$15*Auxiliares!$J$16*IF($P$4="Si",'Datos Consumo '!$C23,IF($P$3="No",$P$6,$P$8*Auxiliares!$N$4+Auxiliares!$N$5*$P$10))</f>
        <v>19.613990472408709</v>
      </c>
      <c r="H19">
        <f ca="1">IF(Auxiliares!$D19&lt;(Producción!H10*$A19),Auxiliares!$D19,Producción!H10*$A19)*Auxiliares!$J$15*Auxiliares!$J$16*IF($P$4="Si",'Datos Consumo '!$C23,IF($P$3="No",$P$6,$P$8*Auxiliares!$N$4+Auxiliares!$N$5*$P$10))</f>
        <v>19.613990472408709</v>
      </c>
      <c r="I19">
        <f ca="1">IF(Auxiliares!$D19&lt;(Producción!I10*$A19),Auxiliares!$D19,Producción!I10*$A19)*Auxiliares!$J$15*Auxiliares!$J$16*IF($P$4="Si",'Datos Consumo '!$C23,IF($P$3="No",$P$6,$P$8*Auxiliares!$N$4+Auxiliares!$N$5*$P$10))</f>
        <v>19.613990472408709</v>
      </c>
      <c r="J19">
        <f ca="1">IF(Auxiliares!$D19&lt;(Producción!J10*$A19),Auxiliares!$D19,Producción!J10*$A19)*Auxiliares!$J$15*Auxiliares!$J$16*IF($P$4="Si",'Datos Consumo '!$C23,IF($P$3="No",$P$6,$P$8*Auxiliares!$N$4+Auxiliares!$N$5*$P$10))</f>
        <v>19.613990472408709</v>
      </c>
      <c r="K19">
        <f ca="1">IF(Auxiliares!$D19&lt;(Producción!K10*$A19),Auxiliares!$D19,Producción!K10*$A19)*Auxiliares!$J$15*Auxiliares!$J$16*IF($P$4="Si",'Datos Consumo '!$C23,IF($P$3="No",$P$6,$P$8*Auxiliares!$N$4+Auxiliares!$N$5*$P$10))</f>
        <v>19.613990472408709</v>
      </c>
      <c r="L19">
        <f ca="1">IF(Auxiliares!$D19&lt;(Producción!L10*$A19),Auxiliares!$D19,Producción!L10*$A19)*Auxiliares!$J$15*Auxiliares!$J$16*IF($P$4="Si",'Datos Consumo '!$C23,IF($P$3="No",$P$6,$P$8*Auxiliares!$N$4+Auxiliares!$N$5*$P$10))</f>
        <v>19.613990472408709</v>
      </c>
      <c r="M19">
        <f ca="1">IF(Auxiliares!$D19&lt;(Producción!M10*$A19),Auxiliares!$D19,Producción!M10*$A19)*Auxiliares!$J$15*Auxiliares!$J$16*IF($P$4="Si",'Datos Consumo '!$C23,IF($P$3="No",$P$6,$P$8*Auxiliares!$N$4+Auxiliares!$N$5*$P$10))</f>
        <v>19.613990472408709</v>
      </c>
      <c r="N19">
        <f ca="1">IF(Auxiliares!$D19&lt;(Producción!N10*$A19),Auxiliares!$D19,Producción!N10*$A19)*Auxiliares!$J$15*Auxiliares!$J$16*IF($P$4="Si",'Datos Consumo '!$C23,IF($P$3="No",$P$6,$P$8*Auxiliares!$N$4+Auxiliares!$N$5*$P$10))</f>
        <v>19.613990472408709</v>
      </c>
      <c r="O19">
        <f ca="1">IF(Auxiliares!$D19&lt;(Producción!O10*$A19),Auxiliares!$D19,Producción!O10*$A19)*Auxiliares!$J$15*Auxiliares!$J$16*IF($P$4="Si",'Datos Consumo '!$C23,IF($P$3="No",$P$6,$P$8*Auxiliares!$N$4+Auxiliares!$N$5*$P$10))</f>
        <v>19.613990472408709</v>
      </c>
      <c r="P19">
        <f ca="1">IF(Auxiliares!$D19&lt;(Producción!P10*$A19),Auxiliares!$D19,Producción!P10*$A19)*Auxiliares!$J$15*Auxiliares!$J$16*IF($P$4="Si",'Datos Consumo '!$C23,IF($P$3="No",$P$6,$P$8*Auxiliares!$N$4+Auxiliares!$N$5*$P$10))</f>
        <v>19.613990472408709</v>
      </c>
      <c r="Q19">
        <f ca="1">IF(Auxiliares!$D19&lt;(Producción!Q10*$A19),Auxiliares!$D19,Producción!Q10*$A19)*Auxiliares!$J$15*Auxiliares!$J$16*IF($P$4="Si",'Datos Consumo '!$C23,IF($P$3="No",$P$6,$P$8*Auxiliares!$N$4+Auxiliares!$N$5*$P$10))</f>
        <v>19.613990472408709</v>
      </c>
      <c r="R19">
        <f ca="1">IF(Auxiliares!$D19&lt;(Producción!R10*$A19),Auxiliares!$D19,Producción!R10*$A19)*Auxiliares!$J$15*Auxiliares!$J$16*IF($P$4="Si",'Datos Consumo '!$C23,IF($P$3="No",$P$6,$P$8*Auxiliares!$N$4+Auxiliares!$N$5*$P$10))</f>
        <v>19.613990472408709</v>
      </c>
      <c r="S19">
        <f ca="1">IF(Auxiliares!$D19&lt;(Producción!S10*$A19),Auxiliares!$D19,Producción!S10*$A19)*Auxiliares!$J$15*Auxiliares!$J$16*IF($P$4="Si",'Datos Consumo '!$C23,IF($P$3="No",$P$6,$P$8*Auxiliares!$N$4+Auxiliares!$N$5*$P$10))</f>
        <v>19.613990472408709</v>
      </c>
      <c r="T19">
        <f ca="1">IF(Auxiliares!$D19&lt;(Producción!T10*$A19),Auxiliares!$D19,Producción!T10*$A19)*Auxiliares!$J$15*Auxiliares!$J$16*IF($P$4="Si",'Datos Consumo '!$C23,IF($P$3="No",$P$6,$P$8*Auxiliares!$N$4+Auxiliares!$N$5*$P$10))</f>
        <v>19.613990472408709</v>
      </c>
      <c r="U19">
        <f ca="1">IF(Auxiliares!$D19&lt;(Producción!U10*$A19),Auxiliares!$D19,Producción!U10*$A19)*Auxiliares!$J$15*Auxiliares!$J$16*IF($P$4="Si",'Datos Consumo '!$C23,IF($P$3="No",$P$6,$P$8*Auxiliares!$N$4+Auxiliares!$N$5*$P$10))</f>
        <v>19.613990472408709</v>
      </c>
      <c r="V19">
        <f ca="1">IF(Auxiliares!$D19&lt;(Producción!V10*$A19),Auxiliares!$D19,Producción!V10*$A19)*Auxiliares!$J$15*Auxiliares!$J$16*IF($P$4="Si",'Datos Consumo '!$C23,IF($P$3="No",$P$6,$P$8*Auxiliares!$N$4+Auxiliares!$N$5*$P$10))</f>
        <v>19.613990472408709</v>
      </c>
      <c r="W19">
        <f ca="1">IF(Auxiliares!$D19&lt;(Producción!W10*$A19),Auxiliares!$D19,Producción!W10*$A19)*Auxiliares!$J$15*Auxiliares!$J$16*IF($P$4="Si",'Datos Consumo '!$C23,IF($P$3="No",$P$6,$P$8*Auxiliares!$N$4+Auxiliares!$N$5*$P$10))</f>
        <v>19.613990472408709</v>
      </c>
      <c r="X19">
        <f ca="1">IF(Auxiliares!$D19&lt;(Producción!X10*$A19),Auxiliares!$D19,Producción!X10*$A19)*Auxiliares!$J$15*Auxiliares!$J$16*IF($P$4="Si",'Datos Consumo '!$C23,IF($P$3="No",$P$6,$P$8*Auxiliares!$N$4+Auxiliares!$N$5*$P$10))</f>
        <v>19.613990472408709</v>
      </c>
      <c r="Y19">
        <f ca="1">IF(Auxiliares!$D19&lt;(Producción!Y10*$A19),Auxiliares!$D19,Producción!Y10*$A19)*Auxiliares!$J$15*Auxiliares!$J$16*IF($P$4="Si",'Datos Consumo '!$C23,IF($P$3="No",$P$6,$P$8*Auxiliares!$N$4+Auxiliares!$N$5*$P$10))</f>
        <v>19.613990472408709</v>
      </c>
      <c r="Z19">
        <f ca="1">IF(Auxiliares!$D19&lt;(Producción!Z10*$A19),Auxiliares!$D19,Producción!Z10*$A19)*Auxiliares!$J$15*Auxiliares!$J$16*IF($P$4="Si",'Datos Consumo '!$C23,IF($P$3="No",$P$6,$P$8*Auxiliares!$N$4+Auxiliares!$N$5*$P$10))</f>
        <v>19.613990472408709</v>
      </c>
      <c r="AA19">
        <f ca="1">IF(Auxiliares!$D19&lt;(Producción!AA10*$A19),Auxiliares!$D19,Producción!AA10*$A19)*Auxiliares!$J$15*Auxiliares!$J$16*IF($P$4="Si",'Datos Consumo '!$C23,IF($P$3="No",$P$6,$P$8*Auxiliares!$N$4+Auxiliares!$N$5*$P$10))</f>
        <v>19.613990472408709</v>
      </c>
      <c r="AB19">
        <f ca="1">IF(Auxiliares!$D19&lt;(Producción!AB10*$A19),Auxiliares!$D19,Producción!AB10*$A19)*Auxiliares!$J$15*Auxiliares!$J$16*IF($P$4="Si",'Datos Consumo '!$C23,IF($P$3="No",$P$6,$P$8*Auxiliares!$N$4+Auxiliares!$N$5*$P$10))</f>
        <v>19.613990472408709</v>
      </c>
      <c r="AC19">
        <f ca="1">IF(Auxiliares!$D19&lt;(Producción!AC10*$A19),Auxiliares!$D19,Producción!AC10*$A19)*Auxiliares!$J$15*Auxiliares!$J$16*IF($P$4="Si",'Datos Consumo '!$C23,IF($P$3="No",$P$6,$P$8*Auxiliares!$N$4+Auxiliares!$N$5*$P$10))</f>
        <v>19.613990472408709</v>
      </c>
      <c r="AD19">
        <f ca="1">IF(Auxiliares!$D19&lt;(Producción!AD10*$A19),Auxiliares!$D19,Producción!AD10*$A19)*Auxiliares!$J$15*Auxiliares!$J$16*IF($P$4="Si",'Datos Consumo '!$C23,IF($P$3="No",$P$6,$P$8*Auxiliares!$N$4+Auxiliares!$N$5*$P$10))</f>
        <v>19.613990472408709</v>
      </c>
      <c r="AE19">
        <f ca="1">IF(Auxiliares!$D19&lt;(Producción!AE10*$A19),Auxiliares!$D19,Producción!AE10*$A19)*Auxiliares!$J$15*Auxiliares!$J$16*IF($P$4="Si",'Datos Consumo '!$C23,IF($P$3="No",$P$6,$P$8*Auxiliares!$N$4+Auxiliares!$N$5*$P$10))</f>
        <v>19.613990472408709</v>
      </c>
      <c r="AF19">
        <f ca="1">IF(Auxiliares!$D19&lt;(Producción!AF10*$A19),Auxiliares!$D19,Producción!AF10*$A19)*Auxiliares!$J$15*Auxiliares!$J$16*IF($P$4="Si",'Datos Consumo '!$C23,IF($P$3="No",$P$6,$P$8*Auxiliares!$N$4+Auxiliares!$N$5*$P$10))</f>
        <v>19.613990472408709</v>
      </c>
    </row>
    <row r="20" spans="1:32">
      <c r="A20">
        <v>31</v>
      </c>
      <c r="B20" s="24" t="s">
        <v>8</v>
      </c>
      <c r="C20">
        <f ca="1">IF(Auxiliares!$D20&lt;(Producción!C11*$A20),Auxiliares!$D20,Producción!C11*$A20)*Auxiliares!$J$15*Auxiliares!$J$16*IF($P$4="Si",'Datos Consumo '!$C24,IF($P$3="No",$P$6,$P$8*Auxiliares!$N$4+Auxiliares!$N$5*$P$10))</f>
        <v>20.022615273917221</v>
      </c>
      <c r="D20">
        <f ca="1">IF(Auxiliares!$D20&lt;(Producción!D11*$A20),Auxiliares!$D20,Producción!D11*$A20)*Auxiliares!$J$15*Auxiliares!$J$16*IF($P$4="Si",'Datos Consumo '!$C24,IF($P$3="No",$P$6,$P$8*Auxiliares!$N$4+Auxiliares!$N$5*$P$10))</f>
        <v>20.022615273917221</v>
      </c>
      <c r="E20">
        <f ca="1">IF(Auxiliares!$D20&lt;(Producción!E11*$A20),Auxiliares!$D20,Producción!E11*$A20)*Auxiliares!$J$15*Auxiliares!$J$16*IF($P$4="Si",'Datos Consumo '!$C24,IF($P$3="No",$P$6,$P$8*Auxiliares!$N$4+Auxiliares!$N$5*$P$10))</f>
        <v>20.022615273917221</v>
      </c>
      <c r="F20">
        <f ca="1">IF(Auxiliares!$D20&lt;(Producción!F11*$A20),Auxiliares!$D20,Producción!F11*$A20)*Auxiliares!$J$15*Auxiliares!$J$16*IF($P$4="Si",'Datos Consumo '!$C24,IF($P$3="No",$P$6,$P$8*Auxiliares!$N$4+Auxiliares!$N$5*$P$10))</f>
        <v>20.022615273917221</v>
      </c>
      <c r="G20">
        <f ca="1">IF(Auxiliares!$D20&lt;(Producción!G11*$A20),Auxiliares!$D20,Producción!G11*$A20)*Auxiliares!$J$15*Auxiliares!$J$16*IF($P$4="Si",'Datos Consumo '!$C24,IF($P$3="No",$P$6,$P$8*Auxiliares!$N$4+Auxiliares!$N$5*$P$10))</f>
        <v>20.022615273917221</v>
      </c>
      <c r="H20">
        <f ca="1">IF(Auxiliares!$D20&lt;(Producción!H11*$A20),Auxiliares!$D20,Producción!H11*$A20)*Auxiliares!$J$15*Auxiliares!$J$16*IF($P$4="Si",'Datos Consumo '!$C24,IF($P$3="No",$P$6,$P$8*Auxiliares!$N$4+Auxiliares!$N$5*$P$10))</f>
        <v>20.022615273917221</v>
      </c>
      <c r="I20">
        <f ca="1">IF(Auxiliares!$D20&lt;(Producción!I11*$A20),Auxiliares!$D20,Producción!I11*$A20)*Auxiliares!$J$15*Auxiliares!$J$16*IF($P$4="Si",'Datos Consumo '!$C24,IF($P$3="No",$P$6,$P$8*Auxiliares!$N$4+Auxiliares!$N$5*$P$10))</f>
        <v>20.022615273917221</v>
      </c>
      <c r="J20">
        <f ca="1">IF(Auxiliares!$D20&lt;(Producción!J11*$A20),Auxiliares!$D20,Producción!J11*$A20)*Auxiliares!$J$15*Auxiliares!$J$16*IF($P$4="Si",'Datos Consumo '!$C24,IF($P$3="No",$P$6,$P$8*Auxiliares!$N$4+Auxiliares!$N$5*$P$10))</f>
        <v>20.022615273917221</v>
      </c>
      <c r="K20">
        <f ca="1">IF(Auxiliares!$D20&lt;(Producción!K11*$A20),Auxiliares!$D20,Producción!K11*$A20)*Auxiliares!$J$15*Auxiliares!$J$16*IF($P$4="Si",'Datos Consumo '!$C24,IF($P$3="No",$P$6,$P$8*Auxiliares!$N$4+Auxiliares!$N$5*$P$10))</f>
        <v>20.022615273917221</v>
      </c>
      <c r="L20">
        <f ca="1">IF(Auxiliares!$D20&lt;(Producción!L11*$A20),Auxiliares!$D20,Producción!L11*$A20)*Auxiliares!$J$15*Auxiliares!$J$16*IF($P$4="Si",'Datos Consumo '!$C24,IF($P$3="No",$P$6,$P$8*Auxiliares!$N$4+Auxiliares!$N$5*$P$10))</f>
        <v>20.022615273917221</v>
      </c>
      <c r="M20">
        <f ca="1">IF(Auxiliares!$D20&lt;(Producción!M11*$A20),Auxiliares!$D20,Producción!M11*$A20)*Auxiliares!$J$15*Auxiliares!$J$16*IF($P$4="Si",'Datos Consumo '!$C24,IF($P$3="No",$P$6,$P$8*Auxiliares!$N$4+Auxiliares!$N$5*$P$10))</f>
        <v>20.022615273917221</v>
      </c>
      <c r="N20">
        <f ca="1">IF(Auxiliares!$D20&lt;(Producción!N11*$A20),Auxiliares!$D20,Producción!N11*$A20)*Auxiliares!$J$15*Auxiliares!$J$16*IF($P$4="Si",'Datos Consumo '!$C24,IF($P$3="No",$P$6,$P$8*Auxiliares!$N$4+Auxiliares!$N$5*$P$10))</f>
        <v>20.022615273917221</v>
      </c>
      <c r="O20">
        <f ca="1">IF(Auxiliares!$D20&lt;(Producción!O11*$A20),Auxiliares!$D20,Producción!O11*$A20)*Auxiliares!$J$15*Auxiliares!$J$16*IF($P$4="Si",'Datos Consumo '!$C24,IF($P$3="No",$P$6,$P$8*Auxiliares!$N$4+Auxiliares!$N$5*$P$10))</f>
        <v>20.022615273917221</v>
      </c>
      <c r="P20">
        <f ca="1">IF(Auxiliares!$D20&lt;(Producción!P11*$A20),Auxiliares!$D20,Producción!P11*$A20)*Auxiliares!$J$15*Auxiliares!$J$16*IF($P$4="Si",'Datos Consumo '!$C24,IF($P$3="No",$P$6,$P$8*Auxiliares!$N$4+Auxiliares!$N$5*$P$10))</f>
        <v>20.022615273917221</v>
      </c>
      <c r="Q20">
        <f ca="1">IF(Auxiliares!$D20&lt;(Producción!Q11*$A20),Auxiliares!$D20,Producción!Q11*$A20)*Auxiliares!$J$15*Auxiliares!$J$16*IF($P$4="Si",'Datos Consumo '!$C24,IF($P$3="No",$P$6,$P$8*Auxiliares!$N$4+Auxiliares!$N$5*$P$10))</f>
        <v>20.022615273917221</v>
      </c>
      <c r="R20">
        <f ca="1">IF(Auxiliares!$D20&lt;(Producción!R11*$A20),Auxiliares!$D20,Producción!R11*$A20)*Auxiliares!$J$15*Auxiliares!$J$16*IF($P$4="Si",'Datos Consumo '!$C24,IF($P$3="No",$P$6,$P$8*Auxiliares!$N$4+Auxiliares!$N$5*$P$10))</f>
        <v>20.022615273917221</v>
      </c>
      <c r="S20">
        <f ca="1">IF(Auxiliares!$D20&lt;(Producción!S11*$A20),Auxiliares!$D20,Producción!S11*$A20)*Auxiliares!$J$15*Auxiliares!$J$16*IF($P$4="Si",'Datos Consumo '!$C24,IF($P$3="No",$P$6,$P$8*Auxiliares!$N$4+Auxiliares!$N$5*$P$10))</f>
        <v>20.022615273917221</v>
      </c>
      <c r="T20">
        <f ca="1">IF(Auxiliares!$D20&lt;(Producción!T11*$A20),Auxiliares!$D20,Producción!T11*$A20)*Auxiliares!$J$15*Auxiliares!$J$16*IF($P$4="Si",'Datos Consumo '!$C24,IF($P$3="No",$P$6,$P$8*Auxiliares!$N$4+Auxiliares!$N$5*$P$10))</f>
        <v>20.022615273917221</v>
      </c>
      <c r="U20">
        <f ca="1">IF(Auxiliares!$D20&lt;(Producción!U11*$A20),Auxiliares!$D20,Producción!U11*$A20)*Auxiliares!$J$15*Auxiliares!$J$16*IF($P$4="Si",'Datos Consumo '!$C24,IF($P$3="No",$P$6,$P$8*Auxiliares!$N$4+Auxiliares!$N$5*$P$10))</f>
        <v>20.022615273917221</v>
      </c>
      <c r="V20">
        <f ca="1">IF(Auxiliares!$D20&lt;(Producción!V11*$A20),Auxiliares!$D20,Producción!V11*$A20)*Auxiliares!$J$15*Auxiliares!$J$16*IF($P$4="Si",'Datos Consumo '!$C24,IF($P$3="No",$P$6,$P$8*Auxiliares!$N$4+Auxiliares!$N$5*$P$10))</f>
        <v>20.022615273917221</v>
      </c>
      <c r="W20">
        <f ca="1">IF(Auxiliares!$D20&lt;(Producción!W11*$A20),Auxiliares!$D20,Producción!W11*$A20)*Auxiliares!$J$15*Auxiliares!$J$16*IF($P$4="Si",'Datos Consumo '!$C24,IF($P$3="No",$P$6,$P$8*Auxiliares!$N$4+Auxiliares!$N$5*$P$10))</f>
        <v>20.022615273917221</v>
      </c>
      <c r="X20">
        <f ca="1">IF(Auxiliares!$D20&lt;(Producción!X11*$A20),Auxiliares!$D20,Producción!X11*$A20)*Auxiliares!$J$15*Auxiliares!$J$16*IF($P$4="Si",'Datos Consumo '!$C24,IF($P$3="No",$P$6,$P$8*Auxiliares!$N$4+Auxiliares!$N$5*$P$10))</f>
        <v>20.022615273917221</v>
      </c>
      <c r="Y20">
        <f ca="1">IF(Auxiliares!$D20&lt;(Producción!Y11*$A20),Auxiliares!$D20,Producción!Y11*$A20)*Auxiliares!$J$15*Auxiliares!$J$16*IF($P$4="Si",'Datos Consumo '!$C24,IF($P$3="No",$P$6,$P$8*Auxiliares!$N$4+Auxiliares!$N$5*$P$10))</f>
        <v>20.022615273917221</v>
      </c>
      <c r="Z20">
        <f ca="1">IF(Auxiliares!$D20&lt;(Producción!Z11*$A20),Auxiliares!$D20,Producción!Z11*$A20)*Auxiliares!$J$15*Auxiliares!$J$16*IF($P$4="Si",'Datos Consumo '!$C24,IF($P$3="No",$P$6,$P$8*Auxiliares!$N$4+Auxiliares!$N$5*$P$10))</f>
        <v>20.022615273917221</v>
      </c>
      <c r="AA20">
        <f ca="1">IF(Auxiliares!$D20&lt;(Producción!AA11*$A20),Auxiliares!$D20,Producción!AA11*$A20)*Auxiliares!$J$15*Auxiliares!$J$16*IF($P$4="Si",'Datos Consumo '!$C24,IF($P$3="No",$P$6,$P$8*Auxiliares!$N$4+Auxiliares!$N$5*$P$10))</f>
        <v>20.022615273917221</v>
      </c>
      <c r="AB20">
        <f ca="1">IF(Auxiliares!$D20&lt;(Producción!AB11*$A20),Auxiliares!$D20,Producción!AB11*$A20)*Auxiliares!$J$15*Auxiliares!$J$16*IF($P$4="Si",'Datos Consumo '!$C24,IF($P$3="No",$P$6,$P$8*Auxiliares!$N$4+Auxiliares!$N$5*$P$10))</f>
        <v>20.022615273917221</v>
      </c>
      <c r="AC20">
        <f ca="1">IF(Auxiliares!$D20&lt;(Producción!AC11*$A20),Auxiliares!$D20,Producción!AC11*$A20)*Auxiliares!$J$15*Auxiliares!$J$16*IF($P$4="Si",'Datos Consumo '!$C24,IF($P$3="No",$P$6,$P$8*Auxiliares!$N$4+Auxiliares!$N$5*$P$10))</f>
        <v>20.022615273917221</v>
      </c>
      <c r="AD20">
        <f ca="1">IF(Auxiliares!$D20&lt;(Producción!AD11*$A20),Auxiliares!$D20,Producción!AD11*$A20)*Auxiliares!$J$15*Auxiliares!$J$16*IF($P$4="Si",'Datos Consumo '!$C24,IF($P$3="No",$P$6,$P$8*Auxiliares!$N$4+Auxiliares!$N$5*$P$10))</f>
        <v>20.022615273917221</v>
      </c>
      <c r="AE20">
        <f ca="1">IF(Auxiliares!$D20&lt;(Producción!AE11*$A20),Auxiliares!$D20,Producción!AE11*$A20)*Auxiliares!$J$15*Auxiliares!$J$16*IF($P$4="Si",'Datos Consumo '!$C24,IF($P$3="No",$P$6,$P$8*Auxiliares!$N$4+Auxiliares!$N$5*$P$10))</f>
        <v>20.022615273917221</v>
      </c>
      <c r="AF20">
        <f ca="1">IF(Auxiliares!$D20&lt;(Producción!AF11*$A20),Auxiliares!$D20,Producción!AF11*$A20)*Auxiliares!$J$15*Auxiliares!$J$16*IF($P$4="Si",'Datos Consumo '!$C24,IF($P$3="No",$P$6,$P$8*Auxiliares!$N$4+Auxiliares!$N$5*$P$10))</f>
        <v>20.022615273917221</v>
      </c>
    </row>
    <row r="21" spans="1:32">
      <c r="A21">
        <v>30</v>
      </c>
      <c r="B21" s="24" t="s">
        <v>9</v>
      </c>
      <c r="C21">
        <f ca="1">IF(Auxiliares!$D21&lt;(Producción!C12*$A21),Auxiliares!$D21,Producción!C12*$A21)*Auxiliares!$J$15*Auxiliares!$J$16*IF($P$4="Si",'Datos Consumo '!$C25,IF($P$3="No",$P$6,$P$8*Auxiliares!$N$4+Auxiliares!$N$5*$P$10))</f>
        <v>20.431240075425741</v>
      </c>
      <c r="D21">
        <f ca="1">IF(Auxiliares!$D21&lt;(Producción!D12*$A21),Auxiliares!$D21,Producción!D12*$A21)*Auxiliares!$J$15*Auxiliares!$J$16*IF($P$4="Si",'Datos Consumo '!$C25,IF($P$3="No",$P$6,$P$8*Auxiliares!$N$4+Auxiliares!$N$5*$P$10))</f>
        <v>20.431240075425741</v>
      </c>
      <c r="E21">
        <f ca="1">IF(Auxiliares!$D21&lt;(Producción!E12*$A21),Auxiliares!$D21,Producción!E12*$A21)*Auxiliares!$J$15*Auxiliares!$J$16*IF($P$4="Si",'Datos Consumo '!$C25,IF($P$3="No",$P$6,$P$8*Auxiliares!$N$4+Auxiliares!$N$5*$P$10))</f>
        <v>20.431240075425741</v>
      </c>
      <c r="F21">
        <f ca="1">IF(Auxiliares!$D21&lt;(Producción!F12*$A21),Auxiliares!$D21,Producción!F12*$A21)*Auxiliares!$J$15*Auxiliares!$J$16*IF($P$4="Si",'Datos Consumo '!$C25,IF($P$3="No",$P$6,$P$8*Auxiliares!$N$4+Auxiliares!$N$5*$P$10))</f>
        <v>20.431240075425741</v>
      </c>
      <c r="G21">
        <f ca="1">IF(Auxiliares!$D21&lt;(Producción!G12*$A21),Auxiliares!$D21,Producción!G12*$A21)*Auxiliares!$J$15*Auxiliares!$J$16*IF($P$4="Si",'Datos Consumo '!$C25,IF($P$3="No",$P$6,$P$8*Auxiliares!$N$4+Auxiliares!$N$5*$P$10))</f>
        <v>20.431240075425741</v>
      </c>
      <c r="H21">
        <f ca="1">IF(Auxiliares!$D21&lt;(Producción!H12*$A21),Auxiliares!$D21,Producción!H12*$A21)*Auxiliares!$J$15*Auxiliares!$J$16*IF($P$4="Si",'Datos Consumo '!$C25,IF($P$3="No",$P$6,$P$8*Auxiliares!$N$4+Auxiliares!$N$5*$P$10))</f>
        <v>20.431240075425741</v>
      </c>
      <c r="I21">
        <f ca="1">IF(Auxiliares!$D21&lt;(Producción!I12*$A21),Auxiliares!$D21,Producción!I12*$A21)*Auxiliares!$J$15*Auxiliares!$J$16*IF($P$4="Si",'Datos Consumo '!$C25,IF($P$3="No",$P$6,$P$8*Auxiliares!$N$4+Auxiliares!$N$5*$P$10))</f>
        <v>20.431240075425741</v>
      </c>
      <c r="J21">
        <f ca="1">IF(Auxiliares!$D21&lt;(Producción!J12*$A21),Auxiliares!$D21,Producción!J12*$A21)*Auxiliares!$J$15*Auxiliares!$J$16*IF($P$4="Si",'Datos Consumo '!$C25,IF($P$3="No",$P$6,$P$8*Auxiliares!$N$4+Auxiliares!$N$5*$P$10))</f>
        <v>20.431240075425741</v>
      </c>
      <c r="K21">
        <f ca="1">IF(Auxiliares!$D21&lt;(Producción!K12*$A21),Auxiliares!$D21,Producción!K12*$A21)*Auxiliares!$J$15*Auxiliares!$J$16*IF($P$4="Si",'Datos Consumo '!$C25,IF($P$3="No",$P$6,$P$8*Auxiliares!$N$4+Auxiliares!$N$5*$P$10))</f>
        <v>20.431240075425741</v>
      </c>
      <c r="L21">
        <f ca="1">IF(Auxiliares!$D21&lt;(Producción!L12*$A21),Auxiliares!$D21,Producción!L12*$A21)*Auxiliares!$J$15*Auxiliares!$J$16*IF($P$4="Si",'Datos Consumo '!$C25,IF($P$3="No",$P$6,$P$8*Auxiliares!$N$4+Auxiliares!$N$5*$P$10))</f>
        <v>20.431240075425741</v>
      </c>
      <c r="M21">
        <f ca="1">IF(Auxiliares!$D21&lt;(Producción!M12*$A21),Auxiliares!$D21,Producción!M12*$A21)*Auxiliares!$J$15*Auxiliares!$J$16*IF($P$4="Si",'Datos Consumo '!$C25,IF($P$3="No",$P$6,$P$8*Auxiliares!$N$4+Auxiliares!$N$5*$P$10))</f>
        <v>20.431240075425741</v>
      </c>
      <c r="N21">
        <f ca="1">IF(Auxiliares!$D21&lt;(Producción!N12*$A21),Auxiliares!$D21,Producción!N12*$A21)*Auxiliares!$J$15*Auxiliares!$J$16*IF($P$4="Si",'Datos Consumo '!$C25,IF($P$3="No",$P$6,$P$8*Auxiliares!$N$4+Auxiliares!$N$5*$P$10))</f>
        <v>20.431240075425741</v>
      </c>
      <c r="O21">
        <f ca="1">IF(Auxiliares!$D21&lt;(Producción!O12*$A21),Auxiliares!$D21,Producción!O12*$A21)*Auxiliares!$J$15*Auxiliares!$J$16*IF($P$4="Si",'Datos Consumo '!$C25,IF($P$3="No",$P$6,$P$8*Auxiliares!$N$4+Auxiliares!$N$5*$P$10))</f>
        <v>20.431240075425741</v>
      </c>
      <c r="P21">
        <f ca="1">IF(Auxiliares!$D21&lt;(Producción!P12*$A21),Auxiliares!$D21,Producción!P12*$A21)*Auxiliares!$J$15*Auxiliares!$J$16*IF($P$4="Si",'Datos Consumo '!$C25,IF($P$3="No",$P$6,$P$8*Auxiliares!$N$4+Auxiliares!$N$5*$P$10))</f>
        <v>20.431240075425741</v>
      </c>
      <c r="Q21">
        <f ca="1">IF(Auxiliares!$D21&lt;(Producción!Q12*$A21),Auxiliares!$D21,Producción!Q12*$A21)*Auxiliares!$J$15*Auxiliares!$J$16*IF($P$4="Si",'Datos Consumo '!$C25,IF($P$3="No",$P$6,$P$8*Auxiliares!$N$4+Auxiliares!$N$5*$P$10))</f>
        <v>20.431240075425741</v>
      </c>
      <c r="R21">
        <f ca="1">IF(Auxiliares!$D21&lt;(Producción!R12*$A21),Auxiliares!$D21,Producción!R12*$A21)*Auxiliares!$J$15*Auxiliares!$J$16*IF($P$4="Si",'Datos Consumo '!$C25,IF($P$3="No",$P$6,$P$8*Auxiliares!$N$4+Auxiliares!$N$5*$P$10))</f>
        <v>20.431240075425741</v>
      </c>
      <c r="S21">
        <f ca="1">IF(Auxiliares!$D21&lt;(Producción!S12*$A21),Auxiliares!$D21,Producción!S12*$A21)*Auxiliares!$J$15*Auxiliares!$J$16*IF($P$4="Si",'Datos Consumo '!$C25,IF($P$3="No",$P$6,$P$8*Auxiliares!$N$4+Auxiliares!$N$5*$P$10))</f>
        <v>20.431240075425741</v>
      </c>
      <c r="T21">
        <f ca="1">IF(Auxiliares!$D21&lt;(Producción!T12*$A21),Auxiliares!$D21,Producción!T12*$A21)*Auxiliares!$J$15*Auxiliares!$J$16*IF($P$4="Si",'Datos Consumo '!$C25,IF($P$3="No",$P$6,$P$8*Auxiliares!$N$4+Auxiliares!$N$5*$P$10))</f>
        <v>20.431240075425741</v>
      </c>
      <c r="U21">
        <f ca="1">IF(Auxiliares!$D21&lt;(Producción!U12*$A21),Auxiliares!$D21,Producción!U12*$A21)*Auxiliares!$J$15*Auxiliares!$J$16*IF($P$4="Si",'Datos Consumo '!$C25,IF($P$3="No",$P$6,$P$8*Auxiliares!$N$4+Auxiliares!$N$5*$P$10))</f>
        <v>20.431240075425741</v>
      </c>
      <c r="V21">
        <f ca="1">IF(Auxiliares!$D21&lt;(Producción!V12*$A21),Auxiliares!$D21,Producción!V12*$A21)*Auxiliares!$J$15*Auxiliares!$J$16*IF($P$4="Si",'Datos Consumo '!$C25,IF($P$3="No",$P$6,$P$8*Auxiliares!$N$4+Auxiliares!$N$5*$P$10))</f>
        <v>20.431240075425741</v>
      </c>
      <c r="W21">
        <f ca="1">IF(Auxiliares!$D21&lt;(Producción!W12*$A21),Auxiliares!$D21,Producción!W12*$A21)*Auxiliares!$J$15*Auxiliares!$J$16*IF($P$4="Si",'Datos Consumo '!$C25,IF($P$3="No",$P$6,$P$8*Auxiliares!$N$4+Auxiliares!$N$5*$P$10))</f>
        <v>20.431240075425741</v>
      </c>
      <c r="X21">
        <f ca="1">IF(Auxiliares!$D21&lt;(Producción!X12*$A21),Auxiliares!$D21,Producción!X12*$A21)*Auxiliares!$J$15*Auxiliares!$J$16*IF($P$4="Si",'Datos Consumo '!$C25,IF($P$3="No",$P$6,$P$8*Auxiliares!$N$4+Auxiliares!$N$5*$P$10))</f>
        <v>20.431240075425741</v>
      </c>
      <c r="Y21">
        <f ca="1">IF(Auxiliares!$D21&lt;(Producción!Y12*$A21),Auxiliares!$D21,Producción!Y12*$A21)*Auxiliares!$J$15*Auxiliares!$J$16*IF($P$4="Si",'Datos Consumo '!$C25,IF($P$3="No",$P$6,$P$8*Auxiliares!$N$4+Auxiliares!$N$5*$P$10))</f>
        <v>20.431240075425741</v>
      </c>
      <c r="Z21">
        <f ca="1">IF(Auxiliares!$D21&lt;(Producción!Z12*$A21),Auxiliares!$D21,Producción!Z12*$A21)*Auxiliares!$J$15*Auxiliares!$J$16*IF($P$4="Si",'Datos Consumo '!$C25,IF($P$3="No",$P$6,$P$8*Auxiliares!$N$4+Auxiliares!$N$5*$P$10))</f>
        <v>20.431240075425741</v>
      </c>
      <c r="AA21">
        <f ca="1">IF(Auxiliares!$D21&lt;(Producción!AA12*$A21),Auxiliares!$D21,Producción!AA12*$A21)*Auxiliares!$J$15*Auxiliares!$J$16*IF($P$4="Si",'Datos Consumo '!$C25,IF($P$3="No",$P$6,$P$8*Auxiliares!$N$4+Auxiliares!$N$5*$P$10))</f>
        <v>20.431240075425741</v>
      </c>
      <c r="AB21">
        <f ca="1">IF(Auxiliares!$D21&lt;(Producción!AB12*$A21),Auxiliares!$D21,Producción!AB12*$A21)*Auxiliares!$J$15*Auxiliares!$J$16*IF($P$4="Si",'Datos Consumo '!$C25,IF($P$3="No",$P$6,$P$8*Auxiliares!$N$4+Auxiliares!$N$5*$P$10))</f>
        <v>20.431240075425741</v>
      </c>
      <c r="AC21">
        <f ca="1">IF(Auxiliares!$D21&lt;(Producción!AC12*$A21),Auxiliares!$D21,Producción!AC12*$A21)*Auxiliares!$J$15*Auxiliares!$J$16*IF($P$4="Si",'Datos Consumo '!$C25,IF($P$3="No",$P$6,$P$8*Auxiliares!$N$4+Auxiliares!$N$5*$P$10))</f>
        <v>20.431240075425741</v>
      </c>
      <c r="AD21">
        <f ca="1">IF(Auxiliares!$D21&lt;(Producción!AD12*$A21),Auxiliares!$D21,Producción!AD12*$A21)*Auxiliares!$J$15*Auxiliares!$J$16*IF($P$4="Si",'Datos Consumo '!$C25,IF($P$3="No",$P$6,$P$8*Auxiliares!$N$4+Auxiliares!$N$5*$P$10))</f>
        <v>20.431240075425741</v>
      </c>
      <c r="AE21">
        <f ca="1">IF(Auxiliares!$D21&lt;(Producción!AE12*$A21),Auxiliares!$D21,Producción!AE12*$A21)*Auxiliares!$J$15*Auxiliares!$J$16*IF($P$4="Si",'Datos Consumo '!$C25,IF($P$3="No",$P$6,$P$8*Auxiliares!$N$4+Auxiliares!$N$5*$P$10))</f>
        <v>20.431240075425741</v>
      </c>
      <c r="AF21">
        <f ca="1">IF(Auxiliares!$D21&lt;(Producción!AF12*$A21),Auxiliares!$D21,Producción!AF12*$A21)*Auxiliares!$J$15*Auxiliares!$J$16*IF($P$4="Si",'Datos Consumo '!$C25,IF($P$3="No",$P$6,$P$8*Auxiliares!$N$4+Auxiliares!$N$5*$P$10))</f>
        <v>20.431240075425741</v>
      </c>
    </row>
    <row r="22" spans="1:32">
      <c r="A22">
        <v>31</v>
      </c>
      <c r="B22" s="24" t="s">
        <v>10</v>
      </c>
      <c r="C22">
        <f ca="1">IF(Auxiliares!$D22&lt;(Producción!C13*$A22),Auxiliares!$D22,Producción!C13*$A22)*Auxiliares!$J$15*Auxiliares!$J$16*IF($P$4="Si",'Datos Consumo '!$C26,IF($P$3="No",$P$6,$P$8*Auxiliares!$N$4+Auxiliares!$N$5*$P$10))</f>
        <v>25.334737693527916</v>
      </c>
      <c r="D22">
        <f ca="1">IF(Auxiliares!$D22&lt;(Producción!D13*$A22),Auxiliares!$D22,Producción!D13*$A22)*Auxiliares!$J$15*Auxiliares!$J$16*IF($P$4="Si",'Datos Consumo '!$C26,IF($P$3="No",$P$6,$P$8*Auxiliares!$N$4+Auxiliares!$N$5*$P$10))</f>
        <v>25.334737693527916</v>
      </c>
      <c r="E22">
        <f ca="1">IF(Auxiliares!$D22&lt;(Producción!E13*$A22),Auxiliares!$D22,Producción!E13*$A22)*Auxiliares!$J$15*Auxiliares!$J$16*IF($P$4="Si",'Datos Consumo '!$C26,IF($P$3="No",$P$6,$P$8*Auxiliares!$N$4+Auxiliares!$N$5*$P$10))</f>
        <v>25.334737693527916</v>
      </c>
      <c r="F22">
        <f ca="1">IF(Auxiliares!$D22&lt;(Producción!F13*$A22),Auxiliares!$D22,Producción!F13*$A22)*Auxiliares!$J$15*Auxiliares!$J$16*IF($P$4="Si",'Datos Consumo '!$C26,IF($P$3="No",$P$6,$P$8*Auxiliares!$N$4+Auxiliares!$N$5*$P$10))</f>
        <v>25.334737693527916</v>
      </c>
      <c r="G22">
        <f ca="1">IF(Auxiliares!$D22&lt;(Producción!G13*$A22),Auxiliares!$D22,Producción!G13*$A22)*Auxiliares!$J$15*Auxiliares!$J$16*IF($P$4="Si",'Datos Consumo '!$C26,IF($P$3="No",$P$6,$P$8*Auxiliares!$N$4+Auxiliares!$N$5*$P$10))</f>
        <v>25.334737693527916</v>
      </c>
      <c r="H22">
        <f ca="1">IF(Auxiliares!$D22&lt;(Producción!H13*$A22),Auxiliares!$D22,Producción!H13*$A22)*Auxiliares!$J$15*Auxiliares!$J$16*IF($P$4="Si",'Datos Consumo '!$C26,IF($P$3="No",$P$6,$P$8*Auxiliares!$N$4+Auxiliares!$N$5*$P$10))</f>
        <v>25.334737693527916</v>
      </c>
      <c r="I22">
        <f ca="1">IF(Auxiliares!$D22&lt;(Producción!I13*$A22),Auxiliares!$D22,Producción!I13*$A22)*Auxiliares!$J$15*Auxiliares!$J$16*IF($P$4="Si",'Datos Consumo '!$C26,IF($P$3="No",$P$6,$P$8*Auxiliares!$N$4+Auxiliares!$N$5*$P$10))</f>
        <v>25.334737693527916</v>
      </c>
      <c r="J22">
        <f ca="1">IF(Auxiliares!$D22&lt;(Producción!J13*$A22),Auxiliares!$D22,Producción!J13*$A22)*Auxiliares!$J$15*Auxiliares!$J$16*IF($P$4="Si",'Datos Consumo '!$C26,IF($P$3="No",$P$6,$P$8*Auxiliares!$N$4+Auxiliares!$N$5*$P$10))</f>
        <v>25.334737693527916</v>
      </c>
      <c r="K22">
        <f ca="1">IF(Auxiliares!$D22&lt;(Producción!K13*$A22),Auxiliares!$D22,Producción!K13*$A22)*Auxiliares!$J$15*Auxiliares!$J$16*IF($P$4="Si",'Datos Consumo '!$C26,IF($P$3="No",$P$6,$P$8*Auxiliares!$N$4+Auxiliares!$N$5*$P$10))</f>
        <v>25.334737693527916</v>
      </c>
      <c r="L22">
        <f ca="1">IF(Auxiliares!$D22&lt;(Producción!L13*$A22),Auxiliares!$D22,Producción!L13*$A22)*Auxiliares!$J$15*Auxiliares!$J$16*IF($P$4="Si",'Datos Consumo '!$C26,IF($P$3="No",$P$6,$P$8*Auxiliares!$N$4+Auxiliares!$N$5*$P$10))</f>
        <v>25.334737693527916</v>
      </c>
      <c r="M22">
        <f ca="1">IF(Auxiliares!$D22&lt;(Producción!M13*$A22),Auxiliares!$D22,Producción!M13*$A22)*Auxiliares!$J$15*Auxiliares!$J$16*IF($P$4="Si",'Datos Consumo '!$C26,IF($P$3="No",$P$6,$P$8*Auxiliares!$N$4+Auxiliares!$N$5*$P$10))</f>
        <v>25.334737693527916</v>
      </c>
      <c r="N22">
        <f ca="1">IF(Auxiliares!$D22&lt;(Producción!N13*$A22),Auxiliares!$D22,Producción!N13*$A22)*Auxiliares!$J$15*Auxiliares!$J$16*IF($P$4="Si",'Datos Consumo '!$C26,IF($P$3="No",$P$6,$P$8*Auxiliares!$N$4+Auxiliares!$N$5*$P$10))</f>
        <v>25.334737693527916</v>
      </c>
      <c r="O22">
        <f ca="1">IF(Auxiliares!$D22&lt;(Producción!O13*$A22),Auxiliares!$D22,Producción!O13*$A22)*Auxiliares!$J$15*Auxiliares!$J$16*IF($P$4="Si",'Datos Consumo '!$C26,IF($P$3="No",$P$6,$P$8*Auxiliares!$N$4+Auxiliares!$N$5*$P$10))</f>
        <v>25.334737693527916</v>
      </c>
      <c r="P22">
        <f ca="1">IF(Auxiliares!$D22&lt;(Producción!P13*$A22),Auxiliares!$D22,Producción!P13*$A22)*Auxiliares!$J$15*Auxiliares!$J$16*IF($P$4="Si",'Datos Consumo '!$C26,IF($P$3="No",$P$6,$P$8*Auxiliares!$N$4+Auxiliares!$N$5*$P$10))</f>
        <v>25.334737693527916</v>
      </c>
      <c r="Q22">
        <f ca="1">IF(Auxiliares!$D22&lt;(Producción!Q13*$A22),Auxiliares!$D22,Producción!Q13*$A22)*Auxiliares!$J$15*Auxiliares!$J$16*IF($P$4="Si",'Datos Consumo '!$C26,IF($P$3="No",$P$6,$P$8*Auxiliares!$N$4+Auxiliares!$N$5*$P$10))</f>
        <v>25.334737693527916</v>
      </c>
      <c r="R22">
        <f ca="1">IF(Auxiliares!$D22&lt;(Producción!R13*$A22),Auxiliares!$D22,Producción!R13*$A22)*Auxiliares!$J$15*Auxiliares!$J$16*IF($P$4="Si",'Datos Consumo '!$C26,IF($P$3="No",$P$6,$P$8*Auxiliares!$N$4+Auxiliares!$N$5*$P$10))</f>
        <v>25.334737693527916</v>
      </c>
      <c r="S22">
        <f ca="1">IF(Auxiliares!$D22&lt;(Producción!S13*$A22),Auxiliares!$D22,Producción!S13*$A22)*Auxiliares!$J$15*Auxiliares!$J$16*IF($P$4="Si",'Datos Consumo '!$C26,IF($P$3="No",$P$6,$P$8*Auxiliares!$N$4+Auxiliares!$N$5*$P$10))</f>
        <v>25.334737693527916</v>
      </c>
      <c r="T22">
        <f ca="1">IF(Auxiliares!$D22&lt;(Producción!T13*$A22),Auxiliares!$D22,Producción!T13*$A22)*Auxiliares!$J$15*Auxiliares!$J$16*IF($P$4="Si",'Datos Consumo '!$C26,IF($P$3="No",$P$6,$P$8*Auxiliares!$N$4+Auxiliares!$N$5*$P$10))</f>
        <v>25.334737693527916</v>
      </c>
      <c r="U22">
        <f ca="1">IF(Auxiliares!$D22&lt;(Producción!U13*$A22),Auxiliares!$D22,Producción!U13*$A22)*Auxiliares!$J$15*Auxiliares!$J$16*IF($P$4="Si",'Datos Consumo '!$C26,IF($P$3="No",$P$6,$P$8*Auxiliares!$N$4+Auxiliares!$N$5*$P$10))</f>
        <v>25.334737693527916</v>
      </c>
      <c r="V22">
        <f ca="1">IF(Auxiliares!$D22&lt;(Producción!V13*$A22),Auxiliares!$D22,Producción!V13*$A22)*Auxiliares!$J$15*Auxiliares!$J$16*IF($P$4="Si",'Datos Consumo '!$C26,IF($P$3="No",$P$6,$P$8*Auxiliares!$N$4+Auxiliares!$N$5*$P$10))</f>
        <v>25.334737693527916</v>
      </c>
      <c r="W22">
        <f ca="1">IF(Auxiliares!$D22&lt;(Producción!W13*$A22),Auxiliares!$D22,Producción!W13*$A22)*Auxiliares!$J$15*Auxiliares!$J$16*IF($P$4="Si",'Datos Consumo '!$C26,IF($P$3="No",$P$6,$P$8*Auxiliares!$N$4+Auxiliares!$N$5*$P$10))</f>
        <v>25.334737693527916</v>
      </c>
      <c r="X22">
        <f ca="1">IF(Auxiliares!$D22&lt;(Producción!X13*$A22),Auxiliares!$D22,Producción!X13*$A22)*Auxiliares!$J$15*Auxiliares!$J$16*IF($P$4="Si",'Datos Consumo '!$C26,IF($P$3="No",$P$6,$P$8*Auxiliares!$N$4+Auxiliares!$N$5*$P$10))</f>
        <v>25.334737693527916</v>
      </c>
      <c r="Y22">
        <f ca="1">IF(Auxiliares!$D22&lt;(Producción!Y13*$A22),Auxiliares!$D22,Producción!Y13*$A22)*Auxiliares!$J$15*Auxiliares!$J$16*IF($P$4="Si",'Datos Consumo '!$C26,IF($P$3="No",$P$6,$P$8*Auxiliares!$N$4+Auxiliares!$N$5*$P$10))</f>
        <v>25.334737693527916</v>
      </c>
      <c r="Z22">
        <f ca="1">IF(Auxiliares!$D22&lt;(Producción!Z13*$A22),Auxiliares!$D22,Producción!Z13*$A22)*Auxiliares!$J$15*Auxiliares!$J$16*IF($P$4="Si",'Datos Consumo '!$C26,IF($P$3="No",$P$6,$P$8*Auxiliares!$N$4+Auxiliares!$N$5*$P$10))</f>
        <v>25.334737693527916</v>
      </c>
      <c r="AA22">
        <f ca="1">IF(Auxiliares!$D22&lt;(Producción!AA13*$A22),Auxiliares!$D22,Producción!AA13*$A22)*Auxiliares!$J$15*Auxiliares!$J$16*IF($P$4="Si",'Datos Consumo '!$C26,IF($P$3="No",$P$6,$P$8*Auxiliares!$N$4+Auxiliares!$N$5*$P$10))</f>
        <v>25.334737693527916</v>
      </c>
      <c r="AB22">
        <f ca="1">IF(Auxiliares!$D22&lt;(Producción!AB13*$A22),Auxiliares!$D22,Producción!AB13*$A22)*Auxiliares!$J$15*Auxiliares!$J$16*IF($P$4="Si",'Datos Consumo '!$C26,IF($P$3="No",$P$6,$P$8*Auxiliares!$N$4+Auxiliares!$N$5*$P$10))</f>
        <v>25.334737693527916</v>
      </c>
      <c r="AC22">
        <f ca="1">IF(Auxiliares!$D22&lt;(Producción!AC13*$A22),Auxiliares!$D22,Producción!AC13*$A22)*Auxiliares!$J$15*Auxiliares!$J$16*IF($P$4="Si",'Datos Consumo '!$C26,IF($P$3="No",$P$6,$P$8*Auxiliares!$N$4+Auxiliares!$N$5*$P$10))</f>
        <v>25.334737693527916</v>
      </c>
      <c r="AD22">
        <f ca="1">IF(Auxiliares!$D22&lt;(Producción!AD13*$A22),Auxiliares!$D22,Producción!AD13*$A22)*Auxiliares!$J$15*Auxiliares!$J$16*IF($P$4="Si",'Datos Consumo '!$C26,IF($P$3="No",$P$6,$P$8*Auxiliares!$N$4+Auxiliares!$N$5*$P$10))</f>
        <v>25.334737693527916</v>
      </c>
      <c r="AE22">
        <f ca="1">IF(Auxiliares!$D22&lt;(Producción!AE13*$A22),Auxiliares!$D22,Producción!AE13*$A22)*Auxiliares!$J$15*Auxiliares!$J$16*IF($P$4="Si",'Datos Consumo '!$C26,IF($P$3="No",$P$6,$P$8*Auxiliares!$N$4+Auxiliares!$N$5*$P$10))</f>
        <v>25.334737693527916</v>
      </c>
      <c r="AF22">
        <f ca="1">IF(Auxiliares!$D22&lt;(Producción!AF13*$A22),Auxiliares!$D22,Producción!AF13*$A22)*Auxiliares!$J$15*Auxiliares!$J$16*IF($P$4="Si",'Datos Consumo '!$C26,IF($P$3="No",$P$6,$P$8*Auxiliares!$N$4+Auxiliares!$N$5*$P$10))</f>
        <v>25.334737693527916</v>
      </c>
    </row>
    <row r="23" spans="1:32">
      <c r="A23">
        <v>31</v>
      </c>
      <c r="B23" s="24" t="s">
        <v>11</v>
      </c>
      <c r="C23">
        <f ca="1">IF(Auxiliares!$D23&lt;(Producción!C14*$A23),Auxiliares!$D23,Producción!C14*$A23)*Auxiliares!$J$15*Auxiliares!$J$16*IF($P$4="Si",'Datos Consumo '!$C27,IF($P$3="No",$P$6,$P$8*Auxiliares!$N$4+Auxiliares!$N$5*$P$10))</f>
        <v>21.657114479951282</v>
      </c>
      <c r="D23">
        <f ca="1">IF(Auxiliares!$D23&lt;(Producción!D14*$A23),Auxiliares!$D23,Producción!D14*$A23)*Auxiliares!$J$15*Auxiliares!$J$16*IF($P$4="Si",'Datos Consumo '!$C27,IF($P$3="No",$P$6,$P$8*Auxiliares!$N$4+Auxiliares!$N$5*$P$10))</f>
        <v>21.657114479951282</v>
      </c>
      <c r="E23">
        <f ca="1">IF(Auxiliares!$D23&lt;(Producción!E14*$A23),Auxiliares!$D23,Producción!E14*$A23)*Auxiliares!$J$15*Auxiliares!$J$16*IF($P$4="Si",'Datos Consumo '!$C27,IF($P$3="No",$P$6,$P$8*Auxiliares!$N$4+Auxiliares!$N$5*$P$10))</f>
        <v>21.657114479951282</v>
      </c>
      <c r="F23">
        <f ca="1">IF(Auxiliares!$D23&lt;(Producción!F14*$A23),Auxiliares!$D23,Producción!F14*$A23)*Auxiliares!$J$15*Auxiliares!$J$16*IF($P$4="Si",'Datos Consumo '!$C27,IF($P$3="No",$P$6,$P$8*Auxiliares!$N$4+Auxiliares!$N$5*$P$10))</f>
        <v>21.657114479951282</v>
      </c>
      <c r="G23">
        <f ca="1">IF(Auxiliares!$D23&lt;(Producción!G14*$A23),Auxiliares!$D23,Producción!G14*$A23)*Auxiliares!$J$15*Auxiliares!$J$16*IF($P$4="Si",'Datos Consumo '!$C27,IF($P$3="No",$P$6,$P$8*Auxiliares!$N$4+Auxiliares!$N$5*$P$10))</f>
        <v>21.657114479951282</v>
      </c>
      <c r="H23">
        <f ca="1">IF(Auxiliares!$D23&lt;(Producción!H14*$A23),Auxiliares!$D23,Producción!H14*$A23)*Auxiliares!$J$15*Auxiliares!$J$16*IF($P$4="Si",'Datos Consumo '!$C27,IF($P$3="No",$P$6,$P$8*Auxiliares!$N$4+Auxiliares!$N$5*$P$10))</f>
        <v>21.657114479951282</v>
      </c>
      <c r="I23">
        <f ca="1">IF(Auxiliares!$D23&lt;(Producción!I14*$A23),Auxiliares!$D23,Producción!I14*$A23)*Auxiliares!$J$15*Auxiliares!$J$16*IF($P$4="Si",'Datos Consumo '!$C27,IF($P$3="No",$P$6,$P$8*Auxiliares!$N$4+Auxiliares!$N$5*$P$10))</f>
        <v>21.657114479951282</v>
      </c>
      <c r="J23">
        <f ca="1">IF(Auxiliares!$D23&lt;(Producción!J14*$A23),Auxiliares!$D23,Producción!J14*$A23)*Auxiliares!$J$15*Auxiliares!$J$16*IF($P$4="Si",'Datos Consumo '!$C27,IF($P$3="No",$P$6,$P$8*Auxiliares!$N$4+Auxiliares!$N$5*$P$10))</f>
        <v>21.657114479951282</v>
      </c>
      <c r="K23">
        <f ca="1">IF(Auxiliares!$D23&lt;(Producción!K14*$A23),Auxiliares!$D23,Producción!K14*$A23)*Auxiliares!$J$15*Auxiliares!$J$16*IF($P$4="Si",'Datos Consumo '!$C27,IF($P$3="No",$P$6,$P$8*Auxiliares!$N$4+Auxiliares!$N$5*$P$10))</f>
        <v>21.657114479951282</v>
      </c>
      <c r="L23">
        <f ca="1">IF(Auxiliares!$D23&lt;(Producción!L14*$A23),Auxiliares!$D23,Producción!L14*$A23)*Auxiliares!$J$15*Auxiliares!$J$16*IF($P$4="Si",'Datos Consumo '!$C27,IF($P$3="No",$P$6,$P$8*Auxiliares!$N$4+Auxiliares!$N$5*$P$10))</f>
        <v>21.657114479951282</v>
      </c>
      <c r="M23">
        <f ca="1">IF(Auxiliares!$D23&lt;(Producción!M14*$A23),Auxiliares!$D23,Producción!M14*$A23)*Auxiliares!$J$15*Auxiliares!$J$16*IF($P$4="Si",'Datos Consumo '!$C27,IF($P$3="No",$P$6,$P$8*Auxiliares!$N$4+Auxiliares!$N$5*$P$10))</f>
        <v>21.657114479951282</v>
      </c>
      <c r="N23">
        <f ca="1">IF(Auxiliares!$D23&lt;(Producción!N14*$A23),Auxiliares!$D23,Producción!N14*$A23)*Auxiliares!$J$15*Auxiliares!$J$16*IF($P$4="Si",'Datos Consumo '!$C27,IF($P$3="No",$P$6,$P$8*Auxiliares!$N$4+Auxiliares!$N$5*$P$10))</f>
        <v>21.657114479951282</v>
      </c>
      <c r="O23">
        <f ca="1">IF(Auxiliares!$D23&lt;(Producción!O14*$A23),Auxiliares!$D23,Producción!O14*$A23)*Auxiliares!$J$15*Auxiliares!$J$16*IF($P$4="Si",'Datos Consumo '!$C27,IF($P$3="No",$P$6,$P$8*Auxiliares!$N$4+Auxiliares!$N$5*$P$10))</f>
        <v>21.657114479951282</v>
      </c>
      <c r="P23">
        <f ca="1">IF(Auxiliares!$D23&lt;(Producción!P14*$A23),Auxiliares!$D23,Producción!P14*$A23)*Auxiliares!$J$15*Auxiliares!$J$16*IF($P$4="Si",'Datos Consumo '!$C27,IF($P$3="No",$P$6,$P$8*Auxiliares!$N$4+Auxiliares!$N$5*$P$10))</f>
        <v>21.657114479951282</v>
      </c>
      <c r="Q23">
        <f ca="1">IF(Auxiliares!$D23&lt;(Producción!Q14*$A23),Auxiliares!$D23,Producción!Q14*$A23)*Auxiliares!$J$15*Auxiliares!$J$16*IF($P$4="Si",'Datos Consumo '!$C27,IF($P$3="No",$P$6,$P$8*Auxiliares!$N$4+Auxiliares!$N$5*$P$10))</f>
        <v>21.657114479951282</v>
      </c>
      <c r="R23">
        <f ca="1">IF(Auxiliares!$D23&lt;(Producción!R14*$A23),Auxiliares!$D23,Producción!R14*$A23)*Auxiliares!$J$15*Auxiliares!$J$16*IF($P$4="Si",'Datos Consumo '!$C27,IF($P$3="No",$P$6,$P$8*Auxiliares!$N$4+Auxiliares!$N$5*$P$10))</f>
        <v>21.657114479951282</v>
      </c>
      <c r="S23">
        <f ca="1">IF(Auxiliares!$D23&lt;(Producción!S14*$A23),Auxiliares!$D23,Producción!S14*$A23)*Auxiliares!$J$15*Auxiliares!$J$16*IF($P$4="Si",'Datos Consumo '!$C27,IF($P$3="No",$P$6,$P$8*Auxiliares!$N$4+Auxiliares!$N$5*$P$10))</f>
        <v>21.657114479951282</v>
      </c>
      <c r="T23">
        <f ca="1">IF(Auxiliares!$D23&lt;(Producción!T14*$A23),Auxiliares!$D23,Producción!T14*$A23)*Auxiliares!$J$15*Auxiliares!$J$16*IF($P$4="Si",'Datos Consumo '!$C27,IF($P$3="No",$P$6,$P$8*Auxiliares!$N$4+Auxiliares!$N$5*$P$10))</f>
        <v>21.657114479951282</v>
      </c>
      <c r="U23">
        <f ca="1">IF(Auxiliares!$D23&lt;(Producción!U14*$A23),Auxiliares!$D23,Producción!U14*$A23)*Auxiliares!$J$15*Auxiliares!$J$16*IF($P$4="Si",'Datos Consumo '!$C27,IF($P$3="No",$P$6,$P$8*Auxiliares!$N$4+Auxiliares!$N$5*$P$10))</f>
        <v>21.657114479951282</v>
      </c>
      <c r="V23">
        <f ca="1">IF(Auxiliares!$D23&lt;(Producción!V14*$A23),Auxiliares!$D23,Producción!V14*$A23)*Auxiliares!$J$15*Auxiliares!$J$16*IF($P$4="Si",'Datos Consumo '!$C27,IF($P$3="No",$P$6,$P$8*Auxiliares!$N$4+Auxiliares!$N$5*$P$10))</f>
        <v>21.657114479951282</v>
      </c>
      <c r="W23">
        <f ca="1">IF(Auxiliares!$D23&lt;(Producción!W14*$A23),Auxiliares!$D23,Producción!W14*$A23)*Auxiliares!$J$15*Auxiliares!$J$16*IF($P$4="Si",'Datos Consumo '!$C27,IF($P$3="No",$P$6,$P$8*Auxiliares!$N$4+Auxiliares!$N$5*$P$10))</f>
        <v>21.657114479951282</v>
      </c>
      <c r="X23">
        <f ca="1">IF(Auxiliares!$D23&lt;(Producción!X14*$A23),Auxiliares!$D23,Producción!X14*$A23)*Auxiliares!$J$15*Auxiliares!$J$16*IF($P$4="Si",'Datos Consumo '!$C27,IF($P$3="No",$P$6,$P$8*Auxiliares!$N$4+Auxiliares!$N$5*$P$10))</f>
        <v>21.657114479951282</v>
      </c>
      <c r="Y23">
        <f ca="1">IF(Auxiliares!$D23&lt;(Producción!Y14*$A23),Auxiliares!$D23,Producción!Y14*$A23)*Auxiliares!$J$15*Auxiliares!$J$16*IF($P$4="Si",'Datos Consumo '!$C27,IF($P$3="No",$P$6,$P$8*Auxiliares!$N$4+Auxiliares!$N$5*$P$10))</f>
        <v>21.657114479951282</v>
      </c>
      <c r="Z23">
        <f ca="1">IF(Auxiliares!$D23&lt;(Producción!Z14*$A23),Auxiliares!$D23,Producción!Z14*$A23)*Auxiliares!$J$15*Auxiliares!$J$16*IF($P$4="Si",'Datos Consumo '!$C27,IF($P$3="No",$P$6,$P$8*Auxiliares!$N$4+Auxiliares!$N$5*$P$10))</f>
        <v>21.657114479951282</v>
      </c>
      <c r="AA23">
        <f ca="1">IF(Auxiliares!$D23&lt;(Producción!AA14*$A23),Auxiliares!$D23,Producción!AA14*$A23)*Auxiliares!$J$15*Auxiliares!$J$16*IF($P$4="Si",'Datos Consumo '!$C27,IF($P$3="No",$P$6,$P$8*Auxiliares!$N$4+Auxiliares!$N$5*$P$10))</f>
        <v>21.657114479951282</v>
      </c>
      <c r="AB23">
        <f ca="1">IF(Auxiliares!$D23&lt;(Producción!AB14*$A23),Auxiliares!$D23,Producción!AB14*$A23)*Auxiliares!$J$15*Auxiliares!$J$16*IF($P$4="Si",'Datos Consumo '!$C27,IF($P$3="No",$P$6,$P$8*Auxiliares!$N$4+Auxiliares!$N$5*$P$10))</f>
        <v>21.657114479951282</v>
      </c>
      <c r="AC23">
        <f ca="1">IF(Auxiliares!$D23&lt;(Producción!AC14*$A23),Auxiliares!$D23,Producción!AC14*$A23)*Auxiliares!$J$15*Auxiliares!$J$16*IF($P$4="Si",'Datos Consumo '!$C27,IF($P$3="No",$P$6,$P$8*Auxiliares!$N$4+Auxiliares!$N$5*$P$10))</f>
        <v>21.657114479951282</v>
      </c>
      <c r="AD23">
        <f ca="1">IF(Auxiliares!$D23&lt;(Producción!AD14*$A23),Auxiliares!$D23,Producción!AD14*$A23)*Auxiliares!$J$15*Auxiliares!$J$16*IF($P$4="Si",'Datos Consumo '!$C27,IF($P$3="No",$P$6,$P$8*Auxiliares!$N$4+Auxiliares!$N$5*$P$10))</f>
        <v>21.657114479951282</v>
      </c>
      <c r="AE23">
        <f ca="1">IF(Auxiliares!$D23&lt;(Producción!AE14*$A23),Auxiliares!$D23,Producción!AE14*$A23)*Auxiliares!$J$15*Auxiliares!$J$16*IF($P$4="Si",'Datos Consumo '!$C27,IF($P$3="No",$P$6,$P$8*Auxiliares!$N$4+Auxiliares!$N$5*$P$10))</f>
        <v>21.657114479951282</v>
      </c>
      <c r="AF23">
        <f ca="1">IF(Auxiliares!$D23&lt;(Producción!AF14*$A23),Auxiliares!$D23,Producción!AF14*$A23)*Auxiliares!$J$15*Auxiliares!$J$16*IF($P$4="Si",'Datos Consumo '!$C27,IF($P$3="No",$P$6,$P$8*Auxiliares!$N$4+Auxiliares!$N$5*$P$10))</f>
        <v>21.657114479951282</v>
      </c>
    </row>
    <row r="24" spans="1:32">
      <c r="A24">
        <v>30</v>
      </c>
      <c r="B24" s="24" t="s">
        <v>12</v>
      </c>
      <c r="C24">
        <f ca="1">IF(Auxiliares!$D24&lt;(Producción!C15*$A24),Auxiliares!$D24,Producción!C15*$A24)*Auxiliares!$J$15*Auxiliares!$J$16*IF($P$4="Si",'Datos Consumo '!$C28,IF($P$3="No",$P$6,$P$8*Auxiliares!$N$4+Auxiliares!$N$5*$P$10))</f>
        <v>20.431240075425741</v>
      </c>
      <c r="D24">
        <f ca="1">IF(Auxiliares!$D24&lt;(Producción!D15*$A24),Auxiliares!$D24,Producción!D15*$A24)*Auxiliares!$J$15*Auxiliares!$J$16*IF($P$4="Si",'Datos Consumo '!$C28,IF($P$3="No",$P$6,$P$8*Auxiliares!$N$4+Auxiliares!$N$5*$P$10))</f>
        <v>20.431240075425741</v>
      </c>
      <c r="E24">
        <f ca="1">IF(Auxiliares!$D24&lt;(Producción!E15*$A24),Auxiliares!$D24,Producción!E15*$A24)*Auxiliares!$J$15*Auxiliares!$J$16*IF($P$4="Si",'Datos Consumo '!$C28,IF($P$3="No",$P$6,$P$8*Auxiliares!$N$4+Auxiliares!$N$5*$P$10))</f>
        <v>20.431240075425741</v>
      </c>
      <c r="F24">
        <f ca="1">IF(Auxiliares!$D24&lt;(Producción!F15*$A24),Auxiliares!$D24,Producción!F15*$A24)*Auxiliares!$J$15*Auxiliares!$J$16*IF($P$4="Si",'Datos Consumo '!$C28,IF($P$3="No",$P$6,$P$8*Auxiliares!$N$4+Auxiliares!$N$5*$P$10))</f>
        <v>20.431240075425741</v>
      </c>
      <c r="G24">
        <f ca="1">IF(Auxiliares!$D24&lt;(Producción!G15*$A24),Auxiliares!$D24,Producción!G15*$A24)*Auxiliares!$J$15*Auxiliares!$J$16*IF($P$4="Si",'Datos Consumo '!$C28,IF($P$3="No",$P$6,$P$8*Auxiliares!$N$4+Auxiliares!$N$5*$P$10))</f>
        <v>20.431240075425741</v>
      </c>
      <c r="H24">
        <f ca="1">IF(Auxiliares!$D24&lt;(Producción!H15*$A24),Auxiliares!$D24,Producción!H15*$A24)*Auxiliares!$J$15*Auxiliares!$J$16*IF($P$4="Si",'Datos Consumo '!$C28,IF($P$3="No",$P$6,$P$8*Auxiliares!$N$4+Auxiliares!$N$5*$P$10))</f>
        <v>20.431240075425741</v>
      </c>
      <c r="I24">
        <f ca="1">IF(Auxiliares!$D24&lt;(Producción!I15*$A24),Auxiliares!$D24,Producción!I15*$A24)*Auxiliares!$J$15*Auxiliares!$J$16*IF($P$4="Si",'Datos Consumo '!$C28,IF($P$3="No",$P$6,$P$8*Auxiliares!$N$4+Auxiliares!$N$5*$P$10))</f>
        <v>20.431240075425741</v>
      </c>
      <c r="J24">
        <f ca="1">IF(Auxiliares!$D24&lt;(Producción!J15*$A24),Auxiliares!$D24,Producción!J15*$A24)*Auxiliares!$J$15*Auxiliares!$J$16*IF($P$4="Si",'Datos Consumo '!$C28,IF($P$3="No",$P$6,$P$8*Auxiliares!$N$4+Auxiliares!$N$5*$P$10))</f>
        <v>20.431240075425741</v>
      </c>
      <c r="K24">
        <f ca="1">IF(Auxiliares!$D24&lt;(Producción!K15*$A24),Auxiliares!$D24,Producción!K15*$A24)*Auxiliares!$J$15*Auxiliares!$J$16*IF($P$4="Si",'Datos Consumo '!$C28,IF($P$3="No",$P$6,$P$8*Auxiliares!$N$4+Auxiliares!$N$5*$P$10))</f>
        <v>20.431240075425741</v>
      </c>
      <c r="L24">
        <f ca="1">IF(Auxiliares!$D24&lt;(Producción!L15*$A24),Auxiliares!$D24,Producción!L15*$A24)*Auxiliares!$J$15*Auxiliares!$J$16*IF($P$4="Si",'Datos Consumo '!$C28,IF($P$3="No",$P$6,$P$8*Auxiliares!$N$4+Auxiliares!$N$5*$P$10))</f>
        <v>20.431240075425741</v>
      </c>
      <c r="M24">
        <f ca="1">IF(Auxiliares!$D24&lt;(Producción!M15*$A24),Auxiliares!$D24,Producción!M15*$A24)*Auxiliares!$J$15*Auxiliares!$J$16*IF($P$4="Si",'Datos Consumo '!$C28,IF($P$3="No",$P$6,$P$8*Auxiliares!$N$4+Auxiliares!$N$5*$P$10))</f>
        <v>20.431240075425741</v>
      </c>
      <c r="N24">
        <f ca="1">IF(Auxiliares!$D24&lt;(Producción!N15*$A24),Auxiliares!$D24,Producción!N15*$A24)*Auxiliares!$J$15*Auxiliares!$J$16*IF($P$4="Si",'Datos Consumo '!$C28,IF($P$3="No",$P$6,$P$8*Auxiliares!$N$4+Auxiliares!$N$5*$P$10))</f>
        <v>20.431240075425741</v>
      </c>
      <c r="O24">
        <f ca="1">IF(Auxiliares!$D24&lt;(Producción!O15*$A24),Auxiliares!$D24,Producción!O15*$A24)*Auxiliares!$J$15*Auxiliares!$J$16*IF($P$4="Si",'Datos Consumo '!$C28,IF($P$3="No",$P$6,$P$8*Auxiliares!$N$4+Auxiliares!$N$5*$P$10))</f>
        <v>20.431240075425741</v>
      </c>
      <c r="P24">
        <f ca="1">IF(Auxiliares!$D24&lt;(Producción!P15*$A24),Auxiliares!$D24,Producción!P15*$A24)*Auxiliares!$J$15*Auxiliares!$J$16*IF($P$4="Si",'Datos Consumo '!$C28,IF($P$3="No",$P$6,$P$8*Auxiliares!$N$4+Auxiliares!$N$5*$P$10))</f>
        <v>20.431240075425741</v>
      </c>
      <c r="Q24">
        <f ca="1">IF(Auxiliares!$D24&lt;(Producción!Q15*$A24),Auxiliares!$D24,Producción!Q15*$A24)*Auxiliares!$J$15*Auxiliares!$J$16*IF($P$4="Si",'Datos Consumo '!$C28,IF($P$3="No",$P$6,$P$8*Auxiliares!$N$4+Auxiliares!$N$5*$P$10))</f>
        <v>20.431240075425741</v>
      </c>
      <c r="R24">
        <f ca="1">IF(Auxiliares!$D24&lt;(Producción!R15*$A24),Auxiliares!$D24,Producción!R15*$A24)*Auxiliares!$J$15*Auxiliares!$J$16*IF($P$4="Si",'Datos Consumo '!$C28,IF($P$3="No",$P$6,$P$8*Auxiliares!$N$4+Auxiliares!$N$5*$P$10))</f>
        <v>20.431240075425741</v>
      </c>
      <c r="S24">
        <f ca="1">IF(Auxiliares!$D24&lt;(Producción!S15*$A24),Auxiliares!$D24,Producción!S15*$A24)*Auxiliares!$J$15*Auxiliares!$J$16*IF($P$4="Si",'Datos Consumo '!$C28,IF($P$3="No",$P$6,$P$8*Auxiliares!$N$4+Auxiliares!$N$5*$P$10))</f>
        <v>20.431240075425741</v>
      </c>
      <c r="T24">
        <f ca="1">IF(Auxiliares!$D24&lt;(Producción!T15*$A24),Auxiliares!$D24,Producción!T15*$A24)*Auxiliares!$J$15*Auxiliares!$J$16*IF($P$4="Si",'Datos Consumo '!$C28,IF($P$3="No",$P$6,$P$8*Auxiliares!$N$4+Auxiliares!$N$5*$P$10))</f>
        <v>20.431240075425741</v>
      </c>
      <c r="U24">
        <f ca="1">IF(Auxiliares!$D24&lt;(Producción!U15*$A24),Auxiliares!$D24,Producción!U15*$A24)*Auxiliares!$J$15*Auxiliares!$J$16*IF($P$4="Si",'Datos Consumo '!$C28,IF($P$3="No",$P$6,$P$8*Auxiliares!$N$4+Auxiliares!$N$5*$P$10))</f>
        <v>20.431240075425741</v>
      </c>
      <c r="V24">
        <f ca="1">IF(Auxiliares!$D24&lt;(Producción!V15*$A24),Auxiliares!$D24,Producción!V15*$A24)*Auxiliares!$J$15*Auxiliares!$J$16*IF($P$4="Si",'Datos Consumo '!$C28,IF($P$3="No",$P$6,$P$8*Auxiliares!$N$4+Auxiliares!$N$5*$P$10))</f>
        <v>20.431240075425741</v>
      </c>
      <c r="W24">
        <f ca="1">IF(Auxiliares!$D24&lt;(Producción!W15*$A24),Auxiliares!$D24,Producción!W15*$A24)*Auxiliares!$J$15*Auxiliares!$J$16*IF($P$4="Si",'Datos Consumo '!$C28,IF($P$3="No",$P$6,$P$8*Auxiliares!$N$4+Auxiliares!$N$5*$P$10))</f>
        <v>20.431240075425741</v>
      </c>
      <c r="X24">
        <f ca="1">IF(Auxiliares!$D24&lt;(Producción!X15*$A24),Auxiliares!$D24,Producción!X15*$A24)*Auxiliares!$J$15*Auxiliares!$J$16*IF($P$4="Si",'Datos Consumo '!$C28,IF($P$3="No",$P$6,$P$8*Auxiliares!$N$4+Auxiliares!$N$5*$P$10))</f>
        <v>20.431240075425741</v>
      </c>
      <c r="Y24">
        <f ca="1">IF(Auxiliares!$D24&lt;(Producción!Y15*$A24),Auxiliares!$D24,Producción!Y15*$A24)*Auxiliares!$J$15*Auxiliares!$J$16*IF($P$4="Si",'Datos Consumo '!$C28,IF($P$3="No",$P$6,$P$8*Auxiliares!$N$4+Auxiliares!$N$5*$P$10))</f>
        <v>20.431240075425741</v>
      </c>
      <c r="Z24">
        <f ca="1">IF(Auxiliares!$D24&lt;(Producción!Z15*$A24),Auxiliares!$D24,Producción!Z15*$A24)*Auxiliares!$J$15*Auxiliares!$J$16*IF($P$4="Si",'Datos Consumo '!$C28,IF($P$3="No",$P$6,$P$8*Auxiliares!$N$4+Auxiliares!$N$5*$P$10))</f>
        <v>20.431240075425741</v>
      </c>
      <c r="AA24">
        <f ca="1">IF(Auxiliares!$D24&lt;(Producción!AA15*$A24),Auxiliares!$D24,Producción!AA15*$A24)*Auxiliares!$J$15*Auxiliares!$J$16*IF($P$4="Si",'Datos Consumo '!$C28,IF($P$3="No",$P$6,$P$8*Auxiliares!$N$4+Auxiliares!$N$5*$P$10))</f>
        <v>20.431240075425741</v>
      </c>
      <c r="AB24">
        <f ca="1">IF(Auxiliares!$D24&lt;(Producción!AB15*$A24),Auxiliares!$D24,Producción!AB15*$A24)*Auxiliares!$J$15*Auxiliares!$J$16*IF($P$4="Si",'Datos Consumo '!$C28,IF($P$3="No",$P$6,$P$8*Auxiliares!$N$4+Auxiliares!$N$5*$P$10))</f>
        <v>20.431240075425741</v>
      </c>
      <c r="AC24">
        <f ca="1">IF(Auxiliares!$D24&lt;(Producción!AC15*$A24),Auxiliares!$D24,Producción!AC15*$A24)*Auxiliares!$J$15*Auxiliares!$J$16*IF($P$4="Si",'Datos Consumo '!$C28,IF($P$3="No",$P$6,$P$8*Auxiliares!$N$4+Auxiliares!$N$5*$P$10))</f>
        <v>20.431240075425741</v>
      </c>
      <c r="AD24">
        <f ca="1">IF(Auxiliares!$D24&lt;(Producción!AD15*$A24),Auxiliares!$D24,Producción!AD15*$A24)*Auxiliares!$J$15*Auxiliares!$J$16*IF($P$4="Si",'Datos Consumo '!$C28,IF($P$3="No",$P$6,$P$8*Auxiliares!$N$4+Auxiliares!$N$5*$P$10))</f>
        <v>20.431240075425741</v>
      </c>
      <c r="AE24">
        <f ca="1">IF(Auxiliares!$D24&lt;(Producción!AE15*$A24),Auxiliares!$D24,Producción!AE15*$A24)*Auxiliares!$J$15*Auxiliares!$J$16*IF($P$4="Si",'Datos Consumo '!$C28,IF($P$3="No",$P$6,$P$8*Auxiliares!$N$4+Auxiliares!$N$5*$P$10))</f>
        <v>20.431240075425741</v>
      </c>
      <c r="AF24">
        <f ca="1">IF(Auxiliares!$D24&lt;(Producción!AF15*$A24),Auxiliares!$D24,Producción!AF15*$A24)*Auxiliares!$J$15*Auxiliares!$J$16*IF($P$4="Si",'Datos Consumo '!$C28,IF($P$3="No",$P$6,$P$8*Auxiliares!$N$4+Auxiliares!$N$5*$P$10))</f>
        <v>20.431240075425741</v>
      </c>
    </row>
    <row r="25" spans="1:32">
      <c r="A25">
        <v>31</v>
      </c>
      <c r="B25" s="24" t="s">
        <v>57</v>
      </c>
      <c r="C25">
        <f ca="1">IF(Auxiliares!$D25&lt;(Producción!C16*$A25),Auxiliares!$D25,Producción!C16*$A25)*Auxiliares!$J$15*Auxiliares!$J$16*IF($P$4="Si",'Datos Consumo '!$C29,IF($P$3="No",$P$6,$P$8*Auxiliares!$N$4+Auxiliares!$N$5*$P$10))</f>
        <v>21.248489678442766</v>
      </c>
      <c r="D25">
        <f ca="1">IF(Auxiliares!$D25&lt;(Producción!D16*$A25),Auxiliares!$D25,Producción!D16*$A25)*Auxiliares!$J$15*Auxiliares!$J$16*IF($P$4="Si",'Datos Consumo '!$C29,IF($P$3="No",$P$6,$P$8*Auxiliares!$N$4+Auxiliares!$N$5*$P$10))</f>
        <v>21.248489678442766</v>
      </c>
      <c r="E25">
        <f ca="1">IF(Auxiliares!$D25&lt;(Producción!E16*$A25),Auxiliares!$D25,Producción!E16*$A25)*Auxiliares!$J$15*Auxiliares!$J$16*IF($P$4="Si",'Datos Consumo '!$C29,IF($P$3="No",$P$6,$P$8*Auxiliares!$N$4+Auxiliares!$N$5*$P$10))</f>
        <v>21.248489678442766</v>
      </c>
      <c r="F25">
        <f ca="1">IF(Auxiliares!$D25&lt;(Producción!F16*$A25),Auxiliares!$D25,Producción!F16*$A25)*Auxiliares!$J$15*Auxiliares!$J$16*IF($P$4="Si",'Datos Consumo '!$C29,IF($P$3="No",$P$6,$P$8*Auxiliares!$N$4+Auxiliares!$N$5*$P$10))</f>
        <v>21.248489678442766</v>
      </c>
      <c r="G25">
        <f ca="1">IF(Auxiliares!$D25&lt;(Producción!G16*$A25),Auxiliares!$D25,Producción!G16*$A25)*Auxiliares!$J$15*Auxiliares!$J$16*IF($P$4="Si",'Datos Consumo '!$C29,IF($P$3="No",$P$6,$P$8*Auxiliares!$N$4+Auxiliares!$N$5*$P$10))</f>
        <v>21.248489678442766</v>
      </c>
      <c r="H25">
        <f ca="1">IF(Auxiliares!$D25&lt;(Producción!H16*$A25),Auxiliares!$D25,Producción!H16*$A25)*Auxiliares!$J$15*Auxiliares!$J$16*IF($P$4="Si",'Datos Consumo '!$C29,IF($P$3="No",$P$6,$P$8*Auxiliares!$N$4+Auxiliares!$N$5*$P$10))</f>
        <v>21.248489678442766</v>
      </c>
      <c r="I25">
        <f ca="1">IF(Auxiliares!$D25&lt;(Producción!I16*$A25),Auxiliares!$D25,Producción!I16*$A25)*Auxiliares!$J$15*Auxiliares!$J$16*IF($P$4="Si",'Datos Consumo '!$C29,IF($P$3="No",$P$6,$P$8*Auxiliares!$N$4+Auxiliares!$N$5*$P$10))</f>
        <v>21.248489678442766</v>
      </c>
      <c r="J25">
        <f ca="1">IF(Auxiliares!$D25&lt;(Producción!J16*$A25),Auxiliares!$D25,Producción!J16*$A25)*Auxiliares!$J$15*Auxiliares!$J$16*IF($P$4="Si",'Datos Consumo '!$C29,IF($P$3="No",$P$6,$P$8*Auxiliares!$N$4+Auxiliares!$N$5*$P$10))</f>
        <v>21.248489678442766</v>
      </c>
      <c r="K25">
        <f ca="1">IF(Auxiliares!$D25&lt;(Producción!K16*$A25),Auxiliares!$D25,Producción!K16*$A25)*Auxiliares!$J$15*Auxiliares!$J$16*IF($P$4="Si",'Datos Consumo '!$C29,IF($P$3="No",$P$6,$P$8*Auxiliares!$N$4+Auxiliares!$N$5*$P$10))</f>
        <v>21.248489678442766</v>
      </c>
      <c r="L25">
        <f ca="1">IF(Auxiliares!$D25&lt;(Producción!L16*$A25),Auxiliares!$D25,Producción!L16*$A25)*Auxiliares!$J$15*Auxiliares!$J$16*IF($P$4="Si",'Datos Consumo '!$C29,IF($P$3="No",$P$6,$P$8*Auxiliares!$N$4+Auxiliares!$N$5*$P$10))</f>
        <v>21.248489678442766</v>
      </c>
      <c r="M25">
        <f ca="1">IF(Auxiliares!$D25&lt;(Producción!M16*$A25),Auxiliares!$D25,Producción!M16*$A25)*Auxiliares!$J$15*Auxiliares!$J$16*IF($P$4="Si",'Datos Consumo '!$C29,IF($P$3="No",$P$6,$P$8*Auxiliares!$N$4+Auxiliares!$N$5*$P$10))</f>
        <v>21.248489678442766</v>
      </c>
      <c r="N25">
        <f ca="1">IF(Auxiliares!$D25&lt;(Producción!N16*$A25),Auxiliares!$D25,Producción!N16*$A25)*Auxiliares!$J$15*Auxiliares!$J$16*IF($P$4="Si",'Datos Consumo '!$C29,IF($P$3="No",$P$6,$P$8*Auxiliares!$N$4+Auxiliares!$N$5*$P$10))</f>
        <v>21.248489678442766</v>
      </c>
      <c r="O25">
        <f ca="1">IF(Auxiliares!$D25&lt;(Producción!O16*$A25),Auxiliares!$D25,Producción!O16*$A25)*Auxiliares!$J$15*Auxiliares!$J$16*IF($P$4="Si",'Datos Consumo '!$C29,IF($P$3="No",$P$6,$P$8*Auxiliares!$N$4+Auxiliares!$N$5*$P$10))</f>
        <v>21.248489678442766</v>
      </c>
      <c r="P25">
        <f ca="1">IF(Auxiliares!$D25&lt;(Producción!P16*$A25),Auxiliares!$D25,Producción!P16*$A25)*Auxiliares!$J$15*Auxiliares!$J$16*IF($P$4="Si",'Datos Consumo '!$C29,IF($P$3="No",$P$6,$P$8*Auxiliares!$N$4+Auxiliares!$N$5*$P$10))</f>
        <v>21.248489678442766</v>
      </c>
      <c r="Q25">
        <f ca="1">IF(Auxiliares!$D25&lt;(Producción!Q16*$A25),Auxiliares!$D25,Producción!Q16*$A25)*Auxiliares!$J$15*Auxiliares!$J$16*IF($P$4="Si",'Datos Consumo '!$C29,IF($P$3="No",$P$6,$P$8*Auxiliares!$N$4+Auxiliares!$N$5*$P$10))</f>
        <v>21.248489678442766</v>
      </c>
      <c r="R25">
        <f ca="1">IF(Auxiliares!$D25&lt;(Producción!R16*$A25),Auxiliares!$D25,Producción!R16*$A25)*Auxiliares!$J$15*Auxiliares!$J$16*IF($P$4="Si",'Datos Consumo '!$C29,IF($P$3="No",$P$6,$P$8*Auxiliares!$N$4+Auxiliares!$N$5*$P$10))</f>
        <v>21.248489678442766</v>
      </c>
      <c r="S25">
        <f ca="1">IF(Auxiliares!$D25&lt;(Producción!S16*$A25),Auxiliares!$D25,Producción!S16*$A25)*Auxiliares!$J$15*Auxiliares!$J$16*IF($P$4="Si",'Datos Consumo '!$C29,IF($P$3="No",$P$6,$P$8*Auxiliares!$N$4+Auxiliares!$N$5*$P$10))</f>
        <v>21.248489678442766</v>
      </c>
      <c r="T25">
        <f ca="1">IF(Auxiliares!$D25&lt;(Producción!T16*$A25),Auxiliares!$D25,Producción!T16*$A25)*Auxiliares!$J$15*Auxiliares!$J$16*IF($P$4="Si",'Datos Consumo '!$C29,IF($P$3="No",$P$6,$P$8*Auxiliares!$N$4+Auxiliares!$N$5*$P$10))</f>
        <v>21.248489678442766</v>
      </c>
      <c r="U25">
        <f ca="1">IF(Auxiliares!$D25&lt;(Producción!U16*$A25),Auxiliares!$D25,Producción!U16*$A25)*Auxiliares!$J$15*Auxiliares!$J$16*IF($P$4="Si",'Datos Consumo '!$C29,IF($P$3="No",$P$6,$P$8*Auxiliares!$N$4+Auxiliares!$N$5*$P$10))</f>
        <v>21.248489678442766</v>
      </c>
      <c r="V25">
        <f ca="1">IF(Auxiliares!$D25&lt;(Producción!V16*$A25),Auxiliares!$D25,Producción!V16*$A25)*Auxiliares!$J$15*Auxiliares!$J$16*IF($P$4="Si",'Datos Consumo '!$C29,IF($P$3="No",$P$6,$P$8*Auxiliares!$N$4+Auxiliares!$N$5*$P$10))</f>
        <v>21.248489678442766</v>
      </c>
      <c r="W25">
        <f ca="1">IF(Auxiliares!$D25&lt;(Producción!W16*$A25),Auxiliares!$D25,Producción!W16*$A25)*Auxiliares!$J$15*Auxiliares!$J$16*IF($P$4="Si",'Datos Consumo '!$C29,IF($P$3="No",$P$6,$P$8*Auxiliares!$N$4+Auxiliares!$N$5*$P$10))</f>
        <v>21.248489678442766</v>
      </c>
      <c r="X25">
        <f ca="1">IF(Auxiliares!$D25&lt;(Producción!X16*$A25),Auxiliares!$D25,Producción!X16*$A25)*Auxiliares!$J$15*Auxiliares!$J$16*IF($P$4="Si",'Datos Consumo '!$C29,IF($P$3="No",$P$6,$P$8*Auxiliares!$N$4+Auxiliares!$N$5*$P$10))</f>
        <v>21.248489678442766</v>
      </c>
      <c r="Y25">
        <f ca="1">IF(Auxiliares!$D25&lt;(Producción!Y16*$A25),Auxiliares!$D25,Producción!Y16*$A25)*Auxiliares!$J$15*Auxiliares!$J$16*IF($P$4="Si",'Datos Consumo '!$C29,IF($P$3="No",$P$6,$P$8*Auxiliares!$N$4+Auxiliares!$N$5*$P$10))</f>
        <v>21.248489678442766</v>
      </c>
      <c r="Z25">
        <f ca="1">IF(Auxiliares!$D25&lt;(Producción!Z16*$A25),Auxiliares!$D25,Producción!Z16*$A25)*Auxiliares!$J$15*Auxiliares!$J$16*IF($P$4="Si",'Datos Consumo '!$C29,IF($P$3="No",$P$6,$P$8*Auxiliares!$N$4+Auxiliares!$N$5*$P$10))</f>
        <v>21.248489678442766</v>
      </c>
      <c r="AA25">
        <f ca="1">IF(Auxiliares!$D25&lt;(Producción!AA16*$A25),Auxiliares!$D25,Producción!AA16*$A25)*Auxiliares!$J$15*Auxiliares!$J$16*IF($P$4="Si",'Datos Consumo '!$C29,IF($P$3="No",$P$6,$P$8*Auxiliares!$N$4+Auxiliares!$N$5*$P$10))</f>
        <v>21.248489678442766</v>
      </c>
      <c r="AB25">
        <f ca="1">IF(Auxiliares!$D25&lt;(Producción!AB16*$A25),Auxiliares!$D25,Producción!AB16*$A25)*Auxiliares!$J$15*Auxiliares!$J$16*IF($P$4="Si",'Datos Consumo '!$C29,IF($P$3="No",$P$6,$P$8*Auxiliares!$N$4+Auxiliares!$N$5*$P$10))</f>
        <v>21.248489678442766</v>
      </c>
      <c r="AC25">
        <f ca="1">IF(Auxiliares!$D25&lt;(Producción!AC16*$A25),Auxiliares!$D25,Producción!AC16*$A25)*Auxiliares!$J$15*Auxiliares!$J$16*IF($P$4="Si",'Datos Consumo '!$C29,IF($P$3="No",$P$6,$P$8*Auxiliares!$N$4+Auxiliares!$N$5*$P$10))</f>
        <v>21.248489678442766</v>
      </c>
      <c r="AD25">
        <f ca="1">IF(Auxiliares!$D25&lt;(Producción!AD16*$A25),Auxiliares!$D25,Producción!AD16*$A25)*Auxiliares!$J$15*Auxiliares!$J$16*IF($P$4="Si",'Datos Consumo '!$C29,IF($P$3="No",$P$6,$P$8*Auxiliares!$N$4+Auxiliares!$N$5*$P$10))</f>
        <v>21.248489678442766</v>
      </c>
      <c r="AE25">
        <f ca="1">IF(Auxiliares!$D25&lt;(Producción!AE16*$A25),Auxiliares!$D25,Producción!AE16*$A25)*Auxiliares!$J$15*Auxiliares!$J$16*IF($P$4="Si",'Datos Consumo '!$C29,IF($P$3="No",$P$6,$P$8*Auxiliares!$N$4+Auxiliares!$N$5*$P$10))</f>
        <v>21.248489678442766</v>
      </c>
      <c r="AF25">
        <f ca="1">IF(Auxiliares!$D25&lt;(Producción!AF16*$A25),Auxiliares!$D25,Producción!AF16*$A25)*Auxiliares!$J$15*Auxiliares!$J$16*IF($P$4="Si",'Datos Consumo '!$C29,IF($P$3="No",$P$6,$P$8*Auxiliares!$N$4+Auxiliares!$N$5*$P$10))</f>
        <v>21.248489678442766</v>
      </c>
    </row>
    <row r="26" spans="1:32">
      <c r="A26">
        <v>30</v>
      </c>
      <c r="B26" s="24" t="s">
        <v>14</v>
      </c>
      <c r="C26">
        <f ca="1">IF(Auxiliares!$D26&lt;(Producción!C17*$A26),Auxiliares!$D26,Producción!C17*$A26)*Auxiliares!$J$15*Auxiliares!$J$16*IF($P$4="Si",'Datos Consumo '!$C30,IF($P$3="No",$P$6,$P$8*Auxiliares!$N$4+Auxiliares!$N$5*$P$10))</f>
        <v>20.431240075425741</v>
      </c>
      <c r="D26">
        <f ca="1">IF(Auxiliares!$D26&lt;(Producción!D17*$A26),Auxiliares!$D26,Producción!D17*$A26)*Auxiliares!$J$15*Auxiliares!$J$16*IF($P$4="Si",'Datos Consumo '!$C30,IF($P$3="No",$P$6,$P$8*Auxiliares!$N$4+Auxiliares!$N$5*$P$10))</f>
        <v>20.431240075425741</v>
      </c>
      <c r="E26">
        <f ca="1">IF(Auxiliares!$D26&lt;(Producción!E17*$A26),Auxiliares!$D26,Producción!E17*$A26)*Auxiliares!$J$15*Auxiliares!$J$16*IF($P$4="Si",'Datos Consumo '!$C30,IF($P$3="No",$P$6,$P$8*Auxiliares!$N$4+Auxiliares!$N$5*$P$10))</f>
        <v>20.431240075425741</v>
      </c>
      <c r="F26">
        <f ca="1">IF(Auxiliares!$D26&lt;(Producción!F17*$A26),Auxiliares!$D26,Producción!F17*$A26)*Auxiliares!$J$15*Auxiliares!$J$16*IF($P$4="Si",'Datos Consumo '!$C30,IF($P$3="No",$P$6,$P$8*Auxiliares!$N$4+Auxiliares!$N$5*$P$10))</f>
        <v>20.431240075425741</v>
      </c>
      <c r="G26">
        <f ca="1">IF(Auxiliares!$D26&lt;(Producción!G17*$A26),Auxiliares!$D26,Producción!G17*$A26)*Auxiliares!$J$15*Auxiliares!$J$16*IF($P$4="Si",'Datos Consumo '!$C30,IF($P$3="No",$P$6,$P$8*Auxiliares!$N$4+Auxiliares!$N$5*$P$10))</f>
        <v>20.431240075425741</v>
      </c>
      <c r="H26">
        <f ca="1">IF(Auxiliares!$D26&lt;(Producción!H17*$A26),Auxiliares!$D26,Producción!H17*$A26)*Auxiliares!$J$15*Auxiliares!$J$16*IF($P$4="Si",'Datos Consumo '!$C30,IF($P$3="No",$P$6,$P$8*Auxiliares!$N$4+Auxiliares!$N$5*$P$10))</f>
        <v>20.431240075425741</v>
      </c>
      <c r="I26">
        <f ca="1">IF(Auxiliares!$D26&lt;(Producción!I17*$A26),Auxiliares!$D26,Producción!I17*$A26)*Auxiliares!$J$15*Auxiliares!$J$16*IF($P$4="Si",'Datos Consumo '!$C30,IF($P$3="No",$P$6,$P$8*Auxiliares!$N$4+Auxiliares!$N$5*$P$10))</f>
        <v>20.431240075425741</v>
      </c>
      <c r="J26">
        <f ca="1">IF(Auxiliares!$D26&lt;(Producción!J17*$A26),Auxiliares!$D26,Producción!J17*$A26)*Auxiliares!$J$15*Auxiliares!$J$16*IF($P$4="Si",'Datos Consumo '!$C30,IF($P$3="No",$P$6,$P$8*Auxiliares!$N$4+Auxiliares!$N$5*$P$10))</f>
        <v>20.431240075425741</v>
      </c>
      <c r="K26">
        <f ca="1">IF(Auxiliares!$D26&lt;(Producción!K17*$A26),Auxiliares!$D26,Producción!K17*$A26)*Auxiliares!$J$15*Auxiliares!$J$16*IF($P$4="Si",'Datos Consumo '!$C30,IF($P$3="No",$P$6,$P$8*Auxiliares!$N$4+Auxiliares!$N$5*$P$10))</f>
        <v>20.431240075425741</v>
      </c>
      <c r="L26">
        <f ca="1">IF(Auxiliares!$D26&lt;(Producción!L17*$A26),Auxiliares!$D26,Producción!L17*$A26)*Auxiliares!$J$15*Auxiliares!$J$16*IF($P$4="Si",'Datos Consumo '!$C30,IF($P$3="No",$P$6,$P$8*Auxiliares!$N$4+Auxiliares!$N$5*$P$10))</f>
        <v>20.431240075425741</v>
      </c>
      <c r="M26">
        <f ca="1">IF(Auxiliares!$D26&lt;(Producción!M17*$A26),Auxiliares!$D26,Producción!M17*$A26)*Auxiliares!$J$15*Auxiliares!$J$16*IF($P$4="Si",'Datos Consumo '!$C30,IF($P$3="No",$P$6,$P$8*Auxiliares!$N$4+Auxiliares!$N$5*$P$10))</f>
        <v>20.431240075425741</v>
      </c>
      <c r="N26">
        <f ca="1">IF(Auxiliares!$D26&lt;(Producción!N17*$A26),Auxiliares!$D26,Producción!N17*$A26)*Auxiliares!$J$15*Auxiliares!$J$16*IF($P$4="Si",'Datos Consumo '!$C30,IF($P$3="No",$P$6,$P$8*Auxiliares!$N$4+Auxiliares!$N$5*$P$10))</f>
        <v>20.431240075425741</v>
      </c>
      <c r="O26">
        <f ca="1">IF(Auxiliares!$D26&lt;(Producción!O17*$A26),Auxiliares!$D26,Producción!O17*$A26)*Auxiliares!$J$15*Auxiliares!$J$16*IF($P$4="Si",'Datos Consumo '!$C30,IF($P$3="No",$P$6,$P$8*Auxiliares!$N$4+Auxiliares!$N$5*$P$10))</f>
        <v>20.431240075425741</v>
      </c>
      <c r="P26">
        <f ca="1">IF(Auxiliares!$D26&lt;(Producción!P17*$A26),Auxiliares!$D26,Producción!P17*$A26)*Auxiliares!$J$15*Auxiliares!$J$16*IF($P$4="Si",'Datos Consumo '!$C30,IF($P$3="No",$P$6,$P$8*Auxiliares!$N$4+Auxiliares!$N$5*$P$10))</f>
        <v>20.431240075425741</v>
      </c>
      <c r="Q26">
        <f ca="1">IF(Auxiliares!$D26&lt;(Producción!Q17*$A26),Auxiliares!$D26,Producción!Q17*$A26)*Auxiliares!$J$15*Auxiliares!$J$16*IF($P$4="Si",'Datos Consumo '!$C30,IF($P$3="No",$P$6,$P$8*Auxiliares!$N$4+Auxiliares!$N$5*$P$10))</f>
        <v>20.431240075425741</v>
      </c>
      <c r="R26">
        <f ca="1">IF(Auxiliares!$D26&lt;(Producción!R17*$A26),Auxiliares!$D26,Producción!R17*$A26)*Auxiliares!$J$15*Auxiliares!$J$16*IF($P$4="Si",'Datos Consumo '!$C30,IF($P$3="No",$P$6,$P$8*Auxiliares!$N$4+Auxiliares!$N$5*$P$10))</f>
        <v>20.431240075425741</v>
      </c>
      <c r="S26">
        <f ca="1">IF(Auxiliares!$D26&lt;(Producción!S17*$A26),Auxiliares!$D26,Producción!S17*$A26)*Auxiliares!$J$15*Auxiliares!$J$16*IF($P$4="Si",'Datos Consumo '!$C30,IF($P$3="No",$P$6,$P$8*Auxiliares!$N$4+Auxiliares!$N$5*$P$10))</f>
        <v>20.431240075425741</v>
      </c>
      <c r="T26">
        <f ca="1">IF(Auxiliares!$D26&lt;(Producción!T17*$A26),Auxiliares!$D26,Producción!T17*$A26)*Auxiliares!$J$15*Auxiliares!$J$16*IF($P$4="Si",'Datos Consumo '!$C30,IF($P$3="No",$P$6,$P$8*Auxiliares!$N$4+Auxiliares!$N$5*$P$10))</f>
        <v>20.431240075425741</v>
      </c>
      <c r="U26">
        <f ca="1">IF(Auxiliares!$D26&lt;(Producción!U17*$A26),Auxiliares!$D26,Producción!U17*$A26)*Auxiliares!$J$15*Auxiliares!$J$16*IF($P$4="Si",'Datos Consumo '!$C30,IF($P$3="No",$P$6,$P$8*Auxiliares!$N$4+Auxiliares!$N$5*$P$10))</f>
        <v>20.431240075425741</v>
      </c>
      <c r="V26">
        <f ca="1">IF(Auxiliares!$D26&lt;(Producción!V17*$A26),Auxiliares!$D26,Producción!V17*$A26)*Auxiliares!$J$15*Auxiliares!$J$16*IF($P$4="Si",'Datos Consumo '!$C30,IF($P$3="No",$P$6,$P$8*Auxiliares!$N$4+Auxiliares!$N$5*$P$10))</f>
        <v>20.431240075425741</v>
      </c>
      <c r="W26">
        <f ca="1">IF(Auxiliares!$D26&lt;(Producción!W17*$A26),Auxiliares!$D26,Producción!W17*$A26)*Auxiliares!$J$15*Auxiliares!$J$16*IF($P$4="Si",'Datos Consumo '!$C30,IF($P$3="No",$P$6,$P$8*Auxiliares!$N$4+Auxiliares!$N$5*$P$10))</f>
        <v>20.431240075425741</v>
      </c>
      <c r="X26">
        <f ca="1">IF(Auxiliares!$D26&lt;(Producción!X17*$A26),Auxiliares!$D26,Producción!X17*$A26)*Auxiliares!$J$15*Auxiliares!$J$16*IF($P$4="Si",'Datos Consumo '!$C30,IF($P$3="No",$P$6,$P$8*Auxiliares!$N$4+Auxiliares!$N$5*$P$10))</f>
        <v>20.431240075425741</v>
      </c>
      <c r="Y26">
        <f ca="1">IF(Auxiliares!$D26&lt;(Producción!Y17*$A26),Auxiliares!$D26,Producción!Y17*$A26)*Auxiliares!$J$15*Auxiliares!$J$16*IF($P$4="Si",'Datos Consumo '!$C30,IF($P$3="No",$P$6,$P$8*Auxiliares!$N$4+Auxiliares!$N$5*$P$10))</f>
        <v>20.431240075425741</v>
      </c>
      <c r="Z26">
        <f ca="1">IF(Auxiliares!$D26&lt;(Producción!Z17*$A26),Auxiliares!$D26,Producción!Z17*$A26)*Auxiliares!$J$15*Auxiliares!$J$16*IF($P$4="Si",'Datos Consumo '!$C30,IF($P$3="No",$P$6,$P$8*Auxiliares!$N$4+Auxiliares!$N$5*$P$10))</f>
        <v>20.431240075425741</v>
      </c>
      <c r="AA26">
        <f ca="1">IF(Auxiliares!$D26&lt;(Producción!AA17*$A26),Auxiliares!$D26,Producción!AA17*$A26)*Auxiliares!$J$15*Auxiliares!$J$16*IF($P$4="Si",'Datos Consumo '!$C30,IF($P$3="No",$P$6,$P$8*Auxiliares!$N$4+Auxiliares!$N$5*$P$10))</f>
        <v>20.431240075425741</v>
      </c>
      <c r="AB26">
        <f ca="1">IF(Auxiliares!$D26&lt;(Producción!AB17*$A26),Auxiliares!$D26,Producción!AB17*$A26)*Auxiliares!$J$15*Auxiliares!$J$16*IF($P$4="Si",'Datos Consumo '!$C30,IF($P$3="No",$P$6,$P$8*Auxiliares!$N$4+Auxiliares!$N$5*$P$10))</f>
        <v>20.431240075425741</v>
      </c>
      <c r="AC26">
        <f ca="1">IF(Auxiliares!$D26&lt;(Producción!AC17*$A26),Auxiliares!$D26,Producción!AC17*$A26)*Auxiliares!$J$15*Auxiliares!$J$16*IF($P$4="Si",'Datos Consumo '!$C30,IF($P$3="No",$P$6,$P$8*Auxiliares!$N$4+Auxiliares!$N$5*$P$10))</f>
        <v>20.431240075425741</v>
      </c>
      <c r="AD26">
        <f ca="1">IF(Auxiliares!$D26&lt;(Producción!AD17*$A26),Auxiliares!$D26,Producción!AD17*$A26)*Auxiliares!$J$15*Auxiliares!$J$16*IF($P$4="Si",'Datos Consumo '!$C30,IF($P$3="No",$P$6,$P$8*Auxiliares!$N$4+Auxiliares!$N$5*$P$10))</f>
        <v>20.431240075425741</v>
      </c>
      <c r="AE26">
        <f ca="1">IF(Auxiliares!$D26&lt;(Producción!AE17*$A26),Auxiliares!$D26,Producción!AE17*$A26)*Auxiliares!$J$15*Auxiliares!$J$16*IF($P$4="Si",'Datos Consumo '!$C30,IF($P$3="No",$P$6,$P$8*Auxiliares!$N$4+Auxiliares!$N$5*$P$10))</f>
        <v>20.431240075425741</v>
      </c>
      <c r="AF26">
        <f ca="1">IF(Auxiliares!$D26&lt;(Producción!AF17*$A26),Auxiliares!$D26,Producción!AF17*$A26)*Auxiliares!$J$15*Auxiliares!$J$16*IF($P$4="Si",'Datos Consumo '!$C30,IF($P$3="No",$P$6,$P$8*Auxiliares!$N$4+Auxiliares!$N$5*$P$10))</f>
        <v>20.431240075425741</v>
      </c>
    </row>
    <row r="27" spans="1:32">
      <c r="A27">
        <v>31</v>
      </c>
      <c r="B27" s="24" t="s">
        <v>15</v>
      </c>
      <c r="C27">
        <f ca="1">IF(Auxiliares!$D27&lt;(Producción!C18*$A27),Auxiliares!$D27,Producción!C18*$A27)*Auxiliares!$J$15*Auxiliares!$J$16*IF($P$4="Si",'Datos Consumo '!$C31,IF($P$3="No",$P$6,$P$8*Auxiliares!$N$4+Auxiliares!$N$5*$P$10))</f>
        <v>28.603736105596038</v>
      </c>
      <c r="D27">
        <f ca="1">IF(Auxiliares!$D27&lt;(Producción!D18*$A27),Auxiliares!$D27,Producción!D18*$A27)*Auxiliares!$J$15*Auxiliares!$J$16*IF($P$4="Si",'Datos Consumo '!$C31,IF($P$3="No",$P$6,$P$8*Auxiliares!$N$4+Auxiliares!$N$5*$P$10))</f>
        <v>28.603736105596038</v>
      </c>
      <c r="E27">
        <f ca="1">IF(Auxiliares!$D27&lt;(Producción!E18*$A27),Auxiliares!$D27,Producción!E18*$A27)*Auxiliares!$J$15*Auxiliares!$J$16*IF($P$4="Si",'Datos Consumo '!$C31,IF($P$3="No",$P$6,$P$8*Auxiliares!$N$4+Auxiliares!$N$5*$P$10))</f>
        <v>28.603736105596038</v>
      </c>
      <c r="F27">
        <f ca="1">IF(Auxiliares!$D27&lt;(Producción!F18*$A27),Auxiliares!$D27,Producción!F18*$A27)*Auxiliares!$J$15*Auxiliares!$J$16*IF($P$4="Si",'Datos Consumo '!$C31,IF($P$3="No",$P$6,$P$8*Auxiliares!$N$4+Auxiliares!$N$5*$P$10))</f>
        <v>28.603736105596038</v>
      </c>
      <c r="G27">
        <f ca="1">IF(Auxiliares!$D27&lt;(Producción!G18*$A27),Auxiliares!$D27,Producción!G18*$A27)*Auxiliares!$J$15*Auxiliares!$J$16*IF($P$4="Si",'Datos Consumo '!$C31,IF($P$3="No",$P$6,$P$8*Auxiliares!$N$4+Auxiliares!$N$5*$P$10))</f>
        <v>28.603736105596038</v>
      </c>
      <c r="H27">
        <f ca="1">IF(Auxiliares!$D27&lt;(Producción!H18*$A27),Auxiliares!$D27,Producción!H18*$A27)*Auxiliares!$J$15*Auxiliares!$J$16*IF($P$4="Si",'Datos Consumo '!$C31,IF($P$3="No",$P$6,$P$8*Auxiliares!$N$4+Auxiliares!$N$5*$P$10))</f>
        <v>28.603736105596038</v>
      </c>
      <c r="I27">
        <f ca="1">IF(Auxiliares!$D27&lt;(Producción!I18*$A27),Auxiliares!$D27,Producción!I18*$A27)*Auxiliares!$J$15*Auxiliares!$J$16*IF($P$4="Si",'Datos Consumo '!$C31,IF($P$3="No",$P$6,$P$8*Auxiliares!$N$4+Auxiliares!$N$5*$P$10))</f>
        <v>28.603736105596038</v>
      </c>
      <c r="J27">
        <f ca="1">IF(Auxiliares!$D27&lt;(Producción!J18*$A27),Auxiliares!$D27,Producción!J18*$A27)*Auxiliares!$J$15*Auxiliares!$J$16*IF($P$4="Si",'Datos Consumo '!$C31,IF($P$3="No",$P$6,$P$8*Auxiliares!$N$4+Auxiliares!$N$5*$P$10))</f>
        <v>28.603736105596038</v>
      </c>
      <c r="K27">
        <f ca="1">IF(Auxiliares!$D27&lt;(Producción!K18*$A27),Auxiliares!$D27,Producción!K18*$A27)*Auxiliares!$J$15*Auxiliares!$J$16*IF($P$4="Si",'Datos Consumo '!$C31,IF($P$3="No",$P$6,$P$8*Auxiliares!$N$4+Auxiliares!$N$5*$P$10))</f>
        <v>28.603736105596038</v>
      </c>
      <c r="L27">
        <f ca="1">IF(Auxiliares!$D27&lt;(Producción!L18*$A27),Auxiliares!$D27,Producción!L18*$A27)*Auxiliares!$J$15*Auxiliares!$J$16*IF($P$4="Si",'Datos Consumo '!$C31,IF($P$3="No",$P$6,$P$8*Auxiliares!$N$4+Auxiliares!$N$5*$P$10))</f>
        <v>28.603736105596038</v>
      </c>
      <c r="M27">
        <f ca="1">IF(Auxiliares!$D27&lt;(Producción!M18*$A27),Auxiliares!$D27,Producción!M18*$A27)*Auxiliares!$J$15*Auxiliares!$J$16*IF($P$4="Si",'Datos Consumo '!$C31,IF($P$3="No",$P$6,$P$8*Auxiliares!$N$4+Auxiliares!$N$5*$P$10))</f>
        <v>28.603736105596038</v>
      </c>
      <c r="N27">
        <f ca="1">IF(Auxiliares!$D27&lt;(Producción!N18*$A27),Auxiliares!$D27,Producción!N18*$A27)*Auxiliares!$J$15*Auxiliares!$J$16*IF($P$4="Si",'Datos Consumo '!$C31,IF($P$3="No",$P$6,$P$8*Auxiliares!$N$4+Auxiliares!$N$5*$P$10))</f>
        <v>28.603736105596038</v>
      </c>
      <c r="O27">
        <f ca="1">IF(Auxiliares!$D27&lt;(Producción!O18*$A27),Auxiliares!$D27,Producción!O18*$A27)*Auxiliares!$J$15*Auxiliares!$J$16*IF($P$4="Si",'Datos Consumo '!$C31,IF($P$3="No",$P$6,$P$8*Auxiliares!$N$4+Auxiliares!$N$5*$P$10))</f>
        <v>28.603736105596038</v>
      </c>
      <c r="P27">
        <f ca="1">IF(Auxiliares!$D27&lt;(Producción!P18*$A27),Auxiliares!$D27,Producción!P18*$A27)*Auxiliares!$J$15*Auxiliares!$J$16*IF($P$4="Si",'Datos Consumo '!$C31,IF($P$3="No",$P$6,$P$8*Auxiliares!$N$4+Auxiliares!$N$5*$P$10))</f>
        <v>28.603736105596038</v>
      </c>
      <c r="Q27">
        <f ca="1">IF(Auxiliares!$D27&lt;(Producción!Q18*$A27),Auxiliares!$D27,Producción!Q18*$A27)*Auxiliares!$J$15*Auxiliares!$J$16*IF($P$4="Si",'Datos Consumo '!$C31,IF($P$3="No",$P$6,$P$8*Auxiliares!$N$4+Auxiliares!$N$5*$P$10))</f>
        <v>28.603736105596038</v>
      </c>
      <c r="R27">
        <f ca="1">IF(Auxiliares!$D27&lt;(Producción!R18*$A27),Auxiliares!$D27,Producción!R18*$A27)*Auxiliares!$J$15*Auxiliares!$J$16*IF($P$4="Si",'Datos Consumo '!$C31,IF($P$3="No",$P$6,$P$8*Auxiliares!$N$4+Auxiliares!$N$5*$P$10))</f>
        <v>28.603736105596038</v>
      </c>
      <c r="S27">
        <f ca="1">IF(Auxiliares!$D27&lt;(Producción!S18*$A27),Auxiliares!$D27,Producción!S18*$A27)*Auxiliares!$J$15*Auxiliares!$J$16*IF($P$4="Si",'Datos Consumo '!$C31,IF($P$3="No",$P$6,$P$8*Auxiliares!$N$4+Auxiliares!$N$5*$P$10))</f>
        <v>28.603736105596038</v>
      </c>
      <c r="T27">
        <f ca="1">IF(Auxiliares!$D27&lt;(Producción!T18*$A27),Auxiliares!$D27,Producción!T18*$A27)*Auxiliares!$J$15*Auxiliares!$J$16*IF($P$4="Si",'Datos Consumo '!$C31,IF($P$3="No",$P$6,$P$8*Auxiliares!$N$4+Auxiliares!$N$5*$P$10))</f>
        <v>28.603736105596038</v>
      </c>
      <c r="U27">
        <f ca="1">IF(Auxiliares!$D27&lt;(Producción!U18*$A27),Auxiliares!$D27,Producción!U18*$A27)*Auxiliares!$J$15*Auxiliares!$J$16*IF($P$4="Si",'Datos Consumo '!$C31,IF($P$3="No",$P$6,$P$8*Auxiliares!$N$4+Auxiliares!$N$5*$P$10))</f>
        <v>28.603736105596038</v>
      </c>
      <c r="V27">
        <f ca="1">IF(Auxiliares!$D27&lt;(Producción!V18*$A27),Auxiliares!$D27,Producción!V18*$A27)*Auxiliares!$J$15*Auxiliares!$J$16*IF($P$4="Si",'Datos Consumo '!$C31,IF($P$3="No",$P$6,$P$8*Auxiliares!$N$4+Auxiliares!$N$5*$P$10))</f>
        <v>28.603736105596038</v>
      </c>
      <c r="W27">
        <f ca="1">IF(Auxiliares!$D27&lt;(Producción!W18*$A27),Auxiliares!$D27,Producción!W18*$A27)*Auxiliares!$J$15*Auxiliares!$J$16*IF($P$4="Si",'Datos Consumo '!$C31,IF($P$3="No",$P$6,$P$8*Auxiliares!$N$4+Auxiliares!$N$5*$P$10))</f>
        <v>28.603736105596038</v>
      </c>
      <c r="X27">
        <f ca="1">IF(Auxiliares!$D27&lt;(Producción!X18*$A27),Auxiliares!$D27,Producción!X18*$A27)*Auxiliares!$J$15*Auxiliares!$J$16*IF($P$4="Si",'Datos Consumo '!$C31,IF($P$3="No",$P$6,$P$8*Auxiliares!$N$4+Auxiliares!$N$5*$P$10))</f>
        <v>28.603736105596038</v>
      </c>
      <c r="Y27">
        <f ca="1">IF(Auxiliares!$D27&lt;(Producción!Y18*$A27),Auxiliares!$D27,Producción!Y18*$A27)*Auxiliares!$J$15*Auxiliares!$J$16*IF($P$4="Si",'Datos Consumo '!$C31,IF($P$3="No",$P$6,$P$8*Auxiliares!$N$4+Auxiliares!$N$5*$P$10))</f>
        <v>28.603736105596038</v>
      </c>
      <c r="Z27">
        <f ca="1">IF(Auxiliares!$D27&lt;(Producción!Z18*$A27),Auxiliares!$D27,Producción!Z18*$A27)*Auxiliares!$J$15*Auxiliares!$J$16*IF($P$4="Si",'Datos Consumo '!$C31,IF($P$3="No",$P$6,$P$8*Auxiliares!$N$4+Auxiliares!$N$5*$P$10))</f>
        <v>28.603736105596038</v>
      </c>
      <c r="AA27">
        <f ca="1">IF(Auxiliares!$D27&lt;(Producción!AA18*$A27),Auxiliares!$D27,Producción!AA18*$A27)*Auxiliares!$J$15*Auxiliares!$J$16*IF($P$4="Si",'Datos Consumo '!$C31,IF($P$3="No",$P$6,$P$8*Auxiliares!$N$4+Auxiliares!$N$5*$P$10))</f>
        <v>28.603736105596038</v>
      </c>
      <c r="AB27">
        <f ca="1">IF(Auxiliares!$D27&lt;(Producción!AB18*$A27),Auxiliares!$D27,Producción!AB18*$A27)*Auxiliares!$J$15*Auxiliares!$J$16*IF($P$4="Si",'Datos Consumo '!$C31,IF($P$3="No",$P$6,$P$8*Auxiliares!$N$4+Auxiliares!$N$5*$P$10))</f>
        <v>28.603736105596038</v>
      </c>
      <c r="AC27">
        <f ca="1">IF(Auxiliares!$D27&lt;(Producción!AC18*$A27),Auxiliares!$D27,Producción!AC18*$A27)*Auxiliares!$J$15*Auxiliares!$J$16*IF($P$4="Si",'Datos Consumo '!$C31,IF($P$3="No",$P$6,$P$8*Auxiliares!$N$4+Auxiliares!$N$5*$P$10))</f>
        <v>28.603736105596038</v>
      </c>
      <c r="AD27">
        <f ca="1">IF(Auxiliares!$D27&lt;(Producción!AD18*$A27),Auxiliares!$D27,Producción!AD18*$A27)*Auxiliares!$J$15*Auxiliares!$J$16*IF($P$4="Si",'Datos Consumo '!$C31,IF($P$3="No",$P$6,$P$8*Auxiliares!$N$4+Auxiliares!$N$5*$P$10))</f>
        <v>28.603736105596038</v>
      </c>
      <c r="AE27">
        <f ca="1">IF(Auxiliares!$D27&lt;(Producción!AE18*$A27),Auxiliares!$D27,Producción!AE18*$A27)*Auxiliares!$J$15*Auxiliares!$J$16*IF($P$4="Si",'Datos Consumo '!$C31,IF($P$3="No",$P$6,$P$8*Auxiliares!$N$4+Auxiliares!$N$5*$P$10))</f>
        <v>28.603736105596038</v>
      </c>
      <c r="AF27">
        <f ca="1">IF(Auxiliares!$D27&lt;(Producción!AF18*$A27),Auxiliares!$D27,Producción!AF18*$A27)*Auxiliares!$J$15*Auxiliares!$J$16*IF($P$4="Si",'Datos Consumo '!$C31,IF($P$3="No",$P$6,$P$8*Auxiliares!$N$4+Auxiliares!$N$5*$P$10))</f>
        <v>28.603736105596038</v>
      </c>
    </row>
    <row r="28" spans="1:32" s="134" customFormat="1">
      <c r="A28" s="279" t="s">
        <v>436</v>
      </c>
      <c r="B28" s="279"/>
      <c r="C28" s="279"/>
    </row>
    <row r="29" spans="1:32">
      <c r="B29" s="24" t="s">
        <v>4</v>
      </c>
      <c r="C29">
        <f ca="1">IF(Auxiliares!$D16&lt;(Producción!C26*$A16),Auxiliares!$D16,Producción!C26*$A16)*Auxiliares!$J$15*Auxiliares!$J$16*IF($P$4="Si",0,IF($P$3="No",$P$6,$P$8*Auxiliares!$N$4+Auxiliares!$N$5*$P$10))</f>
        <v>28.603736105596038</v>
      </c>
      <c r="D29">
        <f ca="1">IF(Auxiliares!$D16&lt;(Producción!D26*$A16),Auxiliares!$D16,Producción!D26*$A16)*Auxiliares!$J$15*Auxiliares!$J$16*IF($P$4="Si",0,IF($P$3="No",$P$6,$P$8*Auxiliares!$N$4+Auxiliares!$N$5*$P$10))</f>
        <v>28.603736105596038</v>
      </c>
      <c r="E29">
        <f ca="1">IF(Auxiliares!$D16&lt;(Producción!E26*$A16),Auxiliares!$D16,Producción!E26*$A16)*Auxiliares!$J$15*Auxiliares!$J$16*IF($P$4="Si",0,IF($P$3="No",$P$6,$P$8*Auxiliares!$N$4+Auxiliares!$N$5*$P$10))</f>
        <v>28.603736105596038</v>
      </c>
      <c r="F29">
        <f ca="1">IF(Auxiliares!$D16&lt;(Producción!F26*$A16),Auxiliares!$D16,Producción!F26*$A16)*Auxiliares!$J$15*Auxiliares!$J$16*IF($P$4="Si",0,IF($P$3="No",$P$6,$P$8*Auxiliares!$N$4+Auxiliares!$N$5*$P$10))</f>
        <v>28.603736105596038</v>
      </c>
      <c r="G29">
        <f ca="1">IF(Auxiliares!$D16&lt;(Producción!G26*$A16),Auxiliares!$D16,Producción!G26*$A16)*Auxiliares!$J$15*Auxiliares!$J$16*IF($P$4="Si",0,IF($P$3="No",$P$6,$P$8*Auxiliares!$N$4+Auxiliares!$N$5*$P$10))</f>
        <v>28.603736105596038</v>
      </c>
      <c r="H29">
        <f ca="1">IF(Auxiliares!$D16&lt;(Producción!H26*$A16),Auxiliares!$D16,Producción!H26*$A16)*Auxiliares!$J$15*Auxiliares!$J$16*IF($P$4="Si",0,IF($P$3="No",$P$6,$P$8*Auxiliares!$N$4+Auxiliares!$N$5*$P$10))</f>
        <v>28.603736105596038</v>
      </c>
      <c r="I29">
        <f ca="1">IF(Auxiliares!$D16&lt;(Producción!I26*$A16),Auxiliares!$D16,Producción!I26*$A16)*Auxiliares!$J$15*Auxiliares!$J$16*IF($P$4="Si",0,IF($P$3="No",$P$6,$P$8*Auxiliares!$N$4+Auxiliares!$N$5*$P$10))</f>
        <v>28.603736105596038</v>
      </c>
      <c r="J29">
        <f ca="1">IF(Auxiliares!$D16&lt;(Producción!J26*$A16),Auxiliares!$D16,Producción!J26*$A16)*Auxiliares!$J$15*Auxiliares!$J$16*IF($P$4="Si",0,IF($P$3="No",$P$6,$P$8*Auxiliares!$N$4+Auxiliares!$N$5*$P$10))</f>
        <v>28.603736105596038</v>
      </c>
      <c r="K29">
        <f ca="1">IF(Auxiliares!$D16&lt;(Producción!K26*$A16),Auxiliares!$D16,Producción!K26*$A16)*Auxiliares!$J$15*Auxiliares!$J$16*IF($P$4="Si",0,IF($P$3="No",$P$6,$P$8*Auxiliares!$N$4+Auxiliares!$N$5*$P$10))</f>
        <v>28.603736105596038</v>
      </c>
      <c r="L29">
        <f ca="1">IF(Auxiliares!$D16&lt;(Producción!L26*$A16),Auxiliares!$D16,Producción!L26*$A16)*Auxiliares!$J$15*Auxiliares!$J$16*IF($P$4="Si",0,IF($P$3="No",$P$6,$P$8*Auxiliares!$N$4+Auxiliares!$N$5*$P$10))</f>
        <v>28.603736105596038</v>
      </c>
      <c r="M29">
        <f ca="1">IF(Auxiliares!$D16&lt;(Producción!M26*$A16),Auxiliares!$D16,Producción!M26*$A16)*Auxiliares!$J$15*Auxiliares!$J$16*IF($P$4="Si",0,IF($P$3="No",$P$6,$P$8*Auxiliares!$N$4+Auxiliares!$N$5*$P$10))</f>
        <v>28.603736105596038</v>
      </c>
      <c r="N29">
        <f ca="1">IF(Auxiliares!$D16&lt;(Producción!N26*$A16),Auxiliares!$D16,Producción!N26*$A16)*Auxiliares!$J$15*Auxiliares!$J$16*IF($P$4="Si",0,IF($P$3="No",$P$6,$P$8*Auxiliares!$N$4+Auxiliares!$N$5*$P$10))</f>
        <v>28.603736105596038</v>
      </c>
      <c r="O29">
        <f ca="1">IF(Auxiliares!$D16&lt;(Producción!O26*$A16),Auxiliares!$D16,Producción!O26*$A16)*Auxiliares!$J$15*Auxiliares!$J$16*IF($P$4="Si",0,IF($P$3="No",$P$6,$P$8*Auxiliares!$N$4+Auxiliares!$N$5*$P$10))</f>
        <v>28.603736105596038</v>
      </c>
      <c r="P29">
        <f ca="1">IF(Auxiliares!$D16&lt;(Producción!P26*$A16),Auxiliares!$D16,Producción!P26*$A16)*Auxiliares!$J$15*Auxiliares!$J$16*IF($P$4="Si",0,IF($P$3="No",$P$6,$P$8*Auxiliares!$N$4+Auxiliares!$N$5*$P$10))</f>
        <v>28.603736105596038</v>
      </c>
      <c r="Q29">
        <f ca="1">IF(Auxiliares!$D16&lt;(Producción!Q26*$A16),Auxiliares!$D16,Producción!Q26*$A16)*Auxiliares!$J$15*Auxiliares!$J$16*IF($P$4="Si",0,IF($P$3="No",$P$6,$P$8*Auxiliares!$N$4+Auxiliares!$N$5*$P$10))</f>
        <v>28.603736105596038</v>
      </c>
      <c r="R29">
        <f ca="1">IF(Auxiliares!$D16&lt;(Producción!R26*$A16),Auxiliares!$D16,Producción!R26*$A16)*Auxiliares!$J$15*Auxiliares!$J$16*IF($P$4="Si",0,IF($P$3="No",$P$6,$P$8*Auxiliares!$N$4+Auxiliares!$N$5*$P$10))</f>
        <v>28.603736105596038</v>
      </c>
      <c r="S29">
        <f ca="1">IF(Auxiliares!$D16&lt;(Producción!S26*$A16),Auxiliares!$D16,Producción!S26*$A16)*Auxiliares!$J$15*Auxiliares!$J$16*IF($P$4="Si",0,IF($P$3="No",$P$6,$P$8*Auxiliares!$N$4+Auxiliares!$N$5*$P$10))</f>
        <v>28.603736105596038</v>
      </c>
      <c r="T29">
        <f ca="1">IF(Auxiliares!$D16&lt;(Producción!T26*$A16),Auxiliares!$D16,Producción!T26*$A16)*Auxiliares!$J$15*Auxiliares!$J$16*IF($P$4="Si",0,IF($P$3="No",$P$6,$P$8*Auxiliares!$N$4+Auxiliares!$N$5*$P$10))</f>
        <v>28.603736105596038</v>
      </c>
      <c r="U29">
        <f ca="1">IF(Auxiliares!$D16&lt;(Producción!U26*$A16),Auxiliares!$D16,Producción!U26*$A16)*Auxiliares!$J$15*Auxiliares!$J$16*IF($P$4="Si",0,IF($P$3="No",$P$6,$P$8*Auxiliares!$N$4+Auxiliares!$N$5*$P$10))</f>
        <v>28.603736105596038</v>
      </c>
      <c r="V29">
        <f ca="1">IF(Auxiliares!$D16&lt;(Producción!V26*$A16),Auxiliares!$D16,Producción!V26*$A16)*Auxiliares!$J$15*Auxiliares!$J$16*IF($P$4="Si",0,IF($P$3="No",$P$6,$P$8*Auxiliares!$N$4+Auxiliares!$N$5*$P$10))</f>
        <v>28.603736105596038</v>
      </c>
      <c r="W29">
        <f ca="1">IF(Auxiliares!$D16&lt;(Producción!W26*$A16),Auxiliares!$D16,Producción!W26*$A16)*Auxiliares!$J$15*Auxiliares!$J$16*IF($P$4="Si",0,IF($P$3="No",$P$6,$P$8*Auxiliares!$N$4+Auxiliares!$N$5*$P$10))</f>
        <v>28.603736105596038</v>
      </c>
      <c r="X29">
        <f ca="1">IF(Auxiliares!$D16&lt;(Producción!X26*$A16),Auxiliares!$D16,Producción!X26*$A16)*Auxiliares!$J$15*Auxiliares!$J$16*IF($P$4="Si",0,IF($P$3="No",$P$6,$P$8*Auxiliares!$N$4+Auxiliares!$N$5*$P$10))</f>
        <v>28.603736105596038</v>
      </c>
      <c r="Y29">
        <f ca="1">IF(Auxiliares!$D16&lt;(Producción!Y26*$A16),Auxiliares!$D16,Producción!Y26*$A16)*Auxiliares!$J$15*Auxiliares!$J$16*IF($P$4="Si",0,IF($P$3="No",$P$6,$P$8*Auxiliares!$N$4+Auxiliares!$N$5*$P$10))</f>
        <v>28.603736105596038</v>
      </c>
      <c r="Z29">
        <f ca="1">IF(Auxiliares!$D16&lt;(Producción!Z26*$A16),Auxiliares!$D16,Producción!Z26*$A16)*Auxiliares!$J$15*Auxiliares!$J$16*IF($P$4="Si",0,IF($P$3="No",$P$6,$P$8*Auxiliares!$N$4+Auxiliares!$N$5*$P$10))</f>
        <v>28.603736105596038</v>
      </c>
      <c r="AA29">
        <f ca="1">IF(Auxiliares!$D16&lt;(Producción!AA26*$A16),Auxiliares!$D16,Producción!AA26*$A16)*Auxiliares!$J$15*Auxiliares!$J$16*IF($P$4="Si",0,IF($P$3="No",$P$6,$P$8*Auxiliares!$N$4+Auxiliares!$N$5*$P$10))</f>
        <v>28.603736105596038</v>
      </c>
      <c r="AB29">
        <f ca="1">IF(Auxiliares!$D16&lt;(Producción!AB26*$A16),Auxiliares!$D16,Producción!AB26*$A16)*Auxiliares!$J$15*Auxiliares!$J$16*IF($P$4="Si",0,IF($P$3="No",$P$6,$P$8*Auxiliares!$N$4+Auxiliares!$N$5*$P$10))</f>
        <v>28.603736105596038</v>
      </c>
      <c r="AC29">
        <f ca="1">IF(Auxiliares!$D16&lt;(Producción!AC26*$A16),Auxiliares!$D16,Producción!AC26*$A16)*Auxiliares!$J$15*Auxiliares!$J$16*IF($P$4="Si",0,IF($P$3="No",$P$6,$P$8*Auxiliares!$N$4+Auxiliares!$N$5*$P$10))</f>
        <v>28.603736105596038</v>
      </c>
      <c r="AD29">
        <f ca="1">IF(Auxiliares!$D16&lt;(Producción!AD26*$A16),Auxiliares!$D16,Producción!AD26*$A16)*Auxiliares!$J$15*Auxiliares!$J$16*IF($P$4="Si",0,IF($P$3="No",$P$6,$P$8*Auxiliares!$N$4+Auxiliares!$N$5*$P$10))</f>
        <v>28.603736105596038</v>
      </c>
      <c r="AE29">
        <f ca="1">IF(Auxiliares!$D16&lt;(Producción!AE26*$A16),Auxiliares!$D16,Producción!AE26*$A16)*Auxiliares!$J$15*Auxiliares!$J$16*IF($P$4="Si",0,IF($P$3="No",$P$6,$P$8*Auxiliares!$N$4+Auxiliares!$N$5*$P$10))</f>
        <v>28.603736105596038</v>
      </c>
      <c r="AF29">
        <f ca="1">IF(Auxiliares!$D16&lt;(Producción!AF26*$A16),Auxiliares!$D16,Producción!AF26*$A16)*Auxiliares!$J$15*Auxiliares!$J$16*IF($P$4="Si",0,IF($P$3="No",$P$6,$P$8*Auxiliares!$N$4+Auxiliares!$N$5*$P$10))</f>
        <v>28.603736105596038</v>
      </c>
    </row>
    <row r="30" spans="1:32">
      <c r="B30" s="24" t="s">
        <v>5</v>
      </c>
      <c r="C30">
        <f ca="1">IF(Auxiliares!$D17&lt;(Producción!C27*$A17),Auxiliares!$D17,Producción!C27*$A17)*Auxiliares!$J$15*Auxiliares!$J$16*IF($P$4="Si",0,IF($P$3="No",$P$6,$P$8*Auxiliares!$N$4+Auxiliares!$N$5*$P$10))</f>
        <v>26.151987296544942</v>
      </c>
      <c r="D30">
        <f ca="1">IF(Auxiliares!$D17&lt;(Producción!D27*$A17),Auxiliares!$D17,Producción!D27*$A17)*Auxiliares!$J$15*Auxiliares!$J$16*IF($P$4="Si",0,IF($P$3="No",$P$6,$P$8*Auxiliares!$N$4+Auxiliares!$N$5*$P$10))</f>
        <v>26.151987296544942</v>
      </c>
      <c r="E30">
        <f ca="1">IF(Auxiliares!$D17&lt;(Producción!E27*$A17),Auxiliares!$D17,Producción!E27*$A17)*Auxiliares!$J$15*Auxiliares!$J$16*IF($P$4="Si",0,IF($P$3="No",$P$6,$P$8*Auxiliares!$N$4+Auxiliares!$N$5*$P$10))</f>
        <v>26.151987296544942</v>
      </c>
      <c r="F30">
        <f ca="1">IF(Auxiliares!$D17&lt;(Producción!F27*$A17),Auxiliares!$D17,Producción!F27*$A17)*Auxiliares!$J$15*Auxiliares!$J$16*IF($P$4="Si",0,IF($P$3="No",$P$6,$P$8*Auxiliares!$N$4+Auxiliares!$N$5*$P$10))</f>
        <v>26.151987296544942</v>
      </c>
      <c r="G30">
        <f ca="1">IF(Auxiliares!$D17&lt;(Producción!G27*$A17),Auxiliares!$D17,Producción!G27*$A17)*Auxiliares!$J$15*Auxiliares!$J$16*IF($P$4="Si",0,IF($P$3="No",$P$6,$P$8*Auxiliares!$N$4+Auxiliares!$N$5*$P$10))</f>
        <v>26.151987296544942</v>
      </c>
      <c r="H30">
        <f ca="1">IF(Auxiliares!$D17&lt;(Producción!H27*$A17),Auxiliares!$D17,Producción!H27*$A17)*Auxiliares!$J$15*Auxiliares!$J$16*IF($P$4="Si",0,IF($P$3="No",$P$6,$P$8*Auxiliares!$N$4+Auxiliares!$N$5*$P$10))</f>
        <v>26.151987296544942</v>
      </c>
      <c r="I30">
        <f ca="1">IF(Auxiliares!$D17&lt;(Producción!I27*$A17),Auxiliares!$D17,Producción!I27*$A17)*Auxiliares!$J$15*Auxiliares!$J$16*IF($P$4="Si",0,IF($P$3="No",$P$6,$P$8*Auxiliares!$N$4+Auxiliares!$N$5*$P$10))</f>
        <v>26.151987296544942</v>
      </c>
      <c r="J30">
        <f ca="1">IF(Auxiliares!$D17&lt;(Producción!J27*$A17),Auxiliares!$D17,Producción!J27*$A17)*Auxiliares!$J$15*Auxiliares!$J$16*IF($P$4="Si",0,IF($P$3="No",$P$6,$P$8*Auxiliares!$N$4+Auxiliares!$N$5*$P$10))</f>
        <v>26.151987296544942</v>
      </c>
      <c r="K30">
        <f ca="1">IF(Auxiliares!$D17&lt;(Producción!K27*$A17),Auxiliares!$D17,Producción!K27*$A17)*Auxiliares!$J$15*Auxiliares!$J$16*IF($P$4="Si",0,IF($P$3="No",$P$6,$P$8*Auxiliares!$N$4+Auxiliares!$N$5*$P$10))</f>
        <v>26.151987296544942</v>
      </c>
      <c r="L30">
        <f ca="1">IF(Auxiliares!$D17&lt;(Producción!L27*$A17),Auxiliares!$D17,Producción!L27*$A17)*Auxiliares!$J$15*Auxiliares!$J$16*IF($P$4="Si",0,IF($P$3="No",$P$6,$P$8*Auxiliares!$N$4+Auxiliares!$N$5*$P$10))</f>
        <v>26.151987296544942</v>
      </c>
      <c r="M30">
        <f ca="1">IF(Auxiliares!$D17&lt;(Producción!M27*$A17),Auxiliares!$D17,Producción!M27*$A17)*Auxiliares!$J$15*Auxiliares!$J$16*IF($P$4="Si",0,IF($P$3="No",$P$6,$P$8*Auxiliares!$N$4+Auxiliares!$N$5*$P$10))</f>
        <v>26.151987296544942</v>
      </c>
      <c r="N30">
        <f ca="1">IF(Auxiliares!$D17&lt;(Producción!N27*$A17),Auxiliares!$D17,Producción!N27*$A17)*Auxiliares!$J$15*Auxiliares!$J$16*IF($P$4="Si",0,IF($P$3="No",$P$6,$P$8*Auxiliares!$N$4+Auxiliares!$N$5*$P$10))</f>
        <v>26.151987296544942</v>
      </c>
      <c r="O30">
        <f ca="1">IF(Auxiliares!$D17&lt;(Producción!O27*$A17),Auxiliares!$D17,Producción!O27*$A17)*Auxiliares!$J$15*Auxiliares!$J$16*IF($P$4="Si",0,IF($P$3="No",$P$6,$P$8*Auxiliares!$N$4+Auxiliares!$N$5*$P$10))</f>
        <v>26.151987296544942</v>
      </c>
      <c r="P30">
        <f ca="1">IF(Auxiliares!$D17&lt;(Producción!P27*$A17),Auxiliares!$D17,Producción!P27*$A17)*Auxiliares!$J$15*Auxiliares!$J$16*IF($P$4="Si",0,IF($P$3="No",$P$6,$P$8*Auxiliares!$N$4+Auxiliares!$N$5*$P$10))</f>
        <v>26.151987296544942</v>
      </c>
      <c r="Q30">
        <f ca="1">IF(Auxiliares!$D17&lt;(Producción!Q27*$A17),Auxiliares!$D17,Producción!Q27*$A17)*Auxiliares!$J$15*Auxiliares!$J$16*IF($P$4="Si",0,IF($P$3="No",$P$6,$P$8*Auxiliares!$N$4+Auxiliares!$N$5*$P$10))</f>
        <v>26.151987296544942</v>
      </c>
      <c r="R30">
        <f ca="1">IF(Auxiliares!$D17&lt;(Producción!R27*$A17),Auxiliares!$D17,Producción!R27*$A17)*Auxiliares!$J$15*Auxiliares!$J$16*IF($P$4="Si",0,IF($P$3="No",$P$6,$P$8*Auxiliares!$N$4+Auxiliares!$N$5*$P$10))</f>
        <v>26.151987296544942</v>
      </c>
      <c r="S30">
        <f ca="1">IF(Auxiliares!$D17&lt;(Producción!S27*$A17),Auxiliares!$D17,Producción!S27*$A17)*Auxiliares!$J$15*Auxiliares!$J$16*IF($P$4="Si",0,IF($P$3="No",$P$6,$P$8*Auxiliares!$N$4+Auxiliares!$N$5*$P$10))</f>
        <v>26.151987296544942</v>
      </c>
      <c r="T30">
        <f ca="1">IF(Auxiliares!$D17&lt;(Producción!T27*$A17),Auxiliares!$D17,Producción!T27*$A17)*Auxiliares!$J$15*Auxiliares!$J$16*IF($P$4="Si",0,IF($P$3="No",$P$6,$P$8*Auxiliares!$N$4+Auxiliares!$N$5*$P$10))</f>
        <v>26.151987296544942</v>
      </c>
      <c r="U30">
        <f ca="1">IF(Auxiliares!$D17&lt;(Producción!U27*$A17),Auxiliares!$D17,Producción!U27*$A17)*Auxiliares!$J$15*Auxiliares!$J$16*IF($P$4="Si",0,IF($P$3="No",$P$6,$P$8*Auxiliares!$N$4+Auxiliares!$N$5*$P$10))</f>
        <v>26.151987296544942</v>
      </c>
      <c r="V30">
        <f ca="1">IF(Auxiliares!$D17&lt;(Producción!V27*$A17),Auxiliares!$D17,Producción!V27*$A17)*Auxiliares!$J$15*Auxiliares!$J$16*IF($P$4="Si",0,IF($P$3="No",$P$6,$P$8*Auxiliares!$N$4+Auxiliares!$N$5*$P$10))</f>
        <v>26.151987296544942</v>
      </c>
      <c r="W30">
        <f ca="1">IF(Auxiliares!$D17&lt;(Producción!W27*$A17),Auxiliares!$D17,Producción!W27*$A17)*Auxiliares!$J$15*Auxiliares!$J$16*IF($P$4="Si",0,IF($P$3="No",$P$6,$P$8*Auxiliares!$N$4+Auxiliares!$N$5*$P$10))</f>
        <v>26.151987296544942</v>
      </c>
      <c r="X30">
        <f ca="1">IF(Auxiliares!$D17&lt;(Producción!X27*$A17),Auxiliares!$D17,Producción!X27*$A17)*Auxiliares!$J$15*Auxiliares!$J$16*IF($P$4="Si",0,IF($P$3="No",$P$6,$P$8*Auxiliares!$N$4+Auxiliares!$N$5*$P$10))</f>
        <v>26.151987296544942</v>
      </c>
      <c r="Y30">
        <f ca="1">IF(Auxiliares!$D17&lt;(Producción!Y27*$A17),Auxiliares!$D17,Producción!Y27*$A17)*Auxiliares!$J$15*Auxiliares!$J$16*IF($P$4="Si",0,IF($P$3="No",$P$6,$P$8*Auxiliares!$N$4+Auxiliares!$N$5*$P$10))</f>
        <v>26.151987296544942</v>
      </c>
      <c r="Z30">
        <f ca="1">IF(Auxiliares!$D17&lt;(Producción!Z27*$A17),Auxiliares!$D17,Producción!Z27*$A17)*Auxiliares!$J$15*Auxiliares!$J$16*IF($P$4="Si",0,IF($P$3="No",$P$6,$P$8*Auxiliares!$N$4+Auxiliares!$N$5*$P$10))</f>
        <v>26.151987296544942</v>
      </c>
      <c r="AA30">
        <f ca="1">IF(Auxiliares!$D17&lt;(Producción!AA27*$A17),Auxiliares!$D17,Producción!AA27*$A17)*Auxiliares!$J$15*Auxiliares!$J$16*IF($P$4="Si",0,IF($P$3="No",$P$6,$P$8*Auxiliares!$N$4+Auxiliares!$N$5*$P$10))</f>
        <v>26.151987296544942</v>
      </c>
      <c r="AB30">
        <f ca="1">IF(Auxiliares!$D17&lt;(Producción!AB27*$A17),Auxiliares!$D17,Producción!AB27*$A17)*Auxiliares!$J$15*Auxiliares!$J$16*IF($P$4="Si",0,IF($P$3="No",$P$6,$P$8*Auxiliares!$N$4+Auxiliares!$N$5*$P$10))</f>
        <v>26.151987296544942</v>
      </c>
      <c r="AC30">
        <f ca="1">IF(Auxiliares!$D17&lt;(Producción!AC27*$A17),Auxiliares!$D17,Producción!AC27*$A17)*Auxiliares!$J$15*Auxiliares!$J$16*IF($P$4="Si",0,IF($P$3="No",$P$6,$P$8*Auxiliares!$N$4+Auxiliares!$N$5*$P$10))</f>
        <v>26.151987296544942</v>
      </c>
      <c r="AD30">
        <f ca="1">IF(Auxiliares!$D17&lt;(Producción!AD27*$A17),Auxiliares!$D17,Producción!AD27*$A17)*Auxiliares!$J$15*Auxiliares!$J$16*IF($P$4="Si",0,IF($P$3="No",$P$6,$P$8*Auxiliares!$N$4+Auxiliares!$N$5*$P$10))</f>
        <v>26.151987296544942</v>
      </c>
      <c r="AE30">
        <f ca="1">IF(Auxiliares!$D17&lt;(Producción!AE27*$A17),Auxiliares!$D17,Producción!AE27*$A17)*Auxiliares!$J$15*Auxiliares!$J$16*IF($P$4="Si",0,IF($P$3="No",$P$6,$P$8*Auxiliares!$N$4+Auxiliares!$N$5*$P$10))</f>
        <v>26.151987296544942</v>
      </c>
      <c r="AF30">
        <f ca="1">IF(Auxiliares!$D17&lt;(Producción!AF27*$A17),Auxiliares!$D17,Producción!AF27*$A17)*Auxiliares!$J$15*Auxiliares!$J$16*IF($P$4="Si",0,IF($P$3="No",$P$6,$P$8*Auxiliares!$N$4+Auxiliares!$N$5*$P$10))</f>
        <v>26.151987296544942</v>
      </c>
    </row>
    <row r="31" spans="1:32">
      <c r="B31" s="24" t="s">
        <v>6</v>
      </c>
      <c r="C31">
        <f ca="1">IF(Auxiliares!$D18&lt;(Producción!C28*$A18),Auxiliares!$D18,Producción!C28*$A18)*Auxiliares!$J$15*Auxiliares!$J$16*IF($P$4="Si",0,IF($P$3="No",$P$6,$P$8*Auxiliares!$N$4+Auxiliares!$N$5*$P$10))</f>
        <v>22.065739281459798</v>
      </c>
      <c r="D31">
        <f ca="1">IF(Auxiliares!$D18&lt;(Producción!D28*$A18),Auxiliares!$D18,Producción!D28*$A18)*Auxiliares!$J$15*Auxiliares!$J$16*IF($P$4="Si",0,IF($P$3="No",$P$6,$P$8*Auxiliares!$N$4+Auxiliares!$N$5*$P$10))</f>
        <v>22.065739281459798</v>
      </c>
      <c r="E31">
        <f ca="1">IF(Auxiliares!$D18&lt;(Producción!E28*$A18),Auxiliares!$D18,Producción!E28*$A18)*Auxiliares!$J$15*Auxiliares!$J$16*IF($P$4="Si",0,IF($P$3="No",$P$6,$P$8*Auxiliares!$N$4+Auxiliares!$N$5*$P$10))</f>
        <v>22.065739281459798</v>
      </c>
      <c r="F31">
        <f ca="1">IF(Auxiliares!$D18&lt;(Producción!F28*$A18),Auxiliares!$D18,Producción!F28*$A18)*Auxiliares!$J$15*Auxiliares!$J$16*IF($P$4="Si",0,IF($P$3="No",$P$6,$P$8*Auxiliares!$N$4+Auxiliares!$N$5*$P$10))</f>
        <v>22.065739281459798</v>
      </c>
      <c r="G31">
        <f ca="1">IF(Auxiliares!$D18&lt;(Producción!G28*$A18),Auxiliares!$D18,Producción!G28*$A18)*Auxiliares!$J$15*Auxiliares!$J$16*IF($P$4="Si",0,IF($P$3="No",$P$6,$P$8*Auxiliares!$N$4+Auxiliares!$N$5*$P$10))</f>
        <v>22.065739281459798</v>
      </c>
      <c r="H31">
        <f ca="1">IF(Auxiliares!$D18&lt;(Producción!H28*$A18),Auxiliares!$D18,Producción!H28*$A18)*Auxiliares!$J$15*Auxiliares!$J$16*IF($P$4="Si",0,IF($P$3="No",$P$6,$P$8*Auxiliares!$N$4+Auxiliares!$N$5*$P$10))</f>
        <v>22.065739281459798</v>
      </c>
      <c r="I31">
        <f ca="1">IF(Auxiliares!$D18&lt;(Producción!I28*$A18),Auxiliares!$D18,Producción!I28*$A18)*Auxiliares!$J$15*Auxiliares!$J$16*IF($P$4="Si",0,IF($P$3="No",$P$6,$P$8*Auxiliares!$N$4+Auxiliares!$N$5*$P$10))</f>
        <v>22.065739281459798</v>
      </c>
      <c r="J31">
        <f ca="1">IF(Auxiliares!$D18&lt;(Producción!J28*$A18),Auxiliares!$D18,Producción!J28*$A18)*Auxiliares!$J$15*Auxiliares!$J$16*IF($P$4="Si",0,IF($P$3="No",$P$6,$P$8*Auxiliares!$N$4+Auxiliares!$N$5*$P$10))</f>
        <v>22.065739281459798</v>
      </c>
      <c r="K31">
        <f ca="1">IF(Auxiliares!$D18&lt;(Producción!K28*$A18),Auxiliares!$D18,Producción!K28*$A18)*Auxiliares!$J$15*Auxiliares!$J$16*IF($P$4="Si",0,IF($P$3="No",$P$6,$P$8*Auxiliares!$N$4+Auxiliares!$N$5*$P$10))</f>
        <v>22.065739281459798</v>
      </c>
      <c r="L31">
        <f ca="1">IF(Auxiliares!$D18&lt;(Producción!L28*$A18),Auxiliares!$D18,Producción!L28*$A18)*Auxiliares!$J$15*Auxiliares!$J$16*IF($P$4="Si",0,IF($P$3="No",$P$6,$P$8*Auxiliares!$N$4+Auxiliares!$N$5*$P$10))</f>
        <v>22.065739281459798</v>
      </c>
      <c r="M31">
        <f ca="1">IF(Auxiliares!$D18&lt;(Producción!M28*$A18),Auxiliares!$D18,Producción!M28*$A18)*Auxiliares!$J$15*Auxiliares!$J$16*IF($P$4="Si",0,IF($P$3="No",$P$6,$P$8*Auxiliares!$N$4+Auxiliares!$N$5*$P$10))</f>
        <v>22.065739281459798</v>
      </c>
      <c r="N31">
        <f ca="1">IF(Auxiliares!$D18&lt;(Producción!N28*$A18),Auxiliares!$D18,Producción!N28*$A18)*Auxiliares!$J$15*Auxiliares!$J$16*IF($P$4="Si",0,IF($P$3="No",$P$6,$P$8*Auxiliares!$N$4+Auxiliares!$N$5*$P$10))</f>
        <v>22.065739281459798</v>
      </c>
      <c r="O31">
        <f ca="1">IF(Auxiliares!$D18&lt;(Producción!O28*$A18),Auxiliares!$D18,Producción!O28*$A18)*Auxiliares!$J$15*Auxiliares!$J$16*IF($P$4="Si",0,IF($P$3="No",$P$6,$P$8*Auxiliares!$N$4+Auxiliares!$N$5*$P$10))</f>
        <v>22.065739281459798</v>
      </c>
      <c r="P31">
        <f ca="1">IF(Auxiliares!$D18&lt;(Producción!P28*$A18),Auxiliares!$D18,Producción!P28*$A18)*Auxiliares!$J$15*Auxiliares!$J$16*IF($P$4="Si",0,IF($P$3="No",$P$6,$P$8*Auxiliares!$N$4+Auxiliares!$N$5*$P$10))</f>
        <v>22.065739281459798</v>
      </c>
      <c r="Q31">
        <f ca="1">IF(Auxiliares!$D18&lt;(Producción!Q28*$A18),Auxiliares!$D18,Producción!Q28*$A18)*Auxiliares!$J$15*Auxiliares!$J$16*IF($P$4="Si",0,IF($P$3="No",$P$6,$P$8*Auxiliares!$N$4+Auxiliares!$N$5*$P$10))</f>
        <v>22.065739281459798</v>
      </c>
      <c r="R31">
        <f ca="1">IF(Auxiliares!$D18&lt;(Producción!R28*$A18),Auxiliares!$D18,Producción!R28*$A18)*Auxiliares!$J$15*Auxiliares!$J$16*IF($P$4="Si",0,IF($P$3="No",$P$6,$P$8*Auxiliares!$N$4+Auxiliares!$N$5*$P$10))</f>
        <v>22.065739281459798</v>
      </c>
      <c r="S31">
        <f ca="1">IF(Auxiliares!$D18&lt;(Producción!S28*$A18),Auxiliares!$D18,Producción!S28*$A18)*Auxiliares!$J$15*Auxiliares!$J$16*IF($P$4="Si",0,IF($P$3="No",$P$6,$P$8*Auxiliares!$N$4+Auxiliares!$N$5*$P$10))</f>
        <v>22.065739281459798</v>
      </c>
      <c r="T31">
        <f ca="1">IF(Auxiliares!$D18&lt;(Producción!T28*$A18),Auxiliares!$D18,Producción!T28*$A18)*Auxiliares!$J$15*Auxiliares!$J$16*IF($P$4="Si",0,IF($P$3="No",$P$6,$P$8*Auxiliares!$N$4+Auxiliares!$N$5*$P$10))</f>
        <v>22.065739281459798</v>
      </c>
      <c r="U31">
        <f ca="1">IF(Auxiliares!$D18&lt;(Producción!U28*$A18),Auxiliares!$D18,Producción!U28*$A18)*Auxiliares!$J$15*Auxiliares!$J$16*IF($P$4="Si",0,IF($P$3="No",$P$6,$P$8*Auxiliares!$N$4+Auxiliares!$N$5*$P$10))</f>
        <v>22.065739281459798</v>
      </c>
      <c r="V31">
        <f ca="1">IF(Auxiliares!$D18&lt;(Producción!V28*$A18),Auxiliares!$D18,Producción!V28*$A18)*Auxiliares!$J$15*Auxiliares!$J$16*IF($P$4="Si",0,IF($P$3="No",$P$6,$P$8*Auxiliares!$N$4+Auxiliares!$N$5*$P$10))</f>
        <v>22.065739281459798</v>
      </c>
      <c r="W31">
        <f ca="1">IF(Auxiliares!$D18&lt;(Producción!W28*$A18),Auxiliares!$D18,Producción!W28*$A18)*Auxiliares!$J$15*Auxiliares!$J$16*IF($P$4="Si",0,IF($P$3="No",$P$6,$P$8*Auxiliares!$N$4+Auxiliares!$N$5*$P$10))</f>
        <v>22.065739281459798</v>
      </c>
      <c r="X31">
        <f ca="1">IF(Auxiliares!$D18&lt;(Producción!X28*$A18),Auxiliares!$D18,Producción!X28*$A18)*Auxiliares!$J$15*Auxiliares!$J$16*IF($P$4="Si",0,IF($P$3="No",$P$6,$P$8*Auxiliares!$N$4+Auxiliares!$N$5*$P$10))</f>
        <v>22.065739281459798</v>
      </c>
      <c r="Y31">
        <f ca="1">IF(Auxiliares!$D18&lt;(Producción!Y28*$A18),Auxiliares!$D18,Producción!Y28*$A18)*Auxiliares!$J$15*Auxiliares!$J$16*IF($P$4="Si",0,IF($P$3="No",$P$6,$P$8*Auxiliares!$N$4+Auxiliares!$N$5*$P$10))</f>
        <v>22.065739281459798</v>
      </c>
      <c r="Z31">
        <f ca="1">IF(Auxiliares!$D18&lt;(Producción!Z28*$A18),Auxiliares!$D18,Producción!Z28*$A18)*Auxiliares!$J$15*Auxiliares!$J$16*IF($P$4="Si",0,IF($P$3="No",$P$6,$P$8*Auxiliares!$N$4+Auxiliares!$N$5*$P$10))</f>
        <v>22.065739281459798</v>
      </c>
      <c r="AA31">
        <f ca="1">IF(Auxiliares!$D18&lt;(Producción!AA28*$A18),Auxiliares!$D18,Producción!AA28*$A18)*Auxiliares!$J$15*Auxiliares!$J$16*IF($P$4="Si",0,IF($P$3="No",$P$6,$P$8*Auxiliares!$N$4+Auxiliares!$N$5*$P$10))</f>
        <v>22.065739281459798</v>
      </c>
      <c r="AB31">
        <f ca="1">IF(Auxiliares!$D18&lt;(Producción!AB28*$A18),Auxiliares!$D18,Producción!AB28*$A18)*Auxiliares!$J$15*Auxiliares!$J$16*IF($P$4="Si",0,IF($P$3="No",$P$6,$P$8*Auxiliares!$N$4+Auxiliares!$N$5*$P$10))</f>
        <v>22.065739281459798</v>
      </c>
      <c r="AC31">
        <f ca="1">IF(Auxiliares!$D18&lt;(Producción!AC28*$A18),Auxiliares!$D18,Producción!AC28*$A18)*Auxiliares!$J$15*Auxiliares!$J$16*IF($P$4="Si",0,IF($P$3="No",$P$6,$P$8*Auxiliares!$N$4+Auxiliares!$N$5*$P$10))</f>
        <v>22.065739281459798</v>
      </c>
      <c r="AD31">
        <f ca="1">IF(Auxiliares!$D18&lt;(Producción!AD28*$A18),Auxiliares!$D18,Producción!AD28*$A18)*Auxiliares!$J$15*Auxiliares!$J$16*IF($P$4="Si",0,IF($P$3="No",$P$6,$P$8*Auxiliares!$N$4+Auxiliares!$N$5*$P$10))</f>
        <v>22.065739281459798</v>
      </c>
      <c r="AE31">
        <f ca="1">IF(Auxiliares!$D18&lt;(Producción!AE28*$A18),Auxiliares!$D18,Producción!AE28*$A18)*Auxiliares!$J$15*Auxiliares!$J$16*IF($P$4="Si",0,IF($P$3="No",$P$6,$P$8*Auxiliares!$N$4+Auxiliares!$N$5*$P$10))</f>
        <v>22.065739281459798</v>
      </c>
      <c r="AF31">
        <f ca="1">IF(Auxiliares!$D18&lt;(Producción!AF28*$A18),Auxiliares!$D18,Producción!AF28*$A18)*Auxiliares!$J$15*Auxiliares!$J$16*IF($P$4="Si",0,IF($P$3="No",$P$6,$P$8*Auxiliares!$N$4+Auxiliares!$N$5*$P$10))</f>
        <v>22.065739281459798</v>
      </c>
    </row>
    <row r="32" spans="1:32">
      <c r="B32" s="24" t="s">
        <v>7</v>
      </c>
      <c r="C32">
        <f ca="1">IF(Auxiliares!$D19&lt;(Producción!C29*$A19),Auxiliares!$D19,Producción!C29*$A19)*Auxiliares!$J$15*Auxiliares!$J$16*IF($P$4="Si",0,IF($P$3="No",$P$6,$P$8*Auxiliares!$N$4+Auxiliares!$N$5*$P$10))</f>
        <v>19.613990472408709</v>
      </c>
      <c r="D32">
        <f ca="1">IF(Auxiliares!$D19&lt;(Producción!D29*$A19),Auxiliares!$D19,Producción!D29*$A19)*Auxiliares!$J$15*Auxiliares!$J$16*IF($P$4="Si",0,IF($P$3="No",$P$6,$P$8*Auxiliares!$N$4+Auxiliares!$N$5*$P$10))</f>
        <v>19.613990472408709</v>
      </c>
      <c r="E32">
        <f ca="1">IF(Auxiliares!$D19&lt;(Producción!E29*$A19),Auxiliares!$D19,Producción!E29*$A19)*Auxiliares!$J$15*Auxiliares!$J$16*IF($P$4="Si",0,IF($P$3="No",$P$6,$P$8*Auxiliares!$N$4+Auxiliares!$N$5*$P$10))</f>
        <v>19.613990472408709</v>
      </c>
      <c r="F32">
        <f ca="1">IF(Auxiliares!$D19&lt;(Producción!F29*$A19),Auxiliares!$D19,Producción!F29*$A19)*Auxiliares!$J$15*Auxiliares!$J$16*IF($P$4="Si",0,IF($P$3="No",$P$6,$P$8*Auxiliares!$N$4+Auxiliares!$N$5*$P$10))</f>
        <v>19.613990472408709</v>
      </c>
      <c r="G32">
        <f ca="1">IF(Auxiliares!$D19&lt;(Producción!G29*$A19),Auxiliares!$D19,Producción!G29*$A19)*Auxiliares!$J$15*Auxiliares!$J$16*IF($P$4="Si",0,IF($P$3="No",$P$6,$P$8*Auxiliares!$N$4+Auxiliares!$N$5*$P$10))</f>
        <v>19.613990472408709</v>
      </c>
      <c r="H32">
        <f ca="1">IF(Auxiliares!$D19&lt;(Producción!H29*$A19),Auxiliares!$D19,Producción!H29*$A19)*Auxiliares!$J$15*Auxiliares!$J$16*IF($P$4="Si",0,IF($P$3="No",$P$6,$P$8*Auxiliares!$N$4+Auxiliares!$N$5*$P$10))</f>
        <v>19.613990472408709</v>
      </c>
      <c r="I32">
        <f ca="1">IF(Auxiliares!$D19&lt;(Producción!I29*$A19),Auxiliares!$D19,Producción!I29*$A19)*Auxiliares!$J$15*Auxiliares!$J$16*IF($P$4="Si",0,IF($P$3="No",$P$6,$P$8*Auxiliares!$N$4+Auxiliares!$N$5*$P$10))</f>
        <v>19.613990472408709</v>
      </c>
      <c r="J32">
        <f ca="1">IF(Auxiliares!$D19&lt;(Producción!J29*$A19),Auxiliares!$D19,Producción!J29*$A19)*Auxiliares!$J$15*Auxiliares!$J$16*IF($P$4="Si",0,IF($P$3="No",$P$6,$P$8*Auxiliares!$N$4+Auxiliares!$N$5*$P$10))</f>
        <v>19.613990472408709</v>
      </c>
      <c r="K32">
        <f ca="1">IF(Auxiliares!$D19&lt;(Producción!K29*$A19),Auxiliares!$D19,Producción!K29*$A19)*Auxiliares!$J$15*Auxiliares!$J$16*IF($P$4="Si",0,IF($P$3="No",$P$6,$P$8*Auxiliares!$N$4+Auxiliares!$N$5*$P$10))</f>
        <v>19.613990472408709</v>
      </c>
      <c r="L32">
        <f ca="1">IF(Auxiliares!$D19&lt;(Producción!L29*$A19),Auxiliares!$D19,Producción!L29*$A19)*Auxiliares!$J$15*Auxiliares!$J$16*IF($P$4="Si",0,IF($P$3="No",$P$6,$P$8*Auxiliares!$N$4+Auxiliares!$N$5*$P$10))</f>
        <v>19.613990472408709</v>
      </c>
      <c r="M32">
        <f ca="1">IF(Auxiliares!$D19&lt;(Producción!M29*$A19),Auxiliares!$D19,Producción!M29*$A19)*Auxiliares!$J$15*Auxiliares!$J$16*IF($P$4="Si",0,IF($P$3="No",$P$6,$P$8*Auxiliares!$N$4+Auxiliares!$N$5*$P$10))</f>
        <v>19.613990472408709</v>
      </c>
      <c r="N32">
        <f ca="1">IF(Auxiliares!$D19&lt;(Producción!N29*$A19),Auxiliares!$D19,Producción!N29*$A19)*Auxiliares!$J$15*Auxiliares!$J$16*IF($P$4="Si",0,IF($P$3="No",$P$6,$P$8*Auxiliares!$N$4+Auxiliares!$N$5*$P$10))</f>
        <v>19.613990472408709</v>
      </c>
      <c r="O32">
        <f ca="1">IF(Auxiliares!$D19&lt;(Producción!O29*$A19),Auxiliares!$D19,Producción!O29*$A19)*Auxiliares!$J$15*Auxiliares!$J$16*IF($P$4="Si",0,IF($P$3="No",$P$6,$P$8*Auxiliares!$N$4+Auxiliares!$N$5*$P$10))</f>
        <v>19.613990472408709</v>
      </c>
      <c r="P32">
        <f ca="1">IF(Auxiliares!$D19&lt;(Producción!P29*$A19),Auxiliares!$D19,Producción!P29*$A19)*Auxiliares!$J$15*Auxiliares!$J$16*IF($P$4="Si",0,IF($P$3="No",$P$6,$P$8*Auxiliares!$N$4+Auxiliares!$N$5*$P$10))</f>
        <v>19.613990472408709</v>
      </c>
      <c r="Q32">
        <f ca="1">IF(Auxiliares!$D19&lt;(Producción!Q29*$A19),Auxiliares!$D19,Producción!Q29*$A19)*Auxiliares!$J$15*Auxiliares!$J$16*IF($P$4="Si",0,IF($P$3="No",$P$6,$P$8*Auxiliares!$N$4+Auxiliares!$N$5*$P$10))</f>
        <v>19.613990472408709</v>
      </c>
      <c r="R32">
        <f ca="1">IF(Auxiliares!$D19&lt;(Producción!R29*$A19),Auxiliares!$D19,Producción!R29*$A19)*Auxiliares!$J$15*Auxiliares!$J$16*IF($P$4="Si",0,IF($P$3="No",$P$6,$P$8*Auxiliares!$N$4+Auxiliares!$N$5*$P$10))</f>
        <v>19.613990472408709</v>
      </c>
      <c r="S32">
        <f ca="1">IF(Auxiliares!$D19&lt;(Producción!S29*$A19),Auxiliares!$D19,Producción!S29*$A19)*Auxiliares!$J$15*Auxiliares!$J$16*IF($P$4="Si",0,IF($P$3="No",$P$6,$P$8*Auxiliares!$N$4+Auxiliares!$N$5*$P$10))</f>
        <v>19.613990472408709</v>
      </c>
      <c r="T32">
        <f ca="1">IF(Auxiliares!$D19&lt;(Producción!T29*$A19),Auxiliares!$D19,Producción!T29*$A19)*Auxiliares!$J$15*Auxiliares!$J$16*IF($P$4="Si",0,IF($P$3="No",$P$6,$P$8*Auxiliares!$N$4+Auxiliares!$N$5*$P$10))</f>
        <v>19.613990472408709</v>
      </c>
      <c r="U32">
        <f ca="1">IF(Auxiliares!$D19&lt;(Producción!U29*$A19),Auxiliares!$D19,Producción!U29*$A19)*Auxiliares!$J$15*Auxiliares!$J$16*IF($P$4="Si",0,IF($P$3="No",$P$6,$P$8*Auxiliares!$N$4+Auxiliares!$N$5*$P$10))</f>
        <v>19.613990472408709</v>
      </c>
      <c r="V32">
        <f ca="1">IF(Auxiliares!$D19&lt;(Producción!V29*$A19),Auxiliares!$D19,Producción!V29*$A19)*Auxiliares!$J$15*Auxiliares!$J$16*IF($P$4="Si",0,IF($P$3="No",$P$6,$P$8*Auxiliares!$N$4+Auxiliares!$N$5*$P$10))</f>
        <v>19.613990472408709</v>
      </c>
      <c r="W32">
        <f ca="1">IF(Auxiliares!$D19&lt;(Producción!W29*$A19),Auxiliares!$D19,Producción!W29*$A19)*Auxiliares!$J$15*Auxiliares!$J$16*IF($P$4="Si",0,IF($P$3="No",$P$6,$P$8*Auxiliares!$N$4+Auxiliares!$N$5*$P$10))</f>
        <v>19.613990472408709</v>
      </c>
      <c r="X32">
        <f ca="1">IF(Auxiliares!$D19&lt;(Producción!X29*$A19),Auxiliares!$D19,Producción!X29*$A19)*Auxiliares!$J$15*Auxiliares!$J$16*IF($P$4="Si",0,IF($P$3="No",$P$6,$P$8*Auxiliares!$N$4+Auxiliares!$N$5*$P$10))</f>
        <v>19.613990472408709</v>
      </c>
      <c r="Y32">
        <f ca="1">IF(Auxiliares!$D19&lt;(Producción!Y29*$A19),Auxiliares!$D19,Producción!Y29*$A19)*Auxiliares!$J$15*Auxiliares!$J$16*IF($P$4="Si",0,IF($P$3="No",$P$6,$P$8*Auxiliares!$N$4+Auxiliares!$N$5*$P$10))</f>
        <v>19.613990472408709</v>
      </c>
      <c r="Z32">
        <f ca="1">IF(Auxiliares!$D19&lt;(Producción!Z29*$A19),Auxiliares!$D19,Producción!Z29*$A19)*Auxiliares!$J$15*Auxiliares!$J$16*IF($P$4="Si",0,IF($P$3="No",$P$6,$P$8*Auxiliares!$N$4+Auxiliares!$N$5*$P$10))</f>
        <v>19.613990472408709</v>
      </c>
      <c r="AA32">
        <f ca="1">IF(Auxiliares!$D19&lt;(Producción!AA29*$A19),Auxiliares!$D19,Producción!AA29*$A19)*Auxiliares!$J$15*Auxiliares!$J$16*IF($P$4="Si",0,IF($P$3="No",$P$6,$P$8*Auxiliares!$N$4+Auxiliares!$N$5*$P$10))</f>
        <v>19.613990472408709</v>
      </c>
      <c r="AB32">
        <f ca="1">IF(Auxiliares!$D19&lt;(Producción!AB29*$A19),Auxiliares!$D19,Producción!AB29*$A19)*Auxiliares!$J$15*Auxiliares!$J$16*IF($P$4="Si",0,IF($P$3="No",$P$6,$P$8*Auxiliares!$N$4+Auxiliares!$N$5*$P$10))</f>
        <v>19.613990472408709</v>
      </c>
      <c r="AC32">
        <f ca="1">IF(Auxiliares!$D19&lt;(Producción!AC29*$A19),Auxiliares!$D19,Producción!AC29*$A19)*Auxiliares!$J$15*Auxiliares!$J$16*IF($P$4="Si",0,IF($P$3="No",$P$6,$P$8*Auxiliares!$N$4+Auxiliares!$N$5*$P$10))</f>
        <v>19.613990472408709</v>
      </c>
      <c r="AD32">
        <f ca="1">IF(Auxiliares!$D19&lt;(Producción!AD29*$A19),Auxiliares!$D19,Producción!AD29*$A19)*Auxiliares!$J$15*Auxiliares!$J$16*IF($P$4="Si",0,IF($P$3="No",$P$6,$P$8*Auxiliares!$N$4+Auxiliares!$N$5*$P$10))</f>
        <v>19.613990472408709</v>
      </c>
      <c r="AE32">
        <f ca="1">IF(Auxiliares!$D19&lt;(Producción!AE29*$A19),Auxiliares!$D19,Producción!AE29*$A19)*Auxiliares!$J$15*Auxiliares!$J$16*IF($P$4="Si",0,IF($P$3="No",$P$6,$P$8*Auxiliares!$N$4+Auxiliares!$N$5*$P$10))</f>
        <v>19.613990472408709</v>
      </c>
      <c r="AF32">
        <f ca="1">IF(Auxiliares!$D19&lt;(Producción!AF29*$A19),Auxiliares!$D19,Producción!AF29*$A19)*Auxiliares!$J$15*Auxiliares!$J$16*IF($P$4="Si",0,IF($P$3="No",$P$6,$P$8*Auxiliares!$N$4+Auxiliares!$N$5*$P$10))</f>
        <v>19.613990472408709</v>
      </c>
    </row>
    <row r="33" spans="1:32">
      <c r="B33" s="24" t="s">
        <v>8</v>
      </c>
      <c r="C33">
        <f ca="1">IF(Auxiliares!$D20&lt;(Producción!C30*$A20),Auxiliares!$D20,Producción!C30*$A20)*Auxiliares!$J$15*Auxiliares!$J$16*IF($P$4="Si",0,IF($P$3="No",$P$6,$P$8*Auxiliares!$N$4+Auxiliares!$N$5*$P$10))</f>
        <v>20.022615273917221</v>
      </c>
      <c r="D33">
        <f ca="1">IF(Auxiliares!$D20&lt;(Producción!D30*$A20),Auxiliares!$D20,Producción!D30*$A20)*Auxiliares!$J$15*Auxiliares!$J$16*IF($P$4="Si",0,IF($P$3="No",$P$6,$P$8*Auxiliares!$N$4+Auxiliares!$N$5*$P$10))</f>
        <v>20.022615273917221</v>
      </c>
      <c r="E33">
        <f ca="1">IF(Auxiliares!$D20&lt;(Producción!E30*$A20),Auxiliares!$D20,Producción!E30*$A20)*Auxiliares!$J$15*Auxiliares!$J$16*IF($P$4="Si",0,IF($P$3="No",$P$6,$P$8*Auxiliares!$N$4+Auxiliares!$N$5*$P$10))</f>
        <v>20.022615273917221</v>
      </c>
      <c r="F33">
        <f ca="1">IF(Auxiliares!$D20&lt;(Producción!F30*$A20),Auxiliares!$D20,Producción!F30*$A20)*Auxiliares!$J$15*Auxiliares!$J$16*IF($P$4="Si",0,IF($P$3="No",$P$6,$P$8*Auxiliares!$N$4+Auxiliares!$N$5*$P$10))</f>
        <v>20.022615273917221</v>
      </c>
      <c r="G33">
        <f ca="1">IF(Auxiliares!$D20&lt;(Producción!G30*$A20),Auxiliares!$D20,Producción!G30*$A20)*Auxiliares!$J$15*Auxiliares!$J$16*IF($P$4="Si",0,IF($P$3="No",$P$6,$P$8*Auxiliares!$N$4+Auxiliares!$N$5*$P$10))</f>
        <v>20.022615273917221</v>
      </c>
      <c r="H33">
        <f ca="1">IF(Auxiliares!$D20&lt;(Producción!H30*$A20),Auxiliares!$D20,Producción!H30*$A20)*Auxiliares!$J$15*Auxiliares!$J$16*IF($P$4="Si",0,IF($P$3="No",$P$6,$P$8*Auxiliares!$N$4+Auxiliares!$N$5*$P$10))</f>
        <v>20.022615273917221</v>
      </c>
      <c r="I33">
        <f ca="1">IF(Auxiliares!$D20&lt;(Producción!I30*$A20),Auxiliares!$D20,Producción!I30*$A20)*Auxiliares!$J$15*Auxiliares!$J$16*IF($P$4="Si",0,IF($P$3="No",$P$6,$P$8*Auxiliares!$N$4+Auxiliares!$N$5*$P$10))</f>
        <v>20.022615273917221</v>
      </c>
      <c r="J33">
        <f ca="1">IF(Auxiliares!$D20&lt;(Producción!J30*$A20),Auxiliares!$D20,Producción!J30*$A20)*Auxiliares!$J$15*Auxiliares!$J$16*IF($P$4="Si",0,IF($P$3="No",$P$6,$P$8*Auxiliares!$N$4+Auxiliares!$N$5*$P$10))</f>
        <v>20.022615273917221</v>
      </c>
      <c r="K33">
        <f ca="1">IF(Auxiliares!$D20&lt;(Producción!K30*$A20),Auxiliares!$D20,Producción!K30*$A20)*Auxiliares!$J$15*Auxiliares!$J$16*IF($P$4="Si",0,IF($P$3="No",$P$6,$P$8*Auxiliares!$N$4+Auxiliares!$N$5*$P$10))</f>
        <v>20.022615273917221</v>
      </c>
      <c r="L33">
        <f ca="1">IF(Auxiliares!$D20&lt;(Producción!L30*$A20),Auxiliares!$D20,Producción!L30*$A20)*Auxiliares!$J$15*Auxiliares!$J$16*IF($P$4="Si",0,IF($P$3="No",$P$6,$P$8*Auxiliares!$N$4+Auxiliares!$N$5*$P$10))</f>
        <v>20.022615273917221</v>
      </c>
      <c r="M33">
        <f ca="1">IF(Auxiliares!$D20&lt;(Producción!M30*$A20),Auxiliares!$D20,Producción!M30*$A20)*Auxiliares!$J$15*Auxiliares!$J$16*IF($P$4="Si",0,IF($P$3="No",$P$6,$P$8*Auxiliares!$N$4+Auxiliares!$N$5*$P$10))</f>
        <v>20.022615273917221</v>
      </c>
      <c r="N33">
        <f ca="1">IF(Auxiliares!$D20&lt;(Producción!N30*$A20),Auxiliares!$D20,Producción!N30*$A20)*Auxiliares!$J$15*Auxiliares!$J$16*IF($P$4="Si",0,IF($P$3="No",$P$6,$P$8*Auxiliares!$N$4+Auxiliares!$N$5*$P$10))</f>
        <v>20.022615273917221</v>
      </c>
      <c r="O33">
        <f ca="1">IF(Auxiliares!$D20&lt;(Producción!O30*$A20),Auxiliares!$D20,Producción!O30*$A20)*Auxiliares!$J$15*Auxiliares!$J$16*IF($P$4="Si",0,IF($P$3="No",$P$6,$P$8*Auxiliares!$N$4+Auxiliares!$N$5*$P$10))</f>
        <v>20.022615273917221</v>
      </c>
      <c r="P33">
        <f ca="1">IF(Auxiliares!$D20&lt;(Producción!P30*$A20),Auxiliares!$D20,Producción!P30*$A20)*Auxiliares!$J$15*Auxiliares!$J$16*IF($P$4="Si",0,IF($P$3="No",$P$6,$P$8*Auxiliares!$N$4+Auxiliares!$N$5*$P$10))</f>
        <v>20.022615273917221</v>
      </c>
      <c r="Q33">
        <f ca="1">IF(Auxiliares!$D20&lt;(Producción!Q30*$A20),Auxiliares!$D20,Producción!Q30*$A20)*Auxiliares!$J$15*Auxiliares!$J$16*IF($P$4="Si",0,IF($P$3="No",$P$6,$P$8*Auxiliares!$N$4+Auxiliares!$N$5*$P$10))</f>
        <v>20.022615273917221</v>
      </c>
      <c r="R33">
        <f ca="1">IF(Auxiliares!$D20&lt;(Producción!R30*$A20),Auxiliares!$D20,Producción!R30*$A20)*Auxiliares!$J$15*Auxiliares!$J$16*IF($P$4="Si",0,IF($P$3="No",$P$6,$P$8*Auxiliares!$N$4+Auxiliares!$N$5*$P$10))</f>
        <v>20.022615273917221</v>
      </c>
      <c r="S33">
        <f ca="1">IF(Auxiliares!$D20&lt;(Producción!S30*$A20),Auxiliares!$D20,Producción!S30*$A20)*Auxiliares!$J$15*Auxiliares!$J$16*IF($P$4="Si",0,IF($P$3="No",$P$6,$P$8*Auxiliares!$N$4+Auxiliares!$N$5*$P$10))</f>
        <v>20.022615273917221</v>
      </c>
      <c r="T33">
        <f ca="1">IF(Auxiliares!$D20&lt;(Producción!T30*$A20),Auxiliares!$D20,Producción!T30*$A20)*Auxiliares!$J$15*Auxiliares!$J$16*IF($P$4="Si",0,IF($P$3="No",$P$6,$P$8*Auxiliares!$N$4+Auxiliares!$N$5*$P$10))</f>
        <v>20.022615273917221</v>
      </c>
      <c r="U33">
        <f ca="1">IF(Auxiliares!$D20&lt;(Producción!U30*$A20),Auxiliares!$D20,Producción!U30*$A20)*Auxiliares!$J$15*Auxiliares!$J$16*IF($P$4="Si",0,IF($P$3="No",$P$6,$P$8*Auxiliares!$N$4+Auxiliares!$N$5*$P$10))</f>
        <v>20.022615273917221</v>
      </c>
      <c r="V33">
        <f ca="1">IF(Auxiliares!$D20&lt;(Producción!V30*$A20),Auxiliares!$D20,Producción!V30*$A20)*Auxiliares!$J$15*Auxiliares!$J$16*IF($P$4="Si",0,IF($P$3="No",$P$6,$P$8*Auxiliares!$N$4+Auxiliares!$N$5*$P$10))</f>
        <v>20.022615273917221</v>
      </c>
      <c r="W33">
        <f ca="1">IF(Auxiliares!$D20&lt;(Producción!W30*$A20),Auxiliares!$D20,Producción!W30*$A20)*Auxiliares!$J$15*Auxiliares!$J$16*IF($P$4="Si",0,IF($P$3="No",$P$6,$P$8*Auxiliares!$N$4+Auxiliares!$N$5*$P$10))</f>
        <v>20.022615273917221</v>
      </c>
      <c r="X33">
        <f ca="1">IF(Auxiliares!$D20&lt;(Producción!X30*$A20),Auxiliares!$D20,Producción!X30*$A20)*Auxiliares!$J$15*Auxiliares!$J$16*IF($P$4="Si",0,IF($P$3="No",$P$6,$P$8*Auxiliares!$N$4+Auxiliares!$N$5*$P$10))</f>
        <v>20.022615273917221</v>
      </c>
      <c r="Y33">
        <f ca="1">IF(Auxiliares!$D20&lt;(Producción!Y30*$A20),Auxiliares!$D20,Producción!Y30*$A20)*Auxiliares!$J$15*Auxiliares!$J$16*IF($P$4="Si",0,IF($P$3="No",$P$6,$P$8*Auxiliares!$N$4+Auxiliares!$N$5*$P$10))</f>
        <v>20.022615273917221</v>
      </c>
      <c r="Z33">
        <f ca="1">IF(Auxiliares!$D20&lt;(Producción!Z30*$A20),Auxiliares!$D20,Producción!Z30*$A20)*Auxiliares!$J$15*Auxiliares!$J$16*IF($P$4="Si",0,IF($P$3="No",$P$6,$P$8*Auxiliares!$N$4+Auxiliares!$N$5*$P$10))</f>
        <v>20.022615273917221</v>
      </c>
      <c r="AA33">
        <f ca="1">IF(Auxiliares!$D20&lt;(Producción!AA30*$A20),Auxiliares!$D20,Producción!AA30*$A20)*Auxiliares!$J$15*Auxiliares!$J$16*IF($P$4="Si",0,IF($P$3="No",$P$6,$P$8*Auxiliares!$N$4+Auxiliares!$N$5*$P$10))</f>
        <v>20.022615273917221</v>
      </c>
      <c r="AB33">
        <f ca="1">IF(Auxiliares!$D20&lt;(Producción!AB30*$A20),Auxiliares!$D20,Producción!AB30*$A20)*Auxiliares!$J$15*Auxiliares!$J$16*IF($P$4="Si",0,IF($P$3="No",$P$6,$P$8*Auxiliares!$N$4+Auxiliares!$N$5*$P$10))</f>
        <v>20.022615273917221</v>
      </c>
      <c r="AC33">
        <f ca="1">IF(Auxiliares!$D20&lt;(Producción!AC30*$A20),Auxiliares!$D20,Producción!AC30*$A20)*Auxiliares!$J$15*Auxiliares!$J$16*IF($P$4="Si",0,IF($P$3="No",$P$6,$P$8*Auxiliares!$N$4+Auxiliares!$N$5*$P$10))</f>
        <v>20.022615273917221</v>
      </c>
      <c r="AD33">
        <f ca="1">IF(Auxiliares!$D20&lt;(Producción!AD30*$A20),Auxiliares!$D20,Producción!AD30*$A20)*Auxiliares!$J$15*Auxiliares!$J$16*IF($P$4="Si",0,IF($P$3="No",$P$6,$P$8*Auxiliares!$N$4+Auxiliares!$N$5*$P$10))</f>
        <v>20.022615273917221</v>
      </c>
      <c r="AE33">
        <f ca="1">IF(Auxiliares!$D20&lt;(Producción!AE30*$A20),Auxiliares!$D20,Producción!AE30*$A20)*Auxiliares!$J$15*Auxiliares!$J$16*IF($P$4="Si",0,IF($P$3="No",$P$6,$P$8*Auxiliares!$N$4+Auxiliares!$N$5*$P$10))</f>
        <v>20.022615273917221</v>
      </c>
      <c r="AF33">
        <f ca="1">IF(Auxiliares!$D20&lt;(Producción!AF30*$A20),Auxiliares!$D20,Producción!AF30*$A20)*Auxiliares!$J$15*Auxiliares!$J$16*IF($P$4="Si",0,IF($P$3="No",$P$6,$P$8*Auxiliares!$N$4+Auxiliares!$N$5*$P$10))</f>
        <v>20.022615273917221</v>
      </c>
    </row>
    <row r="34" spans="1:32">
      <c r="B34" s="24" t="s">
        <v>9</v>
      </c>
      <c r="C34">
        <f ca="1">IF(Auxiliares!$D21&lt;(Producción!C31*$A21),Auxiliares!$D21,Producción!C31*$A21)*Auxiliares!$J$15*Auxiliares!$J$16*IF($P$4="Si",0,IF($P$3="No",$P$6,$P$8*Auxiliares!$N$4+Auxiliares!$N$5*$P$10))</f>
        <v>20.431240075425741</v>
      </c>
      <c r="D34">
        <f ca="1">IF(Auxiliares!$D21&lt;(Producción!D31*$A21),Auxiliares!$D21,Producción!D31*$A21)*Auxiliares!$J$15*Auxiliares!$J$16*IF($P$4="Si",0,IF($P$3="No",$P$6,$P$8*Auxiliares!$N$4+Auxiliares!$N$5*$P$10))</f>
        <v>20.431240075425741</v>
      </c>
      <c r="E34">
        <f ca="1">IF(Auxiliares!$D21&lt;(Producción!E31*$A21),Auxiliares!$D21,Producción!E31*$A21)*Auxiliares!$J$15*Auxiliares!$J$16*IF($P$4="Si",0,IF($P$3="No",$P$6,$P$8*Auxiliares!$N$4+Auxiliares!$N$5*$P$10))</f>
        <v>20.431240075425741</v>
      </c>
      <c r="F34">
        <f ca="1">IF(Auxiliares!$D21&lt;(Producción!F31*$A21),Auxiliares!$D21,Producción!F31*$A21)*Auxiliares!$J$15*Auxiliares!$J$16*IF($P$4="Si",0,IF($P$3="No",$P$6,$P$8*Auxiliares!$N$4+Auxiliares!$N$5*$P$10))</f>
        <v>20.431240075425741</v>
      </c>
      <c r="G34">
        <f ca="1">IF(Auxiliares!$D21&lt;(Producción!G31*$A21),Auxiliares!$D21,Producción!G31*$A21)*Auxiliares!$J$15*Auxiliares!$J$16*IF($P$4="Si",0,IF($P$3="No",$P$6,$P$8*Auxiliares!$N$4+Auxiliares!$N$5*$P$10))</f>
        <v>20.431240075425741</v>
      </c>
      <c r="H34">
        <f ca="1">IF(Auxiliares!$D21&lt;(Producción!H31*$A21),Auxiliares!$D21,Producción!H31*$A21)*Auxiliares!$J$15*Auxiliares!$J$16*IF($P$4="Si",0,IF($P$3="No",$P$6,$P$8*Auxiliares!$N$4+Auxiliares!$N$5*$P$10))</f>
        <v>20.431240075425741</v>
      </c>
      <c r="I34">
        <f ca="1">IF(Auxiliares!$D21&lt;(Producción!I31*$A21),Auxiliares!$D21,Producción!I31*$A21)*Auxiliares!$J$15*Auxiliares!$J$16*IF($P$4="Si",0,IF($P$3="No",$P$6,$P$8*Auxiliares!$N$4+Auxiliares!$N$5*$P$10))</f>
        <v>20.431240075425741</v>
      </c>
      <c r="J34">
        <f ca="1">IF(Auxiliares!$D21&lt;(Producción!J31*$A21),Auxiliares!$D21,Producción!J31*$A21)*Auxiliares!$J$15*Auxiliares!$J$16*IF($P$4="Si",0,IF($P$3="No",$P$6,$P$8*Auxiliares!$N$4+Auxiliares!$N$5*$P$10))</f>
        <v>20.431240075425741</v>
      </c>
      <c r="K34">
        <f ca="1">IF(Auxiliares!$D21&lt;(Producción!K31*$A21),Auxiliares!$D21,Producción!K31*$A21)*Auxiliares!$J$15*Auxiliares!$J$16*IF($P$4="Si",0,IF($P$3="No",$P$6,$P$8*Auxiliares!$N$4+Auxiliares!$N$5*$P$10))</f>
        <v>20.431240075425741</v>
      </c>
      <c r="L34">
        <f ca="1">IF(Auxiliares!$D21&lt;(Producción!L31*$A21),Auxiliares!$D21,Producción!L31*$A21)*Auxiliares!$J$15*Auxiliares!$J$16*IF($P$4="Si",0,IF($P$3="No",$P$6,$P$8*Auxiliares!$N$4+Auxiliares!$N$5*$P$10))</f>
        <v>20.431240075425741</v>
      </c>
      <c r="M34">
        <f ca="1">IF(Auxiliares!$D21&lt;(Producción!M31*$A21),Auxiliares!$D21,Producción!M31*$A21)*Auxiliares!$J$15*Auxiliares!$J$16*IF($P$4="Si",0,IF($P$3="No",$P$6,$P$8*Auxiliares!$N$4+Auxiliares!$N$5*$P$10))</f>
        <v>20.431240075425741</v>
      </c>
      <c r="N34">
        <f ca="1">IF(Auxiliares!$D21&lt;(Producción!N31*$A21),Auxiliares!$D21,Producción!N31*$A21)*Auxiliares!$J$15*Auxiliares!$J$16*IF($P$4="Si",0,IF($P$3="No",$P$6,$P$8*Auxiliares!$N$4+Auxiliares!$N$5*$P$10))</f>
        <v>20.431240075425741</v>
      </c>
      <c r="O34">
        <f ca="1">IF(Auxiliares!$D21&lt;(Producción!O31*$A21),Auxiliares!$D21,Producción!O31*$A21)*Auxiliares!$J$15*Auxiliares!$J$16*IF($P$4="Si",0,IF($P$3="No",$P$6,$P$8*Auxiliares!$N$4+Auxiliares!$N$5*$P$10))</f>
        <v>20.431240075425741</v>
      </c>
      <c r="P34">
        <f ca="1">IF(Auxiliares!$D21&lt;(Producción!P31*$A21),Auxiliares!$D21,Producción!P31*$A21)*Auxiliares!$J$15*Auxiliares!$J$16*IF($P$4="Si",0,IF($P$3="No",$P$6,$P$8*Auxiliares!$N$4+Auxiliares!$N$5*$P$10))</f>
        <v>20.431240075425741</v>
      </c>
      <c r="Q34">
        <f ca="1">IF(Auxiliares!$D21&lt;(Producción!Q31*$A21),Auxiliares!$D21,Producción!Q31*$A21)*Auxiliares!$J$15*Auxiliares!$J$16*IF($P$4="Si",0,IF($P$3="No",$P$6,$P$8*Auxiliares!$N$4+Auxiliares!$N$5*$P$10))</f>
        <v>20.431240075425741</v>
      </c>
      <c r="R34">
        <f ca="1">IF(Auxiliares!$D21&lt;(Producción!R31*$A21),Auxiliares!$D21,Producción!R31*$A21)*Auxiliares!$J$15*Auxiliares!$J$16*IF($P$4="Si",0,IF($P$3="No",$P$6,$P$8*Auxiliares!$N$4+Auxiliares!$N$5*$P$10))</f>
        <v>20.431240075425741</v>
      </c>
      <c r="S34">
        <f ca="1">IF(Auxiliares!$D21&lt;(Producción!S31*$A21),Auxiliares!$D21,Producción!S31*$A21)*Auxiliares!$J$15*Auxiliares!$J$16*IF($P$4="Si",0,IF($P$3="No",$P$6,$P$8*Auxiliares!$N$4+Auxiliares!$N$5*$P$10))</f>
        <v>20.431240075425741</v>
      </c>
      <c r="T34">
        <f ca="1">IF(Auxiliares!$D21&lt;(Producción!T31*$A21),Auxiliares!$D21,Producción!T31*$A21)*Auxiliares!$J$15*Auxiliares!$J$16*IF($P$4="Si",0,IF($P$3="No",$P$6,$P$8*Auxiliares!$N$4+Auxiliares!$N$5*$P$10))</f>
        <v>20.431240075425741</v>
      </c>
      <c r="U34">
        <f ca="1">IF(Auxiliares!$D21&lt;(Producción!U31*$A21),Auxiliares!$D21,Producción!U31*$A21)*Auxiliares!$J$15*Auxiliares!$J$16*IF($P$4="Si",0,IF($P$3="No",$P$6,$P$8*Auxiliares!$N$4+Auxiliares!$N$5*$P$10))</f>
        <v>20.431240075425741</v>
      </c>
      <c r="V34">
        <f ca="1">IF(Auxiliares!$D21&lt;(Producción!V31*$A21),Auxiliares!$D21,Producción!V31*$A21)*Auxiliares!$J$15*Auxiliares!$J$16*IF($P$4="Si",0,IF($P$3="No",$P$6,$P$8*Auxiliares!$N$4+Auxiliares!$N$5*$P$10))</f>
        <v>20.431240075425741</v>
      </c>
      <c r="W34">
        <f ca="1">IF(Auxiliares!$D21&lt;(Producción!W31*$A21),Auxiliares!$D21,Producción!W31*$A21)*Auxiliares!$J$15*Auxiliares!$J$16*IF($P$4="Si",0,IF($P$3="No",$P$6,$P$8*Auxiliares!$N$4+Auxiliares!$N$5*$P$10))</f>
        <v>20.431240075425741</v>
      </c>
      <c r="X34">
        <f ca="1">IF(Auxiliares!$D21&lt;(Producción!X31*$A21),Auxiliares!$D21,Producción!X31*$A21)*Auxiliares!$J$15*Auxiliares!$J$16*IF($P$4="Si",0,IF($P$3="No",$P$6,$P$8*Auxiliares!$N$4+Auxiliares!$N$5*$P$10))</f>
        <v>20.431240075425741</v>
      </c>
      <c r="Y34">
        <f ca="1">IF(Auxiliares!$D21&lt;(Producción!Y31*$A21),Auxiliares!$D21,Producción!Y31*$A21)*Auxiliares!$J$15*Auxiliares!$J$16*IF($P$4="Si",0,IF($P$3="No",$P$6,$P$8*Auxiliares!$N$4+Auxiliares!$N$5*$P$10))</f>
        <v>20.431240075425741</v>
      </c>
      <c r="Z34">
        <f ca="1">IF(Auxiliares!$D21&lt;(Producción!Z31*$A21),Auxiliares!$D21,Producción!Z31*$A21)*Auxiliares!$J$15*Auxiliares!$J$16*IF($P$4="Si",0,IF($P$3="No",$P$6,$P$8*Auxiliares!$N$4+Auxiliares!$N$5*$P$10))</f>
        <v>20.431240075425741</v>
      </c>
      <c r="AA34">
        <f ca="1">IF(Auxiliares!$D21&lt;(Producción!AA31*$A21),Auxiliares!$D21,Producción!AA31*$A21)*Auxiliares!$J$15*Auxiliares!$J$16*IF($P$4="Si",0,IF($P$3="No",$P$6,$P$8*Auxiliares!$N$4+Auxiliares!$N$5*$P$10))</f>
        <v>20.431240075425741</v>
      </c>
      <c r="AB34">
        <f ca="1">IF(Auxiliares!$D21&lt;(Producción!AB31*$A21),Auxiliares!$D21,Producción!AB31*$A21)*Auxiliares!$J$15*Auxiliares!$J$16*IF($P$4="Si",0,IF($P$3="No",$P$6,$P$8*Auxiliares!$N$4+Auxiliares!$N$5*$P$10))</f>
        <v>20.431240075425741</v>
      </c>
      <c r="AC34">
        <f ca="1">IF(Auxiliares!$D21&lt;(Producción!AC31*$A21),Auxiliares!$D21,Producción!AC31*$A21)*Auxiliares!$J$15*Auxiliares!$J$16*IF($P$4="Si",0,IF($P$3="No",$P$6,$P$8*Auxiliares!$N$4+Auxiliares!$N$5*$P$10))</f>
        <v>20.431240075425741</v>
      </c>
      <c r="AD34">
        <f ca="1">IF(Auxiliares!$D21&lt;(Producción!AD31*$A21),Auxiliares!$D21,Producción!AD31*$A21)*Auxiliares!$J$15*Auxiliares!$J$16*IF($P$4="Si",0,IF($P$3="No",$P$6,$P$8*Auxiliares!$N$4+Auxiliares!$N$5*$P$10))</f>
        <v>20.431240075425741</v>
      </c>
      <c r="AE34">
        <f ca="1">IF(Auxiliares!$D21&lt;(Producción!AE31*$A21),Auxiliares!$D21,Producción!AE31*$A21)*Auxiliares!$J$15*Auxiliares!$J$16*IF($P$4="Si",0,IF($P$3="No",$P$6,$P$8*Auxiliares!$N$4+Auxiliares!$N$5*$P$10))</f>
        <v>20.431240075425741</v>
      </c>
      <c r="AF34">
        <f ca="1">IF(Auxiliares!$D21&lt;(Producción!AF31*$A21),Auxiliares!$D21,Producción!AF31*$A21)*Auxiliares!$J$15*Auxiliares!$J$16*IF($P$4="Si",0,IF($P$3="No",$P$6,$P$8*Auxiliares!$N$4+Auxiliares!$N$5*$P$10))</f>
        <v>20.431240075425741</v>
      </c>
    </row>
    <row r="35" spans="1:32">
      <c r="B35" s="24" t="s">
        <v>10</v>
      </c>
      <c r="C35">
        <f ca="1">IF(Auxiliares!$D22&lt;(Producción!C32*$A22),Auxiliares!$D22,Producción!C32*$A22)*Auxiliares!$J$15*Auxiliares!$J$16*IF($P$4="Si",0,IF($P$3="No",$P$6,$P$8*Auxiliares!$N$4+Auxiliares!$N$5*$P$10))</f>
        <v>25.334737693527916</v>
      </c>
      <c r="D35">
        <f ca="1">IF(Auxiliares!$D22&lt;(Producción!D32*$A22),Auxiliares!$D22,Producción!D32*$A22)*Auxiliares!$J$15*Auxiliares!$J$16*IF($P$4="Si",0,IF($P$3="No",$P$6,$P$8*Auxiliares!$N$4+Auxiliares!$N$5*$P$10))</f>
        <v>25.334737693527916</v>
      </c>
      <c r="E35">
        <f ca="1">IF(Auxiliares!$D22&lt;(Producción!E32*$A22),Auxiliares!$D22,Producción!E32*$A22)*Auxiliares!$J$15*Auxiliares!$J$16*IF($P$4="Si",0,IF($P$3="No",$P$6,$P$8*Auxiliares!$N$4+Auxiliares!$N$5*$P$10))</f>
        <v>25.334737693527916</v>
      </c>
      <c r="F35">
        <f ca="1">IF(Auxiliares!$D22&lt;(Producción!F32*$A22),Auxiliares!$D22,Producción!F32*$A22)*Auxiliares!$J$15*Auxiliares!$J$16*IF($P$4="Si",0,IF($P$3="No",$P$6,$P$8*Auxiliares!$N$4+Auxiliares!$N$5*$P$10))</f>
        <v>25.334737693527916</v>
      </c>
      <c r="G35">
        <f ca="1">IF(Auxiliares!$D22&lt;(Producción!G32*$A22),Auxiliares!$D22,Producción!G32*$A22)*Auxiliares!$J$15*Auxiliares!$J$16*IF($P$4="Si",0,IF($P$3="No",$P$6,$P$8*Auxiliares!$N$4+Auxiliares!$N$5*$P$10))</f>
        <v>25.334737693527916</v>
      </c>
      <c r="H35">
        <f ca="1">IF(Auxiliares!$D22&lt;(Producción!H32*$A22),Auxiliares!$D22,Producción!H32*$A22)*Auxiliares!$J$15*Auxiliares!$J$16*IF($P$4="Si",0,IF($P$3="No",$P$6,$P$8*Auxiliares!$N$4+Auxiliares!$N$5*$P$10))</f>
        <v>25.334737693527916</v>
      </c>
      <c r="I35">
        <f ca="1">IF(Auxiliares!$D22&lt;(Producción!I32*$A22),Auxiliares!$D22,Producción!I32*$A22)*Auxiliares!$J$15*Auxiliares!$J$16*IF($P$4="Si",0,IF($P$3="No",$P$6,$P$8*Auxiliares!$N$4+Auxiliares!$N$5*$P$10))</f>
        <v>25.334737693527916</v>
      </c>
      <c r="J35">
        <f ca="1">IF(Auxiliares!$D22&lt;(Producción!J32*$A22),Auxiliares!$D22,Producción!J32*$A22)*Auxiliares!$J$15*Auxiliares!$J$16*IF($P$4="Si",0,IF($P$3="No",$P$6,$P$8*Auxiliares!$N$4+Auxiliares!$N$5*$P$10))</f>
        <v>25.334737693527916</v>
      </c>
      <c r="K35">
        <f ca="1">IF(Auxiliares!$D22&lt;(Producción!K32*$A22),Auxiliares!$D22,Producción!K32*$A22)*Auxiliares!$J$15*Auxiliares!$J$16*IF($P$4="Si",0,IF($P$3="No",$P$6,$P$8*Auxiliares!$N$4+Auxiliares!$N$5*$P$10))</f>
        <v>25.334737693527916</v>
      </c>
      <c r="L35">
        <f ca="1">IF(Auxiliares!$D22&lt;(Producción!L32*$A22),Auxiliares!$D22,Producción!L32*$A22)*Auxiliares!$J$15*Auxiliares!$J$16*IF($P$4="Si",0,IF($P$3="No",$P$6,$P$8*Auxiliares!$N$4+Auxiliares!$N$5*$P$10))</f>
        <v>25.334737693527916</v>
      </c>
      <c r="M35">
        <f ca="1">IF(Auxiliares!$D22&lt;(Producción!M32*$A22),Auxiliares!$D22,Producción!M32*$A22)*Auxiliares!$J$15*Auxiliares!$J$16*IF($P$4="Si",0,IF($P$3="No",$P$6,$P$8*Auxiliares!$N$4+Auxiliares!$N$5*$P$10))</f>
        <v>25.334737693527916</v>
      </c>
      <c r="N35">
        <f ca="1">IF(Auxiliares!$D22&lt;(Producción!N32*$A22),Auxiliares!$D22,Producción!N32*$A22)*Auxiliares!$J$15*Auxiliares!$J$16*IF($P$4="Si",0,IF($P$3="No",$P$6,$P$8*Auxiliares!$N$4+Auxiliares!$N$5*$P$10))</f>
        <v>25.334737693527916</v>
      </c>
      <c r="O35">
        <f ca="1">IF(Auxiliares!$D22&lt;(Producción!O32*$A22),Auxiliares!$D22,Producción!O32*$A22)*Auxiliares!$J$15*Auxiliares!$J$16*IF($P$4="Si",0,IF($P$3="No",$P$6,$P$8*Auxiliares!$N$4+Auxiliares!$N$5*$P$10))</f>
        <v>25.334737693527916</v>
      </c>
      <c r="P35">
        <f ca="1">IF(Auxiliares!$D22&lt;(Producción!P32*$A22),Auxiliares!$D22,Producción!P32*$A22)*Auxiliares!$J$15*Auxiliares!$J$16*IF($P$4="Si",0,IF($P$3="No",$P$6,$P$8*Auxiliares!$N$4+Auxiliares!$N$5*$P$10))</f>
        <v>25.334737693527916</v>
      </c>
      <c r="Q35">
        <f ca="1">IF(Auxiliares!$D22&lt;(Producción!Q32*$A22),Auxiliares!$D22,Producción!Q32*$A22)*Auxiliares!$J$15*Auxiliares!$J$16*IF($P$4="Si",0,IF($P$3="No",$P$6,$P$8*Auxiliares!$N$4+Auxiliares!$N$5*$P$10))</f>
        <v>25.334737693527916</v>
      </c>
      <c r="R35">
        <f ca="1">IF(Auxiliares!$D22&lt;(Producción!R32*$A22),Auxiliares!$D22,Producción!R32*$A22)*Auxiliares!$J$15*Auxiliares!$J$16*IF($P$4="Si",0,IF($P$3="No",$P$6,$P$8*Auxiliares!$N$4+Auxiliares!$N$5*$P$10))</f>
        <v>25.334737693527916</v>
      </c>
      <c r="S35">
        <f ca="1">IF(Auxiliares!$D22&lt;(Producción!S32*$A22),Auxiliares!$D22,Producción!S32*$A22)*Auxiliares!$J$15*Auxiliares!$J$16*IF($P$4="Si",0,IF($P$3="No",$P$6,$P$8*Auxiliares!$N$4+Auxiliares!$N$5*$P$10))</f>
        <v>25.334737693527916</v>
      </c>
      <c r="T35">
        <f ca="1">IF(Auxiliares!$D22&lt;(Producción!T32*$A22),Auxiliares!$D22,Producción!T32*$A22)*Auxiliares!$J$15*Auxiliares!$J$16*IF($P$4="Si",0,IF($P$3="No",$P$6,$P$8*Auxiliares!$N$4+Auxiliares!$N$5*$P$10))</f>
        <v>25.334737693527916</v>
      </c>
      <c r="U35">
        <f ca="1">IF(Auxiliares!$D22&lt;(Producción!U32*$A22),Auxiliares!$D22,Producción!U32*$A22)*Auxiliares!$J$15*Auxiliares!$J$16*IF($P$4="Si",0,IF($P$3="No",$P$6,$P$8*Auxiliares!$N$4+Auxiliares!$N$5*$P$10))</f>
        <v>25.334737693527916</v>
      </c>
      <c r="V35">
        <f ca="1">IF(Auxiliares!$D22&lt;(Producción!V32*$A22),Auxiliares!$D22,Producción!V32*$A22)*Auxiliares!$J$15*Auxiliares!$J$16*IF($P$4="Si",0,IF($P$3="No",$P$6,$P$8*Auxiliares!$N$4+Auxiliares!$N$5*$P$10))</f>
        <v>25.334737693527916</v>
      </c>
      <c r="W35">
        <f ca="1">IF(Auxiliares!$D22&lt;(Producción!W32*$A22),Auxiliares!$D22,Producción!W32*$A22)*Auxiliares!$J$15*Auxiliares!$J$16*IF($P$4="Si",0,IF($P$3="No",$P$6,$P$8*Auxiliares!$N$4+Auxiliares!$N$5*$P$10))</f>
        <v>25.334737693527916</v>
      </c>
      <c r="X35">
        <f ca="1">IF(Auxiliares!$D22&lt;(Producción!X32*$A22),Auxiliares!$D22,Producción!X32*$A22)*Auxiliares!$J$15*Auxiliares!$J$16*IF($P$4="Si",0,IF($P$3="No",$P$6,$P$8*Auxiliares!$N$4+Auxiliares!$N$5*$P$10))</f>
        <v>25.334737693527916</v>
      </c>
      <c r="Y35">
        <f ca="1">IF(Auxiliares!$D22&lt;(Producción!Y32*$A22),Auxiliares!$D22,Producción!Y32*$A22)*Auxiliares!$J$15*Auxiliares!$J$16*IF($P$4="Si",0,IF($P$3="No",$P$6,$P$8*Auxiliares!$N$4+Auxiliares!$N$5*$P$10))</f>
        <v>25.334737693527916</v>
      </c>
      <c r="Z35">
        <f ca="1">IF(Auxiliares!$D22&lt;(Producción!Z32*$A22),Auxiliares!$D22,Producción!Z32*$A22)*Auxiliares!$J$15*Auxiliares!$J$16*IF($P$4="Si",0,IF($P$3="No",$P$6,$P$8*Auxiliares!$N$4+Auxiliares!$N$5*$P$10))</f>
        <v>25.334737693527916</v>
      </c>
      <c r="AA35">
        <f ca="1">IF(Auxiliares!$D22&lt;(Producción!AA32*$A22),Auxiliares!$D22,Producción!AA32*$A22)*Auxiliares!$J$15*Auxiliares!$J$16*IF($P$4="Si",0,IF($P$3="No",$P$6,$P$8*Auxiliares!$N$4+Auxiliares!$N$5*$P$10))</f>
        <v>25.334737693527916</v>
      </c>
      <c r="AB35">
        <f ca="1">IF(Auxiliares!$D22&lt;(Producción!AB32*$A22),Auxiliares!$D22,Producción!AB32*$A22)*Auxiliares!$J$15*Auxiliares!$J$16*IF($P$4="Si",0,IF($P$3="No",$P$6,$P$8*Auxiliares!$N$4+Auxiliares!$N$5*$P$10))</f>
        <v>25.334737693527916</v>
      </c>
      <c r="AC35">
        <f ca="1">IF(Auxiliares!$D22&lt;(Producción!AC32*$A22),Auxiliares!$D22,Producción!AC32*$A22)*Auxiliares!$J$15*Auxiliares!$J$16*IF($P$4="Si",0,IF($P$3="No",$P$6,$P$8*Auxiliares!$N$4+Auxiliares!$N$5*$P$10))</f>
        <v>25.334737693527916</v>
      </c>
      <c r="AD35">
        <f ca="1">IF(Auxiliares!$D22&lt;(Producción!AD32*$A22),Auxiliares!$D22,Producción!AD32*$A22)*Auxiliares!$J$15*Auxiliares!$J$16*IF($P$4="Si",0,IF($P$3="No",$P$6,$P$8*Auxiliares!$N$4+Auxiliares!$N$5*$P$10))</f>
        <v>25.334737693527916</v>
      </c>
      <c r="AE35">
        <f ca="1">IF(Auxiliares!$D22&lt;(Producción!AE32*$A22),Auxiliares!$D22,Producción!AE32*$A22)*Auxiliares!$J$15*Auxiliares!$J$16*IF($P$4="Si",0,IF($P$3="No",$P$6,$P$8*Auxiliares!$N$4+Auxiliares!$N$5*$P$10))</f>
        <v>25.334737693527916</v>
      </c>
      <c r="AF35">
        <f ca="1">IF(Auxiliares!$D22&lt;(Producción!AF32*$A22),Auxiliares!$D22,Producción!AF32*$A22)*Auxiliares!$J$15*Auxiliares!$J$16*IF($P$4="Si",0,IF($P$3="No",$P$6,$P$8*Auxiliares!$N$4+Auxiliares!$N$5*$P$10))</f>
        <v>25.334737693527916</v>
      </c>
    </row>
    <row r="36" spans="1:32">
      <c r="B36" s="24" t="s">
        <v>11</v>
      </c>
      <c r="C36">
        <f ca="1">IF(Auxiliares!$D23&lt;(Producción!C33*$A23),Auxiliares!$D23,Producción!C33*$A23)*Auxiliares!$J$15*Auxiliares!$J$16*IF($P$4="Si",0,IF($P$3="No",$P$6,$P$8*Auxiliares!$N$4+Auxiliares!$N$5*$P$10))</f>
        <v>21.657114479951282</v>
      </c>
      <c r="D36">
        <f ca="1">IF(Auxiliares!$D23&lt;(Producción!D33*$A23),Auxiliares!$D23,Producción!D33*$A23)*Auxiliares!$J$15*Auxiliares!$J$16*IF($P$4="Si",0,IF($P$3="No",$P$6,$P$8*Auxiliares!$N$4+Auxiliares!$N$5*$P$10))</f>
        <v>21.657114479951282</v>
      </c>
      <c r="E36">
        <f ca="1">IF(Auxiliares!$D23&lt;(Producción!E33*$A23),Auxiliares!$D23,Producción!E33*$A23)*Auxiliares!$J$15*Auxiliares!$J$16*IF($P$4="Si",0,IF($P$3="No",$P$6,$P$8*Auxiliares!$N$4+Auxiliares!$N$5*$P$10))</f>
        <v>21.657114479951282</v>
      </c>
      <c r="F36">
        <f ca="1">IF(Auxiliares!$D23&lt;(Producción!F33*$A23),Auxiliares!$D23,Producción!F33*$A23)*Auxiliares!$J$15*Auxiliares!$J$16*IF($P$4="Si",0,IF($P$3="No",$P$6,$P$8*Auxiliares!$N$4+Auxiliares!$N$5*$P$10))</f>
        <v>21.657114479951282</v>
      </c>
      <c r="G36">
        <f ca="1">IF(Auxiliares!$D23&lt;(Producción!G33*$A23),Auxiliares!$D23,Producción!G33*$A23)*Auxiliares!$J$15*Auxiliares!$J$16*IF($P$4="Si",0,IF($P$3="No",$P$6,$P$8*Auxiliares!$N$4+Auxiliares!$N$5*$P$10))</f>
        <v>21.657114479951282</v>
      </c>
      <c r="H36">
        <f ca="1">IF(Auxiliares!$D23&lt;(Producción!H33*$A23),Auxiliares!$D23,Producción!H33*$A23)*Auxiliares!$J$15*Auxiliares!$J$16*IF($P$4="Si",0,IF($P$3="No",$P$6,$P$8*Auxiliares!$N$4+Auxiliares!$N$5*$P$10))</f>
        <v>21.657114479951282</v>
      </c>
      <c r="I36">
        <f ca="1">IF(Auxiliares!$D23&lt;(Producción!I33*$A23),Auxiliares!$D23,Producción!I33*$A23)*Auxiliares!$J$15*Auxiliares!$J$16*IF($P$4="Si",0,IF($P$3="No",$P$6,$P$8*Auxiliares!$N$4+Auxiliares!$N$5*$P$10))</f>
        <v>21.657114479951282</v>
      </c>
      <c r="J36">
        <f ca="1">IF(Auxiliares!$D23&lt;(Producción!J33*$A23),Auxiliares!$D23,Producción!J33*$A23)*Auxiliares!$J$15*Auxiliares!$J$16*IF($P$4="Si",0,IF($P$3="No",$P$6,$P$8*Auxiliares!$N$4+Auxiliares!$N$5*$P$10))</f>
        <v>21.657114479951282</v>
      </c>
      <c r="K36">
        <f ca="1">IF(Auxiliares!$D23&lt;(Producción!K33*$A23),Auxiliares!$D23,Producción!K33*$A23)*Auxiliares!$J$15*Auxiliares!$J$16*IF($P$4="Si",0,IF($P$3="No",$P$6,$P$8*Auxiliares!$N$4+Auxiliares!$N$5*$P$10))</f>
        <v>21.657114479951282</v>
      </c>
      <c r="L36">
        <f ca="1">IF(Auxiliares!$D23&lt;(Producción!L33*$A23),Auxiliares!$D23,Producción!L33*$A23)*Auxiliares!$J$15*Auxiliares!$J$16*IF($P$4="Si",0,IF($P$3="No",$P$6,$P$8*Auxiliares!$N$4+Auxiliares!$N$5*$P$10))</f>
        <v>21.657114479951282</v>
      </c>
      <c r="M36">
        <f ca="1">IF(Auxiliares!$D23&lt;(Producción!M33*$A23),Auxiliares!$D23,Producción!M33*$A23)*Auxiliares!$J$15*Auxiliares!$J$16*IF($P$4="Si",0,IF($P$3="No",$P$6,$P$8*Auxiliares!$N$4+Auxiliares!$N$5*$P$10))</f>
        <v>21.657114479951282</v>
      </c>
      <c r="N36">
        <f ca="1">IF(Auxiliares!$D23&lt;(Producción!N33*$A23),Auxiliares!$D23,Producción!N33*$A23)*Auxiliares!$J$15*Auxiliares!$J$16*IF($P$4="Si",0,IF($P$3="No",$P$6,$P$8*Auxiliares!$N$4+Auxiliares!$N$5*$P$10))</f>
        <v>21.657114479951282</v>
      </c>
      <c r="O36">
        <f ca="1">IF(Auxiliares!$D23&lt;(Producción!O33*$A23),Auxiliares!$D23,Producción!O33*$A23)*Auxiliares!$J$15*Auxiliares!$J$16*IF($P$4="Si",0,IF($P$3="No",$P$6,$P$8*Auxiliares!$N$4+Auxiliares!$N$5*$P$10))</f>
        <v>21.657114479951282</v>
      </c>
      <c r="P36">
        <f ca="1">IF(Auxiliares!$D23&lt;(Producción!P33*$A23),Auxiliares!$D23,Producción!P33*$A23)*Auxiliares!$J$15*Auxiliares!$J$16*IF($P$4="Si",0,IF($P$3="No",$P$6,$P$8*Auxiliares!$N$4+Auxiliares!$N$5*$P$10))</f>
        <v>21.657114479951282</v>
      </c>
      <c r="Q36">
        <f ca="1">IF(Auxiliares!$D23&lt;(Producción!Q33*$A23),Auxiliares!$D23,Producción!Q33*$A23)*Auxiliares!$J$15*Auxiliares!$J$16*IF($P$4="Si",0,IF($P$3="No",$P$6,$P$8*Auxiliares!$N$4+Auxiliares!$N$5*$P$10))</f>
        <v>21.657114479951282</v>
      </c>
      <c r="R36">
        <f ca="1">IF(Auxiliares!$D23&lt;(Producción!R33*$A23),Auxiliares!$D23,Producción!R33*$A23)*Auxiliares!$J$15*Auxiliares!$J$16*IF($P$4="Si",0,IF($P$3="No",$P$6,$P$8*Auxiliares!$N$4+Auxiliares!$N$5*$P$10))</f>
        <v>21.657114479951282</v>
      </c>
      <c r="S36">
        <f ca="1">IF(Auxiliares!$D23&lt;(Producción!S33*$A23),Auxiliares!$D23,Producción!S33*$A23)*Auxiliares!$J$15*Auxiliares!$J$16*IF($P$4="Si",0,IF($P$3="No",$P$6,$P$8*Auxiliares!$N$4+Auxiliares!$N$5*$P$10))</f>
        <v>21.657114479951282</v>
      </c>
      <c r="T36">
        <f ca="1">IF(Auxiliares!$D23&lt;(Producción!T33*$A23),Auxiliares!$D23,Producción!T33*$A23)*Auxiliares!$J$15*Auxiliares!$J$16*IF($P$4="Si",0,IF($P$3="No",$P$6,$P$8*Auxiliares!$N$4+Auxiliares!$N$5*$P$10))</f>
        <v>21.657114479951282</v>
      </c>
      <c r="U36">
        <f ca="1">IF(Auxiliares!$D23&lt;(Producción!U33*$A23),Auxiliares!$D23,Producción!U33*$A23)*Auxiliares!$J$15*Auxiliares!$J$16*IF($P$4="Si",0,IF($P$3="No",$P$6,$P$8*Auxiliares!$N$4+Auxiliares!$N$5*$P$10))</f>
        <v>21.657114479951282</v>
      </c>
      <c r="V36">
        <f ca="1">IF(Auxiliares!$D23&lt;(Producción!V33*$A23),Auxiliares!$D23,Producción!V33*$A23)*Auxiliares!$J$15*Auxiliares!$J$16*IF($P$4="Si",0,IF($P$3="No",$P$6,$P$8*Auxiliares!$N$4+Auxiliares!$N$5*$P$10))</f>
        <v>21.657114479951282</v>
      </c>
      <c r="W36">
        <f ca="1">IF(Auxiliares!$D23&lt;(Producción!W33*$A23),Auxiliares!$D23,Producción!W33*$A23)*Auxiliares!$J$15*Auxiliares!$J$16*IF($P$4="Si",0,IF($P$3="No",$P$6,$P$8*Auxiliares!$N$4+Auxiliares!$N$5*$P$10))</f>
        <v>21.657114479951282</v>
      </c>
      <c r="X36">
        <f ca="1">IF(Auxiliares!$D23&lt;(Producción!X33*$A23),Auxiliares!$D23,Producción!X33*$A23)*Auxiliares!$J$15*Auxiliares!$J$16*IF($P$4="Si",0,IF($P$3="No",$P$6,$P$8*Auxiliares!$N$4+Auxiliares!$N$5*$P$10))</f>
        <v>21.657114479951282</v>
      </c>
      <c r="Y36">
        <f ca="1">IF(Auxiliares!$D23&lt;(Producción!Y33*$A23),Auxiliares!$D23,Producción!Y33*$A23)*Auxiliares!$J$15*Auxiliares!$J$16*IF($P$4="Si",0,IF($P$3="No",$P$6,$P$8*Auxiliares!$N$4+Auxiliares!$N$5*$P$10))</f>
        <v>21.657114479951282</v>
      </c>
      <c r="Z36">
        <f ca="1">IF(Auxiliares!$D23&lt;(Producción!Z33*$A23),Auxiliares!$D23,Producción!Z33*$A23)*Auxiliares!$J$15*Auxiliares!$J$16*IF($P$4="Si",0,IF($P$3="No",$P$6,$P$8*Auxiliares!$N$4+Auxiliares!$N$5*$P$10))</f>
        <v>21.657114479951282</v>
      </c>
      <c r="AA36">
        <f ca="1">IF(Auxiliares!$D23&lt;(Producción!AA33*$A23),Auxiliares!$D23,Producción!AA33*$A23)*Auxiliares!$J$15*Auxiliares!$J$16*IF($P$4="Si",0,IF($P$3="No",$P$6,$P$8*Auxiliares!$N$4+Auxiliares!$N$5*$P$10))</f>
        <v>21.657114479951282</v>
      </c>
      <c r="AB36">
        <f ca="1">IF(Auxiliares!$D23&lt;(Producción!AB33*$A23),Auxiliares!$D23,Producción!AB33*$A23)*Auxiliares!$J$15*Auxiliares!$J$16*IF($P$4="Si",0,IF($P$3="No",$P$6,$P$8*Auxiliares!$N$4+Auxiliares!$N$5*$P$10))</f>
        <v>21.657114479951282</v>
      </c>
      <c r="AC36">
        <f ca="1">IF(Auxiliares!$D23&lt;(Producción!AC33*$A23),Auxiliares!$D23,Producción!AC33*$A23)*Auxiliares!$J$15*Auxiliares!$J$16*IF($P$4="Si",0,IF($P$3="No",$P$6,$P$8*Auxiliares!$N$4+Auxiliares!$N$5*$P$10))</f>
        <v>21.657114479951282</v>
      </c>
      <c r="AD36">
        <f ca="1">IF(Auxiliares!$D23&lt;(Producción!AD33*$A23),Auxiliares!$D23,Producción!AD33*$A23)*Auxiliares!$J$15*Auxiliares!$J$16*IF($P$4="Si",0,IF($P$3="No",$P$6,$P$8*Auxiliares!$N$4+Auxiliares!$N$5*$P$10))</f>
        <v>21.657114479951282</v>
      </c>
      <c r="AE36">
        <f ca="1">IF(Auxiliares!$D23&lt;(Producción!AE33*$A23),Auxiliares!$D23,Producción!AE33*$A23)*Auxiliares!$J$15*Auxiliares!$J$16*IF($P$4="Si",0,IF($P$3="No",$P$6,$P$8*Auxiliares!$N$4+Auxiliares!$N$5*$P$10))</f>
        <v>21.657114479951282</v>
      </c>
      <c r="AF36">
        <f ca="1">IF(Auxiliares!$D23&lt;(Producción!AF33*$A23),Auxiliares!$D23,Producción!AF33*$A23)*Auxiliares!$J$15*Auxiliares!$J$16*IF($P$4="Si",0,IF($P$3="No",$P$6,$P$8*Auxiliares!$N$4+Auxiliares!$N$5*$P$10))</f>
        <v>21.657114479951282</v>
      </c>
    </row>
    <row r="37" spans="1:32">
      <c r="B37" s="24" t="s">
        <v>12</v>
      </c>
      <c r="C37">
        <f ca="1">IF(Auxiliares!$D24&lt;(Producción!C34*$A24),Auxiliares!$D24,Producción!C34*$A24)*Auxiliares!$J$15*Auxiliares!$J$16*IF($P$4="Si",0,IF($P$3="No",$P$6,$P$8*Auxiliares!$N$4+Auxiliares!$N$5*$P$10))</f>
        <v>20.431240075425741</v>
      </c>
      <c r="D37">
        <f ca="1">IF(Auxiliares!$D24&lt;(Producción!D34*$A24),Auxiliares!$D24,Producción!D34*$A24)*Auxiliares!$J$15*Auxiliares!$J$16*IF($P$4="Si",0,IF($P$3="No",$P$6,$P$8*Auxiliares!$N$4+Auxiliares!$N$5*$P$10))</f>
        <v>20.431240075425741</v>
      </c>
      <c r="E37">
        <f ca="1">IF(Auxiliares!$D24&lt;(Producción!E34*$A24),Auxiliares!$D24,Producción!E34*$A24)*Auxiliares!$J$15*Auxiliares!$J$16*IF($P$4="Si",0,IF($P$3="No",$P$6,$P$8*Auxiliares!$N$4+Auxiliares!$N$5*$P$10))</f>
        <v>20.431240075425741</v>
      </c>
      <c r="F37">
        <f ca="1">IF(Auxiliares!$D24&lt;(Producción!F34*$A24),Auxiliares!$D24,Producción!F34*$A24)*Auxiliares!$J$15*Auxiliares!$J$16*IF($P$4="Si",0,IF($P$3="No",$P$6,$P$8*Auxiliares!$N$4+Auxiliares!$N$5*$P$10))</f>
        <v>20.431240075425741</v>
      </c>
      <c r="G37">
        <f ca="1">IF(Auxiliares!$D24&lt;(Producción!G34*$A24),Auxiliares!$D24,Producción!G34*$A24)*Auxiliares!$J$15*Auxiliares!$J$16*IF($P$4="Si",0,IF($P$3="No",$P$6,$P$8*Auxiliares!$N$4+Auxiliares!$N$5*$P$10))</f>
        <v>20.431240075425741</v>
      </c>
      <c r="H37">
        <f ca="1">IF(Auxiliares!$D24&lt;(Producción!H34*$A24),Auxiliares!$D24,Producción!H34*$A24)*Auxiliares!$J$15*Auxiliares!$J$16*IF($P$4="Si",0,IF($P$3="No",$P$6,$P$8*Auxiliares!$N$4+Auxiliares!$N$5*$P$10))</f>
        <v>20.431240075425741</v>
      </c>
      <c r="I37">
        <f ca="1">IF(Auxiliares!$D24&lt;(Producción!I34*$A24),Auxiliares!$D24,Producción!I34*$A24)*Auxiliares!$J$15*Auxiliares!$J$16*IF($P$4="Si",0,IF($P$3="No",$P$6,$P$8*Auxiliares!$N$4+Auxiliares!$N$5*$P$10))</f>
        <v>20.431240075425741</v>
      </c>
      <c r="J37">
        <f ca="1">IF(Auxiliares!$D24&lt;(Producción!J34*$A24),Auxiliares!$D24,Producción!J34*$A24)*Auxiliares!$J$15*Auxiliares!$J$16*IF($P$4="Si",0,IF($P$3="No",$P$6,$P$8*Auxiliares!$N$4+Auxiliares!$N$5*$P$10))</f>
        <v>20.431240075425741</v>
      </c>
      <c r="K37">
        <f ca="1">IF(Auxiliares!$D24&lt;(Producción!K34*$A24),Auxiliares!$D24,Producción!K34*$A24)*Auxiliares!$J$15*Auxiliares!$J$16*IF($P$4="Si",0,IF($P$3="No",$P$6,$P$8*Auxiliares!$N$4+Auxiliares!$N$5*$P$10))</f>
        <v>20.431240075425741</v>
      </c>
      <c r="L37">
        <f ca="1">IF(Auxiliares!$D24&lt;(Producción!L34*$A24),Auxiliares!$D24,Producción!L34*$A24)*Auxiliares!$J$15*Auxiliares!$J$16*IF($P$4="Si",0,IF($P$3="No",$P$6,$P$8*Auxiliares!$N$4+Auxiliares!$N$5*$P$10))</f>
        <v>20.431240075425741</v>
      </c>
      <c r="M37">
        <f ca="1">IF(Auxiliares!$D24&lt;(Producción!M34*$A24),Auxiliares!$D24,Producción!M34*$A24)*Auxiliares!$J$15*Auxiliares!$J$16*IF($P$4="Si",0,IF($P$3="No",$P$6,$P$8*Auxiliares!$N$4+Auxiliares!$N$5*$P$10))</f>
        <v>20.431240075425741</v>
      </c>
      <c r="N37">
        <f ca="1">IF(Auxiliares!$D24&lt;(Producción!N34*$A24),Auxiliares!$D24,Producción!N34*$A24)*Auxiliares!$J$15*Auxiliares!$J$16*IF($P$4="Si",0,IF($P$3="No",$P$6,$P$8*Auxiliares!$N$4+Auxiliares!$N$5*$P$10))</f>
        <v>20.431240075425741</v>
      </c>
      <c r="O37">
        <f ca="1">IF(Auxiliares!$D24&lt;(Producción!O34*$A24),Auxiliares!$D24,Producción!O34*$A24)*Auxiliares!$J$15*Auxiliares!$J$16*IF($P$4="Si",0,IF($P$3="No",$P$6,$P$8*Auxiliares!$N$4+Auxiliares!$N$5*$P$10))</f>
        <v>20.431240075425741</v>
      </c>
      <c r="P37">
        <f ca="1">IF(Auxiliares!$D24&lt;(Producción!P34*$A24),Auxiliares!$D24,Producción!P34*$A24)*Auxiliares!$J$15*Auxiliares!$J$16*IF($P$4="Si",0,IF($P$3="No",$P$6,$P$8*Auxiliares!$N$4+Auxiliares!$N$5*$P$10))</f>
        <v>20.431240075425741</v>
      </c>
      <c r="Q37">
        <f ca="1">IF(Auxiliares!$D24&lt;(Producción!Q34*$A24),Auxiliares!$D24,Producción!Q34*$A24)*Auxiliares!$J$15*Auxiliares!$J$16*IF($P$4="Si",0,IF($P$3="No",$P$6,$P$8*Auxiliares!$N$4+Auxiliares!$N$5*$P$10))</f>
        <v>20.431240075425741</v>
      </c>
      <c r="R37">
        <f ca="1">IF(Auxiliares!$D24&lt;(Producción!R34*$A24),Auxiliares!$D24,Producción!R34*$A24)*Auxiliares!$J$15*Auxiliares!$J$16*IF($P$4="Si",0,IF($P$3="No",$P$6,$P$8*Auxiliares!$N$4+Auxiliares!$N$5*$P$10))</f>
        <v>20.431240075425741</v>
      </c>
      <c r="S37">
        <f ca="1">IF(Auxiliares!$D24&lt;(Producción!S34*$A24),Auxiliares!$D24,Producción!S34*$A24)*Auxiliares!$J$15*Auxiliares!$J$16*IF($P$4="Si",0,IF($P$3="No",$P$6,$P$8*Auxiliares!$N$4+Auxiliares!$N$5*$P$10))</f>
        <v>20.431240075425741</v>
      </c>
      <c r="T37">
        <f ca="1">IF(Auxiliares!$D24&lt;(Producción!T34*$A24),Auxiliares!$D24,Producción!T34*$A24)*Auxiliares!$J$15*Auxiliares!$J$16*IF($P$4="Si",0,IF($P$3="No",$P$6,$P$8*Auxiliares!$N$4+Auxiliares!$N$5*$P$10))</f>
        <v>20.431240075425741</v>
      </c>
      <c r="U37">
        <f ca="1">IF(Auxiliares!$D24&lt;(Producción!U34*$A24),Auxiliares!$D24,Producción!U34*$A24)*Auxiliares!$J$15*Auxiliares!$J$16*IF($P$4="Si",0,IF($P$3="No",$P$6,$P$8*Auxiliares!$N$4+Auxiliares!$N$5*$P$10))</f>
        <v>20.431240075425741</v>
      </c>
      <c r="V37">
        <f ca="1">IF(Auxiliares!$D24&lt;(Producción!V34*$A24),Auxiliares!$D24,Producción!V34*$A24)*Auxiliares!$J$15*Auxiliares!$J$16*IF($P$4="Si",0,IF($P$3="No",$P$6,$P$8*Auxiliares!$N$4+Auxiliares!$N$5*$P$10))</f>
        <v>20.431240075425741</v>
      </c>
      <c r="W37">
        <f ca="1">IF(Auxiliares!$D24&lt;(Producción!W34*$A24),Auxiliares!$D24,Producción!W34*$A24)*Auxiliares!$J$15*Auxiliares!$J$16*IF($P$4="Si",0,IF($P$3="No",$P$6,$P$8*Auxiliares!$N$4+Auxiliares!$N$5*$P$10))</f>
        <v>20.431240075425741</v>
      </c>
      <c r="X37">
        <f ca="1">IF(Auxiliares!$D24&lt;(Producción!X34*$A24),Auxiliares!$D24,Producción!X34*$A24)*Auxiliares!$J$15*Auxiliares!$J$16*IF($P$4="Si",0,IF($P$3="No",$P$6,$P$8*Auxiliares!$N$4+Auxiliares!$N$5*$P$10))</f>
        <v>20.431240075425741</v>
      </c>
      <c r="Y37">
        <f ca="1">IF(Auxiliares!$D24&lt;(Producción!Y34*$A24),Auxiliares!$D24,Producción!Y34*$A24)*Auxiliares!$J$15*Auxiliares!$J$16*IF($P$4="Si",0,IF($P$3="No",$P$6,$P$8*Auxiliares!$N$4+Auxiliares!$N$5*$P$10))</f>
        <v>20.431240075425741</v>
      </c>
      <c r="Z37">
        <f ca="1">IF(Auxiliares!$D24&lt;(Producción!Z34*$A24),Auxiliares!$D24,Producción!Z34*$A24)*Auxiliares!$J$15*Auxiliares!$J$16*IF($P$4="Si",0,IF($P$3="No",$P$6,$P$8*Auxiliares!$N$4+Auxiliares!$N$5*$P$10))</f>
        <v>20.431240075425741</v>
      </c>
      <c r="AA37">
        <f ca="1">IF(Auxiliares!$D24&lt;(Producción!AA34*$A24),Auxiliares!$D24,Producción!AA34*$A24)*Auxiliares!$J$15*Auxiliares!$J$16*IF($P$4="Si",0,IF($P$3="No",$P$6,$P$8*Auxiliares!$N$4+Auxiliares!$N$5*$P$10))</f>
        <v>20.431240075425741</v>
      </c>
      <c r="AB37">
        <f ca="1">IF(Auxiliares!$D24&lt;(Producción!AB34*$A24),Auxiliares!$D24,Producción!AB34*$A24)*Auxiliares!$J$15*Auxiliares!$J$16*IF($P$4="Si",0,IF($P$3="No",$P$6,$P$8*Auxiliares!$N$4+Auxiliares!$N$5*$P$10))</f>
        <v>20.431240075425741</v>
      </c>
      <c r="AC37">
        <f ca="1">IF(Auxiliares!$D24&lt;(Producción!AC34*$A24),Auxiliares!$D24,Producción!AC34*$A24)*Auxiliares!$J$15*Auxiliares!$J$16*IF($P$4="Si",0,IF($P$3="No",$P$6,$P$8*Auxiliares!$N$4+Auxiliares!$N$5*$P$10))</f>
        <v>20.431240075425741</v>
      </c>
      <c r="AD37">
        <f ca="1">IF(Auxiliares!$D24&lt;(Producción!AD34*$A24),Auxiliares!$D24,Producción!AD34*$A24)*Auxiliares!$J$15*Auxiliares!$J$16*IF($P$4="Si",0,IF($P$3="No",$P$6,$P$8*Auxiliares!$N$4+Auxiliares!$N$5*$P$10))</f>
        <v>20.431240075425741</v>
      </c>
      <c r="AE37">
        <f ca="1">IF(Auxiliares!$D24&lt;(Producción!AE34*$A24),Auxiliares!$D24,Producción!AE34*$A24)*Auxiliares!$J$15*Auxiliares!$J$16*IF($P$4="Si",0,IF($P$3="No",$P$6,$P$8*Auxiliares!$N$4+Auxiliares!$N$5*$P$10))</f>
        <v>20.431240075425741</v>
      </c>
      <c r="AF37">
        <f ca="1">IF(Auxiliares!$D24&lt;(Producción!AF34*$A24),Auxiliares!$D24,Producción!AF34*$A24)*Auxiliares!$J$15*Auxiliares!$J$16*IF($P$4="Si",0,IF($P$3="No",$P$6,$P$8*Auxiliares!$N$4+Auxiliares!$N$5*$P$10))</f>
        <v>20.431240075425741</v>
      </c>
    </row>
    <row r="38" spans="1:32">
      <c r="B38" s="24" t="s">
        <v>57</v>
      </c>
      <c r="C38">
        <f ca="1">IF(Auxiliares!$D25&lt;(Producción!C35*$A25),Auxiliares!$D25,Producción!C35*$A25)*Auxiliares!$J$15*Auxiliares!$J$16*IF($P$4="Si",0,IF($P$3="No",$P$6,$P$8*Auxiliares!$N$4+Auxiliares!$N$5*$P$10))</f>
        <v>21.248489678442766</v>
      </c>
      <c r="D38">
        <f ca="1">IF(Auxiliares!$D25&lt;(Producción!D35*$A25),Auxiliares!$D25,Producción!D35*$A25)*Auxiliares!$J$15*Auxiliares!$J$16*IF($P$4="Si",0,IF($P$3="No",$P$6,$P$8*Auxiliares!$N$4+Auxiliares!$N$5*$P$10))</f>
        <v>21.248489678442766</v>
      </c>
      <c r="E38">
        <f ca="1">IF(Auxiliares!$D25&lt;(Producción!E35*$A25),Auxiliares!$D25,Producción!E35*$A25)*Auxiliares!$J$15*Auxiliares!$J$16*IF($P$4="Si",0,IF($P$3="No",$P$6,$P$8*Auxiliares!$N$4+Auxiliares!$N$5*$P$10))</f>
        <v>21.248489678442766</v>
      </c>
      <c r="F38">
        <f ca="1">IF(Auxiliares!$D25&lt;(Producción!F35*$A25),Auxiliares!$D25,Producción!F35*$A25)*Auxiliares!$J$15*Auxiliares!$J$16*IF($P$4="Si",0,IF($P$3="No",$P$6,$P$8*Auxiliares!$N$4+Auxiliares!$N$5*$P$10))</f>
        <v>21.248489678442766</v>
      </c>
      <c r="G38">
        <f ca="1">IF(Auxiliares!$D25&lt;(Producción!G35*$A25),Auxiliares!$D25,Producción!G35*$A25)*Auxiliares!$J$15*Auxiliares!$J$16*IF($P$4="Si",0,IF($P$3="No",$P$6,$P$8*Auxiliares!$N$4+Auxiliares!$N$5*$P$10))</f>
        <v>21.248489678442766</v>
      </c>
      <c r="H38">
        <f ca="1">IF(Auxiliares!$D25&lt;(Producción!H35*$A25),Auxiliares!$D25,Producción!H35*$A25)*Auxiliares!$J$15*Auxiliares!$J$16*IF($P$4="Si",0,IF($P$3="No",$P$6,$P$8*Auxiliares!$N$4+Auxiliares!$N$5*$P$10))</f>
        <v>21.248489678442766</v>
      </c>
      <c r="I38">
        <f ca="1">IF(Auxiliares!$D25&lt;(Producción!I35*$A25),Auxiliares!$D25,Producción!I35*$A25)*Auxiliares!$J$15*Auxiliares!$J$16*IF($P$4="Si",0,IF($P$3="No",$P$6,$P$8*Auxiliares!$N$4+Auxiliares!$N$5*$P$10))</f>
        <v>21.248489678442766</v>
      </c>
      <c r="J38">
        <f ca="1">IF(Auxiliares!$D25&lt;(Producción!J35*$A25),Auxiliares!$D25,Producción!J35*$A25)*Auxiliares!$J$15*Auxiliares!$J$16*IF($P$4="Si",0,IF($P$3="No",$P$6,$P$8*Auxiliares!$N$4+Auxiliares!$N$5*$P$10))</f>
        <v>21.248489678442766</v>
      </c>
      <c r="K38">
        <f ca="1">IF(Auxiliares!$D25&lt;(Producción!K35*$A25),Auxiliares!$D25,Producción!K35*$A25)*Auxiliares!$J$15*Auxiliares!$J$16*IF($P$4="Si",0,IF($P$3="No",$P$6,$P$8*Auxiliares!$N$4+Auxiliares!$N$5*$P$10))</f>
        <v>21.248489678442766</v>
      </c>
      <c r="L38">
        <f ca="1">IF(Auxiliares!$D25&lt;(Producción!L35*$A25),Auxiliares!$D25,Producción!L35*$A25)*Auxiliares!$J$15*Auxiliares!$J$16*IF($P$4="Si",0,IF($P$3="No",$P$6,$P$8*Auxiliares!$N$4+Auxiliares!$N$5*$P$10))</f>
        <v>21.248489678442766</v>
      </c>
      <c r="M38">
        <f ca="1">IF(Auxiliares!$D25&lt;(Producción!M35*$A25),Auxiliares!$D25,Producción!M35*$A25)*Auxiliares!$J$15*Auxiliares!$J$16*IF($P$4="Si",0,IF($P$3="No",$P$6,$P$8*Auxiliares!$N$4+Auxiliares!$N$5*$P$10))</f>
        <v>21.248489678442766</v>
      </c>
      <c r="N38">
        <f ca="1">IF(Auxiliares!$D25&lt;(Producción!N35*$A25),Auxiliares!$D25,Producción!N35*$A25)*Auxiliares!$J$15*Auxiliares!$J$16*IF($P$4="Si",0,IF($P$3="No",$P$6,$P$8*Auxiliares!$N$4+Auxiliares!$N$5*$P$10))</f>
        <v>21.248489678442766</v>
      </c>
      <c r="O38">
        <f ca="1">IF(Auxiliares!$D25&lt;(Producción!O35*$A25),Auxiliares!$D25,Producción!O35*$A25)*Auxiliares!$J$15*Auxiliares!$J$16*IF($P$4="Si",0,IF($P$3="No",$P$6,$P$8*Auxiliares!$N$4+Auxiliares!$N$5*$P$10))</f>
        <v>21.248489678442766</v>
      </c>
      <c r="P38">
        <f ca="1">IF(Auxiliares!$D25&lt;(Producción!P35*$A25),Auxiliares!$D25,Producción!P35*$A25)*Auxiliares!$J$15*Auxiliares!$J$16*IF($P$4="Si",0,IF($P$3="No",$P$6,$P$8*Auxiliares!$N$4+Auxiliares!$N$5*$P$10))</f>
        <v>21.248489678442766</v>
      </c>
      <c r="Q38">
        <f ca="1">IF(Auxiliares!$D25&lt;(Producción!Q35*$A25),Auxiliares!$D25,Producción!Q35*$A25)*Auxiliares!$J$15*Auxiliares!$J$16*IF($P$4="Si",0,IF($P$3="No",$P$6,$P$8*Auxiliares!$N$4+Auxiliares!$N$5*$P$10))</f>
        <v>21.248489678442766</v>
      </c>
      <c r="R38">
        <f ca="1">IF(Auxiliares!$D25&lt;(Producción!R35*$A25),Auxiliares!$D25,Producción!R35*$A25)*Auxiliares!$J$15*Auxiliares!$J$16*IF($P$4="Si",0,IF($P$3="No",$P$6,$P$8*Auxiliares!$N$4+Auxiliares!$N$5*$P$10))</f>
        <v>21.248489678442766</v>
      </c>
      <c r="S38">
        <f ca="1">IF(Auxiliares!$D25&lt;(Producción!S35*$A25),Auxiliares!$D25,Producción!S35*$A25)*Auxiliares!$J$15*Auxiliares!$J$16*IF($P$4="Si",0,IF($P$3="No",$P$6,$P$8*Auxiliares!$N$4+Auxiliares!$N$5*$P$10))</f>
        <v>21.248489678442766</v>
      </c>
      <c r="T38">
        <f ca="1">IF(Auxiliares!$D25&lt;(Producción!T35*$A25),Auxiliares!$D25,Producción!T35*$A25)*Auxiliares!$J$15*Auxiliares!$J$16*IF($P$4="Si",0,IF($P$3="No",$P$6,$P$8*Auxiliares!$N$4+Auxiliares!$N$5*$P$10))</f>
        <v>21.248489678442766</v>
      </c>
      <c r="U38">
        <f ca="1">IF(Auxiliares!$D25&lt;(Producción!U35*$A25),Auxiliares!$D25,Producción!U35*$A25)*Auxiliares!$J$15*Auxiliares!$J$16*IF($P$4="Si",0,IF($P$3="No",$P$6,$P$8*Auxiliares!$N$4+Auxiliares!$N$5*$P$10))</f>
        <v>21.248489678442766</v>
      </c>
      <c r="V38">
        <f ca="1">IF(Auxiliares!$D25&lt;(Producción!V35*$A25),Auxiliares!$D25,Producción!V35*$A25)*Auxiliares!$J$15*Auxiliares!$J$16*IF($P$4="Si",0,IF($P$3="No",$P$6,$P$8*Auxiliares!$N$4+Auxiliares!$N$5*$P$10))</f>
        <v>21.248489678442766</v>
      </c>
      <c r="W38">
        <f ca="1">IF(Auxiliares!$D25&lt;(Producción!W35*$A25),Auxiliares!$D25,Producción!W35*$A25)*Auxiliares!$J$15*Auxiliares!$J$16*IF($P$4="Si",0,IF($P$3="No",$P$6,$P$8*Auxiliares!$N$4+Auxiliares!$N$5*$P$10))</f>
        <v>21.248489678442766</v>
      </c>
      <c r="X38">
        <f ca="1">IF(Auxiliares!$D25&lt;(Producción!X35*$A25),Auxiliares!$D25,Producción!X35*$A25)*Auxiliares!$J$15*Auxiliares!$J$16*IF($P$4="Si",0,IF($P$3="No",$P$6,$P$8*Auxiliares!$N$4+Auxiliares!$N$5*$P$10))</f>
        <v>21.248489678442766</v>
      </c>
      <c r="Y38">
        <f ca="1">IF(Auxiliares!$D25&lt;(Producción!Y35*$A25),Auxiliares!$D25,Producción!Y35*$A25)*Auxiliares!$J$15*Auxiliares!$J$16*IF($P$4="Si",0,IF($P$3="No",$P$6,$P$8*Auxiliares!$N$4+Auxiliares!$N$5*$P$10))</f>
        <v>21.248489678442766</v>
      </c>
      <c r="Z38">
        <f ca="1">IF(Auxiliares!$D25&lt;(Producción!Z35*$A25),Auxiliares!$D25,Producción!Z35*$A25)*Auxiliares!$J$15*Auxiliares!$J$16*IF($P$4="Si",0,IF($P$3="No",$P$6,$P$8*Auxiliares!$N$4+Auxiliares!$N$5*$P$10))</f>
        <v>21.248489678442766</v>
      </c>
      <c r="AA38">
        <f ca="1">IF(Auxiliares!$D25&lt;(Producción!AA35*$A25),Auxiliares!$D25,Producción!AA35*$A25)*Auxiliares!$J$15*Auxiliares!$J$16*IF($P$4="Si",0,IF($P$3="No",$P$6,$P$8*Auxiliares!$N$4+Auxiliares!$N$5*$P$10))</f>
        <v>21.248489678442766</v>
      </c>
      <c r="AB38">
        <f ca="1">IF(Auxiliares!$D25&lt;(Producción!AB35*$A25),Auxiliares!$D25,Producción!AB35*$A25)*Auxiliares!$J$15*Auxiliares!$J$16*IF($P$4="Si",0,IF($P$3="No",$P$6,$P$8*Auxiliares!$N$4+Auxiliares!$N$5*$P$10))</f>
        <v>21.248489678442766</v>
      </c>
      <c r="AC38">
        <f ca="1">IF(Auxiliares!$D25&lt;(Producción!AC35*$A25),Auxiliares!$D25,Producción!AC35*$A25)*Auxiliares!$J$15*Auxiliares!$J$16*IF($P$4="Si",0,IF($P$3="No",$P$6,$P$8*Auxiliares!$N$4+Auxiliares!$N$5*$P$10))</f>
        <v>21.248489678442766</v>
      </c>
      <c r="AD38">
        <f ca="1">IF(Auxiliares!$D25&lt;(Producción!AD35*$A25),Auxiliares!$D25,Producción!AD35*$A25)*Auxiliares!$J$15*Auxiliares!$J$16*IF($P$4="Si",0,IF($P$3="No",$P$6,$P$8*Auxiliares!$N$4+Auxiliares!$N$5*$P$10))</f>
        <v>21.248489678442766</v>
      </c>
      <c r="AE38">
        <f ca="1">IF(Auxiliares!$D25&lt;(Producción!AE35*$A25),Auxiliares!$D25,Producción!AE35*$A25)*Auxiliares!$J$15*Auxiliares!$J$16*IF($P$4="Si",0,IF($P$3="No",$P$6,$P$8*Auxiliares!$N$4+Auxiliares!$N$5*$P$10))</f>
        <v>21.248489678442766</v>
      </c>
      <c r="AF38">
        <f ca="1">IF(Auxiliares!$D25&lt;(Producción!AF35*$A25),Auxiliares!$D25,Producción!AF35*$A25)*Auxiliares!$J$15*Auxiliares!$J$16*IF($P$4="Si",0,IF($P$3="No",$P$6,$P$8*Auxiliares!$N$4+Auxiliares!$N$5*$P$10))</f>
        <v>21.248489678442766</v>
      </c>
    </row>
    <row r="39" spans="1:32">
      <c r="B39" s="24" t="s">
        <v>14</v>
      </c>
      <c r="C39">
        <f ca="1">IF(Auxiliares!$D26&lt;(Producción!C36*$A26),Auxiliares!$D26,Producción!C36*$A26)*Auxiliares!$J$15*Auxiliares!$J$16*IF($P$4="Si",0,IF($P$3="No",$P$6,$P$8*Auxiliares!$N$4+Auxiliares!$N$5*$P$10))</f>
        <v>20.431240075425741</v>
      </c>
      <c r="D39">
        <f ca="1">IF(Auxiliares!$D26&lt;(Producción!D36*$A26),Auxiliares!$D26,Producción!D36*$A26)*Auxiliares!$J$15*Auxiliares!$J$16*IF($P$4="Si",0,IF($P$3="No",$P$6,$P$8*Auxiliares!$N$4+Auxiliares!$N$5*$P$10))</f>
        <v>20.431240075425741</v>
      </c>
      <c r="E39">
        <f ca="1">IF(Auxiliares!$D26&lt;(Producción!E36*$A26),Auxiliares!$D26,Producción!E36*$A26)*Auxiliares!$J$15*Auxiliares!$J$16*IF($P$4="Si",0,IF($P$3="No",$P$6,$P$8*Auxiliares!$N$4+Auxiliares!$N$5*$P$10))</f>
        <v>20.431240075425741</v>
      </c>
      <c r="F39">
        <f ca="1">IF(Auxiliares!$D26&lt;(Producción!F36*$A26),Auxiliares!$D26,Producción!F36*$A26)*Auxiliares!$J$15*Auxiliares!$J$16*IF($P$4="Si",0,IF($P$3="No",$P$6,$P$8*Auxiliares!$N$4+Auxiliares!$N$5*$P$10))</f>
        <v>20.431240075425741</v>
      </c>
      <c r="G39">
        <f ca="1">IF(Auxiliares!$D26&lt;(Producción!G36*$A26),Auxiliares!$D26,Producción!G36*$A26)*Auxiliares!$J$15*Auxiliares!$J$16*IF($P$4="Si",0,IF($P$3="No",$P$6,$P$8*Auxiliares!$N$4+Auxiliares!$N$5*$P$10))</f>
        <v>20.431240075425741</v>
      </c>
      <c r="H39">
        <f ca="1">IF(Auxiliares!$D26&lt;(Producción!H36*$A26),Auxiliares!$D26,Producción!H36*$A26)*Auxiliares!$J$15*Auxiliares!$J$16*IF($P$4="Si",0,IF($P$3="No",$P$6,$P$8*Auxiliares!$N$4+Auxiliares!$N$5*$P$10))</f>
        <v>20.431240075425741</v>
      </c>
      <c r="I39">
        <f ca="1">IF(Auxiliares!$D26&lt;(Producción!I36*$A26),Auxiliares!$D26,Producción!I36*$A26)*Auxiliares!$J$15*Auxiliares!$J$16*IF($P$4="Si",0,IF($P$3="No",$P$6,$P$8*Auxiliares!$N$4+Auxiliares!$N$5*$P$10))</f>
        <v>20.431240075425741</v>
      </c>
      <c r="J39">
        <f ca="1">IF(Auxiliares!$D26&lt;(Producción!J36*$A26),Auxiliares!$D26,Producción!J36*$A26)*Auxiliares!$J$15*Auxiliares!$J$16*IF($P$4="Si",0,IF($P$3="No",$P$6,$P$8*Auxiliares!$N$4+Auxiliares!$N$5*$P$10))</f>
        <v>20.431240075425741</v>
      </c>
      <c r="K39">
        <f ca="1">IF(Auxiliares!$D26&lt;(Producción!K36*$A26),Auxiliares!$D26,Producción!K36*$A26)*Auxiliares!$J$15*Auxiliares!$J$16*IF($P$4="Si",0,IF($P$3="No",$P$6,$P$8*Auxiliares!$N$4+Auxiliares!$N$5*$P$10))</f>
        <v>20.431240075425741</v>
      </c>
      <c r="L39">
        <f ca="1">IF(Auxiliares!$D26&lt;(Producción!L36*$A26),Auxiliares!$D26,Producción!L36*$A26)*Auxiliares!$J$15*Auxiliares!$J$16*IF($P$4="Si",0,IF($P$3="No",$P$6,$P$8*Auxiliares!$N$4+Auxiliares!$N$5*$P$10))</f>
        <v>20.431240075425741</v>
      </c>
      <c r="M39">
        <f ca="1">IF(Auxiliares!$D26&lt;(Producción!M36*$A26),Auxiliares!$D26,Producción!M36*$A26)*Auxiliares!$J$15*Auxiliares!$J$16*IF($P$4="Si",0,IF($P$3="No",$P$6,$P$8*Auxiliares!$N$4+Auxiliares!$N$5*$P$10))</f>
        <v>20.431240075425741</v>
      </c>
      <c r="N39">
        <f ca="1">IF(Auxiliares!$D26&lt;(Producción!N36*$A26),Auxiliares!$D26,Producción!N36*$A26)*Auxiliares!$J$15*Auxiliares!$J$16*IF($P$4="Si",0,IF($P$3="No",$P$6,$P$8*Auxiliares!$N$4+Auxiliares!$N$5*$P$10))</f>
        <v>20.431240075425741</v>
      </c>
      <c r="O39">
        <f ca="1">IF(Auxiliares!$D26&lt;(Producción!O36*$A26),Auxiliares!$D26,Producción!O36*$A26)*Auxiliares!$J$15*Auxiliares!$J$16*IF($P$4="Si",0,IF($P$3="No",$P$6,$P$8*Auxiliares!$N$4+Auxiliares!$N$5*$P$10))</f>
        <v>20.431240075425741</v>
      </c>
      <c r="P39">
        <f ca="1">IF(Auxiliares!$D26&lt;(Producción!P36*$A26),Auxiliares!$D26,Producción!P36*$A26)*Auxiliares!$J$15*Auxiliares!$J$16*IF($P$4="Si",0,IF($P$3="No",$P$6,$P$8*Auxiliares!$N$4+Auxiliares!$N$5*$P$10))</f>
        <v>20.431240075425741</v>
      </c>
      <c r="Q39">
        <f ca="1">IF(Auxiliares!$D26&lt;(Producción!Q36*$A26),Auxiliares!$D26,Producción!Q36*$A26)*Auxiliares!$J$15*Auxiliares!$J$16*IF($P$4="Si",0,IF($P$3="No",$P$6,$P$8*Auxiliares!$N$4+Auxiliares!$N$5*$P$10))</f>
        <v>20.431240075425741</v>
      </c>
      <c r="R39">
        <f ca="1">IF(Auxiliares!$D26&lt;(Producción!R36*$A26),Auxiliares!$D26,Producción!R36*$A26)*Auxiliares!$J$15*Auxiliares!$J$16*IF($P$4="Si",0,IF($P$3="No",$P$6,$P$8*Auxiliares!$N$4+Auxiliares!$N$5*$P$10))</f>
        <v>20.431240075425741</v>
      </c>
      <c r="S39">
        <f ca="1">IF(Auxiliares!$D26&lt;(Producción!S36*$A26),Auxiliares!$D26,Producción!S36*$A26)*Auxiliares!$J$15*Auxiliares!$J$16*IF($P$4="Si",0,IF($P$3="No",$P$6,$P$8*Auxiliares!$N$4+Auxiliares!$N$5*$P$10))</f>
        <v>20.431240075425741</v>
      </c>
      <c r="T39">
        <f ca="1">IF(Auxiliares!$D26&lt;(Producción!T36*$A26),Auxiliares!$D26,Producción!T36*$A26)*Auxiliares!$J$15*Auxiliares!$J$16*IF($P$4="Si",0,IF($P$3="No",$P$6,$P$8*Auxiliares!$N$4+Auxiliares!$N$5*$P$10))</f>
        <v>20.431240075425741</v>
      </c>
      <c r="U39">
        <f ca="1">IF(Auxiliares!$D26&lt;(Producción!U36*$A26),Auxiliares!$D26,Producción!U36*$A26)*Auxiliares!$J$15*Auxiliares!$J$16*IF($P$4="Si",0,IF($P$3="No",$P$6,$P$8*Auxiliares!$N$4+Auxiliares!$N$5*$P$10))</f>
        <v>20.431240075425741</v>
      </c>
      <c r="V39">
        <f ca="1">IF(Auxiliares!$D26&lt;(Producción!V36*$A26),Auxiliares!$D26,Producción!V36*$A26)*Auxiliares!$J$15*Auxiliares!$J$16*IF($P$4="Si",0,IF($P$3="No",$P$6,$P$8*Auxiliares!$N$4+Auxiliares!$N$5*$P$10))</f>
        <v>20.431240075425741</v>
      </c>
      <c r="W39">
        <f ca="1">IF(Auxiliares!$D26&lt;(Producción!W36*$A26),Auxiliares!$D26,Producción!W36*$A26)*Auxiliares!$J$15*Auxiliares!$J$16*IF($P$4="Si",0,IF($P$3="No",$P$6,$P$8*Auxiliares!$N$4+Auxiliares!$N$5*$P$10))</f>
        <v>20.431240075425741</v>
      </c>
      <c r="X39">
        <f ca="1">IF(Auxiliares!$D26&lt;(Producción!X36*$A26),Auxiliares!$D26,Producción!X36*$A26)*Auxiliares!$J$15*Auxiliares!$J$16*IF($P$4="Si",0,IF($P$3="No",$P$6,$P$8*Auxiliares!$N$4+Auxiliares!$N$5*$P$10))</f>
        <v>20.431240075425741</v>
      </c>
      <c r="Y39">
        <f ca="1">IF(Auxiliares!$D26&lt;(Producción!Y36*$A26),Auxiliares!$D26,Producción!Y36*$A26)*Auxiliares!$J$15*Auxiliares!$J$16*IF($P$4="Si",0,IF($P$3="No",$P$6,$P$8*Auxiliares!$N$4+Auxiliares!$N$5*$P$10))</f>
        <v>20.431240075425741</v>
      </c>
      <c r="Z39">
        <f ca="1">IF(Auxiliares!$D26&lt;(Producción!Z36*$A26),Auxiliares!$D26,Producción!Z36*$A26)*Auxiliares!$J$15*Auxiliares!$J$16*IF($P$4="Si",0,IF($P$3="No",$P$6,$P$8*Auxiliares!$N$4+Auxiliares!$N$5*$P$10))</f>
        <v>20.431240075425741</v>
      </c>
      <c r="AA39">
        <f ca="1">IF(Auxiliares!$D26&lt;(Producción!AA36*$A26),Auxiliares!$D26,Producción!AA36*$A26)*Auxiliares!$J$15*Auxiliares!$J$16*IF($P$4="Si",0,IF($P$3="No",$P$6,$P$8*Auxiliares!$N$4+Auxiliares!$N$5*$P$10))</f>
        <v>20.431240075425741</v>
      </c>
      <c r="AB39">
        <f ca="1">IF(Auxiliares!$D26&lt;(Producción!AB36*$A26),Auxiliares!$D26,Producción!AB36*$A26)*Auxiliares!$J$15*Auxiliares!$J$16*IF($P$4="Si",0,IF($P$3="No",$P$6,$P$8*Auxiliares!$N$4+Auxiliares!$N$5*$P$10))</f>
        <v>20.431240075425741</v>
      </c>
      <c r="AC39">
        <f ca="1">IF(Auxiliares!$D26&lt;(Producción!AC36*$A26),Auxiliares!$D26,Producción!AC36*$A26)*Auxiliares!$J$15*Auxiliares!$J$16*IF($P$4="Si",0,IF($P$3="No",$P$6,$P$8*Auxiliares!$N$4+Auxiliares!$N$5*$P$10))</f>
        <v>20.431240075425741</v>
      </c>
      <c r="AD39">
        <f ca="1">IF(Auxiliares!$D26&lt;(Producción!AD36*$A26),Auxiliares!$D26,Producción!AD36*$A26)*Auxiliares!$J$15*Auxiliares!$J$16*IF($P$4="Si",0,IF($P$3="No",$P$6,$P$8*Auxiliares!$N$4+Auxiliares!$N$5*$P$10))</f>
        <v>20.431240075425741</v>
      </c>
      <c r="AE39">
        <f ca="1">IF(Auxiliares!$D26&lt;(Producción!AE36*$A26),Auxiliares!$D26,Producción!AE36*$A26)*Auxiliares!$J$15*Auxiliares!$J$16*IF($P$4="Si",0,IF($P$3="No",$P$6,$P$8*Auxiliares!$N$4+Auxiliares!$N$5*$P$10))</f>
        <v>20.431240075425741</v>
      </c>
      <c r="AF39">
        <f ca="1">IF(Auxiliares!$D26&lt;(Producción!AF36*$A26),Auxiliares!$D26,Producción!AF36*$A26)*Auxiliares!$J$15*Auxiliares!$J$16*IF($P$4="Si",0,IF($P$3="No",$P$6,$P$8*Auxiliares!$N$4+Auxiliares!$N$5*$P$10))</f>
        <v>20.431240075425741</v>
      </c>
    </row>
    <row r="40" spans="1:32">
      <c r="B40" s="24" t="s">
        <v>15</v>
      </c>
      <c r="C40">
        <f ca="1">IF(Auxiliares!$D27&lt;(Producción!C37*$A27),Auxiliares!$D27,Producción!C37*$A27)*Auxiliares!$J$15*Auxiliares!$J$16*IF($P$4="Si",0,IF($P$3="No",$P$6,$P$8*Auxiliares!$N$4+Auxiliares!$N$5*$P$10))</f>
        <v>28.603736105596038</v>
      </c>
      <c r="D40">
        <f ca="1">IF(Auxiliares!$D27&lt;(Producción!D37*$A27),Auxiliares!$D27,Producción!D37*$A27)*Auxiliares!$J$15*Auxiliares!$J$16*IF($P$4="Si",0,IF($P$3="No",$P$6,$P$8*Auxiliares!$N$4+Auxiliares!$N$5*$P$10))</f>
        <v>28.603736105596038</v>
      </c>
      <c r="E40">
        <f ca="1">IF(Auxiliares!$D27&lt;(Producción!E37*$A27),Auxiliares!$D27,Producción!E37*$A27)*Auxiliares!$J$15*Auxiliares!$J$16*IF($P$4="Si",0,IF($P$3="No",$P$6,$P$8*Auxiliares!$N$4+Auxiliares!$N$5*$P$10))</f>
        <v>28.603736105596038</v>
      </c>
      <c r="F40">
        <f ca="1">IF(Auxiliares!$D27&lt;(Producción!F37*$A27),Auxiliares!$D27,Producción!F37*$A27)*Auxiliares!$J$15*Auxiliares!$J$16*IF($P$4="Si",0,IF($P$3="No",$P$6,$P$8*Auxiliares!$N$4+Auxiliares!$N$5*$P$10))</f>
        <v>28.603736105596038</v>
      </c>
      <c r="G40">
        <f ca="1">IF(Auxiliares!$D27&lt;(Producción!G37*$A27),Auxiliares!$D27,Producción!G37*$A27)*Auxiliares!$J$15*Auxiliares!$J$16*IF($P$4="Si",0,IF($P$3="No",$P$6,$P$8*Auxiliares!$N$4+Auxiliares!$N$5*$P$10))</f>
        <v>28.603736105596038</v>
      </c>
      <c r="H40">
        <f ca="1">IF(Auxiliares!$D27&lt;(Producción!H37*$A27),Auxiliares!$D27,Producción!H37*$A27)*Auxiliares!$J$15*Auxiliares!$J$16*IF($P$4="Si",0,IF($P$3="No",$P$6,$P$8*Auxiliares!$N$4+Auxiliares!$N$5*$P$10))</f>
        <v>28.603736105596038</v>
      </c>
      <c r="I40">
        <f ca="1">IF(Auxiliares!$D27&lt;(Producción!I37*$A27),Auxiliares!$D27,Producción!I37*$A27)*Auxiliares!$J$15*Auxiliares!$J$16*IF($P$4="Si",0,IF($P$3="No",$P$6,$P$8*Auxiliares!$N$4+Auxiliares!$N$5*$P$10))</f>
        <v>28.603736105596038</v>
      </c>
      <c r="J40">
        <f ca="1">IF(Auxiliares!$D27&lt;(Producción!J37*$A27),Auxiliares!$D27,Producción!J37*$A27)*Auxiliares!$J$15*Auxiliares!$J$16*IF($P$4="Si",0,IF($P$3="No",$P$6,$P$8*Auxiliares!$N$4+Auxiliares!$N$5*$P$10))</f>
        <v>28.603736105596038</v>
      </c>
      <c r="K40">
        <f ca="1">IF(Auxiliares!$D27&lt;(Producción!K37*$A27),Auxiliares!$D27,Producción!K37*$A27)*Auxiliares!$J$15*Auxiliares!$J$16*IF($P$4="Si",0,IF($P$3="No",$P$6,$P$8*Auxiliares!$N$4+Auxiliares!$N$5*$P$10))</f>
        <v>28.603736105596038</v>
      </c>
      <c r="L40">
        <f ca="1">IF(Auxiliares!$D27&lt;(Producción!L37*$A27),Auxiliares!$D27,Producción!L37*$A27)*Auxiliares!$J$15*Auxiliares!$J$16*IF($P$4="Si",0,IF($P$3="No",$P$6,$P$8*Auxiliares!$N$4+Auxiliares!$N$5*$P$10))</f>
        <v>28.603736105596038</v>
      </c>
      <c r="M40">
        <f ca="1">IF(Auxiliares!$D27&lt;(Producción!M37*$A27),Auxiliares!$D27,Producción!M37*$A27)*Auxiliares!$J$15*Auxiliares!$J$16*IF($P$4="Si",0,IF($P$3="No",$P$6,$P$8*Auxiliares!$N$4+Auxiliares!$N$5*$P$10))</f>
        <v>28.603736105596038</v>
      </c>
      <c r="N40">
        <f ca="1">IF(Auxiliares!$D27&lt;(Producción!N37*$A27),Auxiliares!$D27,Producción!N37*$A27)*Auxiliares!$J$15*Auxiliares!$J$16*IF($P$4="Si",0,IF($P$3="No",$P$6,$P$8*Auxiliares!$N$4+Auxiliares!$N$5*$P$10))</f>
        <v>28.603736105596038</v>
      </c>
      <c r="O40">
        <f ca="1">IF(Auxiliares!$D27&lt;(Producción!O37*$A27),Auxiliares!$D27,Producción!O37*$A27)*Auxiliares!$J$15*Auxiliares!$J$16*IF($P$4="Si",0,IF($P$3="No",$P$6,$P$8*Auxiliares!$N$4+Auxiliares!$N$5*$P$10))</f>
        <v>28.603736105596038</v>
      </c>
      <c r="P40">
        <f ca="1">IF(Auxiliares!$D27&lt;(Producción!P37*$A27),Auxiliares!$D27,Producción!P37*$A27)*Auxiliares!$J$15*Auxiliares!$J$16*IF($P$4="Si",0,IF($P$3="No",$P$6,$P$8*Auxiliares!$N$4+Auxiliares!$N$5*$P$10))</f>
        <v>28.603736105596038</v>
      </c>
      <c r="Q40">
        <f ca="1">IF(Auxiliares!$D27&lt;(Producción!Q37*$A27),Auxiliares!$D27,Producción!Q37*$A27)*Auxiliares!$J$15*Auxiliares!$J$16*IF($P$4="Si",0,IF($P$3="No",$P$6,$P$8*Auxiliares!$N$4+Auxiliares!$N$5*$P$10))</f>
        <v>28.603736105596038</v>
      </c>
      <c r="R40">
        <f ca="1">IF(Auxiliares!$D27&lt;(Producción!R37*$A27),Auxiliares!$D27,Producción!R37*$A27)*Auxiliares!$J$15*Auxiliares!$J$16*IF($P$4="Si",0,IF($P$3="No",$P$6,$P$8*Auxiliares!$N$4+Auxiliares!$N$5*$P$10))</f>
        <v>28.603736105596038</v>
      </c>
      <c r="S40">
        <f ca="1">IF(Auxiliares!$D27&lt;(Producción!S37*$A27),Auxiliares!$D27,Producción!S37*$A27)*Auxiliares!$J$15*Auxiliares!$J$16*IF($P$4="Si",0,IF($P$3="No",$P$6,$P$8*Auxiliares!$N$4+Auxiliares!$N$5*$P$10))</f>
        <v>28.603736105596038</v>
      </c>
      <c r="T40">
        <f ca="1">IF(Auxiliares!$D27&lt;(Producción!T37*$A27),Auxiliares!$D27,Producción!T37*$A27)*Auxiliares!$J$15*Auxiliares!$J$16*IF($P$4="Si",0,IF($P$3="No",$P$6,$P$8*Auxiliares!$N$4+Auxiliares!$N$5*$P$10))</f>
        <v>28.603736105596038</v>
      </c>
      <c r="U40">
        <f ca="1">IF(Auxiliares!$D27&lt;(Producción!U37*$A27),Auxiliares!$D27,Producción!U37*$A27)*Auxiliares!$J$15*Auxiliares!$J$16*IF($P$4="Si",0,IF($P$3="No",$P$6,$P$8*Auxiliares!$N$4+Auxiliares!$N$5*$P$10))</f>
        <v>28.603736105596038</v>
      </c>
      <c r="V40">
        <f ca="1">IF(Auxiliares!$D27&lt;(Producción!V37*$A27),Auxiliares!$D27,Producción!V37*$A27)*Auxiliares!$J$15*Auxiliares!$J$16*IF($P$4="Si",0,IF($P$3="No",$P$6,$P$8*Auxiliares!$N$4+Auxiliares!$N$5*$P$10))</f>
        <v>28.603736105596038</v>
      </c>
      <c r="W40">
        <f ca="1">IF(Auxiliares!$D27&lt;(Producción!W37*$A27),Auxiliares!$D27,Producción!W37*$A27)*Auxiliares!$J$15*Auxiliares!$J$16*IF($P$4="Si",0,IF($P$3="No",$P$6,$P$8*Auxiliares!$N$4+Auxiliares!$N$5*$P$10))</f>
        <v>28.603736105596038</v>
      </c>
      <c r="X40">
        <f ca="1">IF(Auxiliares!$D27&lt;(Producción!X37*$A27),Auxiliares!$D27,Producción!X37*$A27)*Auxiliares!$J$15*Auxiliares!$J$16*IF($P$4="Si",0,IF($P$3="No",$P$6,$P$8*Auxiliares!$N$4+Auxiliares!$N$5*$P$10))</f>
        <v>28.603736105596038</v>
      </c>
      <c r="Y40">
        <f ca="1">IF(Auxiliares!$D27&lt;(Producción!Y37*$A27),Auxiliares!$D27,Producción!Y37*$A27)*Auxiliares!$J$15*Auxiliares!$J$16*IF($P$4="Si",0,IF($P$3="No",$P$6,$P$8*Auxiliares!$N$4+Auxiliares!$N$5*$P$10))</f>
        <v>28.603736105596038</v>
      </c>
      <c r="Z40">
        <f ca="1">IF(Auxiliares!$D27&lt;(Producción!Z37*$A27),Auxiliares!$D27,Producción!Z37*$A27)*Auxiliares!$J$15*Auxiliares!$J$16*IF($P$4="Si",0,IF($P$3="No",$P$6,$P$8*Auxiliares!$N$4+Auxiliares!$N$5*$P$10))</f>
        <v>28.603736105596038</v>
      </c>
      <c r="AA40">
        <f ca="1">IF(Auxiliares!$D27&lt;(Producción!AA37*$A27),Auxiliares!$D27,Producción!AA37*$A27)*Auxiliares!$J$15*Auxiliares!$J$16*IF($P$4="Si",0,IF($P$3="No",$P$6,$P$8*Auxiliares!$N$4+Auxiliares!$N$5*$P$10))</f>
        <v>28.603736105596038</v>
      </c>
      <c r="AB40">
        <f ca="1">IF(Auxiliares!$D27&lt;(Producción!AB37*$A27),Auxiliares!$D27,Producción!AB37*$A27)*Auxiliares!$J$15*Auxiliares!$J$16*IF($P$4="Si",0,IF($P$3="No",$P$6,$P$8*Auxiliares!$N$4+Auxiliares!$N$5*$P$10))</f>
        <v>28.603736105596038</v>
      </c>
      <c r="AC40">
        <f ca="1">IF(Auxiliares!$D27&lt;(Producción!AC37*$A27),Auxiliares!$D27,Producción!AC37*$A27)*Auxiliares!$J$15*Auxiliares!$J$16*IF($P$4="Si",0,IF($P$3="No",$P$6,$P$8*Auxiliares!$N$4+Auxiliares!$N$5*$P$10))</f>
        <v>28.603736105596038</v>
      </c>
      <c r="AD40">
        <f ca="1">IF(Auxiliares!$D27&lt;(Producción!AD37*$A27),Auxiliares!$D27,Producción!AD37*$A27)*Auxiliares!$J$15*Auxiliares!$J$16*IF($P$4="Si",0,IF($P$3="No",$P$6,$P$8*Auxiliares!$N$4+Auxiliares!$N$5*$P$10))</f>
        <v>28.603736105596038</v>
      </c>
      <c r="AE40">
        <f ca="1">IF(Auxiliares!$D27&lt;(Producción!AE37*$A27),Auxiliares!$D27,Producción!AE37*$A27)*Auxiliares!$J$15*Auxiliares!$J$16*IF($P$4="Si",0,IF($P$3="No",$P$6,$P$8*Auxiliares!$N$4+Auxiliares!$N$5*$P$10))</f>
        <v>28.603736105596038</v>
      </c>
      <c r="AF40">
        <f ca="1">IF(Auxiliares!$D27&lt;(Producción!AF37*$A27),Auxiliares!$D27,Producción!AF37*$A27)*Auxiliares!$J$15*Auxiliares!$J$16*IF($P$4="Si",0,IF($P$3="No",$P$6,$P$8*Auxiliares!$N$4+Auxiliares!$N$5*$P$10))</f>
        <v>28.603736105596038</v>
      </c>
    </row>
    <row r="44" spans="1:32" s="134" customFormat="1">
      <c r="A44" s="279" t="s">
        <v>437</v>
      </c>
      <c r="B44" s="279"/>
      <c r="C44" s="279"/>
    </row>
    <row r="45" spans="1:32">
      <c r="B45" s="24" t="s">
        <v>4</v>
      </c>
      <c r="C45">
        <f ca="1">IF(CostesNoGeneración!$I$23&lt;CostesNoGeneración!C40+Ingresos!D4,CostesNoGeneración!$I$23-Ingresos!D4,CostesNoGeneración!C40)</f>
        <v>26.749683069622645</v>
      </c>
      <c r="D45">
        <f ca="1">IF(CostesNoGeneración!$I$23&lt;CostesNoGeneración!D40+Ingresos!E4,CostesNoGeneración!$I$23-Ingresos!E4,CostesNoGeneración!D40)</f>
        <v>26.568326290480645</v>
      </c>
      <c r="E45">
        <f ca="1">IF(CostesNoGeneración!$I$23&lt;CostesNoGeneración!E40+Ingresos!F4,CostesNoGeneración!$I$23-Ingresos!F4,CostesNoGeneración!E40)</f>
        <v>26.387948837946016</v>
      </c>
      <c r="F45">
        <f ca="1">IF(CostesNoGeneración!$I$23&lt;CostesNoGeneración!F40+Ingresos!G4,CostesNoGeneración!$I$23-Ingresos!G4,CostesNoGeneración!F40)</f>
        <v>26.208545423655067</v>
      </c>
      <c r="G45">
        <f ca="1">IF(CostesNoGeneración!$I$23&lt;CostesNoGeneración!G40+Ingresos!H4,CostesNoGeneración!$I$23-Ingresos!H4,CostesNoGeneración!G40)</f>
        <v>26.030110787801291</v>
      </c>
      <c r="H45">
        <f ca="1">IF(CostesNoGeneración!$I$23&lt;CostesNoGeneración!H40+Ingresos!I4,CostesNoGeneración!$I$23-Ingresos!I4,CostesNoGeneración!H40)</f>
        <v>25.852639698981125</v>
      </c>
      <c r="I45">
        <f ca="1">IF(CostesNoGeneración!$I$23&lt;CostesNoGeneración!I40+Ingresos!J4,CostesNoGeneración!$I$23-Ingresos!J4,CostesNoGeneración!I40)</f>
        <v>25.676126954040594</v>
      </c>
      <c r="J45">
        <f ca="1">IF(CostesNoGeneración!$I$23&lt;CostesNoGeneración!J40+Ingresos!K4,CostesNoGeneración!$I$23-Ingresos!K4,CostesNoGeneración!J40)</f>
        <v>25.500567377922735</v>
      </c>
      <c r="K45">
        <f ca="1">IF(CostesNoGeneración!$I$23&lt;CostesNoGeneración!K40+Ingresos!L4,CostesNoGeneración!$I$23-Ingresos!L4,CostesNoGeneración!K40)</f>
        <v>25.325955823515912</v>
      </c>
      <c r="L45">
        <f ca="1">IF(CostesNoGeneración!$I$23&lt;CostesNoGeneración!L40+Ingresos!M4,CostesNoGeneración!$I$23-Ingresos!M4,CostesNoGeneración!L40)</f>
        <v>25.152287171502891</v>
      </c>
      <c r="M45">
        <f ca="1">IF(CostesNoGeneración!$I$23&lt;CostesNoGeneración!M40+Ingresos!N4,CostesNoGeneración!$I$23-Ingresos!N4,CostesNoGeneración!M40)</f>
        <v>24.979556330210734</v>
      </c>
      <c r="N45">
        <f ca="1">IF(CostesNoGeneración!$I$23&lt;CostesNoGeneración!N40+Ingresos!O4,CostesNoGeneración!$I$23-Ingresos!O4,CostesNoGeneración!N40)</f>
        <v>24.807758235461566</v>
      </c>
      <c r="O45">
        <f ca="1">IF(CostesNoGeneración!$I$23&lt;CostesNoGeneración!O40+Ingresos!P4,CostesNoGeneración!$I$23-Ingresos!P4,CostesNoGeneración!O40)</f>
        <v>24.636887850424031</v>
      </c>
      <c r="P45">
        <f ca="1">IF(CostesNoGeneración!$I$23&lt;CostesNoGeneración!P40+Ingresos!Q4,CostesNoGeneración!$I$23-Ingresos!Q4,CostesNoGeneración!P40)</f>
        <v>24.466940165465701</v>
      </c>
      <c r="Q45">
        <f ca="1">IF(CostesNoGeneración!$I$23&lt;CostesNoGeneración!Q40+Ingresos!R4,CostesNoGeneración!$I$23-Ingresos!R4,CostesNoGeneración!Q40)</f>
        <v>24.29791019800615</v>
      </c>
      <c r="R45">
        <f ca="1">IF(CostesNoGeneración!$I$23&lt;CostesNoGeneración!R40+Ingresos!S4,CostesNoGeneración!$I$23-Ingresos!S4,CostesNoGeneración!R40)</f>
        <v>24.129792992370881</v>
      </c>
      <c r="S45">
        <f ca="1">IF(CostesNoGeneración!$I$23&lt;CostesNoGeneración!S40+Ingresos!T4,CostesNoGeneración!$I$23-Ingresos!T4,CostesNoGeneración!S40)</f>
        <v>23.96258361964604</v>
      </c>
      <c r="T45">
        <f ca="1">IF(CostesNoGeneración!$I$23&lt;CostesNoGeneración!T40+Ingresos!U4,CostesNoGeneración!$I$23-Ingresos!U4,CostesNoGeneración!T40)</f>
        <v>23.796277177533913</v>
      </c>
      <c r="U45">
        <f ca="1">IF(CostesNoGeneración!$I$23&lt;CostesNoGeneración!U40+Ingresos!V4,CostesNoGeneración!$I$23-Ingresos!V4,CostesNoGeneración!U40)</f>
        <v>23.630868790209188</v>
      </c>
      <c r="V45">
        <f ca="1">IF(CostesNoGeneración!$I$23&lt;CostesNoGeneración!V40+Ingresos!W4,CostesNoGeneración!$I$23-Ingresos!W4,CostesNoGeneración!V40)</f>
        <v>23.466353608176021</v>
      </c>
      <c r="W45">
        <f ca="1">IF(CostesNoGeneración!$I$23&lt;CostesNoGeneración!W40+Ingresos!X4,CostesNoGeneración!$I$23-Ingresos!X4,CostesNoGeneración!W40)</f>
        <v>23.30272680812584</v>
      </c>
      <c r="X45">
        <f ca="1">IF(CostesNoGeneración!$I$23&lt;CostesNoGeneración!X40+Ingresos!Y4,CostesNoGeneración!$I$23-Ingresos!Y4,CostesNoGeneración!X40)</f>
        <v>23.139983592795915</v>
      </c>
      <c r="Y45">
        <f ca="1">IF(CostesNoGeneración!$I$23&lt;CostesNoGeneración!Y40+Ingresos!Z4,CostesNoGeneración!$I$23-Ingresos!Z4,CostesNoGeneración!Y40)</f>
        <v>22.978119190828785</v>
      </c>
      <c r="Z45">
        <f ca="1">IF(CostesNoGeneración!$I$23&lt;CostesNoGeneración!Z40+Ingresos!AA4,CostesNoGeneración!$I$23-Ingresos!AA4,CostesNoGeneración!Z40)</f>
        <v>22.817128856632269</v>
      </c>
      <c r="AA45">
        <f ca="1">IF(CostesNoGeneración!$I$23&lt;CostesNoGeneración!AA40+Ingresos!AB4,CostesNoGeneración!$I$23-Ingresos!AB4,CostesNoGeneración!AA40)</f>
        <v>22.65700787024042</v>
      </c>
      <c r="AB45">
        <f ca="1">IF(CostesNoGeneración!$I$23&lt;CostesNoGeneración!AB40+Ingresos!AC4,CostesNoGeneración!$I$23-Ingresos!AC4,CostesNoGeneración!AB40)</f>
        <v>22.497751537175084</v>
      </c>
      <c r="AC45">
        <f ca="1">IF(CostesNoGeneración!$I$23&lt;CostesNoGeneración!AC40+Ingresos!AD4,CostesNoGeneración!$I$23-Ingresos!AD4,CostesNoGeneración!AC40)</f>
        <v>22.3393551883083</v>
      </c>
      <c r="AD45">
        <f ca="1">IF(CostesNoGeneración!$I$23&lt;CostesNoGeneración!AD40+Ingresos!AE4,CostesNoGeneración!$I$23-Ingresos!AE4,CostesNoGeneración!AD40)</f>
        <v>22.181814179725389</v>
      </c>
      <c r="AE45">
        <f ca="1">IF(CostesNoGeneración!$I$23&lt;CostesNoGeneración!AE40+Ingresos!AF4,CostesNoGeneración!$I$23-Ingresos!AF4,CostesNoGeneración!AE40)</f>
        <v>22.025123892588841</v>
      </c>
      <c r="AF45">
        <f ca="1">IF(CostesNoGeneración!$I$23&lt;CostesNoGeneración!AF40+Ingresos!AG4,CostesNoGeneración!$I$23-Ingresos!AG4,CostesNoGeneración!AF40)</f>
        <v>21.86927973300282</v>
      </c>
    </row>
    <row r="46" spans="1:32">
      <c r="B46" s="24" t="s">
        <v>5</v>
      </c>
      <c r="C46">
        <f ca="1">IF(CostesNoGeneración!$I$23&lt;CostesNoGeneración!C41+Ingresos!D5,CostesNoGeneración!$I$23-Ingresos!D5,CostesNoGeneración!C41)</f>
        <v>27.178214196226413</v>
      </c>
      <c r="D46">
        <f ca="1">IF(CostesNoGeneración!$I$23&lt;CostesNoGeneración!D41+Ingresos!E5,CostesNoGeneración!$I$23-Ingresos!E5,CostesNoGeneración!D41)</f>
        <v>26.997706933906422</v>
      </c>
      <c r="E46">
        <f ca="1">IF(CostesNoGeneración!$I$23&lt;CostesNoGeneración!E41+Ingresos!F5,CostesNoGeneración!$I$23-Ingresos!F5,CostesNoGeneración!E41)</f>
        <v>26.818174410802939</v>
      </c>
      <c r="F46">
        <f ca="1">IF(CostesNoGeneración!$I$23&lt;CostesNoGeneración!F41+Ingresos!G5,CostesNoGeneración!$I$23-Ingresos!G5,CostesNoGeneración!F41)</f>
        <v>26.639611363324232</v>
      </c>
      <c r="G46">
        <f ca="1">IF(CostesNoGeneración!$I$23&lt;CostesNoGeneración!G41+Ingresos!H5,CostesNoGeneración!$I$23-Ingresos!H5,CostesNoGeneración!G41)</f>
        <v>26.4620125563019</v>
      </c>
      <c r="H46">
        <f ca="1">IF(CostesNoGeneración!$I$23&lt;CostesNoGeneración!H41+Ingresos!I5,CostesNoGeneración!$I$23-Ingresos!I5,CostesNoGeneración!H41)</f>
        <v>26.285372782837495</v>
      </c>
      <c r="I46">
        <f ca="1">IF(CostesNoGeneración!$I$23&lt;CostesNoGeneración!I41+Ingresos!J5,CostesNoGeneración!$I$23-Ingresos!J5,CostesNoGeneración!I41)</f>
        <v>26.109686864149797</v>
      </c>
      <c r="J46">
        <f ca="1">IF(CostesNoGeneración!$I$23&lt;CostesNoGeneración!J41+Ingresos!K5,CostesNoGeneración!$I$23-Ingresos!K5,CostesNoGeneración!J41)</f>
        <v>25.934949649423004</v>
      </c>
      <c r="K46">
        <f ca="1">IF(CostesNoGeneración!$I$23&lt;CostesNoGeneración!K41+Ingresos!L5,CostesNoGeneración!$I$23-Ingresos!L5,CostesNoGeneración!K41)</f>
        <v>25.761156015655743</v>
      </c>
      <c r="L46">
        <f ca="1">IF(CostesNoGeneración!$I$23&lt;CostesNoGeneración!L41+Ingresos!M5,CostesNoGeneración!$I$23-Ingresos!M5,CostesNoGeneración!L41)</f>
        <v>25.588300867510828</v>
      </c>
      <c r="M46">
        <f ca="1">IF(CostesNoGeneración!$I$23&lt;CostesNoGeneración!M41+Ingresos!N5,CostesNoGeneración!$I$23-Ingresos!N5,CostesNoGeneración!M41)</f>
        <v>25.416379137165897</v>
      </c>
      <c r="N46">
        <f ca="1">IF(CostesNoGeneración!$I$23&lt;CostesNoGeneración!N41+Ingresos!O5,CostesNoGeneración!$I$23-Ingresos!O5,CostesNoGeneración!N41)</f>
        <v>25.245385784164824</v>
      </c>
      <c r="O46">
        <f ca="1">IF(CostesNoGeneración!$I$23&lt;CostesNoGeneración!O41+Ingresos!P5,CostesNoGeneración!$I$23-Ingresos!P5,CostesNoGeneración!O41)</f>
        <v>25.075315795269958</v>
      </c>
      <c r="P46">
        <f ca="1">IF(CostesNoGeneración!$I$23&lt;CostesNoGeneración!P41+Ingresos!Q5,CostesNoGeneración!$I$23-Ingresos!Q5,CostesNoGeneración!P41)</f>
        <v>24.906164184315109</v>
      </c>
      <c r="Q46">
        <f ca="1">IF(CostesNoGeneración!$I$23&lt;CostesNoGeneración!Q41+Ingresos!R5,CostesNoGeneración!$I$23-Ingresos!R5,CostesNoGeneración!Q41)</f>
        <v>24.737925992059445</v>
      </c>
      <c r="R46">
        <f ca="1">IF(CostesNoGeneración!$I$23&lt;CostesNoGeneración!R41+Ingresos!S5,CostesNoGeneración!$I$23-Ingresos!S5,CostesNoGeneración!R41)</f>
        <v>24.57059628604194</v>
      </c>
      <c r="S46">
        <f ca="1">IF(CostesNoGeneración!$I$23&lt;CostesNoGeneración!S41+Ingresos!T5,CostesNoGeneración!$I$23-Ingresos!T5,CostesNoGeneración!S41)</f>
        <v>24.404170160436937</v>
      </c>
      <c r="T46">
        <f ca="1">IF(CostesNoGeneración!$I$23&lt;CostesNoGeneración!T41+Ingresos!U5,CostesNoGeneración!$I$23-Ingresos!U5,CostesNoGeneración!T41)</f>
        <v>24.238642735910204</v>
      </c>
      <c r="U46">
        <f ca="1">IF(CostesNoGeneración!$I$23&lt;CostesNoGeneración!U41+Ingresos!V5,CostesNoGeneración!$I$23-Ingresos!V5,CostesNoGeneración!U41)</f>
        <v>24.074009159475906</v>
      </c>
      <c r="V46">
        <f ca="1">IF(CostesNoGeneración!$I$23&lt;CostesNoGeneración!V41+Ingresos!W5,CostesNoGeneración!$I$23-Ingresos!W5,CostesNoGeneración!V41)</f>
        <v>23.910264604354353</v>
      </c>
      <c r="W46">
        <f ca="1">IF(CostesNoGeneración!$I$23&lt;CostesNoGeneración!W41+Ingresos!X5,CostesNoGeneración!$I$23-Ingresos!X5,CostesNoGeneración!W41)</f>
        <v>23.747404269830465</v>
      </c>
      <c r="X46">
        <f ca="1">IF(CostesNoGeneración!$I$23&lt;CostesNoGeneración!X41+Ingresos!Y5,CostesNoGeneración!$I$23-Ingresos!Y5,CostesNoGeneración!X41)</f>
        <v>23.58542338111301</v>
      </c>
      <c r="Y46">
        <f ca="1">IF(CostesNoGeneración!$I$23&lt;CostesNoGeneración!Y41+Ingresos!Z5,CostesNoGeneración!$I$23-Ingresos!Z5,CostesNoGeneración!Y41)</f>
        <v>23.42431718919461</v>
      </c>
      <c r="Z46">
        <f ca="1">IF(CostesNoGeneración!$I$23&lt;CostesNoGeneración!Z41+Ingresos!AA5,CostesNoGeneración!$I$23-Ingresos!AA5,CostesNoGeneración!Z41)</f>
        <v>23.264080970712595</v>
      </c>
      <c r="AA46">
        <f ca="1">IF(CostesNoGeneración!$I$23&lt;CostesNoGeneración!AA41+Ingresos!AB5,CostesNoGeneración!$I$23-Ingresos!AB5,CostesNoGeneración!AA41)</f>
        <v>23.10471002781037</v>
      </c>
      <c r="AB46">
        <f ca="1">IF(CostesNoGeneración!$I$23&lt;CostesNoGeneración!AB41+Ingresos!AC5,CostesNoGeneración!$I$23-Ingresos!AC5,CostesNoGeneración!AB41)</f>
        <v>22.946199687999805</v>
      </c>
      <c r="AC46">
        <f ca="1">IF(CostesNoGeneración!$I$23&lt;CostesNoGeneración!AC41+Ingresos!AD5,CostesNoGeneración!$I$23-Ingresos!AD5,CostesNoGeneración!AC41)</f>
        <v>22.788545304024236</v>
      </c>
      <c r="AD46">
        <f ca="1">IF(CostesNoGeneración!$I$23&lt;CostesNoGeneración!AD41+Ingresos!AE5,CostesNoGeneración!$I$23-Ingresos!AE5,CostesNoGeneración!AD41)</f>
        <v>22.631742253722127</v>
      </c>
      <c r="AE46">
        <f ca="1">IF(CostesNoGeneración!$I$23&lt;CostesNoGeneración!AE41+Ingresos!AF5,CostesNoGeneración!$I$23-Ingresos!AF5,CostesNoGeneración!AE41)</f>
        <v>22.475785939891654</v>
      </c>
      <c r="AF46">
        <f ca="1">IF(CostesNoGeneración!$I$23&lt;CostesNoGeneración!AF41+Ingresos!AG5,CostesNoGeneración!$I$23-Ingresos!AG5,CostesNoGeneración!AF41)</f>
        <v>22.32067179015586</v>
      </c>
    </row>
    <row r="47" spans="1:32">
      <c r="B47" s="24" t="s">
        <v>6</v>
      </c>
      <c r="C47">
        <f ca="1">IF(CostesNoGeneración!$I$23&lt;CostesNoGeneración!C42+Ingresos!D6,CostesNoGeneración!$I$23-Ingresos!D6,CostesNoGeneración!C42)</f>
        <v>36.059576340566039</v>
      </c>
      <c r="D47">
        <f ca="1">IF(CostesNoGeneración!$I$23&lt;CostesNoGeneración!D42+Ingresos!E6,CostesNoGeneración!$I$23-Ingresos!E6,CostesNoGeneración!D42)</f>
        <v>35.836382364176039</v>
      </c>
      <c r="E47">
        <f ca="1">IF(CostesNoGeneración!$I$23&lt;CostesNoGeneración!E42+Ingresos!F6,CostesNoGeneración!$I$23-Ingresos!F6,CostesNoGeneración!E42)</f>
        <v>35.614393635258551</v>
      </c>
      <c r="F47">
        <f ca="1">IF(CostesNoGeneración!$I$23&lt;CostesNoGeneración!F42+Ingresos!G6,CostesNoGeneración!$I$23-Ingresos!G6,CostesNoGeneración!F42)</f>
        <v>35.393603645477206</v>
      </c>
      <c r="G47">
        <f ca="1">IF(CostesNoGeneración!$I$23&lt;CostesNoGeneración!G42+Ingresos!H6,CostesNoGeneración!$I$23-Ingresos!H6,CostesNoGeneración!G42)</f>
        <v>35.174005921640678</v>
      </c>
      <c r="H47">
        <f ca="1">IF(CostesNoGeneración!$I$23&lt;CostesNoGeneración!H42+Ingresos!I6,CostesNoGeneración!$I$23-Ingresos!I6,CostesNoGeneración!H42)</f>
        <v>34.95559402551288</v>
      </c>
      <c r="I47">
        <f ca="1">IF(CostesNoGeneración!$I$23&lt;CostesNoGeneración!I42+Ingresos!J6,CostesNoGeneración!$I$23-Ingresos!J6,CostesNoGeneración!I42)</f>
        <v>34.738361553624166</v>
      </c>
      <c r="J47">
        <f ca="1">IF(CostesNoGeneración!$I$23&lt;CostesNoGeneración!J42+Ingresos!K6,CostesNoGeneración!$I$23-Ingresos!K6,CostesNoGeneración!J42)</f>
        <v>34.522302137083649</v>
      </c>
      <c r="K47">
        <f ca="1">IF(CostesNoGeneración!$I$23&lt;CostesNoGeneración!K42+Ingresos!L6,CostesNoGeneración!$I$23-Ingresos!L6,CostesNoGeneración!K42)</f>
        <v>34.307409441392458</v>
      </c>
      <c r="L47">
        <f ca="1">IF(CostesNoGeneración!$I$23&lt;CostesNoGeneración!L42+Ingresos!M6,CostesNoGeneración!$I$23-Ingresos!M6,CostesNoGeneración!L42)</f>
        <v>34.093677166257997</v>
      </c>
      <c r="M47">
        <f ca="1">IF(CostesNoGeneración!$I$23&lt;CostesNoGeneración!M42+Ingresos!N6,CostesNoGeneración!$I$23-Ingresos!N6,CostesNoGeneración!M42)</f>
        <v>33.881099045409265</v>
      </c>
      <c r="N47">
        <f ca="1">IF(CostesNoGeneración!$I$23&lt;CostesNoGeneración!N42+Ingresos!O6,CostesNoGeneración!$I$23-Ingresos!O6,CostesNoGeneración!N42)</f>
        <v>33.66966884641311</v>
      </c>
      <c r="O47">
        <f ca="1">IF(CostesNoGeneración!$I$23&lt;CostesNoGeneración!O42+Ingresos!P6,CostesNoGeneración!$I$23-Ingresos!P6,CostesNoGeneración!O42)</f>
        <v>33.459380370491537</v>
      </c>
      <c r="P47">
        <f ca="1">IF(CostesNoGeneración!$I$23&lt;CostesNoGeneración!P42+Ingresos!Q6,CostesNoGeneración!$I$23-Ingresos!Q6,CostesNoGeneración!P42)</f>
        <v>33.250227452339935</v>
      </c>
      <c r="Q47">
        <f ca="1">IF(CostesNoGeneración!$I$23&lt;CostesNoGeneración!Q42+Ingresos!R6,CostesNoGeneración!$I$23-Ingresos!R6,CostesNoGeneración!Q42)</f>
        <v>33.042203959946356</v>
      </c>
      <c r="R47">
        <f ca="1">IF(CostesNoGeneración!$I$23&lt;CostesNoGeneración!R42+Ingresos!S6,CostesNoGeneración!$I$23-Ingresos!S6,CostesNoGeneración!R42)</f>
        <v>32.835303794411708</v>
      </c>
      <c r="S47">
        <f ca="1">IF(CostesNoGeneración!$I$23&lt;CostesNoGeneración!S42+Ingresos!T6,CostesNoGeneración!$I$23-Ingresos!T6,CostesNoGeneración!S42)</f>
        <v>32.629520889770937</v>
      </c>
      <c r="T47">
        <f ca="1">IF(CostesNoGeneración!$I$23&lt;CostesNoGeneración!T42+Ingresos!U6,CostesNoGeneración!$I$23-Ingresos!U6,CostesNoGeneración!T42)</f>
        <v>32.424849212815232</v>
      </c>
      <c r="U47">
        <f ca="1">IF(CostesNoGeneración!$I$23&lt;CostesNoGeneración!U42+Ingresos!V6,CostesNoGeneración!$I$23-Ingresos!V6,CostesNoGeneración!U42)</f>
        <v>32.221282762915088</v>
      </c>
      <c r="V47">
        <f ca="1">IF(CostesNoGeneración!$I$23&lt;CostesNoGeneración!V42+Ingresos!W6,CostesNoGeneración!$I$23-Ingresos!W6,CostesNoGeneración!V42)</f>
        <v>32.018815571844407</v>
      </c>
      <c r="W47">
        <f ca="1">IF(CostesNoGeneración!$I$23&lt;CostesNoGeneración!W42+Ingresos!X6,CostesNoGeneración!$I$23-Ingresos!X6,CostesNoGeneración!W42)</f>
        <v>31.817441703605507</v>
      </c>
      <c r="X47">
        <f ca="1">IF(CostesNoGeneración!$I$23&lt;CostesNoGeneración!X42+Ingresos!Y6,CostesNoGeneración!$I$23-Ingresos!Y6,CostesNoGeneración!X42)</f>
        <v>31.617155254255092</v>
      </c>
      <c r="Y47">
        <f ca="1">IF(CostesNoGeneración!$I$23&lt;CostesNoGeneración!Y42+Ingresos!Z6,CostesNoGeneración!$I$23-Ingresos!Z6,CostesNoGeneración!Y42)</f>
        <v>31.417950351731157</v>
      </c>
      <c r="Z47">
        <f ca="1">IF(CostesNoGeneración!$I$23&lt;CostesNoGeneración!Z42+Ingresos!AA6,CostesNoGeneración!$I$23-Ingresos!AA6,CostesNoGeneración!Z42)</f>
        <v>31.219821155680872</v>
      </c>
      <c r="AA47">
        <f ca="1">IF(CostesNoGeneración!$I$23&lt;CostesNoGeneración!AA42+Ingresos!AB6,CostesNoGeneración!$I$23-Ingresos!AB6,CostesNoGeneración!AA42)</f>
        <v>31.022761857289254</v>
      </c>
      <c r="AB47">
        <f ca="1">IF(CostesNoGeneración!$I$23&lt;CostesNoGeneración!AB42+Ingresos!AC6,CostesNoGeneración!$I$23-Ingresos!AC6,CostesNoGeneración!AB42)</f>
        <v>30.826766679108943</v>
      </c>
      <c r="AC47">
        <f ca="1">IF(CostesNoGeneración!$I$23&lt;CostesNoGeneración!AC42+Ingresos!AD6,CostesNoGeneración!$I$23-Ingresos!AD6,CostesNoGeneración!AC42)</f>
        <v>30.631829874890812</v>
      </c>
      <c r="AD47">
        <f ca="1">IF(CostesNoGeneración!$I$23&lt;CostesNoGeneración!AD42+Ingresos!AE6,CostesNoGeneración!$I$23-Ingresos!AE6,CostesNoGeneración!AD42)</f>
        <v>30.437945729415461</v>
      </c>
      <c r="AE47">
        <f ca="1">IF(CostesNoGeneración!$I$23&lt;CostesNoGeneración!AE42+Ingresos!AF6,CostesNoGeneración!$I$23-Ingresos!AF6,CostesNoGeneración!AE42)</f>
        <v>30.245108558325668</v>
      </c>
      <c r="AF47">
        <f ca="1">IF(CostesNoGeneración!$I$23&lt;CostesNoGeneración!AF42+Ingresos!AG6,CostesNoGeneración!$I$23-Ingresos!AG6,CostesNoGeneración!AF42)</f>
        <v>30.053312707959773</v>
      </c>
    </row>
    <row r="48" spans="1:32">
      <c r="B48" s="24" t="s">
        <v>7</v>
      </c>
      <c r="C48">
        <f ca="1">IF(CostesNoGeneración!$I$23&lt;CostesNoGeneración!C43+Ingresos!D7,CostesNoGeneración!$I$23-Ingresos!D7,CostesNoGeneración!C43)</f>
        <v>39.696946947169806</v>
      </c>
      <c r="D48">
        <f ca="1">IF(CostesNoGeneración!$I$23&lt;CostesNoGeneración!D43+Ingresos!E7,CostesNoGeneración!$I$23-Ingresos!E7,CostesNoGeneración!D43)</f>
        <v>39.457274754409809</v>
      </c>
      <c r="E48">
        <f ca="1">IF(CostesNoGeneración!$I$23&lt;CostesNoGeneración!E43+Ingresos!F7,CostesNoGeneración!$I$23-Ingresos!F7,CostesNoGeneración!E43)</f>
        <v>39.218896791490721</v>
      </c>
      <c r="F48">
        <f ca="1">IF(CostesNoGeneración!$I$23&lt;CostesNoGeneración!F43+Ingresos!G7,CostesNoGeneración!$I$23-Ingresos!G7,CostesNoGeneración!F43)</f>
        <v>38.981806069571391</v>
      </c>
      <c r="G48">
        <f ca="1">IF(CostesNoGeneración!$I$23&lt;CostesNoGeneración!G43+Ingresos!H7,CostesNoGeneración!$I$23-Ingresos!H7,CostesNoGeneración!G43)</f>
        <v>38.745995637550415</v>
      </c>
      <c r="H48">
        <f ca="1">IF(CostesNoGeneración!$I$23&lt;CostesNoGeneración!H43+Ingresos!I7,CostesNoGeneración!$I$23-Ingresos!I7,CostesNoGeneración!H43)</f>
        <v>38.511458581862357</v>
      </c>
      <c r="I48">
        <f ca="1">IF(CostesNoGeneración!$I$23&lt;CostesNoGeneración!I43+Ingresos!J7,CostesNoGeneración!$I$23-Ingresos!J7,CostesNoGeneración!I43)</f>
        <v>38.278188026275018</v>
      </c>
      <c r="J48">
        <f ca="1">IF(CostesNoGeneración!$I$23&lt;CostesNoGeneración!J43+Ingresos!K7,CostesNoGeneración!$I$23-Ingresos!K7,CostesNoGeneración!J43)</f>
        <v>38.046177131687863</v>
      </c>
      <c r="K48">
        <f ca="1">IF(CostesNoGeneración!$I$23&lt;CostesNoGeneración!K43+Ingresos!L7,CostesNoGeneración!$I$23-Ingresos!L7,CostesNoGeneración!K43)</f>
        <v>37.815419095931468</v>
      </c>
      <c r="L48">
        <f ca="1">IF(CostesNoGeneración!$I$23&lt;CostesNoGeneración!L43+Ingresos!M7,CostesNoGeneración!$I$23-Ingresos!M7,CostesNoGeneración!L43)</f>
        <v>37.585907153568144</v>
      </c>
      <c r="M48">
        <f ca="1">IF(CostesNoGeneración!$I$23&lt;CostesNoGeneración!M43+Ingresos!N7,CostesNoGeneración!$I$23-Ingresos!N7,CostesNoGeneración!M43)</f>
        <v>37.357634575693588</v>
      </c>
      <c r="N48">
        <f ca="1">IF(CostesNoGeneración!$I$23&lt;CostesNoGeneración!N43+Ingresos!O7,CostesNoGeneración!$I$23-Ingresos!O7,CostesNoGeneración!N43)</f>
        <v>37.130594669739558</v>
      </c>
      <c r="O48">
        <f ca="1">IF(CostesNoGeneración!$I$23&lt;CostesNoGeneración!O43+Ingresos!P7,CostesNoGeneración!$I$23-Ingresos!P7,CostesNoGeneración!O43)</f>
        <v>36.904780779277694</v>
      </c>
      <c r="P48">
        <f ca="1">IF(CostesNoGeneración!$I$23&lt;CostesNoGeneración!P43+Ingresos!Q7,CostesNoGeneración!$I$23-Ingresos!Q7,CostesNoGeneración!P43)</f>
        <v>36.680186283824305</v>
      </c>
      <c r="Q48">
        <f ca="1">IF(CostesNoGeneración!$I$23&lt;CostesNoGeneración!Q43+Ingresos!R7,CostesNoGeneración!$I$23-Ingresos!R7,CostesNoGeneración!Q43)</f>
        <v>36.456804598646372</v>
      </c>
      <c r="R48">
        <f ca="1">IF(CostesNoGeneración!$I$23&lt;CostesNoGeneración!R43+Ingresos!S7,CostesNoGeneración!$I$23-Ingresos!S7,CostesNoGeneración!R43)</f>
        <v>36.234629174568397</v>
      </c>
      <c r="S48">
        <f ca="1">IF(CostesNoGeneración!$I$23&lt;CostesNoGeneración!S43+Ingresos!T7,CostesNoGeneración!$I$23-Ingresos!T7,CostesNoGeneración!S43)</f>
        <v>36.013653497780439</v>
      </c>
      <c r="T48">
        <f ca="1">IF(CostesNoGeneración!$I$23&lt;CostesNoGeneración!T43+Ingresos!U7,CostesNoGeneración!$I$23-Ingresos!U7,CostesNoGeneración!T43)</f>
        <v>35.793871089647148</v>
      </c>
      <c r="U48">
        <f ca="1">IF(CostesNoGeneración!$I$23&lt;CostesNoGeneración!U43+Ingresos!V7,CostesNoGeneración!$I$23-Ingresos!V7,CostesNoGeneración!U43)</f>
        <v>35.575275506517777</v>
      </c>
      <c r="V48">
        <f ca="1">IF(CostesNoGeneración!$I$23&lt;CostesNoGeneración!V43+Ingresos!W7,CostesNoGeneración!$I$23-Ingresos!W7,CostesNoGeneración!V43)</f>
        <v>35.357860339537289</v>
      </c>
      <c r="W48">
        <f ca="1">IF(CostesNoGeneración!$I$23&lt;CostesNoGeneración!W43+Ingresos!X7,CostesNoGeneración!$I$23-Ingresos!X7,CostesNoGeneración!W43)</f>
        <v>35.141619214458501</v>
      </c>
      <c r="X48">
        <f ca="1">IF(CostesNoGeneración!$I$23&lt;CostesNoGeneración!X43+Ingresos!Y7,CostesNoGeneración!$I$23-Ingresos!Y7,CostesNoGeneración!X43)</f>
        <v>34.926545791455155</v>
      </c>
      <c r="Y48">
        <f ca="1">IF(CostesNoGeneración!$I$23&lt;CostesNoGeneración!Y43+Ingresos!Z7,CostesNoGeneración!$I$23-Ingresos!Z7,CostesNoGeneración!Y43)</f>
        <v>34.712633764936008</v>
      </c>
      <c r="Z48">
        <f ca="1">IF(CostesNoGeneración!$I$23&lt;CostesNoGeneración!Z43+Ingresos!AA7,CostesNoGeneración!$I$23-Ingresos!AA7,CostesNoGeneración!Z43)</f>
        <v>34.499876863360072</v>
      </c>
      <c r="AA48">
        <f ca="1">IF(CostesNoGeneración!$I$23&lt;CostesNoGeneración!AA43+Ingresos!AB7,CostesNoGeneración!$I$23-Ingresos!AB7,CostesNoGeneración!AA43)</f>
        <v>34.288268849052642</v>
      </c>
      <c r="AB48">
        <f ca="1">IF(CostesNoGeneración!$I$23&lt;CostesNoGeneración!AB43+Ingresos!AC7,CostesNoGeneración!$I$23-Ingresos!AC7,CostesNoGeneración!AB43)</f>
        <v>34.077803518022471</v>
      </c>
      <c r="AC48">
        <f ca="1">IF(CostesNoGeneración!$I$23&lt;CostesNoGeneración!AC43+Ingresos!AD7,CostesNoGeneración!$I$23-Ingresos!AD7,CostesNoGeneración!AC43)</f>
        <v>33.868474699779867</v>
      </c>
      <c r="AD48">
        <f ca="1">IF(CostesNoGeneración!$I$23&lt;CostesNoGeneración!AD43+Ingresos!AE7,CostesNoGeneración!$I$23-Ingresos!AE7,CostesNoGeneración!AD43)</f>
        <v>33.660276257155765</v>
      </c>
      <c r="AE48">
        <f ca="1">IF(CostesNoGeneración!$I$23&lt;CostesNoGeneración!AE43+Ingresos!AF7,CostesNoGeneración!$I$23-Ingresos!AF7,CostesNoGeneración!AE43)</f>
        <v>33.453202086121848</v>
      </c>
      <c r="AF48">
        <f ca="1">IF(CostesNoGeneración!$I$23&lt;CostesNoGeneración!AF43+Ingresos!AG7,CostesNoGeneración!$I$23-Ingresos!AG7,CostesNoGeneración!AF43)</f>
        <v>33.24724611561151</v>
      </c>
    </row>
    <row r="49" spans="1:32">
      <c r="B49" s="24" t="s">
        <v>8</v>
      </c>
      <c r="C49">
        <f ca="1">IF(CostesNoGeneración!$I$23&lt;CostesNoGeneración!C44+Ingresos!D8,CostesNoGeneración!$I$23-Ingresos!D8,CostesNoGeneración!C44)</f>
        <v>44.952577977735857</v>
      </c>
      <c r="D49">
        <f ca="1">IF(CostesNoGeneración!$I$23&lt;CostesNoGeneración!D44+Ingresos!E8,CostesNoGeneración!$I$23-Ingresos!E8,CostesNoGeneración!D44)</f>
        <v>44.683998113259861</v>
      </c>
      <c r="E49">
        <f ca="1">IF(CostesNoGeneración!$I$23&lt;CostesNoGeneración!E44+Ingresos!F8,CostesNoGeneración!$I$23-Ingresos!F8,CostesNoGeneración!E44)</f>
        <v>44.416868580052032</v>
      </c>
      <c r="F49">
        <f ca="1">IF(CostesNoGeneración!$I$23&lt;CostesNoGeneración!F44+Ingresos!G8,CostesNoGeneración!$I$23-Ingresos!G8,CostesNoGeneración!F44)</f>
        <v>44.151181546323514</v>
      </c>
      <c r="G49">
        <f ca="1">IF(CostesNoGeneración!$I$23&lt;CostesNoGeneración!G44+Ingresos!H8,CostesNoGeneración!$I$23-Ingresos!H8,CostesNoGeneración!G44)</f>
        <v>43.886929222577152</v>
      </c>
      <c r="H49">
        <f ca="1">IF(CostesNoGeneración!$I$23&lt;CostesNoGeneración!H44+Ingresos!I8,CostesNoGeneración!$I$23-Ingresos!I8,CostesNoGeneración!H44)</f>
        <v>43.624103861379005</v>
      </c>
      <c r="I49">
        <f ca="1">IF(CostesNoGeneración!$I$23&lt;CostesNoGeneración!I44+Ingresos!J8,CostesNoGeneración!$I$23-Ingresos!J8,CostesNoGeneración!I44)</f>
        <v>43.362697757131329</v>
      </c>
      <c r="J49">
        <f ca="1">IF(CostesNoGeneración!$I$23&lt;CostesNoGeneración!J44+Ingresos!K8,CostesNoGeneración!$I$23-Ingresos!K8,CostesNoGeneración!J44)</f>
        <v>43.102703245846591</v>
      </c>
      <c r="K49">
        <f ca="1">IF(CostesNoGeneración!$I$23&lt;CostesNoGeneración!K44+Ingresos!L8,CostesNoGeneración!$I$23-Ingresos!L8,CostesNoGeneración!K44)</f>
        <v>42.8441127049228</v>
      </c>
      <c r="L49">
        <f ca="1">IF(CostesNoGeneración!$I$23&lt;CostesNoGeneración!L44+Ingresos!M8,CostesNoGeneración!$I$23-Ingresos!M8,CostesNoGeneración!L44)</f>
        <v>42.586918552919997</v>
      </c>
      <c r="M49">
        <f ca="1">IF(CostesNoGeneración!$I$23&lt;CostesNoGeneración!M44+Ingresos!N8,CostesNoGeneración!$I$23-Ingresos!N8,CostesNoGeneración!M44)</f>
        <v>42.331113249338003</v>
      </c>
      <c r="N49">
        <f ca="1">IF(CostesNoGeneración!$I$23&lt;CostesNoGeneración!N44+Ingresos!O8,CostesNoGeneración!$I$23-Ingresos!O8,CostesNoGeneración!N44)</f>
        <v>42.076689294395344</v>
      </c>
      <c r="O49">
        <f ca="1">IF(CostesNoGeneración!$I$23&lt;CostesNoGeneración!O44+Ingresos!P8,CostesNoGeneración!$I$23-Ingresos!P8,CostesNoGeneración!O44)</f>
        <v>41.823639228809384</v>
      </c>
      <c r="P49">
        <f ca="1">IF(CostesNoGeneración!$I$23&lt;CostesNoGeneración!P44+Ingresos!Q8,CostesNoGeneración!$I$23-Ingresos!Q8,CostesNoGeneración!P44)</f>
        <v>41.571955633577588</v>
      </c>
      <c r="Q49">
        <f ca="1">IF(CostesNoGeneración!$I$23&lt;CostesNoGeneración!Q44+Ingresos!R8,CostesNoGeneración!$I$23-Ingresos!R8,CostesNoGeneración!Q44)</f>
        <v>41.321631129760043</v>
      </c>
      <c r="R49">
        <f ca="1">IF(CostesNoGeneración!$I$23&lt;CostesNoGeneración!R44+Ingresos!S8,CostesNoGeneración!$I$23-Ingresos!S8,CostesNoGeneración!R44)</f>
        <v>41.072658378263107</v>
      </c>
      <c r="S49">
        <f ca="1">IF(CostesNoGeneración!$I$23&lt;CostesNoGeneración!S44+Ingresos!T8,CostesNoGeneración!$I$23-Ingresos!T8,CostesNoGeneración!S44)</f>
        <v>40.825030079624248</v>
      </c>
      <c r="T49">
        <f ca="1">IF(CostesNoGeneración!$I$23&lt;CostesNoGeneración!T44+Ingresos!U8,CostesNoGeneración!$I$23-Ingresos!U8,CostesNoGeneración!T44)</f>
        <v>40.57873897379806</v>
      </c>
      <c r="U49">
        <f ca="1">IF(CostesNoGeneración!$I$23&lt;CostesNoGeneración!U44+Ingresos!V8,CostesNoGeneración!$I$23-Ingresos!V8,CostesNoGeneración!U44)</f>
        <v>40.33377783994333</v>
      </c>
      <c r="V49">
        <f ca="1">IF(CostesNoGeneración!$I$23&lt;CostesNoGeneración!V44+Ingresos!W8,CostesNoGeneración!$I$23-Ingresos!W8,CostesNoGeneración!V44)</f>
        <v>40.090139496211407</v>
      </c>
      <c r="W49">
        <f ca="1">IF(CostesNoGeneración!$I$23&lt;CostesNoGeneración!W44+Ingresos!X8,CostesNoGeneración!$I$23-Ingresos!X8,CostesNoGeneración!W44)</f>
        <v>39.847816799535643</v>
      </c>
      <c r="X49">
        <f ca="1">IF(CostesNoGeneración!$I$23&lt;CostesNoGeneración!X44+Ingresos!Y8,CostesNoGeneración!$I$23-Ingresos!Y8,CostesNoGeneración!X44)</f>
        <v>39.606802645421922</v>
      </c>
      <c r="Y49">
        <f ca="1">IF(CostesNoGeneración!$I$23&lt;CostesNoGeneración!Y44+Ingresos!Z8,CostesNoGeneración!$I$23-Ingresos!Z8,CostesNoGeneración!Y44)</f>
        <v>39.367089967740412</v>
      </c>
      <c r="Z49">
        <f ca="1">IF(CostesNoGeneración!$I$23&lt;CostesNoGeneración!Z44+Ingresos!AA8,CostesNoGeneración!$I$23-Ingresos!AA8,CostesNoGeneración!Z44)</f>
        <v>39.128671738518392</v>
      </c>
      <c r="AA49">
        <f ca="1">IF(CostesNoGeneración!$I$23&lt;CostesNoGeneración!AA44+Ingresos!AB8,CostesNoGeneración!$I$23-Ingresos!AB8,CostesNoGeneración!AA44)</f>
        <v>38.891540967734166</v>
      </c>
      <c r="AB49">
        <f ca="1">IF(CostesNoGeneración!$I$23&lt;CostesNoGeneración!AB44+Ingresos!AC8,CostesNoGeneración!$I$23-Ingresos!AC8,CostesNoGeneración!AB44)</f>
        <v>38.655690703112185</v>
      </c>
      <c r="AC49">
        <f ca="1">IF(CostesNoGeneración!$I$23&lt;CostesNoGeneración!AC44+Ingresos!AD8,CostesNoGeneración!$I$23-Ingresos!AD8,CostesNoGeneración!AC44)</f>
        <v>38.421114029919138</v>
      </c>
      <c r="AD49">
        <f ca="1">IF(CostesNoGeneración!$I$23&lt;CostesNoGeneración!AD44+Ingresos!AE8,CostesNoGeneración!$I$23-Ingresos!AE8,CostesNoGeneración!AD44)</f>
        <v>38.187804070761352</v>
      </c>
      <c r="AE49">
        <f ca="1">IF(CostesNoGeneración!$I$23&lt;CostesNoGeneración!AE44+Ingresos!AF8,CostesNoGeneración!$I$23-Ingresos!AF8,CostesNoGeneración!AE44)</f>
        <v>37.955753985383005</v>
      </c>
      <c r="AF49">
        <f ca="1">IF(CostesNoGeneración!$I$23&lt;CostesNoGeneración!AF44+Ingresos!AG8,CostesNoGeneración!$I$23-Ingresos!AG8,CostesNoGeneración!AF44)</f>
        <v>37.724956970465712</v>
      </c>
    </row>
    <row r="50" spans="1:32">
      <c r="B50" s="24" t="s">
        <v>9</v>
      </c>
      <c r="C50">
        <f ca="1">IF(CostesNoGeneración!$I$23&lt;CostesNoGeneración!C45+Ingresos!D9,CostesNoGeneración!$I$23-Ingresos!D9,CostesNoGeneración!C45)</f>
        <v>45.158415028301881</v>
      </c>
      <c r="D50">
        <f ca="1">IF(CostesNoGeneración!$I$23&lt;CostesNoGeneración!D45+Ingresos!E9,CostesNoGeneración!$I$23-Ingresos!E9,CostesNoGeneración!D45)</f>
        <v>44.888196379601887</v>
      </c>
      <c r="E50">
        <f ca="1">IF(CostesNoGeneración!$I$23&lt;CostesNoGeneración!E45+Ingresos!F9,CostesNoGeneración!$I$23-Ingresos!F9,CostesNoGeneración!E45)</f>
        <v>44.619436911604865</v>
      </c>
      <c r="F50">
        <f ca="1">IF(CostesNoGeneración!$I$23&lt;CostesNoGeneración!F45+Ingresos!G9,CostesNoGeneración!$I$23-Ingresos!G9,CostesNoGeneración!F45)</f>
        <v>44.352128744735019</v>
      </c>
      <c r="G50">
        <f ca="1">IF(CostesNoGeneración!$I$23&lt;CostesNoGeneración!G45+Ingresos!H9,CostesNoGeneración!$I$23-Ingresos!H9,CostesNoGeneración!G45)</f>
        <v>44.086264041966288</v>
      </c>
      <c r="H50">
        <f ca="1">IF(CostesNoGeneración!$I$23&lt;CostesNoGeneración!H45+Ingresos!I9,CostesNoGeneración!$I$23-Ingresos!I9,CostesNoGeneración!H45)</f>
        <v>43.821835008592487</v>
      </c>
      <c r="I50">
        <f ca="1">IF(CostesNoGeneración!$I$23&lt;CostesNoGeneración!I45+Ingresos!J9,CostesNoGeneración!$I$23-Ingresos!J9,CostesNoGeneración!I45)</f>
        <v>43.558833891998944</v>
      </c>
      <c r="J50">
        <f ca="1">IF(CostesNoGeneración!$I$23&lt;CostesNoGeneración!J45+Ingresos!K9,CostesNoGeneración!$I$23-Ingresos!K9,CostesNoGeneración!J45)</f>
        <v>43.29725298143498</v>
      </c>
      <c r="K50">
        <f ca="1">IF(CostesNoGeneración!$I$23&lt;CostesNoGeneración!K45+Ingresos!L9,CostesNoGeneración!$I$23-Ingresos!L9,CostesNoGeneración!K45)</f>
        <v>43.037084607788053</v>
      </c>
      <c r="L50">
        <f ca="1">IF(CostesNoGeneración!$I$23&lt;CostesNoGeneración!L45+Ingresos!M9,CostesNoGeneración!$I$23-Ingresos!M9,CostesNoGeneración!L45)</f>
        <v>42.778321143358831</v>
      </c>
      <c r="M50">
        <f ca="1">IF(CostesNoGeneración!$I$23&lt;CostesNoGeneración!M45+Ingresos!N9,CostesNoGeneración!$I$23-Ingresos!N9,CostesNoGeneración!M45)</f>
        <v>42.520955001637525</v>
      </c>
      <c r="N50">
        <f ca="1">IF(CostesNoGeneración!$I$23&lt;CostesNoGeneración!N45+Ingresos!O9,CostesNoGeneración!$I$23-Ingresos!O9,CostesNoGeneración!N45)</f>
        <v>42.264978637081526</v>
      </c>
      <c r="O50">
        <f ca="1">IF(CostesNoGeneración!$I$23&lt;CostesNoGeneración!O45+Ingresos!P9,CostesNoGeneración!$I$23-Ingresos!P9,CostesNoGeneración!O45)</f>
        <v>42.010384544894094</v>
      </c>
      <c r="P50">
        <f ca="1">IF(CostesNoGeneración!$I$23&lt;CostesNoGeneración!P45+Ingresos!Q9,CostesNoGeneración!$I$23-Ingresos!Q9,CostesNoGeneración!P45)</f>
        <v>41.757165260804499</v>
      </c>
      <c r="Q50">
        <f ca="1">IF(CostesNoGeneración!$I$23&lt;CostesNoGeneración!Q45+Ingresos!R9,CostesNoGeneración!$I$23-Ingresos!R9,CostesNoGeneración!Q45)</f>
        <v>41.50531336084898</v>
      </c>
      <c r="R50">
        <f ca="1">IF(CostesNoGeneración!$I$23&lt;CostesNoGeneración!R45+Ingresos!S9,CostesNoGeneración!$I$23-Ingresos!S9,CostesNoGeneración!R45)</f>
        <v>41.254821461153227</v>
      </c>
      <c r="S50">
        <f ca="1">IF(CostesNoGeneración!$I$23&lt;CostesNoGeneración!S45+Ingresos!T9,CostesNoGeneración!$I$23-Ingresos!T9,CostesNoGeneración!S45)</f>
        <v>41.00568221771583</v>
      </c>
      <c r="T50">
        <f ca="1">IF(CostesNoGeneración!$I$23&lt;CostesNoGeneración!T45+Ingresos!U9,CostesNoGeneración!$I$23-Ingresos!U9,CostesNoGeneración!T45)</f>
        <v>40.757888326192997</v>
      </c>
      <c r="U50">
        <f ca="1">IF(CostesNoGeneración!$I$23&lt;CostesNoGeneración!U45+Ingresos!V9,CostesNoGeneración!$I$23-Ingresos!V9,CostesNoGeneración!U45)</f>
        <v>40.511432521684377</v>
      </c>
      <c r="V50">
        <f ca="1">IF(CostesNoGeneración!$I$23&lt;CostesNoGeneración!V45+Ingresos!W9,CostesNoGeneración!$I$23-Ingresos!W9,CostesNoGeneración!V45)</f>
        <v>40.26630757852012</v>
      </c>
      <c r="W50">
        <f ca="1">IF(CostesNoGeneración!$I$23&lt;CostesNoGeneración!W45+Ingresos!X9,CostesNoGeneración!$I$23-Ingresos!X9,CostesNoGeneración!W45)</f>
        <v>40.022506310048939</v>
      </c>
      <c r="X50">
        <f ca="1">IF(CostesNoGeneración!$I$23&lt;CostesNoGeneración!X45+Ingresos!Y9,CostesNoGeneración!$I$23-Ingresos!Y9,CostesNoGeneración!X45)</f>
        <v>39.780021568427507</v>
      </c>
      <c r="Y50">
        <f ca="1">IF(CostesNoGeneración!$I$23&lt;CostesNoGeneración!Y45+Ingresos!Z9,CostesNoGeneración!$I$23-Ingresos!Z9,CostesNoGeneración!Y45)</f>
        <v>39.538846244410827</v>
      </c>
      <c r="Z50">
        <f ca="1">IF(CostesNoGeneración!$I$23&lt;CostesNoGeneración!Z45+Ingresos!AA9,CostesNoGeneración!$I$23-Ingresos!AA9,CostesNoGeneración!Z45)</f>
        <v>39.298973267143843</v>
      </c>
      <c r="AA50">
        <f ca="1">IF(CostesNoGeneración!$I$23&lt;CostesNoGeneración!AA45+Ingresos!AB9,CostesNoGeneración!$I$23-Ingresos!AB9,CostesNoGeneración!AA45)</f>
        <v>39.060395603954085</v>
      </c>
      <c r="AB50">
        <f ca="1">IF(CostesNoGeneración!$I$23&lt;CostesNoGeneración!AB45+Ingresos!AC9,CostesNoGeneración!$I$23-Ingresos!AC9,CostesNoGeneración!AB45)</f>
        <v>38.823106260145572</v>
      </c>
      <c r="AC50">
        <f ca="1">IF(CostesNoGeneración!$I$23&lt;CostesNoGeneración!AC45+Ingresos!AD9,CostesNoGeneración!$I$23-Ingresos!AD9,CostesNoGeneración!AC45)</f>
        <v>38.587098278793611</v>
      </c>
      <c r="AD50">
        <f ca="1">IF(CostesNoGeneración!$I$23&lt;CostesNoGeneración!AD45+Ingresos!AE9,CostesNoGeneración!$I$23-Ingresos!AE9,CostesNoGeneración!AD45)</f>
        <v>38.352364740540956</v>
      </c>
      <c r="AE50">
        <f ca="1">IF(CostesNoGeneración!$I$23&lt;CostesNoGeneración!AE45+Ingresos!AF9,CostesNoGeneración!$I$23-Ingresos!AF9,CostesNoGeneración!AE45)</f>
        <v>38.11889876339486</v>
      </c>
      <c r="AF50">
        <f ca="1">IF(CostesNoGeneración!$I$23&lt;CostesNoGeneración!AF45+Ingresos!AG9,CostesNoGeneración!$I$23-Ingresos!AG9,CostesNoGeneración!AF45)</f>
        <v>37.886693502525361</v>
      </c>
    </row>
    <row r="51" spans="1:32">
      <c r="B51" s="24" t="s">
        <v>10</v>
      </c>
      <c r="C51">
        <f ca="1">IF(CostesNoGeneración!$I$23&lt;CostesNoGeneración!C46+Ingresos!D10,CostesNoGeneración!$I$23-Ingresos!D10,CostesNoGeneración!C46)</f>
        <v>44.720867255094348</v>
      </c>
      <c r="D51">
        <f ca="1">IF(CostesNoGeneración!$I$23&lt;CostesNoGeneración!D46+Ingresos!E10,CostesNoGeneración!$I$23-Ingresos!E10,CostesNoGeneración!D46)</f>
        <v>44.446684194558344</v>
      </c>
      <c r="E51">
        <f ca="1">IF(CostesNoGeneración!$I$23&lt;CostesNoGeneración!E46+Ingresos!F10,CostesNoGeneración!$I$23-Ingresos!F10,CostesNoGeneración!E46)</f>
        <v>44.17398172254925</v>
      </c>
      <c r="F51">
        <f ca="1">IF(CostesNoGeneración!$I$23&lt;CostesNoGeneración!F46+Ingresos!G10,CostesNoGeneración!$I$23-Ingresos!G10,CostesNoGeneración!F46)</f>
        <v>43.902751843888986</v>
      </c>
      <c r="G51">
        <f ca="1">IF(CostesNoGeneración!$I$23&lt;CostesNoGeneración!G46+Ingresos!H10,CostesNoGeneración!$I$23-Ingresos!H10,CostesNoGeneración!G46)</f>
        <v>43.632986606573496</v>
      </c>
      <c r="H51">
        <f ca="1">IF(CostesNoGeneración!$I$23&lt;CostesNoGeneración!H46+Ingresos!I10,CostesNoGeneración!$I$23-Ingresos!I10,CostesNoGeneración!H46)</f>
        <v>43.364678101539511</v>
      </c>
      <c r="I51">
        <f ca="1">IF(CostesNoGeneración!$I$23&lt;CostesNoGeneración!I46+Ingresos!J10,CostesNoGeneración!$I$23-Ingresos!J10,CostesNoGeneración!I46)</f>
        <v>43.097818462432713</v>
      </c>
      <c r="J51">
        <f ca="1">IF(CostesNoGeneración!$I$23&lt;CostesNoGeneración!J46+Ingresos!K10,CostesNoGeneración!$I$23-Ingresos!K10,CostesNoGeneración!J46)</f>
        <v>42.832399865377084</v>
      </c>
      <c r="K51">
        <f ca="1">IF(CostesNoGeneración!$I$23&lt;CostesNoGeneración!K46+Ingresos!L10,CostesNoGeneración!$I$23-Ingresos!L10,CostesNoGeneración!K46)</f>
        <v>42.568414528745556</v>
      </c>
      <c r="L51">
        <f ca="1">IF(CostesNoGeneración!$I$23&lt;CostesNoGeneración!L46+Ingresos!M10,CostesNoGeneración!$I$23-Ingresos!M10,CostesNoGeneración!L46)</f>
        <v>42.30585471293184</v>
      </c>
      <c r="M51">
        <f ca="1">IF(CostesNoGeneración!$I$23&lt;CostesNoGeneración!M46+Ingresos!N10,CostesNoGeneración!$I$23-Ingresos!N10,CostesNoGeneración!M46)</f>
        <v>42.044712720123506</v>
      </c>
      <c r="N51">
        <f ca="1">IF(CostesNoGeneración!$I$23&lt;CostesNoGeneración!N46+Ingresos!O10,CostesNoGeneración!$I$23-Ingresos!O10,CostesNoGeneración!N46)</f>
        <v>41.784980894076348</v>
      </c>
      <c r="O51">
        <f ca="1">IF(CostesNoGeneración!$I$23&lt;CostesNoGeneración!O46+Ingresos!P10,CostesNoGeneración!$I$23-Ingresos!P10,CostesNoGeneración!O46)</f>
        <v>41.526651619889854</v>
      </c>
      <c r="P51">
        <f ca="1">IF(CostesNoGeneración!$I$23&lt;CostesNoGeneración!P46+Ingresos!Q10,CostesNoGeneración!$I$23-Ingresos!Q10,CostesNoGeneración!P46)</f>
        <v>41.269717323783951</v>
      </c>
      <c r="Q51">
        <f ca="1">IF(CostesNoGeneración!$I$23&lt;CostesNoGeneración!Q46+Ingresos!R10,CostesNoGeneración!$I$23-Ingresos!R10,CostesNoGeneración!Q46)</f>
        <v>41.014170472877026</v>
      </c>
      <c r="R51">
        <f ca="1">IF(CostesNoGeneración!$I$23&lt;CostesNoGeneración!R46+Ingresos!S10,CostesNoGeneración!$I$23-Ingresos!S10,CostesNoGeneración!R46)</f>
        <v>40.760003574964998</v>
      </c>
      <c r="S51">
        <f ca="1">IF(CostesNoGeneración!$I$23&lt;CostesNoGeneración!S46+Ingresos!T10,CostesNoGeneración!$I$23-Ingresos!T10,CostesNoGeneración!S46)</f>
        <v>40.507209178301707</v>
      </c>
      <c r="T51">
        <f ca="1">IF(CostesNoGeneración!$I$23&lt;CostesNoGeneración!T46+Ingresos!U10,CostesNoGeneración!$I$23-Ingresos!U10,CostesNoGeneración!T46)</f>
        <v>40.255779871380383</v>
      </c>
      <c r="U51">
        <f ca="1">IF(CostesNoGeneración!$I$23&lt;CostesNoGeneración!U46+Ingresos!V10,CostesNoGeneración!$I$23-Ingresos!V10,CostesNoGeneración!U46)</f>
        <v>40.005708282716434</v>
      </c>
      <c r="V51">
        <f ca="1">IF(CostesNoGeneración!$I$23&lt;CostesNoGeneración!V46+Ingresos!W10,CostesNoGeneración!$I$23-Ingresos!W10,CostesNoGeneración!V46)</f>
        <v>39.756987080631276</v>
      </c>
      <c r="W51">
        <f ca="1">IF(CostesNoGeneración!$I$23&lt;CostesNoGeneración!W46+Ingresos!X10,CostesNoGeneración!$I$23-Ingresos!X10,CostesNoGeneración!W46)</f>
        <v>39.509608973037381</v>
      </c>
      <c r="X51">
        <f ca="1">IF(CostesNoGeneración!$I$23&lt;CostesNoGeneración!X46+Ingresos!Y10,CostesNoGeneración!$I$23-Ingresos!Y10,CostesNoGeneración!X46)</f>
        <v>39.263566707224484</v>
      </c>
      <c r="Y51">
        <f ca="1">IF(CostesNoGeneración!$I$23&lt;CostesNoGeneración!Y46+Ingresos!Z10,CostesNoGeneración!$I$23-Ingresos!Z10,CostesNoGeneración!Y46)</f>
        <v>39.01885306964698</v>
      </c>
      <c r="Z51">
        <f ca="1">IF(CostesNoGeneración!$I$23&lt;CostesNoGeneración!Z46+Ingresos!AA10,CostesNoGeneración!$I$23-Ingresos!AA10,CostesNoGeneración!Z46)</f>
        <v>38.775460885712391</v>
      </c>
      <c r="AA51">
        <f ca="1">IF(CostesNoGeneración!$I$23&lt;CostesNoGeneración!AA46+Ingresos!AB10,CostesNoGeneración!$I$23-Ingresos!AB10,CostesNoGeneración!AA46)</f>
        <v>38.533383019571062</v>
      </c>
      <c r="AB51">
        <f ca="1">IF(CostesNoGeneración!$I$23&lt;CostesNoGeneración!AB46+Ingresos!AC10,CostesNoGeneración!$I$23-Ingresos!AC10,CostesNoGeneración!AB46)</f>
        <v>38.292612373906891</v>
      </c>
      <c r="AC51">
        <f ca="1">IF(CostesNoGeneración!$I$23&lt;CostesNoGeneración!AC46+Ingresos!AD10,CostesNoGeneración!$I$23-Ingresos!AD10,CostesNoGeneración!AC46)</f>
        <v>38.053141889729297</v>
      </c>
      <c r="AD51">
        <f ca="1">IF(CostesNoGeneración!$I$23&lt;CostesNoGeneración!AD46+Ingresos!AE10,CostesNoGeneración!$I$23-Ingresos!AE10,CostesNoGeneración!AD46)</f>
        <v>37.814964546166266</v>
      </c>
      <c r="AE51">
        <f ca="1">IF(CostesNoGeneración!$I$23&lt;CostesNoGeneración!AE46+Ingresos!AF10,CostesNoGeneración!$I$23-Ingresos!AF10,CostesNoGeneración!AE46)</f>
        <v>37.578073360258479</v>
      </c>
      <c r="AF51">
        <f ca="1">IF(CostesNoGeneración!$I$23&lt;CostesNoGeneración!AF46+Ingresos!AG10,CostesNoGeneración!$I$23-Ingresos!AG10,CostesNoGeneración!AF46)</f>
        <v>37.342461386754579</v>
      </c>
    </row>
    <row r="52" spans="1:32">
      <c r="B52" s="24" t="s">
        <v>11</v>
      </c>
      <c r="C52" s="186">
        <f ca="1">IF(CostesNoGeneración!$I$23&lt;CostesNoGeneración!C47+Ingresos!D11,CostesNoGeneración!$I$23-Ingresos!D11,CostesNoGeneración!C47)</f>
        <v>42.244640730000008</v>
      </c>
      <c r="D52">
        <f ca="1">IF(CostesNoGeneración!$I$23&lt;CostesNoGeneración!D47+Ingresos!E11,CostesNoGeneración!$I$23-Ingresos!E11,CostesNoGeneración!D47)</f>
        <v>41.988574670058014</v>
      </c>
      <c r="E52">
        <f ca="1">IF(CostesNoGeneración!$I$23&lt;CostesNoGeneración!E47+Ingresos!F11,CostesNoGeneración!$I$23-Ingresos!F11,CostesNoGeneración!E47)</f>
        <v>41.7338913668397</v>
      </c>
      <c r="F52">
        <f ca="1">IF(CostesNoGeneración!$I$23&lt;CostesNoGeneración!F47+Ingresos!G11,CostesNoGeneración!$I$23-Ingresos!G11,CostesNoGeneración!F47)</f>
        <v>41.480583353458762</v>
      </c>
      <c r="G52">
        <f ca="1">IF(CostesNoGeneración!$I$23&lt;CostesNoGeneración!G47+Ingresos!H11,CostesNoGeneración!$I$23-Ingresos!H11,CostesNoGeneración!G47)</f>
        <v>41.228643203350082</v>
      </c>
      <c r="H52">
        <f ca="1">IF(CostesNoGeneración!$I$23&lt;CostesNoGeneración!H47+Ingresos!I11,CostesNoGeneración!$I$23-Ingresos!I11,CostesNoGeneración!H47)</f>
        <v>40.978063530051998</v>
      </c>
      <c r="I52">
        <f ca="1">IF(CostesNoGeneración!$I$23&lt;CostesNoGeneración!I47+Ingresos!J11,CostesNoGeneración!$I$23-Ingresos!J11,CostesNoGeneración!I47)</f>
        <v>40.728836986989705</v>
      </c>
      <c r="J52">
        <f ca="1">IF(CostesNoGeneración!$I$23&lt;CostesNoGeneración!J47+Ingresos!K11,CostesNoGeneración!$I$23-Ingresos!K11,CostesNoGeneración!J47)</f>
        <v>40.48095626725997</v>
      </c>
      <c r="K52">
        <f ca="1">IF(CostesNoGeneración!$I$23&lt;CostesNoGeneración!K47+Ingresos!L11,CostesNoGeneración!$I$23-Ingresos!L11,CostesNoGeneración!K47)</f>
        <v>40.234414103416775</v>
      </c>
      <c r="L52">
        <f ca="1">IF(CostesNoGeneración!$I$23&lt;CostesNoGeneración!L47+Ingresos!M11,CostesNoGeneración!$I$23-Ingresos!M11,CostesNoGeneración!L47)</f>
        <v>39.989203267258318</v>
      </c>
      <c r="M52">
        <f ca="1">IF(CostesNoGeneración!$I$23&lt;CostesNoGeneración!M47+Ingresos!N11,CostesNoGeneración!$I$23-Ingresos!N11,CostesNoGeneración!M47)</f>
        <v>39.745316569615113</v>
      </c>
      <c r="N52">
        <f ca="1">IF(CostesNoGeneración!$I$23&lt;CostesNoGeneración!N47+Ingresos!O11,CostesNoGeneración!$I$23-Ingresos!O11,CostesNoGeneración!N47)</f>
        <v>39.502746860139204</v>
      </c>
      <c r="O52">
        <f ca="1">IF(CostesNoGeneración!$I$23&lt;CostesNoGeneración!O47+Ingresos!P11,CostesNoGeneración!$I$23-Ingresos!P11,CostesNoGeneración!O47)</f>
        <v>39.261487027094454</v>
      </c>
      <c r="P52">
        <f ca="1">IF(CostesNoGeneración!$I$23&lt;CostesNoGeneración!P47+Ingresos!Q11,CostesNoGeneración!$I$23-Ingresos!Q11,CostesNoGeneración!P47)</f>
        <v>39.021529997148143</v>
      </c>
      <c r="Q52">
        <f ca="1">IF(CostesNoGeneración!$I$23&lt;CostesNoGeneración!Q47+Ingresos!R11,CostesNoGeneración!$I$23-Ingresos!R11,CostesNoGeneración!Q47)</f>
        <v>38.782868735163539</v>
      </c>
      <c r="R52">
        <f ca="1">IF(CostesNoGeneración!$I$23&lt;CostesNoGeneración!R47+Ingresos!S11,CostesNoGeneración!$I$23-Ingresos!S11,CostesNoGeneración!R47)</f>
        <v>38.545496243993654</v>
      </c>
      <c r="S52">
        <f ca="1">IF(CostesNoGeneración!$I$23&lt;CostesNoGeneración!S47+Ingresos!T11,CostesNoGeneración!$I$23-Ingresos!T11,CostesNoGeneración!S47)</f>
        <v>38.309405564276084</v>
      </c>
      <c r="T52">
        <f ca="1">IF(CostesNoGeneración!$I$23&lt;CostesNoGeneración!T47+Ingresos!U11,CostesNoGeneración!$I$23-Ingresos!U11,CostesNoGeneración!T47)</f>
        <v>38.074589774228997</v>
      </c>
      <c r="U52">
        <f ca="1">IF(CostesNoGeneración!$I$23&lt;CostesNoGeneración!U47+Ingresos!V11,CostesNoGeneración!$I$23-Ingresos!V11,CostesNoGeneración!U47)</f>
        <v>37.841041989448158</v>
      </c>
      <c r="V52">
        <f ca="1">IF(CostesNoGeneración!$I$23&lt;CostesNoGeneración!V47+Ingresos!W11,CostesNoGeneración!$I$23-Ingresos!W11,CostesNoGeneración!V47)</f>
        <v>37.608755362705132</v>
      </c>
      <c r="W52">
        <f ca="1">IF(CostesNoGeneración!$I$23&lt;CostesNoGeneración!W47+Ingresos!X11,CostesNoGeneración!$I$23-Ingresos!X11,CostesNoGeneración!W47)</f>
        <v>37.377723083746531</v>
      </c>
      <c r="X52">
        <f ca="1">IF(CostesNoGeneración!$I$23&lt;CostesNoGeneración!X47+Ingresos!Y11,CostesNoGeneración!$I$23-Ingresos!Y11,CostesNoGeneración!X47)</f>
        <v>37.147938379094306</v>
      </c>
      <c r="Y52">
        <f ca="1">IF(CostesNoGeneración!$I$23&lt;CostesNoGeneración!Y47+Ingresos!Z11,CostesNoGeneración!$I$23-Ingresos!Z11,CostesNoGeneración!Y47)</f>
        <v>36.919394511847194</v>
      </c>
      <c r="Z52">
        <f ca="1">IF(CostesNoGeneración!$I$23&lt;CostesNoGeneración!Z47+Ingresos!AA11,CostesNoGeneración!$I$23-Ingresos!AA11,CostesNoGeneración!Z47)</f>
        <v>36.692084781483217</v>
      </c>
      <c r="AA52">
        <f ca="1">IF(CostesNoGeneración!$I$23&lt;CostesNoGeneración!AA47+Ingresos!AB11,CostesNoGeneración!$I$23-Ingresos!AB11,CostesNoGeneración!AA47)</f>
        <v>36.466002523663207</v>
      </c>
      <c r="AB52">
        <f ca="1">IF(CostesNoGeneración!$I$23&lt;CostesNoGeneración!AB47+Ingresos!AC11,CostesNoGeneración!$I$23-Ingresos!AC11,CostesNoGeneración!AB47)</f>
        <v>36.241141110035429</v>
      </c>
      <c r="AC52">
        <f ca="1">IF(CostesNoGeneración!$I$23&lt;CostesNoGeneración!AC47+Ingresos!AD11,CostesNoGeneración!$I$23-Ingresos!AD11,CostesNoGeneración!AC47)</f>
        <v>36.017493948041228</v>
      </c>
      <c r="AD52">
        <f ca="1">IF(CostesNoGeneración!$I$23&lt;CostesNoGeneración!AD47+Ingresos!AE11,CostesNoGeneración!$I$23-Ingresos!AE11,CostesNoGeneración!AD47)</f>
        <v>35.795054480721809</v>
      </c>
      <c r="AE52">
        <f ca="1">IF(CostesNoGeneración!$I$23&lt;CostesNoGeneración!AE47+Ingresos!AF11,CostesNoGeneración!$I$23-Ingresos!AF11,CostesNoGeneración!AE47)</f>
        <v>35.573816186525917</v>
      </c>
      <c r="AF52">
        <f ca="1">IF(CostesNoGeneración!$I$23&lt;CostesNoGeneración!AF47+Ingresos!AG11,CostesNoGeneración!$I$23-Ingresos!AG11,CostesNoGeneración!AF47)</f>
        <v>35.353772579118662</v>
      </c>
    </row>
    <row r="53" spans="1:32">
      <c r="B53" s="24" t="s">
        <v>12</v>
      </c>
      <c r="C53">
        <f ca="1">IF(CostesNoGeneración!$I$23&lt;CostesNoGeneración!C48+Ingresos!D12,CostesNoGeneración!$I$23-Ingresos!D12,CostesNoGeneración!C48)</f>
        <v>36.823911928301889</v>
      </c>
      <c r="D53">
        <f ca="1">IF(CostesNoGeneración!$I$23&lt;CostesNoGeneración!D48+Ingresos!E12,CostesNoGeneración!$I$23-Ingresos!E12,CostesNoGeneración!D48)</f>
        <v>36.598699596341888</v>
      </c>
      <c r="E53">
        <f ca="1">IF(CostesNoGeneración!$I$23&lt;CostesNoGeneración!E48+Ingresos!F12,CostesNoGeneración!$I$23-Ingresos!F12,CostesNoGeneración!E48)</f>
        <v>36.374703410974476</v>
      </c>
      <c r="F53">
        <f ca="1">IF(CostesNoGeneración!$I$23&lt;CostesNoGeneración!F48+Ingresos!G12,CostesNoGeneración!$I$23-Ingresos!G12,CostesNoGeneración!F48)</f>
        <v>36.151916805008042</v>
      </c>
      <c r="G53">
        <f ca="1">IF(CostesNoGeneración!$I$23&lt;CostesNoGeneración!G48+Ingresos!H12,CostesNoGeneración!$I$23-Ingresos!H12,CostesNoGeneración!G48)</f>
        <v>35.930333246713829</v>
      </c>
      <c r="H53">
        <f ca="1">IF(CostesNoGeneración!$I$23&lt;CostesNoGeneración!H48+Ingresos!I12,CostesNoGeneración!$I$23-Ingresos!I12,CostesNoGeneración!H48)</f>
        <v>35.709946239634405</v>
      </c>
      <c r="I53">
        <f ca="1">IF(CostesNoGeneración!$I$23&lt;CostesNoGeneración!I48+Ingresos!J12,CostesNoGeneración!$I$23-Ingresos!J12,CostesNoGeneración!I48)</f>
        <v>35.490749322393206</v>
      </c>
      <c r="J53">
        <f ca="1">IF(CostesNoGeneración!$I$23&lt;CostesNoGeneración!J48+Ingresos!K12,CostesNoGeneración!$I$23-Ingresos!K12,CostesNoGeneración!J48)</f>
        <v>35.272736068505111</v>
      </c>
      <c r="K53">
        <f ca="1">IF(CostesNoGeneración!$I$23&lt;CostesNoGeneración!K48+Ingresos!L12,CostesNoGeneración!$I$23-Ingresos!L12,CostesNoGeneración!K48)</f>
        <v>35.055900086188018</v>
      </c>
      <c r="L53">
        <f ca="1">IF(CostesNoGeneración!$I$23&lt;CostesNoGeneración!L48+Ingresos!M12,CostesNoGeneración!$I$23-Ingresos!M12,CostesNoGeneración!L48)</f>
        <v>34.840235018175434</v>
      </c>
      <c r="M53">
        <f ca="1">IF(CostesNoGeneración!$I$23&lt;CostesNoGeneración!M48+Ingresos!N12,CostesNoGeneración!$I$23-Ingresos!N12,CostesNoGeneración!M48)</f>
        <v>34.625734541530122</v>
      </c>
      <c r="N53">
        <f ca="1">IF(CostesNoGeneración!$I$23&lt;CostesNoGeneración!N48+Ingresos!O12,CostesNoGeneración!$I$23-Ingresos!O12,CostesNoGeneración!N48)</f>
        <v>34.412392367458686</v>
      </c>
      <c r="O53">
        <f ca="1">IF(CostesNoGeneración!$I$23&lt;CostesNoGeneración!O48+Ingresos!P12,CostesNoGeneración!$I$23-Ingresos!P12,CostesNoGeneración!O48)</f>
        <v>34.200202241127236</v>
      </c>
      <c r="P53">
        <f ca="1">IF(CostesNoGeneración!$I$23&lt;CostesNoGeneración!P48+Ingresos!Q12,CostesNoGeneración!$I$23-Ingresos!Q12,CostesNoGeneración!P48)</f>
        <v>33.989157941477984</v>
      </c>
      <c r="Q53">
        <f ca="1">IF(CostesNoGeneración!$I$23&lt;CostesNoGeneración!Q48+Ingresos!R12,CostesNoGeneración!$I$23-Ingresos!R12,CostesNoGeneración!Q48)</f>
        <v>33.779253281046827</v>
      </c>
      <c r="R53">
        <f ca="1">IF(CostesNoGeneración!$I$23&lt;CostesNoGeneración!R48+Ingresos!S12,CostesNoGeneración!$I$23-Ingresos!S12,CostesNoGeneración!R48)</f>
        <v>33.570482105781998</v>
      </c>
      <c r="S53">
        <f ca="1">IF(CostesNoGeneración!$I$23&lt;CostesNoGeneración!S48+Ingresos!T12,CostesNoGeneración!$I$23-Ingresos!T12,CostesNoGeneración!S48)</f>
        <v>33.362838294863614</v>
      </c>
      <c r="T53">
        <f ca="1">IF(CostesNoGeneración!$I$23&lt;CostesNoGeneración!T48+Ingresos!U12,CostesNoGeneración!$I$23-Ingresos!U12,CostesNoGeneración!T48)</f>
        <v>33.156315760524187</v>
      </c>
      <c r="U53">
        <f ca="1">IF(CostesNoGeneración!$I$23&lt;CostesNoGeneración!U48+Ingresos!V12,CostesNoGeneración!$I$23-Ingresos!V12,CostesNoGeneración!U48)</f>
        <v>32.950908447870177</v>
      </c>
      <c r="V53">
        <f ca="1">IF(CostesNoGeneración!$I$23&lt;CostesNoGeneración!V48+Ingresos!W12,CostesNoGeneración!$I$23-Ingresos!W12,CostesNoGeneración!V48)</f>
        <v>32.746610334704506</v>
      </c>
      <c r="W53">
        <f ca="1">IF(CostesNoGeneración!$I$23&lt;CostesNoGeneración!W48+Ingresos!X12,CostesNoGeneración!$I$23-Ingresos!X12,CostesNoGeneración!W48)</f>
        <v>32.543415431349921</v>
      </c>
      <c r="X53">
        <f ca="1">IF(CostesNoGeneración!$I$23&lt;CostesNoGeneración!X48+Ingresos!Y12,CostesNoGeneración!$I$23-Ingresos!Y12,CostesNoGeneración!X48)</f>
        <v>32.341317780473481</v>
      </c>
      <c r="Y53">
        <f ca="1">IF(CostesNoGeneración!$I$23&lt;CostesNoGeneración!Y48+Ingresos!Z12,CostesNoGeneración!$I$23-Ingresos!Z12,CostesNoGeneración!Y48)</f>
        <v>32.140311456911746</v>
      </c>
      <c r="Z53">
        <f ca="1">IF(CostesNoGeneración!$I$23&lt;CostesNoGeneración!Z48+Ingresos!AA12,CostesNoGeneración!$I$23-Ingresos!AA12,CostesNoGeneración!Z48)</f>
        <v>31.940390567497253</v>
      </c>
      <c r="AA53">
        <f ca="1">IF(CostesNoGeneración!$I$23&lt;CostesNoGeneración!AA48+Ingresos!AB12,CostesNoGeneración!$I$23-Ingresos!AB12,CostesNoGeneración!AA48)</f>
        <v>31.741549250885598</v>
      </c>
      <c r="AB53">
        <f ca="1">IF(CostesNoGeneración!$I$23&lt;CostesNoGeneración!AB48+Ingresos!AC12,CostesNoGeneración!$I$23-Ingresos!AC12,CostesNoGeneración!AB48)</f>
        <v>31.543781677383652</v>
      </c>
      <c r="AC53">
        <f ca="1">IF(CostesNoGeneración!$I$23&lt;CostesNoGeneración!AC48+Ingresos!AD12,CostesNoGeneración!$I$23-Ingresos!AD12,CostesNoGeneración!AC48)</f>
        <v>31.347082048778606</v>
      </c>
      <c r="AD53">
        <f ca="1">IF(CostesNoGeneración!$I$23&lt;CostesNoGeneración!AD48+Ingresos!AE12,CostesNoGeneración!$I$23-Ingresos!AE12,CostesNoGeneración!AD48)</f>
        <v>31.151444598168027</v>
      </c>
      <c r="AE53">
        <f ca="1">IF(CostesNoGeneración!$I$23&lt;CostesNoGeneración!AE48+Ingresos!AF12,CostesNoGeneración!$I$23-Ingresos!AF12,CostesNoGeneración!AE48)</f>
        <v>30.956863589790757</v>
      </c>
      <c r="AF53">
        <f ca="1">IF(CostesNoGeneración!$I$23&lt;CostesNoGeneración!AF48+Ingresos!AG12,CostesNoGeneración!$I$23-Ingresos!AG12,CostesNoGeneración!AF48)</f>
        <v>30.763333318858713</v>
      </c>
    </row>
    <row r="54" spans="1:32">
      <c r="B54" s="24" t="s">
        <v>57</v>
      </c>
      <c r="C54">
        <f ca="1">IF(CostesNoGeneración!$I$23&lt;CostesNoGeneración!C49+Ingresos!D13,CostesNoGeneración!$I$23-Ingresos!D13,CostesNoGeneración!C49)</f>
        <v>33.487848959433968</v>
      </c>
      <c r="D54">
        <f ca="1">IF(CostesNoGeneración!$I$23&lt;CostesNoGeneración!D49+Ingresos!E13,CostesNoGeneración!$I$23-Ingresos!E13,CostesNoGeneración!D49)</f>
        <v>33.279596839203961</v>
      </c>
      <c r="E54">
        <f ca="1">IF(CostesNoGeneración!$I$23&lt;CostesNoGeneración!E49+Ingresos!F13,CostesNoGeneración!$I$23-Ingresos!F13,CostesNoGeneración!E49)</f>
        <v>33.072469280423199</v>
      </c>
      <c r="F54">
        <f ca="1">IF(CostesNoGeneración!$I$23&lt;CostesNoGeneración!F49+Ingresos!G13,CostesNoGeneración!$I$23-Ingresos!G13,CostesNoGeneración!F49)</f>
        <v>32.866460210459863</v>
      </c>
      <c r="G54">
        <f ca="1">IF(CostesNoGeneración!$I$23&lt;CostesNoGeneración!G49+Ingresos!H13,CostesNoGeneración!$I$23-Ingresos!H13,CostesNoGeneración!G49)</f>
        <v>32.661563589474319</v>
      </c>
      <c r="H54">
        <f ca="1">IF(CostesNoGeneración!$I$23&lt;CostesNoGeneración!H49+Ingresos!I13,CostesNoGeneración!$I$23-Ingresos!I13,CostesNoGeneración!H49)</f>
        <v>32.457773410242105</v>
      </c>
      <c r="I54">
        <f ca="1">IF(CostesNoGeneración!$I$23&lt;CostesNoGeneración!I49+Ingresos!J13,CostesNoGeneración!$I$23-Ingresos!J13,CostesNoGeneración!I49)</f>
        <v>32.255083697977739</v>
      </c>
      <c r="J54">
        <f ca="1">IF(CostesNoGeneración!$I$23&lt;CostesNoGeneración!J49+Ingresos!K13,CostesNoGeneración!$I$23-Ingresos!K13,CostesNoGeneración!J49)</f>
        <v>32.05348851015961</v>
      </c>
      <c r="K54">
        <f ca="1">IF(CostesNoGeneración!$I$23&lt;CostesNoGeneración!K49+Ingresos!L13,CostesNoGeneración!$I$23-Ingresos!L13,CostesNoGeneración!K49)</f>
        <v>31.852981936355686</v>
      </c>
      <c r="L54">
        <f ca="1">IF(CostesNoGeneración!$I$23&lt;CostesNoGeneración!L49+Ingresos!M13,CostesNoGeneración!$I$23-Ingresos!M13,CostesNoGeneración!L49)</f>
        <v>31.653558098050311</v>
      </c>
      <c r="M54">
        <f ca="1">IF(CostesNoGeneración!$I$23&lt;CostesNoGeneración!M49+Ingresos!N13,CostesNoGeneración!$I$23-Ingresos!N13,CostesNoGeneración!M49)</f>
        <v>31.455211148471786</v>
      </c>
      <c r="N54">
        <f ca="1">IF(CostesNoGeneración!$I$23&lt;CostesNoGeneración!N49+Ingresos!O13,CostesNoGeneración!$I$23-Ingresos!O13,CostesNoGeneración!N49)</f>
        <v>31.25793527242098</v>
      </c>
      <c r="O54">
        <f ca="1">IF(CostesNoGeneración!$I$23&lt;CostesNoGeneración!O49+Ingresos!P13,CostesNoGeneración!$I$23-Ingresos!P13,CostesNoGeneración!O49)</f>
        <v>31.061724686100849</v>
      </c>
      <c r="P54">
        <f ca="1">IF(CostesNoGeneración!$I$23&lt;CostesNoGeneración!P49+Ingresos!Q13,CostesNoGeneración!$I$23-Ingresos!Q13,CostesNoGeneración!P49)</f>
        <v>30.866573636946846</v>
      </c>
      <c r="Q54">
        <f ca="1">IF(CostesNoGeneración!$I$23&lt;CostesNoGeneración!Q49+Ingresos!R13,CostesNoGeneración!$I$23-Ingresos!R13,CostesNoGeneración!Q49)</f>
        <v>30.67247640345828</v>
      </c>
      <c r="R54">
        <f ca="1">IF(CostesNoGeneración!$I$23&lt;CostesNoGeneración!R49+Ingresos!S13,CostesNoGeneración!$I$23-Ingresos!S13,CostesNoGeneración!R49)</f>
        <v>30.479427295030536</v>
      </c>
      <c r="S54">
        <f ca="1">IF(CostesNoGeneración!$I$23&lt;CostesNoGeneración!S49+Ingresos!T13,CostesNoGeneración!$I$23-Ingresos!T13,CostesNoGeneración!S49)</f>
        <v>30.287420651788324</v>
      </c>
      <c r="T54">
        <f ca="1">IF(CostesNoGeneración!$I$23&lt;CostesNoGeneración!T49+Ingresos!U13,CostesNoGeneración!$I$23-Ingresos!U13,CostesNoGeneración!T49)</f>
        <v>30.096450844419618</v>
      </c>
      <c r="U54">
        <f ca="1">IF(CostesNoGeneración!$I$23&lt;CostesNoGeneración!U49+Ingresos!V13,CostesNoGeneración!$I$23-Ingresos!V13,CostesNoGeneración!U49)</f>
        <v>29.906512274010687</v>
      </c>
      <c r="V54">
        <f ca="1">IF(CostesNoGeneración!$I$23&lt;CostesNoGeneración!V49+Ingresos!W13,CostesNoGeneración!$I$23-Ingresos!W13,CostesNoGeneración!V49)</f>
        <v>29.717599371881967</v>
      </c>
      <c r="W54">
        <f ca="1">IF(CostesNoGeneración!$I$23&lt;CostesNoGeneración!W49+Ingresos!X13,CostesNoGeneración!$I$23-Ingresos!X13,CostesNoGeneración!W49)</f>
        <v>29.529706599424756</v>
      </c>
      <c r="X54">
        <f ca="1">IF(CostesNoGeneración!$I$23&lt;CostesNoGeneración!X49+Ingresos!Y13,CostesNoGeneración!$I$23-Ingresos!Y13,CostesNoGeneración!X49)</f>
        <v>29.342828447938803</v>
      </c>
      <c r="Y54">
        <f ca="1">IF(CostesNoGeneración!$I$23&lt;CostesNoGeneración!Y49+Ingresos!Z13,CostesNoGeneración!$I$23-Ingresos!Z13,CostesNoGeneración!Y49)</f>
        <v>29.156959438470864</v>
      </c>
      <c r="Z54">
        <f ca="1">IF(CostesNoGeneración!$I$23&lt;CostesNoGeneración!Z49+Ingresos!AA13,CostesNoGeneración!$I$23-Ingresos!AA13,CostesNoGeneración!Z49)</f>
        <v>28.972094121654084</v>
      </c>
      <c r="AA54">
        <f ca="1">IF(CostesNoGeneración!$I$23&lt;CostesNoGeneración!AA49+Ingresos!AB13,CostesNoGeneración!$I$23-Ingresos!AB13,CostesNoGeneración!AA49)</f>
        <v>28.788227077548086</v>
      </c>
      <c r="AB54">
        <f ca="1">IF(CostesNoGeneración!$I$23&lt;CostesNoGeneración!AB49+Ingresos!AC13,CostesNoGeneración!$I$23-Ingresos!AC13,CostesNoGeneración!AB49)</f>
        <v>28.605352915480275</v>
      </c>
      <c r="AC54">
        <f ca="1">IF(CostesNoGeneración!$I$23&lt;CostesNoGeneración!AC49+Ingresos!AD13,CostesNoGeneración!$I$23-Ingresos!AD13,CostesNoGeneración!AC49)</f>
        <v>28.423466273887627</v>
      </c>
      <c r="AD54">
        <f ca="1">IF(CostesNoGeneración!$I$23&lt;CostesNoGeneración!AD49+Ingresos!AE13,CostesNoGeneración!$I$23-Ingresos!AE13,CostesNoGeneración!AD49)</f>
        <v>28.242561820159576</v>
      </c>
      <c r="AE54">
        <f ca="1">IF(CostesNoGeneración!$I$23&lt;CostesNoGeneración!AE49+Ingresos!AF13,CostesNoGeneración!$I$23-Ingresos!AF13,CostesNoGeneración!AE49)</f>
        <v>28.062634250481654</v>
      </c>
      <c r="AF54">
        <f ca="1">IF(CostesNoGeneración!$I$23&lt;CostesNoGeneración!AF49+Ingresos!AG13,CostesNoGeneración!$I$23-Ingresos!AG13,CostesNoGeneración!AF49)</f>
        <v>27.883678289679992</v>
      </c>
    </row>
    <row r="55" spans="1:32">
      <c r="B55" s="24" t="s">
        <v>14</v>
      </c>
      <c r="C55">
        <f ca="1">IF(CostesNoGeneración!$I$23&lt;CostesNoGeneración!C50+Ingresos!D14,CostesNoGeneración!$I$23-Ingresos!D14,CostesNoGeneración!C50)</f>
        <v>28.623296428301884</v>
      </c>
      <c r="D55">
        <f ca="1">IF(CostesNoGeneración!$I$23&lt;CostesNoGeneración!D50+Ingresos!E14,CostesNoGeneración!$I$23-Ingresos!E14,CostesNoGeneración!D50)</f>
        <v>28.442367420041876</v>
      </c>
      <c r="E55">
        <f ca="1">IF(CostesNoGeneración!$I$23&lt;CostesNoGeneración!E50+Ingresos!F14,CostesNoGeneración!$I$23-Ingresos!F14,CostesNoGeneración!E50)</f>
        <v>28.262415428426483</v>
      </c>
      <c r="F55">
        <f ca="1">IF(CostesNoGeneración!$I$23&lt;CostesNoGeneración!F50+Ingresos!G14,CostesNoGeneración!$I$23-Ingresos!G14,CostesNoGeneración!F50)</f>
        <v>28.083435177565818</v>
      </c>
      <c r="G55">
        <f ca="1">IF(CostesNoGeneración!$I$23&lt;CostesNoGeneración!G50+Ingresos!H14,CostesNoGeneración!$I$23-Ingresos!H14,CostesNoGeneración!G50)</f>
        <v>27.905421420059795</v>
      </c>
      <c r="H55">
        <f ca="1">IF(CostesNoGeneración!$I$23&lt;CostesNoGeneración!H50+Ingresos!I14,CostesNoGeneración!$I$23-Ingresos!I14,CostesNoGeneración!H50)</f>
        <v>27.728368936844291</v>
      </c>
      <c r="I55">
        <f ca="1">IF(CostesNoGeneración!$I$23&lt;CostesNoGeneración!I50+Ingresos!J14,CostesNoGeneración!$I$23-Ingresos!J14,CostesNoGeneración!I50)</f>
        <v>27.552272537038171</v>
      </c>
      <c r="J55">
        <f ca="1">IF(CostesNoGeneración!$I$23&lt;CostesNoGeneración!J50+Ingresos!K14,CostesNoGeneración!$I$23-Ingresos!K14,CostesNoGeneración!J50)</f>
        <v>27.37712705779099</v>
      </c>
      <c r="K55">
        <f ca="1">IF(CostesNoGeneración!$I$23&lt;CostesNoGeneración!K50+Ingresos!L14,CostesNoGeneración!$I$23-Ingresos!L14,CostesNoGeneración!K50)</f>
        <v>27.202927364131746</v>
      </c>
      <c r="L55">
        <f ca="1">IF(CostesNoGeneración!$I$23&lt;CostesNoGeneración!L50+Ingresos!M14,CostesNoGeneración!$I$23-Ingresos!M14,CostesNoGeneración!L50)</f>
        <v>27.02966834881828</v>
      </c>
      <c r="M55">
        <f ca="1">IF(CostesNoGeneración!$I$23&lt;CostesNoGeneración!M50+Ingresos!N14,CostesNoGeneración!$I$23-Ingresos!N14,CostesNoGeneración!M50)</f>
        <v>26.857344932187484</v>
      </c>
      <c r="N55">
        <f ca="1">IF(CostesNoGeneración!$I$23&lt;CostesNoGeneración!N50+Ingresos!O14,CostesNoGeneración!$I$23-Ingresos!O14,CostesNoGeneración!N50)</f>
        <v>26.6859520620065</v>
      </c>
      <c r="O55">
        <f ca="1">IF(CostesNoGeneración!$I$23&lt;CostesNoGeneración!O50+Ingresos!P14,CostesNoGeneración!$I$23-Ingresos!P14,CostesNoGeneración!O50)</f>
        <v>26.515484713324497</v>
      </c>
      <c r="P55">
        <f ca="1">IF(CostesNoGeneración!$I$23&lt;CostesNoGeneración!P50+Ingresos!Q14,CostesNoGeneración!$I$23-Ingresos!Q14,CostesNoGeneración!P50)</f>
        <v>26.34593788832537</v>
      </c>
      <c r="Q55">
        <f ca="1">IF(CostesNoGeneración!$I$23&lt;CostesNoGeneración!Q50+Ingresos!R14,CostesNoGeneración!$I$23-Ingresos!R14,CostesNoGeneración!Q50)</f>
        <v>26.177306616181244</v>
      </c>
      <c r="R55">
        <f ca="1">IF(CostesNoGeneración!$I$23&lt;CostesNoGeneración!R50+Ingresos!S14,CostesNoGeneración!$I$23-Ingresos!S14,CostesNoGeneración!R50)</f>
        <v>26.009585952906697</v>
      </c>
      <c r="S55">
        <f ca="1">IF(CostesNoGeneración!$I$23&lt;CostesNoGeneración!S50+Ingresos!T14,CostesNoGeneración!$I$23-Ingresos!T14,CostesNoGeneración!S50)</f>
        <v>25.842770981213832</v>
      </c>
      <c r="T55">
        <f ca="1">IF(CostesNoGeneración!$I$23&lt;CostesNoGeneración!T50+Ingresos!U14,CostesNoGeneración!$I$23-Ingresos!U14,CostesNoGeneración!T50)</f>
        <v>25.676856810368111</v>
      </c>
      <c r="U55">
        <f ca="1">IF(CostesNoGeneración!$I$23&lt;CostesNoGeneración!U50+Ingresos!V14,CostesNoGeneración!$I$23-Ingresos!V14,CostesNoGeneración!U50)</f>
        <v>25.511838576044951</v>
      </c>
      <c r="V55">
        <f ca="1">IF(CostesNoGeneración!$I$23&lt;CostesNoGeneración!V50+Ingresos!W14,CostesNoGeneración!$I$23-Ingresos!W14,CostesNoGeneración!V50)</f>
        <v>25.347711440187137</v>
      </c>
      <c r="W55">
        <f ca="1">IF(CostesNoGeneración!$I$23&lt;CostesNoGeneración!W50+Ingresos!X14,CostesNoGeneración!$I$23-Ingresos!X14,CostesNoGeneración!W50)</f>
        <v>25.184470590862947</v>
      </c>
      <c r="X55">
        <f ca="1">IF(CostesNoGeneración!$I$23&lt;CostesNoGeneración!X50+Ingresos!Y14,CostesNoGeneración!$I$23-Ingresos!Y14,CostesNoGeneración!X50)</f>
        <v>25.022111242125124</v>
      </c>
      <c r="Y55">
        <f ca="1">IF(CostesNoGeneración!$I$23&lt;CostesNoGeneración!Y50+Ingresos!Z14,CostesNoGeneración!$I$23-Ingresos!Z14,CostesNoGeneración!Y50)</f>
        <v>24.86062863387048</v>
      </c>
      <c r="Z55">
        <f ca="1">IF(CostesNoGeneración!$I$23&lt;CostesNoGeneración!Z50+Ingresos!AA14,CostesNoGeneración!$I$23-Ingresos!AA14,CostesNoGeneración!Z50)</f>
        <v>24.700018031700406</v>
      </c>
      <c r="AA55">
        <f ca="1">IF(CostesNoGeneración!$I$23&lt;CostesNoGeneración!AA50+Ingresos!AB14,CostesNoGeneración!$I$23-Ingresos!AB14,CostesNoGeneración!AA50)</f>
        <v>24.540274726782059</v>
      </c>
      <c r="AB55">
        <f ca="1">IF(CostesNoGeneración!$I$23&lt;CostesNoGeneración!AB50+Ingresos!AC14,CostesNoGeneración!$I$23-Ingresos!AC14,CostesNoGeneración!AB50)</f>
        <v>24.381394035710265</v>
      </c>
      <c r="AC55">
        <f ca="1">IF(CostesNoGeneración!$I$23&lt;CostesNoGeneración!AC50+Ingresos!AD14,CostesNoGeneración!$I$23-Ingresos!AD14,CostesNoGeneración!AC50)</f>
        <v>24.22337130037026</v>
      </c>
      <c r="AD55">
        <f ca="1">IF(CostesNoGeneración!$I$23&lt;CostesNoGeneración!AD50+Ingresos!AE14,CostesNoGeneración!$I$23-Ingresos!AE14,CostesNoGeneración!AD50)</f>
        <v>24.066201887801085</v>
      </c>
      <c r="AE55">
        <f ca="1">IF(CostesNoGeneración!$I$23&lt;CostesNoGeneración!AE50+Ingresos!AF14,CostesNoGeneración!$I$23-Ingresos!AF14,CostesNoGeneración!AE50)</f>
        <v>23.909881190059792</v>
      </c>
      <c r="AF55">
        <f ca="1">IF(CostesNoGeneración!$I$23&lt;CostesNoGeneración!AF50+Ingresos!AG14,CostesNoGeneración!$I$23-Ingresos!AG14,CostesNoGeneración!AF50)</f>
        <v>23.754404624086302</v>
      </c>
    </row>
    <row r="56" spans="1:32">
      <c r="B56" s="24" t="s">
        <v>15</v>
      </c>
      <c r="C56">
        <f ca="1">IF(CostesNoGeneración!$I$23&lt;CostesNoGeneración!C51+Ingresos!D15,CostesNoGeneración!$I$23-Ingresos!D15,CostesNoGeneración!C51)</f>
        <v>25.677466539622642</v>
      </c>
      <c r="D56">
        <f ca="1">IF(CostesNoGeneración!$I$23&lt;CostesNoGeneración!D51+Ingresos!E15,CostesNoGeneración!$I$23-Ingresos!E15,CostesNoGeneración!D51)</f>
        <v>25.50189972974264</v>
      </c>
      <c r="E56">
        <f ca="1">IF(CostesNoGeneración!$I$23&lt;CostesNoGeneración!E51+Ingresos!F15,CostesNoGeneración!$I$23-Ingresos!F15,CostesNoGeneración!E51)</f>
        <v>25.327280980635997</v>
      </c>
      <c r="F56">
        <f ca="1">IF(CostesNoGeneración!$I$23&lt;CostesNoGeneración!F51+Ingresos!G15,CostesNoGeneración!$I$23-Ingresos!G15,CostesNoGeneración!F51)</f>
        <v>25.153605172774519</v>
      </c>
      <c r="G56">
        <f ca="1">IF(CostesNoGeneración!$I$23&lt;CostesNoGeneración!G51+Ingresos!H15,CostesNoGeneración!$I$23-Ingresos!H15,CostesNoGeneración!G51)</f>
        <v>24.980867214275502</v>
      </c>
      <c r="H56">
        <f ca="1">IF(CostesNoGeneración!$I$23&lt;CostesNoGeneración!H51+Ingresos!I15,CostesNoGeneración!$I$23-Ingresos!I15,CostesNoGeneración!H51)</f>
        <v>24.809062040752377</v>
      </c>
      <c r="I56">
        <f ca="1">IF(CostesNoGeneración!$I$23&lt;CostesNoGeneración!I51+Ingresos!J15,CostesNoGeneración!$I$23-Ingresos!J15,CostesNoGeneración!I51)</f>
        <v>24.638184615166278</v>
      </c>
      <c r="J56">
        <f ca="1">IF(CostesNoGeneración!$I$23&lt;CostesNoGeneración!J51+Ingresos!K15,CostesNoGeneración!$I$23-Ingresos!K15,CostesNoGeneración!J51)</f>
        <v>24.468229927678344</v>
      </c>
      <c r="K56">
        <f ca="1">IF(CostesNoGeneración!$I$23&lt;CostesNoGeneración!K51+Ingresos!L15,CostesNoGeneración!$I$23-Ingresos!L15,CostesNoGeneración!K51)</f>
        <v>24.299192995502843</v>
      </c>
      <c r="L56">
        <f ca="1">IF(CostesNoGeneración!$I$23&lt;CostesNoGeneración!L51+Ingresos!M15,CostesNoGeneración!$I$23-Ingresos!M15,CostesNoGeneración!L51)</f>
        <v>24.131068862761094</v>
      </c>
      <c r="M56">
        <f ca="1">IF(CostesNoGeneración!$I$23&lt;CostesNoGeneración!M51+Ingresos!N15,CostesNoGeneración!$I$23-Ingresos!N15,CostesNoGeneración!M51)</f>
        <v>23.963852600336139</v>
      </c>
      <c r="N56">
        <f ca="1">IF(CostesNoGeneración!$I$23&lt;CostesNoGeneración!N51+Ingresos!O15,CostesNoGeneración!$I$23-Ingresos!O15,CostesNoGeneración!N51)</f>
        <v>23.797539305728289</v>
      </c>
      <c r="O56">
        <f ca="1">IF(CostesNoGeneración!$I$23&lt;CostesNoGeneración!O51+Ingresos!P15,CostesNoGeneración!$I$23-Ingresos!P15,CostesNoGeneración!O51)</f>
        <v>23.63212410291132</v>
      </c>
      <c r="P56">
        <f ca="1">IF(CostesNoGeneración!$I$23&lt;CostesNoGeneración!P51+Ingresos!Q15,CostesNoGeneración!$I$23-Ingresos!Q15,CostesNoGeneración!P51)</f>
        <v>23.467602142189552</v>
      </c>
      <c r="Q56">
        <f ca="1">IF(CostesNoGeneración!$I$23&lt;CostesNoGeneración!Q51+Ingresos!R15,CostesNoGeneración!$I$23-Ingresos!R15,CostesNoGeneración!Q51)</f>
        <v>23.303968600055697</v>
      </c>
      <c r="R56">
        <f ca="1">IF(CostesNoGeneración!$I$23&lt;CostesNoGeneración!R51+Ingresos!S15,CostesNoGeneración!$I$23-Ingresos!S15,CostesNoGeneración!R51)</f>
        <v>23.141218679049359</v>
      </c>
      <c r="S56">
        <f ca="1">IF(CostesNoGeneración!$I$23&lt;CostesNoGeneración!S51+Ingresos!T15,CostesNoGeneración!$I$23-Ingresos!T15,CostesNoGeneración!S51)</f>
        <v>22.979347607616454</v>
      </c>
      <c r="T56">
        <f ca="1">IF(CostesNoGeneración!$I$23&lt;CostesNoGeneración!T51+Ingresos!U15,CostesNoGeneración!$I$23-Ingresos!U15,CostesNoGeneración!T51)</f>
        <v>22.818350639969289</v>
      </c>
      <c r="U56">
        <f ca="1">IF(CostesNoGeneración!$I$23&lt;CostesNoGeneración!U51+Ingresos!V15,CostesNoGeneración!$I$23-Ingresos!V15,CostesNoGeneración!U51)</f>
        <v>22.658223055947417</v>
      </c>
      <c r="V56">
        <f ca="1">IF(CostesNoGeneración!$I$23&lt;CostesNoGeneración!V51+Ingresos!W15,CostesNoGeneración!$I$23-Ingresos!W15,CostesNoGeneración!V51)</f>
        <v>22.498960160879264</v>
      </c>
      <c r="W56">
        <f ca="1">IF(CostesNoGeneración!$I$23&lt;CostesNoGeneración!W51+Ingresos!X15,CostesNoGeneración!$I$23-Ingresos!X15,CostesNoGeneración!W51)</f>
        <v>22.340557285444476</v>
      </c>
      <c r="X56">
        <f ca="1">IF(CostesNoGeneración!$I$23&lt;CostesNoGeneración!X51+Ingresos!Y15,CostesNoGeneración!$I$23-Ingresos!Y15,CostesNoGeneración!X51)</f>
        <v>22.183009785537038</v>
      </c>
      <c r="Y56">
        <f ca="1">IF(CostesNoGeneración!$I$23&lt;CostesNoGeneración!Y51+Ingresos!Z15,CostesNoGeneración!$I$23-Ingresos!Z15,CostesNoGeneración!Y51)</f>
        <v>22.0263130421291</v>
      </c>
      <c r="Z56">
        <f ca="1">IF(CostesNoGeneración!$I$23&lt;CostesNoGeneración!Z51+Ingresos!AA15,CostesNoGeneración!$I$23-Ingresos!AA15,CostesNoGeneración!Z51)</f>
        <v>21.870462461135567</v>
      </c>
      <c r="AA56">
        <f ca="1">IF(CostesNoGeneración!$I$23&lt;CostesNoGeneración!AA51+Ingresos!AB15,CostesNoGeneración!$I$23-Ingresos!AB15,CostesNoGeneración!AA51)</f>
        <v>21.715453473279396</v>
      </c>
      <c r="AB56">
        <f ca="1">IF(CostesNoGeneración!$I$23&lt;CostesNoGeneración!AB51+Ingresos!AC15,CostesNoGeneración!$I$23-Ingresos!AC15,CostesNoGeneración!AB51)</f>
        <v>21.561281533957651</v>
      </c>
      <c r="AC56">
        <f ca="1">IF(CostesNoGeneración!$I$23&lt;CostesNoGeneración!AC51+Ingresos!AD15,CostesNoGeneración!$I$23-Ingresos!AD15,CostesNoGeneración!AC51)</f>
        <v>21.407942123108239</v>
      </c>
      <c r="AD56">
        <f ca="1">IF(CostesNoGeneración!$I$23&lt;CostesNoGeneración!AD51+Ingresos!AE15,CostesNoGeneración!$I$23-Ingresos!AE15,CostesNoGeneración!AD51)</f>
        <v>21.255430745077412</v>
      </c>
      <c r="AE56">
        <f ca="1">IF(CostesNoGeneración!$I$23&lt;CostesNoGeneración!AE51+Ingresos!AF15,CostesNoGeneración!$I$23-Ingresos!AF15,CostesNoGeneración!AE51)</f>
        <v>21.103742928487961</v>
      </c>
      <c r="AF56">
        <f ca="1">IF(CostesNoGeneración!$I$23&lt;CostesNoGeneración!AF51+Ingresos!AG15,CostesNoGeneración!$I$23-Ingresos!AG15,CostesNoGeneración!AF51)</f>
        <v>20.952874226108086</v>
      </c>
    </row>
    <row r="57" spans="1:32" s="135" customFormat="1">
      <c r="A57" s="279" t="s">
        <v>438</v>
      </c>
      <c r="B57" s="279"/>
      <c r="C57" s="279"/>
    </row>
    <row r="58" spans="1:32">
      <c r="B58" s="24" t="s">
        <v>4</v>
      </c>
      <c r="C58">
        <f ca="1">IF(CostesNoGeneración!$I$23&lt;CostesNoGeneración!C56+Ingresos!D23,CostesNoGeneración!$I$23-Ingresos!D23,CostesNoGeneración!C56)</f>
        <v>24.620789844622646</v>
      </c>
      <c r="D58">
        <f ca="1">IF(CostesNoGeneración!$I$23&lt;CostesNoGeneración!D56+Ingresos!E23,CostesNoGeneración!$I$23-Ingresos!E23,CostesNoGeneración!D56)</f>
        <v>24.620789844622646</v>
      </c>
      <c r="E58">
        <f ca="1">IF(CostesNoGeneración!$I$23&lt;CostesNoGeneración!E56+Ingresos!F23,CostesNoGeneración!$I$23-Ingresos!F23,CostesNoGeneración!E56)</f>
        <v>24.281985581249572</v>
      </c>
      <c r="F58">
        <f ca="1">IF(CostesNoGeneración!$I$23&lt;CostesNoGeneración!F56+Ingresos!G23,CostesNoGeneración!$I$23-Ingresos!G23,CostesNoGeneración!F56)</f>
        <v>24.113954368544782</v>
      </c>
      <c r="G58">
        <f ca="1">IF(CostesNoGeneración!$I$23&lt;CostesNoGeneración!G56+Ingresos!H23,CostesNoGeneración!$I$23-Ingresos!H23,CostesNoGeneración!G56)</f>
        <v>23.946830524388606</v>
      </c>
      <c r="H58">
        <f ca="1">IF(CostesNoGeneración!$I$23&lt;CostesNoGeneración!H56+Ingresos!I23,CostesNoGeneración!$I$23-Ingresos!I23,CostesNoGeneración!H56)</f>
        <v>23.78060914899087</v>
      </c>
      <c r="I58">
        <f ca="1">IF(CostesNoGeneración!$I$23&lt;CostesNoGeneración!I56+Ingresos!J23,CostesNoGeneración!$I$23-Ingresos!J23,CostesNoGeneración!I56)</f>
        <v>23.615285369020285</v>
      </c>
      <c r="J58">
        <f ca="1">IF(CostesNoGeneración!$I$23&lt;CostesNoGeneración!J56+Ingresos!K23,CostesNoGeneración!$I$23-Ingresos!K23,CostesNoGeneración!J56)</f>
        <v>23.450854337461536</v>
      </c>
      <c r="K58">
        <f ca="1">IF(CostesNoGeneración!$I$23&lt;CostesNoGeneración!K56+Ingresos!L23,CostesNoGeneración!$I$23-Ingresos!L23,CostesNoGeneración!K56)</f>
        <v>23.287311233473204</v>
      </c>
      <c r="L58">
        <f ca="1">IF(CostesNoGeneración!$I$23&lt;CostesNoGeneración!L56+Ingresos!M23,CostesNoGeneración!$I$23-Ingresos!M23,CostesNoGeneración!L56)</f>
        <v>23.124651262246413</v>
      </c>
      <c r="M58">
        <f ca="1">IF(CostesNoGeneración!$I$23&lt;CostesNoGeneración!M56+Ingresos!N23,CostesNoGeneración!$I$23-Ingresos!N23,CostesNoGeneración!M56)</f>
        <v>22.962869654864246</v>
      </c>
      <c r="N58">
        <f ca="1">IF(CostesNoGeneración!$I$23&lt;CostesNoGeneración!N56+Ingresos!O23,CostesNoGeneración!$I$23-Ingresos!O23,CostesNoGeneración!N56)</f>
        <v>22.801961668161933</v>
      </c>
      <c r="O58">
        <f ca="1">IF(CostesNoGeneración!$I$23&lt;CostesNoGeneración!O56+Ingresos!P23,CostesNoGeneración!$I$23-Ingresos!P23,CostesNoGeneración!O56)</f>
        <v>23.546425836741737</v>
      </c>
      <c r="P58">
        <f ca="1">IF(CostesNoGeneración!$I$23&lt;CostesNoGeneración!P56+Ingresos!Q23,CostesNoGeneración!$I$23-Ingresos!Q23,CostesNoGeneración!P56)</f>
        <v>23.382366646657299</v>
      </c>
      <c r="Q58">
        <f ca="1">IF(CostesNoGeneración!$I$23&lt;CostesNoGeneración!Q56+Ingresos!R23,CostesNoGeneración!$I$23-Ingresos!R23,CostesNoGeneración!Q56)</f>
        <v>23.2191933761993</v>
      </c>
      <c r="R58">
        <f ca="1">IF(CostesNoGeneración!$I$23&lt;CostesNoGeneración!R56+Ingresos!S23,CostesNoGeneración!$I$23-Ingresos!S23,CostesNoGeneración!R56)</f>
        <v>23.056901241401789</v>
      </c>
      <c r="S58">
        <f ca="1">IF(CostesNoGeneración!$I$23&lt;CostesNoGeneración!S56+Ingresos!T23,CostesNoGeneración!$I$23-Ingresos!T23,CostesNoGeneración!S56)</f>
        <v>22.89548548413218</v>
      </c>
      <c r="T58">
        <f ca="1">IF(CostesNoGeneración!$I$23&lt;CostesNoGeneración!T56+Ingresos!U23,CostesNoGeneración!$I$23-Ingresos!U23,CostesNoGeneración!T56)</f>
        <v>22.734941371951834</v>
      </c>
      <c r="U58">
        <f ca="1">IF(CostesNoGeneración!$I$23&lt;CostesNoGeneración!U56+Ingresos!V23,CostesNoGeneración!$I$23-Ingresos!V23,CostesNoGeneración!U56)</f>
        <v>22.575264197977258</v>
      </c>
      <c r="V58">
        <f ca="1">IF(CostesNoGeneración!$I$23&lt;CostesNoGeneración!V56+Ingresos!W23,CostesNoGeneración!$I$23-Ingresos!W23,CostesNoGeneración!V56)</f>
        <v>22.416449280742142</v>
      </c>
      <c r="W58">
        <f ca="1">IF(CostesNoGeneración!$I$23&lt;CostesNoGeneración!W56+Ingresos!X23,CostesNoGeneración!$I$23-Ingresos!X23,CostesNoGeneración!W56)</f>
        <v>22.258491964060099</v>
      </c>
      <c r="X58">
        <f ca="1">IF(CostesNoGeneración!$I$23&lt;CostesNoGeneración!X56+Ingresos!Y23,CostesNoGeneración!$I$23-Ingresos!Y23,CostesNoGeneración!X56)</f>
        <v>22.101387616888132</v>
      </c>
      <c r="Y58">
        <f ca="1">IF(CostesNoGeneración!$I$23&lt;CostesNoGeneración!Y56+Ingresos!Z23,CostesNoGeneración!$I$23-Ingresos!Z23,CostesNoGeneración!Y56)</f>
        <v>21.945131633190901</v>
      </c>
      <c r="Z58">
        <f ca="1">IF(CostesNoGeneración!$I$23&lt;CostesNoGeneración!Z56+Ingresos!AA23,CostesNoGeneración!$I$23-Ingresos!AA23,CostesNoGeneración!Z56)</f>
        <v>21.789719431805622</v>
      </c>
      <c r="AA58">
        <f ca="1">IF(CostesNoGeneración!$I$23&lt;CostesNoGeneración!AA56+Ingresos!AB23,CostesNoGeneración!$I$23-Ingresos!AB23,CostesNoGeneración!AA56)</f>
        <v>21.635146456307844</v>
      </c>
      <c r="AB58">
        <f ca="1">IF(CostesNoGeneración!$I$23&lt;CostesNoGeneración!AB56+Ingresos!AC23,CostesNoGeneración!$I$23-Ingresos!AC23,CostesNoGeneración!AB56)</f>
        <v>21.481408174877743</v>
      </c>
      <c r="AC58">
        <f ca="1">IF(CostesNoGeneración!$I$23&lt;CostesNoGeneración!AC56+Ingresos!AD23,CostesNoGeneración!$I$23-Ingresos!AD23,CostesNoGeneración!AC56)</f>
        <v>21.328500080167363</v>
      </c>
      <c r="AD58">
        <f ca="1">IF(CostesNoGeneración!$I$23&lt;CostesNoGeneración!AD56+Ingresos!AE23,CostesNoGeneración!$I$23-Ingresos!AE23,CostesNoGeneración!AD56)</f>
        <v>21.176417689168421</v>
      </c>
      <c r="AE58">
        <f ca="1">IF(CostesNoGeneración!$I$23&lt;CostesNoGeneración!AE56+Ingresos!AF23,CostesNoGeneración!$I$23-Ingresos!AF23,CostesNoGeneración!AE56)</f>
        <v>21.025156543080872</v>
      </c>
      <c r="AF58">
        <f ca="1">IF(CostesNoGeneración!$I$23&lt;CostesNoGeneración!AF56+Ingresos!AG23,CostesNoGeneración!$I$23-Ingresos!AG23,CostesNoGeneración!AF56)</f>
        <v>20.874712207182199</v>
      </c>
    </row>
    <row r="59" spans="1:32">
      <c r="B59" s="24" t="s">
        <v>5</v>
      </c>
      <c r="C59">
        <f ca="1">IF(CostesNoGeneración!$I$23&lt;CostesNoGeneración!C57+Ingresos!D24,CostesNoGeneración!$I$23-Ingresos!D24,CostesNoGeneración!C57)</f>
        <v>25.059293196226406</v>
      </c>
      <c r="D59">
        <f ca="1">IF(CostesNoGeneración!$I$23&lt;CostesNoGeneración!D57+Ingresos!E24,CostesNoGeneración!$I$23-Ingresos!E24,CostesNoGeneración!D57)</f>
        <v>24.890228107306417</v>
      </c>
      <c r="E59">
        <f ca="1">IF(CostesNoGeneración!$I$23&lt;CostesNoGeneración!E57+Ingresos!F24,CostesNoGeneración!$I$23-Ingresos!F24,CostesNoGeneración!E57)</f>
        <v>24.722075969866584</v>
      </c>
      <c r="F59">
        <f ca="1">IF(CostesNoGeneración!$I$23&lt;CostesNoGeneración!F57+Ingresos!G24,CostesNoGeneración!$I$23-Ingresos!G24,CostesNoGeneración!F57)</f>
        <v>24.554831853968921</v>
      </c>
      <c r="G59">
        <f ca="1">IF(CostesNoGeneración!$I$23&lt;CostesNoGeneración!G57+Ingresos!H24,CostesNoGeneración!$I$23-Ingresos!H24,CostesNoGeneración!G57)</f>
        <v>24.388490856297111</v>
      </c>
      <c r="H59">
        <f ca="1">IF(CostesNoGeneración!$I$23&lt;CostesNoGeneración!H57+Ingresos!I24,CostesNoGeneración!$I$23-Ingresos!I24,CostesNoGeneración!H57)</f>
        <v>24.223048100012733</v>
      </c>
      <c r="I59">
        <f ca="1">IF(CostesNoGeneración!$I$23&lt;CostesNoGeneración!I57+Ingresos!J24,CostesNoGeneración!$I$23-Ingresos!J24,CostesNoGeneración!I57)</f>
        <v>24.058498734612296</v>
      </c>
      <c r="J59">
        <f ca="1">IF(CostesNoGeneración!$I$23&lt;CostesNoGeneración!J57+Ingresos!K24,CostesNoGeneración!$I$23-Ingresos!K24,CostesNoGeneración!J57)</f>
        <v>23.894837935785006</v>
      </c>
      <c r="K59">
        <f ca="1">IF(CostesNoGeneración!$I$23&lt;CostesNoGeneración!K57+Ingresos!L24,CostesNoGeneración!$I$23-Ingresos!L24,CostesNoGeneración!K57)</f>
        <v>23.732060905271389</v>
      </c>
      <c r="L59">
        <f ca="1">IF(CostesNoGeneración!$I$23&lt;CostesNoGeneración!L57+Ingresos!M24,CostesNoGeneración!$I$23-Ingresos!M24,CostesNoGeneración!L57)</f>
        <v>23.570162870722555</v>
      </c>
      <c r="M59">
        <f ca="1">IF(CostesNoGeneración!$I$23&lt;CostesNoGeneración!M57+Ingresos!N24,CostesNoGeneración!$I$23-Ingresos!N24,CostesNoGeneración!M57)</f>
        <v>23.409139085560259</v>
      </c>
      <c r="N59">
        <f ca="1">IF(CostesNoGeneración!$I$23&lt;CostesNoGeneración!N57+Ingresos!O24,CostesNoGeneración!$I$23-Ingresos!O24,CostesNoGeneración!N57)</f>
        <v>23.248984828837866</v>
      </c>
      <c r="O59">
        <f ca="1">IF(CostesNoGeneración!$I$23&lt;CostesNoGeneración!O57+Ingresos!P24,CostesNoGeneración!$I$23-Ingresos!P24,CostesNoGeneración!O57)</f>
        <v>23.989961756204096</v>
      </c>
      <c r="P59">
        <f ca="1">IF(CostesNoGeneración!$I$23&lt;CostesNoGeneración!P57+Ingresos!Q24,CostesNoGeneración!$I$23-Ingresos!Q24,CostesNoGeneración!P57)</f>
        <v>23.82667105706021</v>
      </c>
      <c r="Q59">
        <f ca="1">IF(CostesNoGeneración!$I$23&lt;CostesNoGeneración!Q57+Ingresos!R24,CostesNoGeneración!$I$23-Ingresos!R24,CostesNoGeneración!Q57)</f>
        <v>23.6642621276917</v>
      </c>
      <c r="R59">
        <f ca="1">IF(CostesNoGeneración!$I$23&lt;CostesNoGeneración!R57+Ingresos!S24,CostesNoGeneración!$I$23-Ingresos!S24,CostesNoGeneración!R57)</f>
        <v>23.502730206541795</v>
      </c>
      <c r="S59">
        <f ca="1">IF(CostesNoGeneración!$I$23&lt;CostesNoGeneración!S57+Ingresos!T24,CostesNoGeneración!$I$23-Ingresos!T24,CostesNoGeneración!S57)</f>
        <v>23.342070557766085</v>
      </c>
      <c r="T59">
        <f ca="1">IF(CostesNoGeneración!$I$23&lt;CostesNoGeneración!T57+Ingresos!U24,CostesNoGeneración!$I$23-Ingresos!U24,CostesNoGeneración!T57)</f>
        <v>23.18227847109377</v>
      </c>
      <c r="U59">
        <f ca="1">IF(CostesNoGeneración!$I$23&lt;CostesNoGeneración!U57+Ingresos!V24,CostesNoGeneración!$I$23-Ingresos!V24,CostesNoGeneración!U57)</f>
        <v>23.023349261689489</v>
      </c>
      <c r="V59">
        <f ca="1">IF(CostesNoGeneración!$I$23&lt;CostesNoGeneración!V57+Ingresos!W24,CostesNoGeneración!$I$23-Ingresos!W24,CostesNoGeneración!V57)</f>
        <v>22.865278270015992</v>
      </c>
      <c r="W59">
        <f ca="1">IF(CostesNoGeneración!$I$23&lt;CostesNoGeneración!W57+Ingresos!X24,CostesNoGeneración!$I$23-Ingresos!X24,CostesNoGeneración!W57)</f>
        <v>22.708060861697533</v>
      </c>
      <c r="X59">
        <f ca="1">IF(CostesNoGeneración!$I$23&lt;CostesNoGeneración!X57+Ingresos!Y24,CostesNoGeneración!$I$23-Ingresos!Y24,CostesNoGeneración!X57)</f>
        <v>22.551692427383983</v>
      </c>
      <c r="Y59">
        <f ca="1">IF(CostesNoGeneración!$I$23&lt;CostesNoGeneración!Y57+Ingresos!Z24,CostesNoGeneración!$I$23-Ingresos!Z24,CostesNoGeneración!Y57)</f>
        <v>22.396168382615727</v>
      </c>
      <c r="Z59">
        <f ca="1">IF(CostesNoGeneración!$I$23&lt;CostesNoGeneración!Z57+Ingresos!AA24,CostesNoGeneración!$I$23-Ingresos!AA24,CostesNoGeneración!Z57)</f>
        <v>22.241484167689229</v>
      </c>
      <c r="AA59">
        <f ca="1">IF(CostesNoGeneración!$I$23&lt;CostesNoGeneración!AA57+Ingresos!AB24,CostesNoGeneración!$I$23-Ingresos!AB24,CostesNoGeneración!AA57)</f>
        <v>22.087635247523327</v>
      </c>
      <c r="AB59">
        <f ca="1">IF(CostesNoGeneración!$I$23&lt;CostesNoGeneración!AB57+Ingresos!AC24,CostesNoGeneración!$I$23-Ingresos!AC24,CostesNoGeneración!AB57)</f>
        <v>21.934617111526325</v>
      </c>
      <c r="AC59">
        <f ca="1">IF(CostesNoGeneración!$I$23&lt;CostesNoGeneración!AC57+Ingresos!AD24,CostesNoGeneración!$I$23-Ingresos!AD24,CostesNoGeneración!AC57)</f>
        <v>21.782425273463705</v>
      </c>
      <c r="AD59">
        <f ca="1">IF(CostesNoGeneración!$I$23&lt;CostesNoGeneración!AD57+Ingresos!AE24,CostesNoGeneración!$I$23-Ingresos!AE24,CostesNoGeneración!AD57)</f>
        <v>21.63105527132662</v>
      </c>
      <c r="AE59">
        <f ca="1">IF(CostesNoGeneración!$I$23&lt;CostesNoGeneración!AE57+Ingresos!AF24,CostesNoGeneración!$I$23-Ingresos!AF24,CostesNoGeneración!AE57)</f>
        <v>21.48050266720108</v>
      </c>
      <c r="AF59">
        <f ca="1">IF(CostesNoGeneración!$I$23&lt;CostesNoGeneración!AF57+Ingresos!AG24,CostesNoGeneración!$I$23-Ingresos!AG24,CostesNoGeneración!AF57)</f>
        <v>21.330763047137818</v>
      </c>
    </row>
    <row r="60" spans="1:32">
      <c r="B60" s="24" t="s">
        <v>6</v>
      </c>
      <c r="C60">
        <f ca="1">IF(CostesNoGeneración!$I$23&lt;CostesNoGeneración!C58+Ingresos!D25,CostesNoGeneración!$I$23-Ingresos!D25,CostesNoGeneración!C58)</f>
        <v>33.439568715566033</v>
      </c>
      <c r="D60">
        <f ca="1">IF(CostesNoGeneración!$I$23&lt;CostesNoGeneración!D58+Ingresos!E25,CostesNoGeneración!$I$23-Ingresos!E25,CostesNoGeneración!D58)</f>
        <v>33.230522780351031</v>
      </c>
      <c r="E60">
        <f ca="1">IF(CostesNoGeneración!$I$23&lt;CostesNoGeneración!E58+Ingresos!F25,CostesNoGeneración!$I$23-Ingresos!F25,CostesNoGeneración!E58)</f>
        <v>33.0226056931862</v>
      </c>
      <c r="F60">
        <f ca="1">IF(CostesNoGeneración!$I$23&lt;CostesNoGeneración!F58+Ingresos!G25,CostesNoGeneración!$I$23-Ingresos!G25,CostesNoGeneración!F58)</f>
        <v>32.815811358292052</v>
      </c>
      <c r="G60">
        <f ca="1">IF(CostesNoGeneración!$I$23&lt;CostesNoGeneración!G58+Ingresos!H25,CostesNoGeneración!$I$23-Ingresos!H25,CostesNoGeneración!G58)</f>
        <v>32.610133712806331</v>
      </c>
      <c r="H60">
        <f ca="1">IF(CostesNoGeneración!$I$23&lt;CostesNoGeneración!H58+Ingresos!I25,CostesNoGeneración!$I$23-Ingresos!I25,CostesNoGeneración!H58)</f>
        <v>32.405566726606231</v>
      </c>
      <c r="I60">
        <f ca="1">IF(CostesNoGeneración!$I$23&lt;CostesNoGeneración!I58+Ingresos!J25,CostesNoGeneración!$I$23-Ingresos!J25,CostesNoGeneración!I58)</f>
        <v>32.202104402131617</v>
      </c>
      <c r="J60">
        <f ca="1">IF(CostesNoGeneración!$I$23&lt;CostesNoGeneración!J58+Ingresos!K25,CostesNoGeneración!$I$23-Ingresos!K25,CostesNoGeneración!J58)</f>
        <v>31.999740774209158</v>
      </c>
      <c r="K60">
        <f ca="1">IF(CostesNoGeneración!$I$23&lt;CostesNoGeneración!K58+Ingresos!L25,CostesNoGeneración!$I$23-Ingresos!L25,CostesNoGeneración!K58)</f>
        <v>31.798469909877493</v>
      </c>
      <c r="L60">
        <f ca="1">IF(CostesNoGeneración!$I$23&lt;CostesNoGeneración!L58+Ingresos!M25,CostesNoGeneración!$I$23-Ingresos!M25,CostesNoGeneración!L58)</f>
        <v>31.598285908213217</v>
      </c>
      <c r="M60">
        <f ca="1">IF(CostesNoGeneración!$I$23&lt;CostesNoGeneración!M58+Ingresos!N25,CostesNoGeneración!$I$23-Ingresos!N25,CostesNoGeneración!M58)</f>
        <v>31.399182900157911</v>
      </c>
      <c r="N60">
        <f ca="1">IF(CostesNoGeneración!$I$23&lt;CostesNoGeneración!N58+Ingresos!O25,CostesNoGeneración!$I$23-Ingresos!O25,CostesNoGeneración!N58)</f>
        <v>31.20115504834612</v>
      </c>
      <c r="O60">
        <f ca="1">IF(CostesNoGeneración!$I$23&lt;CostesNoGeneración!O58+Ingresos!P25,CostesNoGeneración!$I$23-Ingresos!P25,CostesNoGeneración!O58)</f>
        <v>32.117359663642581</v>
      </c>
      <c r="P60">
        <f ca="1">IF(CostesNoGeneración!$I$23&lt;CostesNoGeneración!P58+Ingresos!Q25,CostesNoGeneración!$I$23-Ingresos!Q25,CostesNoGeneración!P58)</f>
        <v>31.915453657307964</v>
      </c>
      <c r="Q60">
        <f ca="1">IF(CostesNoGeneración!$I$23&lt;CostesNoGeneración!Q58+Ingresos!R25,CostesNoGeneración!$I$23-Ingresos!R25,CostesNoGeneración!Q58)</f>
        <v>31.714637943407549</v>
      </c>
      <c r="R60">
        <f ca="1">IF(CostesNoGeneración!$I$23&lt;CostesNoGeneración!R58+Ingresos!S25,CostesNoGeneración!$I$23-Ingresos!S25,CostesNoGeneración!R58)</f>
        <v>31.514906634362205</v>
      </c>
      <c r="S60">
        <f ca="1">IF(CostesNoGeneración!$I$23&lt;CostesNoGeneración!S58+Ingresos!T25,CostesNoGeneración!$I$23-Ingresos!T25,CostesNoGeneración!S58)</f>
        <v>31.316253874385701</v>
      </c>
      <c r="T60">
        <f ca="1">IF(CostesNoGeneración!$I$23&lt;CostesNoGeneración!T58+Ingresos!U25,CostesNoGeneración!$I$23-Ingresos!U25,CostesNoGeneración!T58)</f>
        <v>31.118673839313079</v>
      </c>
      <c r="U60">
        <f ca="1">IF(CostesNoGeneración!$I$23&lt;CostesNoGeneración!U58+Ingresos!V25,CostesNoGeneración!$I$23-Ingresos!V25,CostesNoGeneración!U58)</f>
        <v>30.922160736429852</v>
      </c>
      <c r="V60">
        <f ca="1">IF(CostesNoGeneración!$I$23&lt;CostesNoGeneración!V58+Ingresos!W25,CostesNoGeneración!$I$23-Ingresos!W25,CostesNoGeneración!V58)</f>
        <v>30.726708804302184</v>
      </c>
      <c r="W60">
        <f ca="1">IF(CostesNoGeneración!$I$23&lt;CostesNoGeneración!W58+Ingresos!X25,CostesNoGeneración!$I$23-Ingresos!X25,CostesNoGeneración!W58)</f>
        <v>30.532312312608013</v>
      </c>
      <c r="X60">
        <f ca="1">IF(CostesNoGeneración!$I$23&lt;CostesNoGeneración!X58+Ingresos!Y25,CostesNoGeneración!$I$23-Ingresos!Y25,CostesNoGeneración!X58)</f>
        <v>30.338965561968987</v>
      </c>
      <c r="Y60">
        <f ca="1">IF(CostesNoGeneración!$I$23&lt;CostesNoGeneración!Y58+Ingresos!Z25,CostesNoGeneración!$I$23-Ingresos!Z25,CostesNoGeneración!Y58)</f>
        <v>30.146662883783407</v>
      </c>
      <c r="Z60">
        <f ca="1">IF(CostesNoGeneración!$I$23&lt;CostesNoGeneración!Z58+Ingresos!AA25,CostesNoGeneración!$I$23-Ingresos!AA25,CostesNoGeneración!Z58)</f>
        <v>29.955398640060025</v>
      </c>
      <c r="AA60">
        <f ca="1">IF(CostesNoGeneración!$I$23&lt;CostesNoGeneración!AA58+Ingresos!AB25,CostesNoGeneración!$I$23-Ingresos!AB25,CostesNoGeneración!AA58)</f>
        <v>29.765167223252764</v>
      </c>
      <c r="AB60">
        <f ca="1">IF(CostesNoGeneración!$I$23&lt;CostesNoGeneración!AB58+Ingresos!AC25,CostesNoGeneración!$I$23-Ingresos!AC25,CostesNoGeneración!AB58)</f>
        <v>29.575963056096256</v>
      </c>
      <c r="AC60">
        <f ca="1">IF(CostesNoGeneración!$I$23&lt;CostesNoGeneración!AC58+Ingresos!AD25,CostesNoGeneración!$I$23-Ingresos!AD25,CostesNoGeneración!AC58)</f>
        <v>29.387780591442393</v>
      </c>
      <c r="AD60">
        <f ca="1">IF(CostesNoGeneración!$I$23&lt;CostesNoGeneración!AD58+Ingresos!AE25,CostesNoGeneración!$I$23-Ingresos!AE25,CostesNoGeneración!AD58)</f>
        <v>29.200614312097656</v>
      </c>
      <c r="AE60">
        <f ca="1">IF(CostesNoGeneración!$I$23&lt;CostesNoGeneración!AE58+Ingresos!AF25,CostesNoGeneración!$I$23-Ingresos!AF25,CostesNoGeneración!AE58)</f>
        <v>29.014458730661389</v>
      </c>
      <c r="AF60">
        <f ca="1">IF(CostesNoGeneración!$I$23&lt;CostesNoGeneración!AF58+Ingresos!AG25,CostesNoGeneración!$I$23-Ingresos!AG25,CostesNoGeneración!AF58)</f>
        <v>28.829308389364872</v>
      </c>
    </row>
    <row r="61" spans="1:32">
      <c r="B61" s="24" t="s">
        <v>7</v>
      </c>
      <c r="C61">
        <f ca="1">IF(CostesNoGeneración!$I$23&lt;CostesNoGeneración!C59+Ingresos!D26,CostesNoGeneración!$I$23-Ingresos!D26,CostesNoGeneración!C59)</f>
        <v>36.883506447169815</v>
      </c>
      <c r="D61">
        <f ca="1">IF(CostesNoGeneración!$I$23&lt;CostesNoGeneración!D59+Ingresos!E26,CostesNoGeneración!$I$23-Ingresos!E26,CostesNoGeneración!D59)</f>
        <v>36.65902683310982</v>
      </c>
      <c r="E61">
        <f ca="1">IF(CostesNoGeneración!$I$23&lt;CostesNoGeneración!E59+Ingresos!F26,CostesNoGeneración!$I$23-Ingresos!F26,CostesNoGeneración!E59)</f>
        <v>36.435759408965737</v>
      </c>
      <c r="F61">
        <f ca="1">IF(CostesNoGeneración!$I$23&lt;CostesNoGeneración!F59+Ingresos!G26,CostesNoGeneración!$I$23-Ingresos!G26,CostesNoGeneración!F59)</f>
        <v>36.213697628912044</v>
      </c>
      <c r="G61">
        <f ca="1">IF(CostesNoGeneración!$I$23&lt;CostesNoGeneración!G59+Ingresos!H26,CostesNoGeneración!$I$23-Ingresos!H26,CostesNoGeneración!G59)</f>
        <v>35.992834982470633</v>
      </c>
      <c r="H61">
        <f ca="1">IF(CostesNoGeneración!$I$23&lt;CostesNoGeneración!H59+Ingresos!I26,CostesNoGeneración!$I$23-Ingresos!I26,CostesNoGeneración!H59)</f>
        <v>35.773164994320005</v>
      </c>
      <c r="I61">
        <f ca="1">IF(CostesNoGeneración!$I$23&lt;CostesNoGeneración!I59+Ingresos!J26,CostesNoGeneración!$I$23-Ingresos!J26,CostesNoGeneración!I59)</f>
        <v>35.554681224105394</v>
      </c>
      <c r="J61">
        <f ca="1">IF(CostesNoGeneración!$I$23&lt;CostesNoGeneración!J59+Ingresos!K26,CostesNoGeneración!$I$23-Ingresos!K26,CostesNoGeneración!J59)</f>
        <v>35.337377266249952</v>
      </c>
      <c r="K61">
        <f ca="1">IF(CostesNoGeneración!$I$23&lt;CostesNoGeneración!K59+Ingresos!L26,CostesNoGeneración!$I$23-Ingresos!L26,CostesNoGeneración!K59)</f>
        <v>35.121246749766918</v>
      </c>
      <c r="L61">
        <f ca="1">IF(CostesNoGeneración!$I$23&lt;CostesNoGeneración!L59+Ingresos!M26,CostesNoGeneración!$I$23-Ingresos!M26,CostesNoGeneración!L59)</f>
        <v>34.906283338072896</v>
      </c>
      <c r="M61">
        <f ca="1">IF(CostesNoGeneración!$I$23&lt;CostesNoGeneración!M59+Ingresos!N26,CostesNoGeneración!$I$23-Ingresos!N26,CostesNoGeneración!M59)</f>
        <v>34.692480728802011</v>
      </c>
      <c r="N61">
        <f ca="1">IF(CostesNoGeneración!$I$23&lt;CostesNoGeneración!N59+Ingresos!O26,CostesNoGeneración!$I$23-Ingresos!O26,CostesNoGeneración!N59)</f>
        <v>34.479832653621195</v>
      </c>
      <c r="O61">
        <f ca="1">IF(CostesNoGeneración!$I$23&lt;CostesNoGeneración!O59+Ingresos!P26,CostesNoGeneración!$I$23-Ingresos!P26,CostesNoGeneración!O59)</f>
        <v>35.463679855578093</v>
      </c>
      <c r="P61">
        <f ca="1">IF(CostesNoGeneración!$I$23&lt;CostesNoGeneración!P59+Ingresos!Q26,CostesNoGeneración!$I$23-Ingresos!Q26,CostesNoGeneración!P59)</f>
        <v>35.24686730511268</v>
      </c>
      <c r="Q61">
        <f ca="1">IF(CostesNoGeneración!$I$23&lt;CostesNoGeneración!Q59+Ingresos!R26,CostesNoGeneración!$I$23-Ingresos!R26,CostesNoGeneración!Q59)</f>
        <v>35.03122554241979</v>
      </c>
      <c r="R61">
        <f ca="1">IF(CostesNoGeneración!$I$23&lt;CostesNoGeneración!R59+Ingresos!S26,CostesNoGeneración!$I$23-Ingresos!S26,CostesNoGeneración!R59)</f>
        <v>34.816748245245442</v>
      </c>
      <c r="S61">
        <f ca="1">IF(CostesNoGeneración!$I$23&lt;CostesNoGeneración!S59+Ingresos!T26,CostesNoGeneración!$I$23-Ingresos!T26,CostesNoGeneración!S59)</f>
        <v>34.603429125475827</v>
      </c>
      <c r="T61">
        <f ca="1">IF(CostesNoGeneración!$I$23&lt;CostesNoGeneración!T59+Ingresos!U26,CostesNoGeneración!$I$23-Ingresos!U26,CostesNoGeneración!T59)</f>
        <v>34.391261928952979</v>
      </c>
      <c r="U61">
        <f ca="1">IF(CostesNoGeneración!$I$23&lt;CostesNoGeneración!U59+Ingresos!V26,CostesNoGeneración!$I$23-Ingresos!V26,CostesNoGeneración!U59)</f>
        <v>34.180240435291346</v>
      </c>
      <c r="V61">
        <f ca="1">IF(CostesNoGeneración!$I$23&lt;CostesNoGeneración!V59+Ingresos!W26,CostesNoGeneración!$I$23-Ingresos!W26,CostesNoGeneración!V59)</f>
        <v>33.970358457695504</v>
      </c>
      <c r="W61">
        <f ca="1">IF(CostesNoGeneración!$I$23&lt;CostesNoGeneración!W59+Ingresos!X26,CostesNoGeneración!$I$23-Ingresos!X26,CostesNoGeneración!W59)</f>
        <v>33.761609842778668</v>
      </c>
      <c r="X61">
        <f ca="1">IF(CostesNoGeneración!$I$23&lt;CostesNoGeneración!X59+Ingresos!Y26,CostesNoGeneración!$I$23-Ingresos!Y26,CostesNoGeneración!X59)</f>
        <v>33.553988470382365</v>
      </c>
      <c r="Y61">
        <f ca="1">IF(CostesNoGeneración!$I$23&lt;CostesNoGeneración!Y59+Ingresos!Z26,CostesNoGeneración!$I$23-Ingresos!Z26,CostesNoGeneración!Y59)</f>
        <v>33.347488253397017</v>
      </c>
      <c r="Z61">
        <f ca="1">IF(CostesNoGeneración!$I$23&lt;CostesNoGeneración!Z59+Ingresos!AA26,CostesNoGeneración!$I$23-Ingresos!AA26,CostesNoGeneración!Z59)</f>
        <v>33.142103137583391</v>
      </c>
      <c r="AA61">
        <f ca="1">IF(CostesNoGeneración!$I$23&lt;CostesNoGeneración!AA59+Ingresos!AB26,CostesNoGeneración!$I$23-Ingresos!AB26,CostesNoGeneración!AA59)</f>
        <v>32.937827101395158</v>
      </c>
      <c r="AB61">
        <f ca="1">IF(CostesNoGeneración!$I$23&lt;CostesNoGeneración!AB59+Ingresos!AC26,CostesNoGeneración!$I$23-Ingresos!AC26,CostesNoGeneración!AB59)</f>
        <v>32.734654155802346</v>
      </c>
      <c r="AC61">
        <f ca="1">IF(CostesNoGeneración!$I$23&lt;CostesNoGeneración!AC59+Ingresos!AD26,CostesNoGeneración!$I$23-Ingresos!AD26,CostesNoGeneración!AC59)</f>
        <v>32.532578344115727</v>
      </c>
      <c r="AD61">
        <f ca="1">IF(CostesNoGeneración!$I$23&lt;CostesNoGeneración!AD59+Ingresos!AE26,CostesNoGeneración!$I$23-Ingresos!AE26,CostesNoGeneración!AD59)</f>
        <v>32.331593741812206</v>
      </c>
      <c r="AE61">
        <f ca="1">IF(CostesNoGeneración!$I$23&lt;CostesNoGeneración!AE59+Ingresos!AF26,CostesNoGeneración!$I$23-Ingresos!AF26,CostesNoGeneración!AE59)</f>
        <v>32.131694456361146</v>
      </c>
      <c r="AF61">
        <f ca="1">IF(CostesNoGeneración!$I$23&lt;CostesNoGeneración!AF59+Ingresos!AG26,CostesNoGeneración!$I$23-Ingresos!AG26,CostesNoGeneración!AF59)</f>
        <v>31.932874627051515</v>
      </c>
    </row>
    <row r="62" spans="1:32">
      <c r="B62" s="24" t="s">
        <v>8</v>
      </c>
      <c r="C62">
        <f ca="1">IF(CostesNoGeneración!$I$23&lt;CostesNoGeneración!C60+Ingresos!D27,CostesNoGeneración!$I$23-Ingresos!D27,CostesNoGeneración!C60)</f>
        <v>41.79979892773585</v>
      </c>
      <c r="D62">
        <f ca="1">IF(CostesNoGeneración!$I$23&lt;CostesNoGeneración!D60+Ingresos!E27,CostesNoGeneración!$I$23-Ingresos!E27,CostesNoGeneración!D60)</f>
        <v>41.548244070129847</v>
      </c>
      <c r="E62">
        <f ca="1">IF(CostesNoGeneración!$I$23&lt;CostesNoGeneración!E60+Ingresos!F27,CostesNoGeneración!$I$23-Ingresos!F27,CostesNoGeneración!E60)</f>
        <v>41.298047608754921</v>
      </c>
      <c r="F62">
        <f ca="1">IF(CostesNoGeneración!$I$23&lt;CostesNoGeneración!F60+Ingresos!G27,CostesNoGeneración!$I$23-Ingresos!G27,CostesNoGeneración!F60)</f>
        <v>41.049202208271424</v>
      </c>
      <c r="G62">
        <f ca="1">IF(CostesNoGeneración!$I$23&lt;CostesNoGeneración!G60+Ingresos!H27,CostesNoGeneración!$I$23-Ingresos!H27,CostesNoGeneración!G60)</f>
        <v>40.801700572950523</v>
      </c>
      <c r="H62">
        <f ca="1">IF(CostesNoGeneración!$I$23&lt;CostesNoGeneración!H60+Ingresos!I27,CostesNoGeneración!$I$23-Ingresos!I27,CostesNoGeneración!H60)</f>
        <v>40.555535446460368</v>
      </c>
      <c r="I62">
        <f ca="1">IF(CostesNoGeneración!$I$23&lt;CostesNoGeneración!I60+Ingresos!J27,CostesNoGeneración!$I$23-Ingresos!J27,CostesNoGeneración!I60)</f>
        <v>40.310699611653263</v>
      </c>
      <c r="J62">
        <f ca="1">IF(CostesNoGeneración!$I$23&lt;CostesNoGeneración!J60+Ingresos!K27,CostesNoGeneración!$I$23-Ingresos!K27,CostesNoGeneración!J60)</f>
        <v>40.067185890354104</v>
      </c>
      <c r="K62">
        <f ca="1">IF(CostesNoGeneración!$I$23&lt;CostesNoGeneración!K60+Ingresos!L27,CostesNoGeneración!$I$23-Ingresos!L27,CostesNoGeneración!K60)</f>
        <v>39.824987143149968</v>
      </c>
      <c r="L62">
        <f ca="1">IF(CostesNoGeneración!$I$23&lt;CostesNoGeneración!L60+Ingresos!M27,CostesNoGeneración!$I$23-Ingresos!M27,CostesNoGeneración!L60)</f>
        <v>39.584096269180733</v>
      </c>
      <c r="M62">
        <f ca="1">IF(CostesNoGeneración!$I$23&lt;CostesNoGeneración!M60+Ingresos!N27,CostesNoGeneración!$I$23-Ingresos!N27,CostesNoGeneración!M60)</f>
        <v>39.344506205930919</v>
      </c>
      <c r="N62">
        <f ca="1">IF(CostesNoGeneración!$I$23&lt;CostesNoGeneración!N60+Ingresos!O27,CostesNoGeneración!$I$23-Ingresos!O27,CostesNoGeneración!N60)</f>
        <v>39.106209929022668</v>
      </c>
      <c r="O62">
        <f ca="1">IF(CostesNoGeneración!$I$23&lt;CostesNoGeneración!O60+Ingresos!P27,CostesNoGeneración!$I$23-Ingresos!P27,CostesNoGeneración!O60)</f>
        <v>40.208722261069788</v>
      </c>
      <c r="P62">
        <f ca="1">IF(CostesNoGeneración!$I$23&lt;CostesNoGeneración!P60+Ingresos!Q27,CostesNoGeneración!$I$23-Ingresos!Q27,CostesNoGeneración!P60)</f>
        <v>39.965759217463784</v>
      </c>
      <c r="Q62">
        <f ca="1">IF(CostesNoGeneración!$I$23&lt;CostesNoGeneración!Q60+Ingresos!R27,CostesNoGeneración!$I$23-Ingresos!R27,CostesNoGeneración!Q60)</f>
        <v>39.724108174293249</v>
      </c>
      <c r="R62">
        <f ca="1">IF(CostesNoGeneración!$I$23&lt;CostesNoGeneración!R60+Ingresos!S27,CostesNoGeneración!$I$23-Ingresos!S27,CostesNoGeneración!R60)</f>
        <v>39.483762046755842</v>
      </c>
      <c r="S62">
        <f ca="1">IF(CostesNoGeneración!$I$23&lt;CostesNoGeneración!S60+Ingresos!T27,CostesNoGeneración!$I$23-Ingresos!T27,CostesNoGeneración!S60)</f>
        <v>39.244713788307131</v>
      </c>
      <c r="T62">
        <f ca="1">IF(CostesNoGeneración!$I$23&lt;CostesNoGeneración!T60+Ingresos!U27,CostesNoGeneración!$I$23-Ingresos!U27,CostesNoGeneración!T60)</f>
        <v>39.006956390454036</v>
      </c>
      <c r="U62">
        <f ca="1">IF(CostesNoGeneración!$I$23&lt;CostesNoGeneración!U60+Ingresos!V27,CostesNoGeneración!$I$23-Ingresos!V27,CostesNoGeneración!U60)</f>
        <v>38.770482882549373</v>
      </c>
      <c r="V62">
        <f ca="1">IF(CostesNoGeneración!$I$23&lt;CostesNoGeneración!V60+Ingresos!W27,CostesNoGeneración!$I$23-Ingresos!W27,CostesNoGeneración!V60)</f>
        <v>38.535286331587379</v>
      </c>
      <c r="W62">
        <f ca="1">IF(CostesNoGeneración!$I$23&lt;CostesNoGeneración!W60+Ingresos!X27,CostesNoGeneración!$I$23-Ingresos!X27,CostesNoGeneración!W60)</f>
        <v>38.301359842000579</v>
      </c>
      <c r="X62">
        <f ca="1">IF(CostesNoGeneración!$I$23&lt;CostesNoGeneración!X60+Ingresos!Y27,CostesNoGeneración!$I$23-Ingresos!Y27,CostesNoGeneración!X60)</f>
        <v>38.068696555457549</v>
      </c>
      <c r="Y62">
        <f ca="1">IF(CostesNoGeneración!$I$23&lt;CostesNoGeneración!Y60+Ingresos!Z27,CostesNoGeneración!$I$23-Ingresos!Z27,CostesNoGeneración!Y60)</f>
        <v>37.837289650661852</v>
      </c>
      <c r="Z62">
        <f ca="1">IF(CostesNoGeneración!$I$23&lt;CostesNoGeneración!Z60+Ingresos!AA27,CostesNoGeneración!$I$23-Ingresos!AA27,CostesNoGeneración!Z60)</f>
        <v>37.607132343152045</v>
      </c>
      <c r="AA62">
        <f ca="1">IF(CostesNoGeneración!$I$23&lt;CostesNoGeneración!AA60+Ingresos!AB27,CostesNoGeneración!$I$23-Ingresos!AB27,CostesNoGeneración!AA60)</f>
        <v>37.378217885102792</v>
      </c>
      <c r="AB62">
        <f ca="1">IF(CostesNoGeneración!$I$23&lt;CostesNoGeneración!AB60+Ingresos!AC27,CostesNoGeneración!$I$23-Ingresos!AC27,CostesNoGeneración!AB60)</f>
        <v>37.150539565127012</v>
      </c>
      <c r="AC62">
        <f ca="1">IF(CostesNoGeneración!$I$23&lt;CostesNoGeneración!AC60+Ingresos!AD27,CostesNoGeneración!$I$23-Ingresos!AD27,CostesNoGeneración!AC60)</f>
        <v>36.924090708079106</v>
      </c>
      <c r="AD62">
        <f ca="1">IF(CostesNoGeneración!$I$23&lt;CostesNoGeneración!AD60+Ingresos!AE27,CostesNoGeneración!$I$23-Ingresos!AE27,CostesNoGeneración!AD60)</f>
        <v>36.698864674859244</v>
      </c>
      <c r="AE62">
        <f ca="1">IF(CostesNoGeneración!$I$23&lt;CostesNoGeneración!AE60+Ingresos!AF27,CostesNoGeneración!$I$23-Ingresos!AF27,CostesNoGeneración!AE60)</f>
        <v>36.474854862218784</v>
      </c>
      <c r="AF62">
        <f ca="1">IF(CostesNoGeneración!$I$23&lt;CostesNoGeneración!AF60+Ingresos!AG27,CostesNoGeneración!$I$23-Ingresos!AG27,CostesNoGeneración!AF60)</f>
        <v>36.252054702566582</v>
      </c>
    </row>
    <row r="63" spans="1:32">
      <c r="B63" s="24" t="s">
        <v>9</v>
      </c>
      <c r="C63">
        <f ca="1">IF(CostesNoGeneración!$I$23&lt;CostesNoGeneración!C61+Ingresos!D28,CostesNoGeneración!$I$23-Ingresos!D28,CostesNoGeneración!C61)</f>
        <v>41.986398778301883</v>
      </c>
      <c r="D63">
        <f ca="1">IF(CostesNoGeneración!$I$23&lt;CostesNoGeneración!D61+Ingresos!E28,CostesNoGeneración!$I$23-Ingresos!E28,CostesNoGeneración!D61)</f>
        <v>41.733309017351878</v>
      </c>
      <c r="E63">
        <f ca="1">IF(CostesNoGeneración!$I$23&lt;CostesNoGeneración!E61+Ingresos!F28,CostesNoGeneración!$I$23-Ingresos!F28,CostesNoGeneración!E61)</f>
        <v>41.481585941111007</v>
      </c>
      <c r="F63">
        <f ca="1">IF(CostesNoGeneración!$I$23&lt;CostesNoGeneración!F61+Ingresos!G28,CostesNoGeneración!$I$23-Ingresos!G28,CostesNoGeneración!F61)</f>
        <v>41.231222169481846</v>
      </c>
      <c r="G63">
        <f ca="1">IF(CostesNoGeneración!$I$23&lt;CostesNoGeneración!G61+Ingresos!H28,CostesNoGeneración!$I$23-Ingresos!H28,CostesNoGeneración!G61)</f>
        <v>40.982210362219476</v>
      </c>
      <c r="H63">
        <f ca="1">IF(CostesNoGeneración!$I$23&lt;CostesNoGeneración!H61+Ingresos!I28,CostesNoGeneración!$I$23-Ingresos!I28,CostesNoGeneración!H61)</f>
        <v>40.734543218716318</v>
      </c>
      <c r="I63">
        <f ca="1">IF(CostesNoGeneración!$I$23&lt;CostesNoGeneración!I61+Ingresos!J28,CostesNoGeneración!$I$23-Ingresos!J28,CostesNoGeneración!I61)</f>
        <v>40.488213477788079</v>
      </c>
      <c r="J63">
        <f ca="1">IF(CostesNoGeneración!$I$23&lt;CostesNoGeneración!J61+Ingresos!K28,CostesNoGeneración!$I$23-Ingresos!K28,CostesNoGeneración!J61)</f>
        <v>40.243213917460857</v>
      </c>
      <c r="K63">
        <f ca="1">IF(CostesNoGeneración!$I$23&lt;CostesNoGeneración!K61+Ingresos!L28,CostesNoGeneración!$I$23-Ingresos!L28,CostesNoGeneración!K61)</f>
        <v>39.999537354759397</v>
      </c>
      <c r="L63">
        <f ca="1">IF(CostesNoGeneración!$I$23&lt;CostesNoGeneración!L61+Ingresos!M28,CostesNoGeneración!$I$23-Ingresos!M28,CostesNoGeneración!L61)</f>
        <v>39.757176645496529</v>
      </c>
      <c r="M63">
        <f ca="1">IF(CostesNoGeneración!$I$23&lt;CostesNoGeneración!M61+Ingresos!N28,CostesNoGeneración!$I$23-Ingresos!N28,CostesNoGeneración!M61)</f>
        <v>39.516124684063669</v>
      </c>
      <c r="N63">
        <f ca="1">IF(CostesNoGeneración!$I$23&lt;CostesNoGeneración!N61+Ingresos!O28,CostesNoGeneración!$I$23-Ingresos!O28,CostesNoGeneración!N61)</f>
        <v>39.276374403222555</v>
      </c>
      <c r="O63">
        <f ca="1">IF(CostesNoGeneración!$I$23&lt;CostesNoGeneración!O61+Ingresos!P28,CostesNoGeneración!$I$23-Ingresos!P28,CostesNoGeneración!O61)</f>
        <v>40.385613895624942</v>
      </c>
      <c r="P63">
        <f ca="1">IF(CostesNoGeneración!$I$23&lt;CostesNoGeneración!P61+Ingresos!Q28,CostesNoGeneración!$I$23-Ingresos!Q28,CostesNoGeneración!P61)</f>
        <v>40.141168373041396</v>
      </c>
      <c r="Q63">
        <f ca="1">IF(CostesNoGeneración!$I$23&lt;CostesNoGeneración!Q61+Ingresos!R28,CostesNoGeneración!$I$23-Ingresos!R28,CostesNoGeneración!Q61)</f>
        <v>39.898042856279801</v>
      </c>
      <c r="R63">
        <f ca="1">IF(CostesNoGeneración!$I$23&lt;CostesNoGeneración!R61+Ingresos!S28,CostesNoGeneración!$I$23-Ingresos!S28,CostesNoGeneración!R61)</f>
        <v>39.656230217308718</v>
      </c>
      <c r="S63">
        <f ca="1">IF(CostesNoGeneración!$I$23&lt;CostesNoGeneración!S61+Ingresos!T28,CostesNoGeneración!$I$23-Ingresos!T28,CostesNoGeneración!S61)</f>
        <v>39.415723366588075</v>
      </c>
      <c r="T63">
        <f ca="1">IF(CostesNoGeneración!$I$23&lt;CostesNoGeneración!T61+Ingresos!U28,CostesNoGeneración!$I$23-Ingresos!U28,CostesNoGeneración!T61)</f>
        <v>39.176515252861329</v>
      </c>
      <c r="U63">
        <f ca="1">IF(CostesNoGeneración!$I$23&lt;CostesNoGeneración!U61+Ingresos!V28,CostesNoGeneración!$I$23-Ingresos!V28,CostesNoGeneración!U61)</f>
        <v>38.938598862948716</v>
      </c>
      <c r="V63">
        <f ca="1">IF(CostesNoGeneración!$I$23&lt;CostesNoGeneración!V61+Ingresos!W28,CostesNoGeneración!$I$23-Ingresos!W28,CostesNoGeneración!V61)</f>
        <v>38.701967221541622</v>
      </c>
      <c r="W63">
        <f ca="1">IF(CostesNoGeneración!$I$23&lt;CostesNoGeneración!W61+Ingresos!X28,CostesNoGeneración!$I$23-Ingresos!X28,CostesNoGeneración!W61)</f>
        <v>38.466613390998127</v>
      </c>
      <c r="X63">
        <f ca="1">IF(CostesNoGeneración!$I$23&lt;CostesNoGeneración!X61+Ingresos!Y28,CostesNoGeneración!$I$23-Ingresos!Y28,CostesNoGeneración!X61)</f>
        <v>38.232530471139562</v>
      </c>
      <c r="Y63">
        <f ca="1">IF(CostesNoGeneración!$I$23&lt;CostesNoGeneración!Y61+Ingresos!Z28,CostesNoGeneración!$I$23-Ingresos!Z28,CostesNoGeneración!Y61)</f>
        <v>37.99971159904824</v>
      </c>
      <c r="Z63">
        <f ca="1">IF(CostesNoGeneración!$I$23&lt;CostesNoGeneración!Z61+Ingresos!AA28,CostesNoGeneración!$I$23-Ingresos!AA28,CostesNoGeneración!Z61)</f>
        <v>37.768149948866203</v>
      </c>
      <c r="AA63">
        <f ca="1">IF(CostesNoGeneración!$I$23&lt;CostesNoGeneración!AA61+Ingresos!AB28,CostesNoGeneración!$I$23-Ingresos!AB28,CostesNoGeneración!AA61)</f>
        <v>37.537838731595166</v>
      </c>
      <c r="AB63">
        <f ca="1">IF(CostesNoGeneración!$I$23&lt;CostesNoGeneración!AB61+Ingresos!AC28,CostesNoGeneración!$I$23-Ingresos!AC28,CostesNoGeneración!AB61)</f>
        <v>37.308771194897375</v>
      </c>
      <c r="AC63">
        <f ca="1">IF(CostesNoGeneración!$I$23&lt;CostesNoGeneración!AC61+Ingresos!AD28,CostesNoGeneración!$I$23-Ingresos!AD28,CostesNoGeneración!AC61)</f>
        <v>37.080940622897756</v>
      </c>
      <c r="AD63">
        <f ca="1">IF(CostesNoGeneración!$I$23&lt;CostesNoGeneración!AD61+Ingresos!AE28,CostesNoGeneración!$I$23-Ingresos!AE28,CostesNoGeneración!AD61)</f>
        <v>36.85434033598694</v>
      </c>
      <c r="AE63">
        <f ca="1">IF(CostesNoGeneración!$I$23&lt;CostesNoGeneración!AE61+Ingresos!AF28,CostesNoGeneración!$I$23-Ingresos!AF28,CostesNoGeneración!AE61)</f>
        <v>36.628963690625447</v>
      </c>
      <c r="AF63">
        <f ca="1">IF(CostesNoGeneración!$I$23&lt;CostesNoGeneración!AF61+Ingresos!AG28,CostesNoGeneración!$I$23-Ingresos!AG28,CostesNoGeneración!AF61)</f>
        <v>36.404804079148896</v>
      </c>
    </row>
    <row r="64" spans="1:32">
      <c r="B64" s="24" t="s">
        <v>10</v>
      </c>
      <c r="C64">
        <f ca="1">IF(CostesNoGeneración!$I$23&lt;CostesNoGeneración!C62+Ingresos!D29,CostesNoGeneración!$I$23-Ingresos!D29,CostesNoGeneración!C62)</f>
        <v>41.502313955094344</v>
      </c>
      <c r="D64">
        <f ca="1">IF(CostesNoGeneración!$I$23&lt;CostesNoGeneración!D62+Ingresos!E29,CostesNoGeneración!$I$23-Ingresos!E29,CostesNoGeneración!D62)</f>
        <v>41.245511082378336</v>
      </c>
      <c r="E64">
        <f ca="1">IF(CostesNoGeneración!$I$23&lt;CostesNoGeneración!E62+Ingresos!F29,CostesNoGeneración!$I$23-Ingresos!F29,CostesNoGeneración!E62)</f>
        <v>40.990094945175009</v>
      </c>
      <c r="F64">
        <f ca="1">IF(CostesNoGeneración!$I$23&lt;CostesNoGeneración!F62+Ingresos!G29,CostesNoGeneración!$I$23-Ingresos!G29,CostesNoGeneración!F62)</f>
        <v>40.736058055112579</v>
      </c>
      <c r="G64">
        <f ca="1">IF(CostesNoGeneración!$I$23&lt;CostesNoGeneración!G62+Ingresos!H29,CostesNoGeneración!$I$23-Ingresos!H29,CostesNoGeneración!G62)</f>
        <v>40.483392964256474</v>
      </c>
      <c r="H64">
        <f ca="1">IF(CostesNoGeneración!$I$23&lt;CostesNoGeneración!H62+Ingresos!I29,CostesNoGeneración!$I$23-Ingresos!I29,CostesNoGeneración!H62)</f>
        <v>40.232092264891001</v>
      </c>
      <c r="I64">
        <f ca="1">IF(CostesNoGeneración!$I$23&lt;CostesNoGeneración!I62+Ingresos!J29,CostesNoGeneración!$I$23-Ingresos!J29,CostesNoGeneración!I62)</f>
        <v>39.982148589302099</v>
      </c>
      <c r="J64">
        <f ca="1">IF(CostesNoGeneración!$I$23&lt;CostesNoGeneración!J62+Ingresos!K29,CostesNoGeneración!$I$23-Ingresos!K29,CostesNoGeneración!J62)</f>
        <v>39.733554609561381</v>
      </c>
      <c r="K64">
        <f ca="1">IF(CostesNoGeneración!$I$23&lt;CostesNoGeneración!K62+Ingresos!L29,CostesNoGeneración!$I$23-Ingresos!L29,CostesNoGeneración!K62)</f>
        <v>39.486303037311252</v>
      </c>
      <c r="L64">
        <f ca="1">IF(CostesNoGeneración!$I$23&lt;CostesNoGeneración!L62+Ingresos!M29,CostesNoGeneración!$I$23-Ingresos!M29,CostesNoGeneración!L62)</f>
        <v>39.240386623551288</v>
      </c>
      <c r="M64">
        <f ca="1">IF(CostesNoGeneración!$I$23&lt;CostesNoGeneración!M62+Ingresos!N29,CostesNoGeneración!$I$23-Ingresos!N29,CostesNoGeneración!M62)</f>
        <v>38.995798158425615</v>
      </c>
      <c r="N64">
        <f ca="1">IF(CostesNoGeneración!$I$23&lt;CostesNoGeneración!N62+Ingresos!O29,CostesNoGeneración!$I$23-Ingresos!O29,CostesNoGeneración!N62)</f>
        <v>38.752530471011625</v>
      </c>
      <c r="O64">
        <f ca="1">IF(CostesNoGeneración!$I$23&lt;CostesNoGeneración!O62+Ingresos!P29,CostesNoGeneración!$I$23-Ingresos!P29,CostesNoGeneración!O62)</f>
        <v>39.87804375574401</v>
      </c>
      <c r="P64">
        <f ca="1">IF(CostesNoGeneración!$I$23&lt;CostesNoGeneración!P62+Ingresos!Q29,CostesNoGeneración!$I$23-Ingresos!Q29,CostesNoGeneración!P62)</f>
        <v>39.630011942104503</v>
      </c>
      <c r="Q64">
        <f ca="1">IF(CostesNoGeneración!$I$23&lt;CostesNoGeneración!Q62+Ingresos!R29,CostesNoGeneración!$I$23-Ingresos!R29,CostesNoGeneración!Q62)</f>
        <v>39.383319500258644</v>
      </c>
      <c r="R64">
        <f ca="1">IF(CostesNoGeneración!$I$23&lt;CostesNoGeneración!R62+Ingresos!S29,CostesNoGeneración!$I$23-Ingresos!S29,CostesNoGeneración!R62)</f>
        <v>39.137959197598754</v>
      </c>
      <c r="S64">
        <f ca="1">IF(CostesNoGeneración!$I$23&lt;CostesNoGeneración!S62+Ingresos!T29,CostesNoGeneración!$I$23-Ingresos!T29,CostesNoGeneración!S62)</f>
        <v>38.893923840573223</v>
      </c>
      <c r="T64">
        <f ca="1">IF(CostesNoGeneración!$I$23&lt;CostesNoGeneración!T62+Ingresos!U29,CostesNoGeneración!$I$23-Ingresos!U29,CostesNoGeneración!T62)</f>
        <v>38.651206274475648</v>
      </c>
      <c r="U64">
        <f ca="1">IF(CostesNoGeneración!$I$23&lt;CostesNoGeneración!U62+Ingresos!V29,CostesNoGeneración!$I$23-Ingresos!V29,CostesNoGeneración!U62)</f>
        <v>38.409799383234997</v>
      </c>
      <c r="V64">
        <f ca="1">IF(CostesNoGeneración!$I$23&lt;CostesNoGeneración!V62+Ingresos!W29,CostesNoGeneración!$I$23-Ingresos!W29,CostesNoGeneración!V62)</f>
        <v>38.169696089207029</v>
      </c>
      <c r="W64">
        <f ca="1">IF(CostesNoGeneración!$I$23&lt;CostesNoGeneración!W62+Ingresos!X29,CostesNoGeneración!$I$23-Ingresos!X29,CostesNoGeneración!W62)</f>
        <v>37.930889352966823</v>
      </c>
      <c r="X64">
        <f ca="1">IF(CostesNoGeneración!$I$23&lt;CostesNoGeneración!X62+Ingresos!Y29,CostesNoGeneración!$I$23-Ingresos!Y29,CostesNoGeneración!X62)</f>
        <v>37.693372173102311</v>
      </c>
      <c r="Y64">
        <f ca="1">IF(CostesNoGeneración!$I$23&lt;CostesNoGeneración!Y62+Ingresos!Z29,CostesNoGeneración!$I$23-Ingresos!Z29,CostesNoGeneración!Y62)</f>
        <v>37.457137586009054</v>
      </c>
      <c r="Z64">
        <f ca="1">IF(CostesNoGeneración!$I$23&lt;CostesNoGeneración!Z62+Ingresos!AA29,CostesNoGeneración!$I$23-Ingresos!AA29,CostesNoGeneración!Z62)</f>
        <v>37.222178665686123</v>
      </c>
      <c r="AA64">
        <f ca="1">IF(CostesNoGeneración!$I$23&lt;CostesNoGeneración!AA62+Ingresos!AB29,CostesNoGeneración!$I$23-Ingresos!AB29,CostesNoGeneración!AA62)</f>
        <v>36.988488523532922</v>
      </c>
      <c r="AB64">
        <f ca="1">IF(CostesNoGeneración!$I$23&lt;CostesNoGeneración!AB62+Ingresos!AC29,CostesNoGeneración!$I$23-Ingresos!AC29,CostesNoGeneración!AB62)</f>
        <v>36.756060308147362</v>
      </c>
      <c r="AC64">
        <f ca="1">IF(CostesNoGeneración!$I$23&lt;CostesNoGeneración!AC62+Ingresos!AD29,CostesNoGeneración!$I$23-Ingresos!AD29,CostesNoGeneración!AC62)</f>
        <v>36.52488720512487</v>
      </c>
      <c r="AD64">
        <f ca="1">IF(CostesNoGeneración!$I$23&lt;CostesNoGeneración!AD62+Ingresos!AE29,CostesNoGeneración!$I$23-Ingresos!AE29,CostesNoGeneración!AD62)</f>
        <v>36.294962436858697</v>
      </c>
      <c r="AE64">
        <f ca="1">IF(CostesNoGeneración!$I$23&lt;CostesNoGeneración!AE62+Ingresos!AF29,CostesNoGeneración!$I$23-Ingresos!AF29,CostesNoGeneración!AE62)</f>
        <v>36.066279262341176</v>
      </c>
      <c r="AF64">
        <f ca="1">IF(CostesNoGeneración!$I$23&lt;CostesNoGeneración!AF62+Ingresos!AG29,CostesNoGeneración!$I$23-Ingresos!AG29,CostesNoGeneración!AF62)</f>
        <v>35.838830976966044</v>
      </c>
    </row>
    <row r="65" spans="1:41">
      <c r="B65" s="24" t="s">
        <v>11</v>
      </c>
      <c r="C65">
        <f ca="1">IF(CostesNoGeneración!$I$23&lt;CostesNoGeneración!C63+Ingresos!D30,CostesNoGeneración!$I$23-Ingresos!D30,CostesNoGeneración!C63)</f>
        <v>39.238757505000002</v>
      </c>
      <c r="D65">
        <f ca="1">IF(CostesNoGeneración!$I$23&lt;CostesNoGeneración!D63+Ingresos!E30,CostesNoGeneración!$I$23-Ingresos!E30,CostesNoGeneración!D63)</f>
        <v>38.998923214473002</v>
      </c>
      <c r="E65">
        <f ca="1">IF(CostesNoGeneración!$I$23&lt;CostesNoGeneración!E63+Ingresos!F30,CostesNoGeneración!$I$23-Ingresos!F30,CostesNoGeneración!E63)</f>
        <v>38.760384029114846</v>
      </c>
      <c r="F65">
        <f ca="1">IF(CostesNoGeneración!$I$23&lt;CostesNoGeneración!F63+Ingresos!G30,CostesNoGeneración!$I$23-Ingresos!G30,CostesNoGeneración!F63)</f>
        <v>38.523132955357624</v>
      </c>
      <c r="G65">
        <f ca="1">IF(CostesNoGeneración!$I$23&lt;CostesNoGeneración!G63+Ingresos!H30,CostesNoGeneración!$I$23-Ingresos!H30,CostesNoGeneración!G63)</f>
        <v>38.287163037398699</v>
      </c>
      <c r="H65">
        <f ca="1">IF(CostesNoGeneración!$I$23&lt;CostesNoGeneración!H63+Ingresos!I30,CostesNoGeneración!$I$23-Ingresos!I30,CostesNoGeneración!H63)</f>
        <v>38.052467356996743</v>
      </c>
      <c r="I65">
        <f ca="1">IF(CostesNoGeneración!$I$23&lt;CostesNoGeneración!I63+Ingresos!J30,CostesNoGeneración!$I$23-Ingresos!J30,CostesNoGeneración!I63)</f>
        <v>37.819039033268972</v>
      </c>
      <c r="J65">
        <f ca="1">IF(CostesNoGeneración!$I$23&lt;CostesNoGeneración!J63+Ingresos!K30,CostesNoGeneración!$I$23-Ingresos!K30,CostesNoGeneración!J63)</f>
        <v>37.586871222489314</v>
      </c>
      <c r="K65">
        <f ca="1">IF(CostesNoGeneración!$I$23&lt;CostesNoGeneración!K63+Ingresos!L30,CostesNoGeneración!$I$23-Ingresos!L30,CostesNoGeneración!K63)</f>
        <v>37.355957117887868</v>
      </c>
      <c r="L65">
        <f ca="1">IF(CostesNoGeneración!$I$23&lt;CostesNoGeneración!L63+Ingresos!M30,CostesNoGeneración!$I$23-Ingresos!M30,CostesNoGeneración!L63)</f>
        <v>37.126289949451277</v>
      </c>
      <c r="M65">
        <f ca="1">IF(CostesNoGeneración!$I$23&lt;CostesNoGeneración!M63+Ingresos!N30,CostesNoGeneración!$I$23-Ingresos!N30,CostesNoGeneración!M63)</f>
        <v>36.897862983724231</v>
      </c>
      <c r="N65">
        <f ca="1">IF(CostesNoGeneración!$I$23&lt;CostesNoGeneración!N63+Ingresos!O30,CostesNoGeneración!$I$23-Ingresos!O30,CostesNoGeneración!N63)</f>
        <v>36.670669523612126</v>
      </c>
      <c r="O65">
        <f ca="1">IF(CostesNoGeneración!$I$23&lt;CostesNoGeneración!O63+Ingresos!P30,CostesNoGeneración!$I$23-Ingresos!P30,CostesNoGeneración!O63)</f>
        <v>37.72181306132881</v>
      </c>
      <c r="P65">
        <f ca="1">IF(CostesNoGeneración!$I$23&lt;CostesNoGeneración!P63+Ingresos!Q30,CostesNoGeneración!$I$23-Ingresos!Q30,CostesNoGeneración!P63)</f>
        <v>37.490170270797634</v>
      </c>
      <c r="Q65">
        <f ca="1">IF(CostesNoGeneración!$I$23&lt;CostesNoGeneración!Q63+Ingresos!R30,CostesNoGeneración!$I$23-Ingresos!R30,CostesNoGeneración!Q63)</f>
        <v>37.259778351335321</v>
      </c>
      <c r="R65">
        <f ca="1">IF(CostesNoGeneración!$I$23&lt;CostesNoGeneración!R63+Ingresos!S30,CostesNoGeneración!$I$23-Ingresos!S30,CostesNoGeneración!R63)</f>
        <v>37.030630548238115</v>
      </c>
      <c r="S65">
        <f ca="1">IF(CostesNoGeneración!$I$23&lt;CostesNoGeneración!S63+Ingresos!T30,CostesNoGeneración!$I$23-Ingresos!T30,CostesNoGeneración!S63)</f>
        <v>36.802720143277632</v>
      </c>
      <c r="T65">
        <f ca="1">IF(CostesNoGeneración!$I$23&lt;CostesNoGeneración!T63+Ingresos!U30,CostesNoGeneración!$I$23-Ingresos!U30,CostesNoGeneración!T63)</f>
        <v>36.576040454503925</v>
      </c>
      <c r="U65">
        <f ca="1">IF(CostesNoGeneración!$I$23&lt;CostesNoGeneración!U63+Ingresos!V30,CostesNoGeneración!$I$23-Ingresos!V30,CostesNoGeneración!U63)</f>
        <v>36.350584836049613</v>
      </c>
      <c r="V65">
        <f ca="1">IF(CostesNoGeneración!$I$23&lt;CostesNoGeneración!V63+Ingresos!W30,CostesNoGeneración!$I$23-Ingresos!W30,CostesNoGeneración!V63)</f>
        <v>36.126346677934947</v>
      </c>
      <c r="W65">
        <f ca="1">IF(CostesNoGeneración!$I$23&lt;CostesNoGeneración!W63+Ingresos!X30,CostesNoGeneración!$I$23-Ingresos!X30,CostesNoGeneración!W63)</f>
        <v>35.9033194058741</v>
      </c>
      <c r="X65">
        <f ca="1">IF(CostesNoGeneración!$I$23&lt;CostesNoGeneración!X63+Ingresos!Y30,CostesNoGeneración!$I$23-Ingresos!Y30,CostesNoGeneración!X63)</f>
        <v>35.681496481082377</v>
      </c>
      <c r="Y65">
        <f ca="1">IF(CostesNoGeneración!$I$23&lt;CostesNoGeneración!Y63+Ingresos!Z30,CostesNoGeneración!$I$23-Ingresos!Z30,CostesNoGeneración!Y63)</f>
        <v>35.460871400084521</v>
      </c>
      <c r="Z65">
        <f ca="1">IF(CostesNoGeneración!$I$23&lt;CostesNoGeneración!Z63+Ingresos!AA30,CostesNoGeneración!$I$23-Ingresos!AA30,CostesNoGeneración!Z63)</f>
        <v>35.241437694524073</v>
      </c>
      <c r="AA65">
        <f ca="1">IF(CostesNoGeneración!$I$23&lt;CostesNoGeneración!AA63+Ingresos!AB30,CostesNoGeneración!$I$23-Ingresos!AB30,CostesNoGeneración!AA63)</f>
        <v>35.023188930973639</v>
      </c>
      <c r="AB65">
        <f ca="1">IF(CostesNoGeneración!$I$23&lt;CostesNoGeneración!AB63+Ingresos!AC30,CostesNoGeneración!$I$23-Ingresos!AC30,CostesNoGeneración!AB63)</f>
        <v>34.806118710746375</v>
      </c>
      <c r="AC65">
        <f ca="1">IF(CostesNoGeneración!$I$23&lt;CostesNoGeneración!AC63+Ingresos!AD30,CostesNoGeneración!$I$23-Ingresos!AD30,CostesNoGeneración!AC63)</f>
        <v>34.590220669708351</v>
      </c>
      <c r="AD65">
        <f ca="1">IF(CostesNoGeneración!$I$23&lt;CostesNoGeneración!AD63+Ingresos!AE30,CostesNoGeneración!$I$23-Ingresos!AE30,CostesNoGeneración!AD63)</f>
        <v>34.375488478091931</v>
      </c>
      <c r="AE65">
        <f ca="1">IF(CostesNoGeneración!$I$23&lt;CostesNoGeneración!AE63+Ingresos!AF30,CostesNoGeneración!$I$23-Ingresos!AF30,CostesNoGeneración!AE63)</f>
        <v>34.161915840310229</v>
      </c>
      <c r="AF65">
        <f ca="1">IF(CostesNoGeneración!$I$23&lt;CostesNoGeneración!AF63+Ingresos!AG30,CostesNoGeneración!$I$23-Ingresos!AG30,CostesNoGeneración!AF63)</f>
        <v>33.949496494772561</v>
      </c>
    </row>
    <row r="66" spans="1:41">
      <c r="B66" s="24" t="s">
        <v>12</v>
      </c>
      <c r="C66">
        <f ca="1">IF(CostesNoGeneración!$I$23&lt;CostesNoGeneración!C64+Ingresos!D31,CostesNoGeneración!$I$23-Ingresos!D31,CostesNoGeneración!C64)</f>
        <v>34.180211428301888</v>
      </c>
      <c r="D66">
        <f ca="1">IF(CostesNoGeneración!$I$23&lt;CostesNoGeneración!D64+Ingresos!E31,CostesNoGeneración!$I$23-Ingresos!E31,CostesNoGeneración!D64)</f>
        <v>33.969275079041893</v>
      </c>
      <c r="E66">
        <f ca="1">IF(CostesNoGeneración!$I$23&lt;CostesNoGeneración!E64+Ingresos!F31,CostesNoGeneración!$I$23-Ingresos!F31,CostesNoGeneración!E64)</f>
        <v>33.759477786067897</v>
      </c>
      <c r="F66">
        <f ca="1">IF(CostesNoGeneración!$I$23&lt;CostesNoGeneración!F64+Ingresos!G31,CostesNoGeneración!$I$23-Ingresos!G31,CostesNoGeneración!F64)</f>
        <v>33.55081339847596</v>
      </c>
      <c r="G66">
        <f ca="1">IF(CostesNoGeneración!$I$23&lt;CostesNoGeneración!G64+Ingresos!H31,CostesNoGeneración!$I$23-Ingresos!H31,CostesNoGeneración!G64)</f>
        <v>33.343275798577018</v>
      </c>
      <c r="H66">
        <f ca="1">IF(CostesNoGeneración!$I$23&lt;CostesNoGeneración!H64+Ingresos!I31,CostesNoGeneración!$I$23-Ingresos!I31,CostesNoGeneración!H64)</f>
        <v>33.136858901717531</v>
      </c>
      <c r="I66">
        <f ca="1">IF(CostesNoGeneración!$I$23&lt;CostesNoGeneración!I64+Ingresos!J31,CostesNoGeneración!$I$23-Ingresos!J31,CostesNoGeneración!I64)</f>
        <v>32.931556656101087</v>
      </c>
      <c r="J66">
        <f ca="1">IF(CostesNoGeneración!$I$23&lt;CostesNoGeneración!J64+Ingresos!K31,CostesNoGeneración!$I$23-Ingresos!K31,CostesNoGeneración!J64)</f>
        <v>32.727363042610982</v>
      </c>
      <c r="K66">
        <f ca="1">IF(CostesNoGeneración!$I$23&lt;CostesNoGeneración!K64+Ingresos!L31,CostesNoGeneración!$I$23-Ingresos!L31,CostesNoGeneración!K64)</f>
        <v>32.5242720746337</v>
      </c>
      <c r="L66">
        <f ca="1">IF(CostesNoGeneración!$I$23&lt;CostesNoGeneración!L64+Ingresos!M31,CostesNoGeneración!$I$23-Ingresos!M31,CostesNoGeneración!L64)</f>
        <v>32.322277797883515</v>
      </c>
      <c r="M66">
        <f ca="1">IF(CostesNoGeneración!$I$23&lt;CostesNoGeneración!M64+Ingresos!N31,CostesNoGeneración!$I$23-Ingresos!N31,CostesNoGeneración!M64)</f>
        <v>32.12137429022777</v>
      </c>
      <c r="N66">
        <f ca="1">IF(CostesNoGeneración!$I$23&lt;CostesNoGeneración!N64+Ingresos!O31,CostesNoGeneración!$I$23-Ingresos!O31,CostesNoGeneración!N64)</f>
        <v>31.921555661513366</v>
      </c>
      <c r="O66">
        <f ca="1">IF(CostesNoGeneración!$I$23&lt;CostesNoGeneración!O64+Ingresos!P31,CostesNoGeneración!$I$23-Ingresos!P31,CostesNoGeneración!O64)</f>
        <v>32.84604556621796</v>
      </c>
      <c r="P66">
        <f ca="1">IF(CostesNoGeneración!$I$23&lt;CostesNoGeneración!P64+Ingresos!Q31,CostesNoGeneración!$I$23-Ingresos!Q31,CostesNoGeneración!P64)</f>
        <v>32.642313712613216</v>
      </c>
      <c r="Q66">
        <f ca="1">IF(CostesNoGeneración!$I$23&lt;CostesNoGeneración!Q64+Ingresos!R31,CostesNoGeneración!$I$23-Ingresos!R31,CostesNoGeneración!Q64)</f>
        <v>32.439682011017929</v>
      </c>
      <c r="R66">
        <f ca="1">IF(CostesNoGeneración!$I$23&lt;CostesNoGeneración!R64+Ingresos!S31,CostesNoGeneración!$I$23-Ingresos!S31,CostesNoGeneración!R64)</f>
        <v>32.238144520611264</v>
      </c>
      <c r="S66">
        <f ca="1">IF(CostesNoGeneración!$I$23&lt;CostesNoGeneración!S64+Ingresos!T31,CostesNoGeneración!$I$23-Ingresos!T31,CostesNoGeneración!S64)</f>
        <v>32.037695332652788</v>
      </c>
      <c r="T66">
        <f ca="1">IF(CostesNoGeneración!$I$23&lt;CostesNoGeneración!T64+Ingresos!U31,CostesNoGeneración!$I$23-Ingresos!U31,CostesNoGeneración!T64)</f>
        <v>31.838328570309297</v>
      </c>
      <c r="U66">
        <f ca="1">IF(CostesNoGeneración!$I$23&lt;CostesNoGeneración!U64+Ingresos!V31,CostesNoGeneración!$I$23-Ingresos!V31,CostesNoGeneración!U64)</f>
        <v>31.640038388482459</v>
      </c>
      <c r="V66">
        <f ca="1">IF(CostesNoGeneración!$I$23&lt;CostesNoGeneración!V64+Ingresos!W31,CostesNoGeneración!$I$23-Ingresos!W31,CostesNoGeneración!V64)</f>
        <v>31.442818973637486</v>
      </c>
      <c r="W66">
        <f ca="1">IF(CostesNoGeneración!$I$23&lt;CostesNoGeneración!W64+Ingresos!X31,CostesNoGeneración!$I$23-Ingresos!X31,CostesNoGeneración!W64)</f>
        <v>31.246664543632676</v>
      </c>
      <c r="X66">
        <f ca="1">IF(CostesNoGeneración!$I$23&lt;CostesNoGeneración!X64+Ingresos!Y31,CostesNoGeneración!$I$23-Ingresos!Y31,CostesNoGeneración!X64)</f>
        <v>31.051569347549886</v>
      </c>
      <c r="Y66">
        <f ca="1">IF(CostesNoGeneración!$I$23&lt;CostesNoGeneración!Y64+Ingresos!Z31,CostesNoGeneración!$I$23-Ingresos!Z31,CostesNoGeneración!Y64)</f>
        <v>30.857527665525943</v>
      </c>
      <c r="Z66">
        <f ca="1">IF(CostesNoGeneración!$I$23&lt;CostesNoGeneración!Z64+Ingresos!AA31,CostesNoGeneración!$I$23-Ingresos!AA31,CostesNoGeneración!Z64)</f>
        <v>30.664533808584931</v>
      </c>
      <c r="AA66">
        <f ca="1">IF(CostesNoGeneración!$I$23&lt;CostesNoGeneración!AA64+Ingresos!AB31,CostesNoGeneración!$I$23-Ingresos!AB31,CostesNoGeneración!AA64)</f>
        <v>30.472582118471408</v>
      </c>
      <c r="AB66">
        <f ca="1">IF(CostesNoGeneración!$I$23&lt;CostesNoGeneración!AB64+Ingresos!AC31,CostesNoGeneración!$I$23-Ingresos!AC31,CostesNoGeneración!AB64)</f>
        <v>30.281666967484497</v>
      </c>
      <c r="AC66">
        <f ca="1">IF(CostesNoGeneración!$I$23&lt;CostesNoGeneración!AC64+Ingresos!AD31,CostesNoGeneración!$I$23-Ingresos!AD31,CostesNoGeneración!AC64)</f>
        <v>30.091782758312903</v>
      </c>
      <c r="AD66">
        <f ca="1">IF(CostesNoGeneración!$I$23&lt;CostesNoGeneración!AD64+Ingresos!AE31,CostesNoGeneración!$I$23-Ingresos!AE31,CostesNoGeneración!AD64)</f>
        <v>29.902923923870844</v>
      </c>
      <c r="AE66">
        <f ca="1">IF(CostesNoGeneración!$I$23&lt;CostesNoGeneración!AE64+Ingresos!AF31,CostesNoGeneración!$I$23-Ingresos!AF31,CostesNoGeneración!AE64)</f>
        <v>29.715084927134768</v>
      </c>
      <c r="AF66">
        <f ca="1">IF(CostesNoGeneración!$I$23&lt;CostesNoGeneración!AF64+Ingresos!AG31,CostesNoGeneración!$I$23-Ingresos!AG31,CostesNoGeneración!AF64)</f>
        <v>29.528260260981074</v>
      </c>
    </row>
    <row r="67" spans="1:41">
      <c r="B67" s="24" t="s">
        <v>57</v>
      </c>
      <c r="C67">
        <f ca="1">IF(CostesNoGeneración!$I$23&lt;CostesNoGeneración!C65+Ingresos!D32,CostesNoGeneración!$I$23-Ingresos!D32,CostesNoGeneración!C65)</f>
        <v>31.043239334433963</v>
      </c>
      <c r="D67">
        <f ca="1">IF(CostesNoGeneración!$I$23&lt;CostesNoGeneración!D65+Ingresos!E32,CostesNoGeneración!$I$23-Ingresos!E32,CostesNoGeneración!D65)</f>
        <v>30.848188106178966</v>
      </c>
      <c r="E67">
        <f ca="1">IF(CostesNoGeneración!$I$23&lt;CostesNoGeneración!E65+Ingresos!F32,CostesNoGeneración!$I$23-Ingresos!F32,CostesNoGeneración!E65)</f>
        <v>30.654190154556545</v>
      </c>
      <c r="F67">
        <f ca="1">IF(CostesNoGeneración!$I$23&lt;CostesNoGeneración!F65+Ingresos!G32,CostesNoGeneración!$I$23-Ingresos!G32,CostesNoGeneración!F65)</f>
        <v>30.461239791872874</v>
      </c>
      <c r="G67">
        <f ca="1">IF(CostesNoGeneración!$I$23&lt;CostesNoGeneración!G65+Ingresos!H32,CostesNoGeneración!$I$23-Ingresos!H32,CostesNoGeneración!G65)</f>
        <v>30.26933136114771</v>
      </c>
      <c r="H67">
        <f ca="1">IF(CostesNoGeneración!$I$23&lt;CostesNoGeneración!H65+Ingresos!I32,CostesNoGeneración!$I$23-Ingresos!I32,CostesNoGeneración!H65)</f>
        <v>30.078459235948454</v>
      </c>
      <c r="I67">
        <f ca="1">IF(CostesNoGeneración!$I$23&lt;CostesNoGeneración!I65+Ingresos!J32,CostesNoGeneración!$I$23-Ingresos!J32,CostesNoGeneración!I65)</f>
        <v>29.888617820225285</v>
      </c>
      <c r="J67">
        <f ca="1">IF(CostesNoGeneración!$I$23&lt;CostesNoGeneración!J65+Ingresos!K32,CostesNoGeneración!$I$23-Ingresos!K32,CostesNoGeneración!J65)</f>
        <v>29.699801548147015</v>
      </c>
      <c r="K67">
        <f ca="1">IF(CostesNoGeneración!$I$23&lt;CostesNoGeneración!K65+Ingresos!L32,CostesNoGeneración!$I$23-Ingresos!L32,CostesNoGeneración!K65)</f>
        <v>29.512004883937962</v>
      </c>
      <c r="L67">
        <f ca="1">IF(CostesNoGeneración!$I$23&lt;CostesNoGeneración!L65+Ingresos!M32,CostesNoGeneración!$I$23-Ingresos!M32,CostesNoGeneración!L65)</f>
        <v>29.325222321715639</v>
      </c>
      <c r="M67">
        <f ca="1">IF(CostesNoGeneración!$I$23&lt;CostesNoGeneración!M65+Ingresos!N32,CostesNoGeneración!$I$23-Ingresos!N32,CostesNoGeneración!M65)</f>
        <v>29.13944838532931</v>
      </c>
      <c r="N67">
        <f ca="1">IF(CostesNoGeneración!$I$23&lt;CostesNoGeneración!N65+Ingresos!O32,CostesNoGeneración!$I$23-Ingresos!O32,CostesNoGeneración!N65)</f>
        <v>28.954677628199477</v>
      </c>
      <c r="O67">
        <f ca="1">IF(CostesNoGeneración!$I$23&lt;CostesNoGeneración!O65+Ingresos!P32,CostesNoGeneración!$I$23-Ingresos!P32,CostesNoGeneración!O65)</f>
        <v>29.809546369668553</v>
      </c>
      <c r="P67">
        <f ca="1">IF(CostesNoGeneración!$I$23&lt;CostesNoGeneración!P65+Ingresos!Q32,CostesNoGeneración!$I$23-Ingresos!Q32,CostesNoGeneración!P65)</f>
        <v>29.621157083423288</v>
      </c>
      <c r="Q67">
        <f ca="1">IF(CostesNoGeneración!$I$23&lt;CostesNoGeneración!Q65+Ingresos!R32,CostesNoGeneración!$I$23-Ingresos!R32,CostesNoGeneración!Q65)</f>
        <v>29.433785099323746</v>
      </c>
      <c r="R67">
        <f ca="1">IF(CostesNoGeneración!$I$23&lt;CostesNoGeneración!R65+Ingresos!S32,CostesNoGeneración!$I$23-Ingresos!S32,CostesNoGeneración!R65)</f>
        <v>29.247424923938343</v>
      </c>
      <c r="S67">
        <f ca="1">IF(CostesNoGeneración!$I$23&lt;CostesNoGeneración!S65+Ingresos!T32,CostesNoGeneración!$I$23-Ingresos!T32,CostesNoGeneración!S65)</f>
        <v>29.062071093500016</v>
      </c>
      <c r="T67">
        <f ca="1">IF(CostesNoGeneración!$I$23&lt;CostesNoGeneración!T65+Ingresos!U32,CostesNoGeneración!$I$23-Ingresos!U32,CostesNoGeneración!T65)</f>
        <v>28.877718173746064</v>
      </c>
      <c r="U67">
        <f ca="1">IF(CostesNoGeneración!$I$23&lt;CostesNoGeneración!U65+Ingresos!V32,CostesNoGeneración!$I$23-Ingresos!V32,CostesNoGeneración!U65)</f>
        <v>28.69436075975878</v>
      </c>
      <c r="V67">
        <f ca="1">IF(CostesNoGeneración!$I$23&lt;CostesNoGeneración!V65+Ingresos!W32,CostesNoGeneración!$I$23-Ingresos!W32,CostesNoGeneración!V65)</f>
        <v>28.511993475807021</v>
      </c>
      <c r="W67">
        <f ca="1">IF(CostesNoGeneración!$I$23&lt;CostesNoGeneración!W65+Ingresos!X32,CostesNoGeneración!$I$23-Ingresos!X32,CostesNoGeneración!W65)</f>
        <v>28.330610975188609</v>
      </c>
      <c r="X67">
        <f ca="1">IF(CostesNoGeneración!$I$23&lt;CostesNoGeneración!X65+Ingresos!Y32,CostesNoGeneración!$I$23-Ingresos!Y32,CostesNoGeneración!X65)</f>
        <v>28.150207940073535</v>
      </c>
      <c r="Y67">
        <f ca="1">IF(CostesNoGeneración!$I$23&lt;CostesNoGeneración!Y65+Ingresos!Z32,CostesNoGeneración!$I$23-Ingresos!Z32,CostesNoGeneración!Y65)</f>
        <v>27.970779081348077</v>
      </c>
      <c r="Z67">
        <f ca="1">IF(CostesNoGeneración!$I$23&lt;CostesNoGeneración!Z65+Ingresos!AA32,CostesNoGeneración!$I$23-Ingresos!AA32,CostesNoGeneración!Z65)</f>
        <v>27.792319138459739</v>
      </c>
      <c r="AA67">
        <f ca="1">IF(CostesNoGeneración!$I$23&lt;CostesNoGeneración!AA65+Ingresos!AB32,CostesNoGeneración!$I$23-Ingresos!AB32,CostesNoGeneración!AA65)</f>
        <v>27.614822879263002</v>
      </c>
      <c r="AB67">
        <f ca="1">IF(CostesNoGeneración!$I$23&lt;CostesNoGeneración!AB65+Ingresos!AC32,CostesNoGeneración!$I$23-Ingresos!AC32,CostesNoGeneración!AB65)</f>
        <v>27.438285099865922</v>
      </c>
      <c r="AC67">
        <f ca="1">IF(CostesNoGeneración!$I$23&lt;CostesNoGeneración!AC65+Ingresos!AD32,CostesNoGeneración!$I$23-Ingresos!AD32,CostesNoGeneración!AC65)</f>
        <v>27.262700624477585</v>
      </c>
      <c r="AD67">
        <f ca="1">IF(CostesNoGeneración!$I$23&lt;CostesNoGeneración!AD65+Ingresos!AE32,CostesNoGeneración!$I$23-Ingresos!AE32,CostesNoGeneración!AD65)</f>
        <v>27.088064305256349</v>
      </c>
      <c r="AE67">
        <f ca="1">IF(CostesNoGeneración!$I$23&lt;CostesNoGeneración!AE65+Ingresos!AF32,CostesNoGeneración!$I$23-Ingresos!AF32,CostesNoGeneración!AE65)</f>
        <v>26.914371022158917</v>
      </c>
      <c r="AF67">
        <f ca="1">IF(CostesNoGeneración!$I$23&lt;CostesNoGeneración!AF65+Ingresos!AG32,CostesNoGeneración!$I$23-Ingresos!AG32,CostesNoGeneración!AF65)</f>
        <v>26.741615682790201</v>
      </c>
    </row>
    <row r="68" spans="1:41">
      <c r="B68" s="24" t="s">
        <v>14</v>
      </c>
      <c r="C68">
        <f ca="1">IF(CostesNoGeneración!$I$23&lt;CostesNoGeneración!C66+Ingresos!D33,CostesNoGeneración!$I$23-Ingresos!D33,CostesNoGeneración!C66)</f>
        <v>26.499424678301882</v>
      </c>
      <c r="D68">
        <f ca="1">IF(CostesNoGeneración!$I$23&lt;CostesNoGeneración!D66+Ingresos!E33,CostesNoGeneración!$I$23-Ingresos!E33,CostesNoGeneración!D66)</f>
        <v>26.329964577491882</v>
      </c>
      <c r="E68">
        <f ca="1">IF(CostesNoGeneración!$I$23&lt;CostesNoGeneración!E66+Ingresos!F33,CostesNoGeneración!$I$23-Ingresos!F33,CostesNoGeneración!E66)</f>
        <v>26.161419561226257</v>
      </c>
      <c r="F68">
        <f ca="1">IF(CostesNoGeneración!$I$23&lt;CostesNoGeneración!F66+Ingresos!G33,CostesNoGeneración!$I$23-Ingresos!G33,CostesNoGeneración!F66)</f>
        <v>25.993784688048464</v>
      </c>
      <c r="G68">
        <f ca="1">IF(CostesNoGeneración!$I$23&lt;CostesNoGeneración!G66+Ingresos!H33,CostesNoGeneración!$I$23-Ingresos!H33,CostesNoGeneración!G66)</f>
        <v>25.827055043185837</v>
      </c>
      <c r="H68">
        <f ca="1">IF(CostesNoGeneración!$I$23&lt;CostesNoGeneración!H66+Ingresos!I33,CostesNoGeneración!$I$23-Ingresos!I33,CostesNoGeneración!H66)</f>
        <v>25.661225738405463</v>
      </c>
      <c r="I68">
        <f ca="1">IF(CostesNoGeneración!$I$23&lt;CostesNoGeneración!I66+Ingresos!J33,CostesNoGeneración!$I$23-Ingresos!J33,CostesNoGeneración!I66)</f>
        <v>25.496291911870902</v>
      </c>
      <c r="J68">
        <f ca="1">IF(CostesNoGeneración!$I$23&lt;CostesNoGeneración!J66+Ingresos!K33,CostesNoGeneración!$I$23-Ingresos!K33,CostesNoGeneración!J66)</f>
        <v>25.332248727999634</v>
      </c>
      <c r="K68">
        <f ca="1">IF(CostesNoGeneración!$I$23&lt;CostesNoGeneración!K66+Ingresos!L33,CostesNoGeneración!$I$23-Ingresos!L33,CostesNoGeneración!K66)</f>
        <v>25.169091377321266</v>
      </c>
      <c r="L68">
        <f ca="1">IF(CostesNoGeneración!$I$23&lt;CostesNoGeneración!L66+Ingresos!M33,CostesNoGeneración!$I$23-Ingresos!M33,CostesNoGeneración!L66)</f>
        <v>25.006815076336558</v>
      </c>
      <c r="M68">
        <f ca="1">IF(CostesNoGeneración!$I$23&lt;CostesNoGeneración!M66+Ingresos!N33,CostesNoGeneración!$I$23-Ingresos!N33,CostesNoGeneración!M66)</f>
        <v>24.845415067377168</v>
      </c>
      <c r="N68">
        <f ca="1">IF(CostesNoGeneración!$I$23&lt;CostesNoGeneración!N66+Ingresos!O33,CostesNoGeneración!$I$23-Ingresos!O33,CostesNoGeneración!N66)</f>
        <v>24.684886618466159</v>
      </c>
      <c r="O68">
        <f ca="1">IF(CostesNoGeneración!$I$23&lt;CostesNoGeneración!O66+Ingresos!P33,CostesNoGeneración!$I$23-Ingresos!P33,CostesNoGeneración!O66)</f>
        <v>25.42759480033558</v>
      </c>
      <c r="P68">
        <f ca="1">IF(CostesNoGeneración!$I$23&lt;CostesNoGeneración!P66+Ingresos!Q33,CostesNoGeneración!$I$23-Ingresos!Q33,CostesNoGeneración!P66)</f>
        <v>25.263922580866598</v>
      </c>
      <c r="Q68">
        <f ca="1">IF(CostesNoGeneración!$I$23&lt;CostesNoGeneración!Q66+Ingresos!R33,CostesNoGeneración!$I$23-Ingresos!R33,CostesNoGeneración!Q66)</f>
        <v>25.101134191382751</v>
      </c>
      <c r="R68">
        <f ca="1">IF(CostesNoGeneración!$I$23&lt;CostesNoGeneración!R66+Ingresos!S33,CostesNoGeneración!$I$23-Ingresos!S33,CostesNoGeneración!R66)</f>
        <v>24.93922485920211</v>
      </c>
      <c r="S68">
        <f ca="1">IF(CostesNoGeneración!$I$23&lt;CostesNoGeneración!S66+Ingresos!T33,CostesNoGeneración!$I$23-Ingresos!T33,CostesNoGeneración!S66)</f>
        <v>24.778189837415248</v>
      </c>
      <c r="T68">
        <f ca="1">IF(CostesNoGeneración!$I$23&lt;CostesNoGeneración!T66+Ingresos!U33,CostesNoGeneración!$I$23-Ingresos!U33,CostesNoGeneración!T66)</f>
        <v>24.618024404746038</v>
      </c>
      <c r="U68">
        <f ca="1">IF(CostesNoGeneración!$I$23&lt;CostesNoGeneración!U66+Ingresos!V33,CostesNoGeneración!$I$23-Ingresos!V33,CostesNoGeneración!U66)</f>
        <v>24.458723865413237</v>
      </c>
      <c r="V68">
        <f ca="1">IF(CostesNoGeneración!$I$23&lt;CostesNoGeneración!V66+Ingresos!W33,CostesNoGeneración!$I$23-Ingresos!W33,CostesNoGeneración!V66)</f>
        <v>24.300283548992841</v>
      </c>
      <c r="W68">
        <f ca="1">IF(CostesNoGeneración!$I$23&lt;CostesNoGeneración!W66+Ingresos!X33,CostesNoGeneración!$I$23-Ingresos!X33,CostesNoGeneración!W66)</f>
        <v>24.142698810281111</v>
      </c>
      <c r="X68">
        <f ca="1">IF(CostesNoGeneración!$I$23&lt;CostesNoGeneración!X66+Ingresos!Y33,CostesNoGeneración!$I$23-Ingresos!Y33,CostesNoGeneración!X66)</f>
        <v>23.985965029158425</v>
      </c>
      <c r="Y68">
        <f ca="1">IF(CostesNoGeneración!$I$23&lt;CostesNoGeneración!Y66+Ingresos!Z33,CostesNoGeneración!$I$23-Ingresos!Z33,CostesNoGeneración!Y66)</f>
        <v>23.830077610453795</v>
      </c>
      <c r="Z68">
        <f ca="1">IF(CostesNoGeneración!$I$23&lt;CostesNoGeneración!Z66+Ingresos!AA33,CostesNoGeneración!$I$23-Ingresos!AA33,CostesNoGeneración!Z66)</f>
        <v>23.675031983810172</v>
      </c>
      <c r="AA68">
        <f ca="1">IF(CostesNoGeneración!$I$23&lt;CostesNoGeneración!AA66+Ingresos!AB33,CostesNoGeneración!$I$23-Ingresos!AB33,CostesNoGeneración!AA66)</f>
        <v>23.520823603550429</v>
      </c>
      <c r="AB68">
        <f ca="1">IF(CostesNoGeneración!$I$23&lt;CostesNoGeneración!AB66+Ingresos!AC33,CostesNoGeneración!$I$23-Ingresos!AC33,CostesNoGeneración!AB66)</f>
        <v>23.36744794854409</v>
      </c>
      <c r="AC68">
        <f ca="1">IF(CostesNoGeneración!$I$23&lt;CostesNoGeneración!AC66+Ingresos!AD33,CostesNoGeneración!$I$23-Ingresos!AD33,CostesNoGeneración!AC66)</f>
        <v>23.214900522074778</v>
      </c>
      <c r="AD68">
        <f ca="1">IF(CostesNoGeneración!$I$23&lt;CostesNoGeneración!AD66+Ingresos!AE33,CostesNoGeneración!$I$23-Ingresos!AE33,CostesNoGeneración!AD66)</f>
        <v>23.063176851708405</v>
      </c>
      <c r="AE68">
        <f ca="1">IF(CostesNoGeneración!$I$23&lt;CostesNoGeneración!AE66+Ingresos!AF33,CostesNoGeneración!$I$23-Ingresos!AF33,CostesNoGeneración!AE66)</f>
        <v>22.912272489162007</v>
      </c>
      <c r="AF68">
        <f ca="1">IF(CostesNoGeneración!$I$23&lt;CostesNoGeneración!AF66+Ingresos!AG33,CostesNoGeneración!$I$23-Ingresos!AG33,CostesNoGeneración!AF66)</f>
        <v>22.762183010173366</v>
      </c>
    </row>
    <row r="69" spans="1:41">
      <c r="B69" s="24" t="s">
        <v>15</v>
      </c>
      <c r="C69">
        <f ca="1">IF(CostesNoGeneración!$I$23&lt;CostesNoGeneración!C67+Ingresos!D34,CostesNoGeneración!$I$23-Ingresos!D34,CostesNoGeneración!C67)</f>
        <v>23.616540039622645</v>
      </c>
      <c r="D69">
        <f ca="1">IF(CostesNoGeneración!$I$23&lt;CostesNoGeneración!D67+Ingresos!E34,CostesNoGeneración!$I$23-Ingresos!E34,CostesNoGeneración!D67)</f>
        <v>23.452102232842645</v>
      </c>
      <c r="E69">
        <f ca="1">IF(CostesNoGeneración!$I$23&lt;CostesNoGeneración!E67+Ingresos!F34,CostesNoGeneración!$I$23-Ingresos!F34,CostesNoGeneración!E67)</f>
        <v>23.288552390219255</v>
      </c>
      <c r="F69">
        <f ca="1">IF(CostesNoGeneración!$I$23&lt;CostesNoGeneración!F67+Ingresos!G34,CostesNoGeneración!$I$23-Ingresos!G34,CostesNoGeneración!F67)</f>
        <v>23.125885716746041</v>
      </c>
      <c r="G69">
        <f ca="1">IF(CostesNoGeneración!$I$23&lt;CostesNoGeneración!G67+Ingresos!H34,CostesNoGeneración!$I$23-Ingresos!H34,CostesNoGeneración!G67)</f>
        <v>22.964097443309569</v>
      </c>
      <c r="H69">
        <f ca="1">IF(CostesNoGeneración!$I$23&lt;CostesNoGeneración!H67+Ingresos!I34,CostesNoGeneración!$I$23-Ingresos!I34,CostesNoGeneración!H67)</f>
        <v>22.803182826549666</v>
      </c>
      <c r="I69">
        <f ca="1">IF(CostesNoGeneración!$I$23&lt;CostesNoGeneración!I67+Ingresos!J34,CostesNoGeneración!$I$23-Ingresos!J34,CostesNoGeneración!I67)</f>
        <v>22.643137148720257</v>
      </c>
      <c r="J69">
        <f ca="1">IF(CostesNoGeneración!$I$23&lt;CostesNoGeneración!J67+Ingresos!K34,CostesNoGeneración!$I$23-Ingresos!K34,CostesNoGeneración!J67)</f>
        <v>22.483955717551133</v>
      </c>
      <c r="K69">
        <f ca="1">IF(CostesNoGeneración!$I$23&lt;CostesNoGeneración!K67+Ingresos!L34,CostesNoGeneración!$I$23-Ingresos!L34,CostesNoGeneración!K67)</f>
        <v>22.325633866110316</v>
      </c>
      <c r="L69">
        <f ca="1">IF(CostesNoGeneración!$I$23&lt;CostesNoGeneración!L67+Ingresos!M34,CostesNoGeneración!$I$23-Ingresos!M34,CostesNoGeneración!L67)</f>
        <v>22.168166952667281</v>
      </c>
      <c r="M69">
        <f ca="1">IF(CostesNoGeneración!$I$23&lt;CostesNoGeneración!M67+Ingresos!N34,CostesNoGeneración!$I$23-Ingresos!N34,CostesNoGeneración!M67)</f>
        <v>22.011550360556839</v>
      </c>
      <c r="N69">
        <f ca="1">IF(CostesNoGeneración!$I$23&lt;CostesNoGeneración!N67+Ingresos!O34,CostesNoGeneración!$I$23-Ingresos!O34,CostesNoGeneración!N67)</f>
        <v>21.855779498043798</v>
      </c>
      <c r="O69">
        <f ca="1">IF(CostesNoGeneración!$I$23&lt;CostesNoGeneración!O67+Ingresos!P34,CostesNoGeneración!$I$23-Ingresos!P34,CostesNoGeneración!O67)</f>
        <v>22.576476015515482</v>
      </c>
      <c r="P69">
        <f ca="1">IF(CostesNoGeneración!$I$23&lt;CostesNoGeneración!P67+Ingresos!Q34,CostesNoGeneración!$I$23-Ingresos!Q34,CostesNoGeneración!P67)</f>
        <v>22.417654554465667</v>
      </c>
      <c r="Q69">
        <f ca="1">IF(CostesNoGeneración!$I$23&lt;CostesNoGeneración!Q67+Ingresos!R34,CostesNoGeneración!$I$23-Ingresos!R34,CostesNoGeneración!Q67)</f>
        <v>22.259690729305504</v>
      </c>
      <c r="R69">
        <f ca="1">IF(CostesNoGeneración!$I$23&lt;CostesNoGeneración!R67+Ingresos!S34,CostesNoGeneración!$I$23-Ingresos!S34,CostesNoGeneración!R67)</f>
        <v>22.102579908801221</v>
      </c>
      <c r="S69">
        <f ca="1">IF(CostesNoGeneración!$I$23&lt;CostesNoGeneración!S67+Ingresos!T34,CostesNoGeneración!$I$23-Ingresos!T34,CostesNoGeneración!S67)</f>
        <v>21.946317486727658</v>
      </c>
      <c r="T69">
        <f ca="1">IF(CostesNoGeneración!$I$23&lt;CostesNoGeneración!T67+Ingresos!U34,CostesNoGeneración!$I$23-Ingresos!U34,CostesNoGeneración!T67)</f>
        <v>21.790898881733291</v>
      </c>
      <c r="U69">
        <f ca="1">IF(CostesNoGeneración!$I$23&lt;CostesNoGeneración!U67+Ingresos!V34,CostesNoGeneración!$I$23-Ingresos!V34,CostesNoGeneración!U67)</f>
        <v>21.636319537205893</v>
      </c>
      <c r="V69">
        <f ca="1">IF(CostesNoGeneración!$I$23&lt;CostesNoGeneración!V67+Ingresos!W34,CostesNoGeneración!$I$23-Ingresos!W34,CostesNoGeneración!V67)</f>
        <v>21.482574921138948</v>
      </c>
      <c r="W69">
        <f ca="1">IF(CostesNoGeneración!$I$23&lt;CostesNoGeneración!W67+Ingresos!X34,CostesNoGeneración!$I$23-Ingresos!X34,CostesNoGeneración!W67)</f>
        <v>21.329660525998761</v>
      </c>
      <c r="X69">
        <f ca="1">IF(CostesNoGeneración!$I$23&lt;CostesNoGeneración!X67+Ingresos!Y34,CostesNoGeneración!$I$23-Ingresos!Y34,CostesNoGeneración!X67)</f>
        <v>21.177571868592327</v>
      </c>
      <c r="Y69">
        <f ca="1">IF(CostesNoGeneración!$I$23&lt;CostesNoGeneración!Y67+Ingresos!Z34,CostesNoGeneración!$I$23-Ingresos!Z34,CostesNoGeneración!Y67)</f>
        <v>21.026304489935882</v>
      </c>
      <c r="Z69">
        <f ca="1">IF(CostesNoGeneración!$I$23&lt;CostesNoGeneración!Z67+Ingresos!AA34,CostesNoGeneración!$I$23-Ingresos!AA34,CostesNoGeneración!Z67)</f>
        <v>20.875853955124192</v>
      </c>
      <c r="AA69">
        <f ca="1">IF(CostesNoGeneración!$I$23&lt;CostesNoGeneración!AA67+Ingresos!AB34,CostesNoGeneración!$I$23-Ingresos!AB34,CostesNoGeneración!AA67)</f>
        <v>20.72621585320049</v>
      </c>
      <c r="AB69">
        <f ca="1">IF(CostesNoGeneración!$I$23&lt;CostesNoGeneración!AB67+Ingresos!AC34,CostesNoGeneración!$I$23-Ingresos!AC34,CostesNoGeneración!AB67)</f>
        <v>20.577385797027162</v>
      </c>
      <c r="AC69">
        <f ca="1">IF(CostesNoGeneración!$I$23&lt;CostesNoGeneración!AC67+Ingresos!AD34,CostesNoGeneración!$I$23-Ingresos!AD34,CostesNoGeneración!AC67)</f>
        <v>20.429359423157177</v>
      </c>
      <c r="AD69">
        <f ca="1">IF(CostesNoGeneración!$I$23&lt;CostesNoGeneración!AD67+Ingresos!AE34,CostesNoGeneración!$I$23-Ingresos!AE34,CostesNoGeneración!AD67)</f>
        <v>20.282132391706096</v>
      </c>
      <c r="AE69">
        <f ca="1">IF(CostesNoGeneración!$I$23&lt;CostesNoGeneración!AE67+Ingresos!AF34,CostesNoGeneración!$I$23-Ingresos!AF34,CostesNoGeneración!AE67)</f>
        <v>20.135700386224844</v>
      </c>
      <c r="AF69">
        <f ca="1">IF(CostesNoGeneración!$I$23&lt;CostesNoGeneración!AF67+Ingresos!AG34,CostesNoGeneración!$I$23-Ingresos!AG34,CostesNoGeneración!AF67)</f>
        <v>19.990059113573196</v>
      </c>
    </row>
    <row r="72" spans="1:41" s="136" customFormat="1">
      <c r="A72" s="280" t="s">
        <v>443</v>
      </c>
      <c r="B72" s="280"/>
      <c r="C72" s="280"/>
    </row>
    <row r="73" spans="1:41">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28"/>
      <c r="AN73" s="128"/>
      <c r="AO73" s="128"/>
    </row>
    <row r="74" spans="1:41">
      <c r="A74" s="128"/>
      <c r="B74" s="128"/>
      <c r="C74" s="14" t="s">
        <v>3</v>
      </c>
      <c r="D74" s="14">
        <v>2021</v>
      </c>
      <c r="E74" s="14">
        <f>IF('Rendimiento Paneles'!C9&gt;0,D74+1,"")</f>
        <v>2022</v>
      </c>
      <c r="F74" s="14">
        <f>IF('Rendimiento Paneles'!D9&gt;0,E74+1,"")</f>
        <v>2023</v>
      </c>
      <c r="G74" s="14">
        <f>IF('Rendimiento Paneles'!E9&gt;0,F74+1,"")</f>
        <v>2024</v>
      </c>
      <c r="H74" s="14">
        <f>IF('Rendimiento Paneles'!F9&gt;0,G74+1,"")</f>
        <v>2025</v>
      </c>
      <c r="I74" s="14">
        <f>IF('Rendimiento Paneles'!G9&gt;0,H74+1,"")</f>
        <v>2026</v>
      </c>
      <c r="J74" s="14">
        <f>IF('Rendimiento Paneles'!H9&gt;0,I74+1,"")</f>
        <v>2027</v>
      </c>
      <c r="K74" s="14">
        <f>IF('Rendimiento Paneles'!I9&gt;0,J74+1,"")</f>
        <v>2028</v>
      </c>
      <c r="L74" s="14">
        <f>IF('Rendimiento Paneles'!J9&gt;0,K74+1,"")</f>
        <v>2029</v>
      </c>
      <c r="M74" s="14">
        <f>IF('Rendimiento Paneles'!K9&gt;0,L74+1,"")</f>
        <v>2030</v>
      </c>
      <c r="N74" s="14">
        <f>IF('Rendimiento Paneles'!L9&gt;0,M74+1,"")</f>
        <v>2031</v>
      </c>
      <c r="O74" s="14">
        <f>IF('Rendimiento Paneles'!M9&gt;0,N74+1,"")</f>
        <v>2032</v>
      </c>
      <c r="P74" s="14">
        <f>IF('Rendimiento Paneles'!N9&gt;0,O74+1,"")</f>
        <v>2033</v>
      </c>
      <c r="Q74" s="14">
        <f>IF('Rendimiento Paneles'!O9&gt;0,P74+1,"")</f>
        <v>2034</v>
      </c>
      <c r="R74" s="14">
        <f>IF('Rendimiento Paneles'!P9&gt;0,Q74+1,"")</f>
        <v>2035</v>
      </c>
      <c r="S74" s="14">
        <f>IF('Rendimiento Paneles'!Q9&gt;0,R74+1,"")</f>
        <v>2036</v>
      </c>
      <c r="T74" s="14">
        <f>IF('Rendimiento Paneles'!R9&gt;0,S74+1,"")</f>
        <v>2037</v>
      </c>
      <c r="U74" s="14">
        <f>IF('Rendimiento Paneles'!S9&gt;0,T74+1,"")</f>
        <v>2038</v>
      </c>
      <c r="V74" s="14">
        <f>IF('Rendimiento Paneles'!T9&gt;0,U74+1,"")</f>
        <v>2039</v>
      </c>
      <c r="W74" s="14">
        <f>IF('Rendimiento Paneles'!U9&gt;0,V74+1,"")</f>
        <v>2040</v>
      </c>
      <c r="X74" s="14">
        <f>IF('Rendimiento Paneles'!V9&gt;0,W74+1,"")</f>
        <v>2041</v>
      </c>
      <c r="Y74" s="14">
        <f>IF('Rendimiento Paneles'!W9&gt;0,X74+1,"")</f>
        <v>2042</v>
      </c>
      <c r="Z74" s="14">
        <f>IF('Rendimiento Paneles'!X9&gt;0,Y74+1,"")</f>
        <v>2043</v>
      </c>
      <c r="AA74" s="14">
        <f>IF('Rendimiento Paneles'!Y9&gt;0,Z74+1,"")</f>
        <v>2044</v>
      </c>
      <c r="AB74" s="14">
        <f>IF('Rendimiento Paneles'!Z9&gt;0,AA74+1,"")</f>
        <v>2045</v>
      </c>
      <c r="AC74" s="14">
        <f>IF('Rendimiento Paneles'!AA9&gt;0,AB74+1,"")</f>
        <v>2046</v>
      </c>
      <c r="AD74" s="14">
        <f>IF('Rendimiento Paneles'!AB9&gt;0,AC74+1,"")</f>
        <v>2047</v>
      </c>
      <c r="AE74" s="14">
        <f>IF('Rendimiento Paneles'!AC9&gt;0,AD74+1,"")</f>
        <v>2048</v>
      </c>
      <c r="AF74" s="14">
        <f>IF('Rendimiento Paneles'!AD9&gt;0,AE74+1,"")</f>
        <v>2049</v>
      </c>
      <c r="AG74" s="14">
        <f>IF('Rendimiento Paneles'!AE9&gt;0,AF74+1,"")</f>
        <v>2050</v>
      </c>
      <c r="AH74" s="128"/>
      <c r="AI74" s="128"/>
      <c r="AJ74" s="128"/>
      <c r="AK74" s="128"/>
      <c r="AL74" s="128"/>
      <c r="AM74" s="128"/>
      <c r="AN74" s="128"/>
      <c r="AO74" s="128"/>
    </row>
    <row r="75" spans="1:41">
      <c r="A75" s="128"/>
      <c r="B75" s="281" t="s">
        <v>17</v>
      </c>
      <c r="C75" s="14" t="s">
        <v>4</v>
      </c>
      <c r="D75" s="128">
        <f ca="1">IF(ISNUMBER(D$74),IF('Datos Instalación'!$F$6="Autoconsumo Aislado",CostesNoGeneración!C73,C16+C45),"")</f>
        <v>55.353419175218683</v>
      </c>
      <c r="E75" s="128">
        <f ca="1">IF(ISNUMBER(E$74),IF('Datos Instalación'!$F$6="Autoconsumo Aislado",CostesNoGeneración!D73,D16+D45),"")</f>
        <v>55.172062396076683</v>
      </c>
      <c r="F75" s="128">
        <f ca="1">IF(ISNUMBER(F$74),IF('Datos Instalación'!$F$6="Autoconsumo Aislado",CostesNoGeneración!E73,E16+E45),"")</f>
        <v>54.991684943542054</v>
      </c>
      <c r="G75" s="128">
        <f ca="1">IF(ISNUMBER(G$74),IF('Datos Instalación'!$F$6="Autoconsumo Aislado",CostesNoGeneración!F73,F16+F45),"")</f>
        <v>54.812281529251109</v>
      </c>
      <c r="H75" s="128">
        <f ca="1">IF(ISNUMBER(H$74),IF('Datos Instalación'!$F$6="Autoconsumo Aislado",CostesNoGeneración!G73,G16+G45),"")</f>
        <v>54.633846893397333</v>
      </c>
      <c r="I75" s="128">
        <f ca="1">IF(ISNUMBER(I$74),IF('Datos Instalación'!$F$6="Autoconsumo Aislado",CostesNoGeneración!H73,H16+H45),"")</f>
        <v>54.456375804577164</v>
      </c>
      <c r="J75" s="128">
        <f ca="1">IF(ISNUMBER(J$74),IF('Datos Instalación'!$F$6="Autoconsumo Aislado",CostesNoGeneración!I73,I16+I45),"")</f>
        <v>54.279863059636632</v>
      </c>
      <c r="K75" s="128">
        <f ca="1">IF(ISNUMBER(K$74),IF('Datos Instalación'!$F$6="Autoconsumo Aislado",CostesNoGeneración!J73,J16+J45),"")</f>
        <v>54.104303483518777</v>
      </c>
      <c r="L75" s="128">
        <f ca="1">IF(ISNUMBER(L$74),IF('Datos Instalación'!$F$6="Autoconsumo Aislado",CostesNoGeneración!K73,K16+K45),"")</f>
        <v>53.929691929111954</v>
      </c>
      <c r="M75" s="128">
        <f ca="1">IF(ISNUMBER(M$74),IF('Datos Instalación'!$F$6="Autoconsumo Aislado",CostesNoGeneración!L73,L16+L45),"")</f>
        <v>53.756023277098933</v>
      </c>
      <c r="N75" s="128">
        <f ca="1">IF(ISNUMBER(N$74),IF('Datos Instalación'!$F$6="Autoconsumo Aislado",CostesNoGeneración!M73,M16+M45),"")</f>
        <v>53.583292435806769</v>
      </c>
      <c r="O75" s="128">
        <f ca="1">IF(ISNUMBER(O$74),IF('Datos Instalación'!$F$6="Autoconsumo Aislado",CostesNoGeneración!N73,N16+N45),"")</f>
        <v>53.411494341057605</v>
      </c>
      <c r="P75" s="128">
        <f ca="1">IF(ISNUMBER(P$74),IF('Datos Instalación'!$F$6="Autoconsumo Aislado",CostesNoGeneración!O73,O16+O45),"")</f>
        <v>53.240623956020073</v>
      </c>
      <c r="Q75" s="128">
        <f ca="1">IF(ISNUMBER(Q$74),IF('Datos Instalación'!$F$6="Autoconsumo Aislado",CostesNoGeneración!P73,P16+P45),"")</f>
        <v>53.070676271061743</v>
      </c>
      <c r="R75" s="128">
        <f ca="1">IF(ISNUMBER(R$74),IF('Datos Instalación'!$F$6="Autoconsumo Aislado",CostesNoGeneración!Q73,Q16+Q45),"")</f>
        <v>52.901646303602192</v>
      </c>
      <c r="S75" s="128">
        <f ca="1">IF(ISNUMBER(S$74),IF('Datos Instalación'!$F$6="Autoconsumo Aislado",CostesNoGeneración!R73,R16+R45),"")</f>
        <v>52.733529097966922</v>
      </c>
      <c r="T75" s="128">
        <f ca="1">IF(ISNUMBER(T$74),IF('Datos Instalación'!$F$6="Autoconsumo Aislado",CostesNoGeneración!S73,S16+S45),"")</f>
        <v>52.566319725242082</v>
      </c>
      <c r="U75" s="128">
        <f ca="1">IF(ISNUMBER(U$74),IF('Datos Instalación'!$F$6="Autoconsumo Aislado",CostesNoGeneración!T73,T16+T45),"")</f>
        <v>52.400013283129951</v>
      </c>
      <c r="V75" s="128">
        <f ca="1">IF(ISNUMBER(V$74),IF('Datos Instalación'!$F$6="Autoconsumo Aislado",CostesNoGeneración!U73,U16+U45),"")</f>
        <v>52.234604895805226</v>
      </c>
      <c r="W75" s="128">
        <f ca="1">IF(ISNUMBER(W$74),IF('Datos Instalación'!$F$6="Autoconsumo Aislado",CostesNoGeneración!V73,V16+V45),"")</f>
        <v>52.070089713772063</v>
      </c>
      <c r="X75" s="128">
        <f ca="1">IF(ISNUMBER(X$74),IF('Datos Instalación'!$F$6="Autoconsumo Aislado",CostesNoGeneración!W73,W16+W45),"")</f>
        <v>51.906462913721882</v>
      </c>
      <c r="Y75" s="128">
        <f ca="1">IF(ISNUMBER(Y$74),IF('Datos Instalación'!$F$6="Autoconsumo Aislado",CostesNoGeneración!X73,X16+X45),"")</f>
        <v>51.743719698391956</v>
      </c>
      <c r="Z75" s="128">
        <f ca="1">IF(ISNUMBER(Z$74),IF('Datos Instalación'!$F$6="Autoconsumo Aislado",CostesNoGeneración!Y73,Y16+Y45),"")</f>
        <v>51.58185529642482</v>
      </c>
      <c r="AA75" s="128">
        <f ca="1">IF(ISNUMBER(AA$74),IF('Datos Instalación'!$F$6="Autoconsumo Aislado",CostesNoGeneración!Z73,Z16+Z45),"")</f>
        <v>51.420864962228308</v>
      </c>
      <c r="AB75" s="128">
        <f ca="1">IF(ISNUMBER(AB$74),IF('Datos Instalación'!$F$6="Autoconsumo Aislado",CostesNoGeneración!AA73,AA16+AA45),"")</f>
        <v>51.260743975836462</v>
      </c>
      <c r="AC75" s="128">
        <f ca="1">IF(ISNUMBER(AC$74),IF('Datos Instalación'!$F$6="Autoconsumo Aislado",CostesNoGeneración!AB73,AB16+AB45),"")</f>
        <v>51.101487642771119</v>
      </c>
      <c r="AD75" s="128">
        <f ca="1">IF(ISNUMBER(AD$74),IF('Datos Instalación'!$F$6="Autoconsumo Aislado",CostesNoGeneración!AC73,AC16+AC45),"")</f>
        <v>50.943091293904338</v>
      </c>
      <c r="AE75" s="128">
        <f ca="1">IF(ISNUMBER(AE$74),IF('Datos Instalación'!$F$6="Autoconsumo Aislado",CostesNoGeneración!AD73,AD16+AD45),"")</f>
        <v>50.785550285321428</v>
      </c>
      <c r="AF75" s="128">
        <f ca="1">IF(ISNUMBER(AF$74),IF('Datos Instalación'!$F$6="Autoconsumo Aislado",CostesNoGeneración!AE73,AE16+AE45),"")</f>
        <v>50.628859998184879</v>
      </c>
      <c r="AG75" s="128" t="str">
        <f>IF(ISNUMBER(AG$10),IF('Datos Instalación'!$F$6="Autoconsumo Aislado",CostesNoGeneración!AG139,Ingresos!AH70+Ingresos!AH109),"")</f>
        <v/>
      </c>
      <c r="AH75" s="128"/>
      <c r="AI75" s="128"/>
      <c r="AJ75" s="128"/>
      <c r="AK75" s="128"/>
      <c r="AL75" s="128"/>
      <c r="AM75" s="128"/>
      <c r="AN75" s="128"/>
      <c r="AO75" s="128"/>
    </row>
    <row r="76" spans="1:41">
      <c r="A76" s="128"/>
      <c r="B76" s="281"/>
      <c r="C76" s="14" t="s">
        <v>5</v>
      </c>
      <c r="D76" s="128">
        <f ca="1">IF(ISNUMBER(D$74),IF('Datos Instalación'!$F$6="Autoconsumo Aislado",CostesNoGeneración!C74,C17+C46),"")</f>
        <v>53.330201492771351</v>
      </c>
      <c r="E76" s="128">
        <f ca="1">IF(ISNUMBER(E$74),IF('Datos Instalación'!$F$6="Autoconsumo Aislado",CostesNoGeneración!D74,D17+D46),"")</f>
        <v>53.14969423045136</v>
      </c>
      <c r="F76" s="128">
        <f ca="1">IF(ISNUMBER(F$74),IF('Datos Instalación'!$F$6="Autoconsumo Aislado",CostesNoGeneración!E74,E17+E46),"")</f>
        <v>52.970161707347884</v>
      </c>
      <c r="G76" s="128">
        <f ca="1">IF(ISNUMBER(G$74),IF('Datos Instalación'!$F$6="Autoconsumo Aislado",CostesNoGeneración!F74,F17+F46),"")</f>
        <v>52.791598659869173</v>
      </c>
      <c r="H76" s="128">
        <f ca="1">IF(ISNUMBER(H$74),IF('Datos Instalación'!$F$6="Autoconsumo Aislado",CostesNoGeneración!G74,G17+G46),"")</f>
        <v>52.613999852846845</v>
      </c>
      <c r="I76" s="128">
        <f ca="1">IF(ISNUMBER(I$74),IF('Datos Instalación'!$F$6="Autoconsumo Aislado",CostesNoGeneración!H74,H17+H46),"")</f>
        <v>52.437360079382437</v>
      </c>
      <c r="J76" s="128">
        <f ca="1">IF(ISNUMBER(J$74),IF('Datos Instalación'!$F$6="Autoconsumo Aislado",CostesNoGeneración!I74,I17+I46),"")</f>
        <v>52.261674160694739</v>
      </c>
      <c r="K76" s="128">
        <f ca="1">IF(ISNUMBER(K$74),IF('Datos Instalación'!$F$6="Autoconsumo Aislado",CostesNoGeneración!J74,J17+J46),"")</f>
        <v>52.086936945967949</v>
      </c>
      <c r="L76" s="128">
        <f ca="1">IF(ISNUMBER(L$74),IF('Datos Instalación'!$F$6="Autoconsumo Aislado",CostesNoGeneración!K74,K17+K46),"")</f>
        <v>51.913143312200688</v>
      </c>
      <c r="M76" s="128">
        <f ca="1">IF(ISNUMBER(M$74),IF('Datos Instalación'!$F$6="Autoconsumo Aislado",CostesNoGeneración!L74,L17+L46),"")</f>
        <v>51.740288164055769</v>
      </c>
      <c r="N76" s="128">
        <f ca="1">IF(ISNUMBER(N$74),IF('Datos Instalación'!$F$6="Autoconsumo Aislado",CostesNoGeneración!M74,M17+M46),"")</f>
        <v>51.568366433710835</v>
      </c>
      <c r="O76" s="128">
        <f ca="1">IF(ISNUMBER(O$74),IF('Datos Instalación'!$F$6="Autoconsumo Aislado",CostesNoGeneración!N74,N17+N46),"")</f>
        <v>51.39737308070977</v>
      </c>
      <c r="P76" s="128">
        <f ca="1">IF(ISNUMBER(P$74),IF('Datos Instalación'!$F$6="Autoconsumo Aislado",CostesNoGeneración!O74,O17+O46),"")</f>
        <v>51.227303091814903</v>
      </c>
      <c r="Q76" s="128">
        <f ca="1">IF(ISNUMBER(Q$74),IF('Datos Instalación'!$F$6="Autoconsumo Aislado",CostesNoGeneración!P74,P17+P46),"")</f>
        <v>51.058151480860047</v>
      </c>
      <c r="R76" s="128">
        <f ca="1">IF(ISNUMBER(R$74),IF('Datos Instalación'!$F$6="Autoconsumo Aislado",CostesNoGeneración!Q74,Q17+Q46),"")</f>
        <v>50.88991328860439</v>
      </c>
      <c r="S76" s="128">
        <f ca="1">IF(ISNUMBER(S$74),IF('Datos Instalación'!$F$6="Autoconsumo Aislado",CostesNoGeneración!R74,R17+R46),"")</f>
        <v>50.722583582586878</v>
      </c>
      <c r="T76" s="128">
        <f ca="1">IF(ISNUMBER(T$74),IF('Datos Instalación'!$F$6="Autoconsumo Aislado",CostesNoGeneración!S74,S17+S46),"")</f>
        <v>50.556157456981879</v>
      </c>
      <c r="U76" s="128">
        <f ca="1">IF(ISNUMBER(U$74),IF('Datos Instalación'!$F$6="Autoconsumo Aislado",CostesNoGeneración!T74,T17+T46),"")</f>
        <v>50.390630032455149</v>
      </c>
      <c r="V76" s="128">
        <f ca="1">IF(ISNUMBER(V$74),IF('Datos Instalación'!$F$6="Autoconsumo Aislado",CostesNoGeneración!U74,U17+U46),"")</f>
        <v>50.225996456020852</v>
      </c>
      <c r="W76" s="128">
        <f ca="1">IF(ISNUMBER(W$74),IF('Datos Instalación'!$F$6="Autoconsumo Aislado",CostesNoGeneración!V74,V17+V46),"")</f>
        <v>50.062251900899298</v>
      </c>
      <c r="X76" s="128">
        <f ca="1">IF(ISNUMBER(X$74),IF('Datos Instalación'!$F$6="Autoconsumo Aislado",CostesNoGeneración!W74,W17+W46),"")</f>
        <v>49.899391566375407</v>
      </c>
      <c r="Y76" s="128">
        <f ca="1">IF(ISNUMBER(Y$74),IF('Datos Instalación'!$F$6="Autoconsumo Aislado",CostesNoGeneración!X74,X17+X46),"")</f>
        <v>49.737410677657948</v>
      </c>
      <c r="Z76" s="128">
        <f ca="1">IF(ISNUMBER(Z$74),IF('Datos Instalación'!$F$6="Autoconsumo Aislado",CostesNoGeneración!Y74,Y17+Y46),"")</f>
        <v>49.576304485739556</v>
      </c>
      <c r="AA76" s="128">
        <f ca="1">IF(ISNUMBER(AA$74),IF('Datos Instalación'!$F$6="Autoconsumo Aislado",CostesNoGeneración!Z74,Z17+Z46),"")</f>
        <v>49.416068267257536</v>
      </c>
      <c r="AB76" s="128">
        <f ca="1">IF(ISNUMBER(AB$74),IF('Datos Instalación'!$F$6="Autoconsumo Aislado",CostesNoGeneración!AA74,AA17+AA46),"")</f>
        <v>49.256697324355315</v>
      </c>
      <c r="AC76" s="128">
        <f ca="1">IF(ISNUMBER(AC$74),IF('Datos Instalación'!$F$6="Autoconsumo Aislado",CostesNoGeneración!AB74,AB17+AB46),"")</f>
        <v>49.098186984544746</v>
      </c>
      <c r="AD76" s="128">
        <f ca="1">IF(ISNUMBER(AD$74),IF('Datos Instalación'!$F$6="Autoconsumo Aislado",CostesNoGeneración!AC74,AC17+AC46),"")</f>
        <v>48.940532600569178</v>
      </c>
      <c r="AE76" s="128">
        <f ca="1">IF(ISNUMBER(AE$74),IF('Datos Instalación'!$F$6="Autoconsumo Aislado",CostesNoGeneración!AD74,AD17+AD46),"")</f>
        <v>48.783729550267068</v>
      </c>
      <c r="AF76" s="128">
        <f ca="1">IF(ISNUMBER(AF$74),IF('Datos Instalación'!$F$6="Autoconsumo Aislado",CostesNoGeneración!AE74,AE17+AE46),"")</f>
        <v>48.627773236436596</v>
      </c>
      <c r="AG76" s="128" t="str">
        <f>IF(ISNUMBER(AG$10),IF('Datos Instalación'!$F$6="Autoconsumo Aislado",CostesNoGeneración!AG140,Ingresos!AH71+Ingresos!AH110),"")</f>
        <v/>
      </c>
      <c r="AH76" s="128"/>
      <c r="AI76" s="128"/>
      <c r="AJ76" s="128"/>
      <c r="AK76" s="128"/>
      <c r="AL76" s="128"/>
      <c r="AM76" s="128"/>
      <c r="AN76" s="128"/>
      <c r="AO76" s="128"/>
    </row>
    <row r="77" spans="1:41">
      <c r="A77" s="128"/>
      <c r="B77" s="281"/>
      <c r="C77" s="14" t="s">
        <v>6</v>
      </c>
      <c r="D77" s="128">
        <f ca="1">IF(ISNUMBER(D$74),IF('Datos Instalación'!$F$6="Autoconsumo Aislado",CostesNoGeneración!C75,C18+C47),"")</f>
        <v>58.125315622025838</v>
      </c>
      <c r="E77" s="128">
        <f ca="1">IF(ISNUMBER(E$74),IF('Datos Instalación'!$F$6="Autoconsumo Aislado",CostesNoGeneración!D75,D18+D47),"")</f>
        <v>57.902121645635837</v>
      </c>
      <c r="F77" s="128">
        <f ca="1">IF(ISNUMBER(F$74),IF('Datos Instalación'!$F$6="Autoconsumo Aislado",CostesNoGeneración!E75,E18+E47),"")</f>
        <v>57.68013291671835</v>
      </c>
      <c r="G77" s="128">
        <f ca="1">IF(ISNUMBER(G$74),IF('Datos Instalación'!$F$6="Autoconsumo Aislado",CostesNoGeneración!F75,F18+F47),"")</f>
        <v>57.459342926937005</v>
      </c>
      <c r="H77" s="128">
        <f ca="1">IF(ISNUMBER(H$74),IF('Datos Instalación'!$F$6="Autoconsumo Aislado",CostesNoGeneración!G75,G18+G47),"")</f>
        <v>57.239745203100476</v>
      </c>
      <c r="I77" s="128">
        <f ca="1">IF(ISNUMBER(I$74),IF('Datos Instalación'!$F$6="Autoconsumo Aislado",CostesNoGeneración!H75,H18+H47),"")</f>
        <v>57.021333306972679</v>
      </c>
      <c r="J77" s="128">
        <f ca="1">IF(ISNUMBER(J$74),IF('Datos Instalación'!$F$6="Autoconsumo Aislado",CostesNoGeneración!I75,I18+I47),"")</f>
        <v>56.804100835083965</v>
      </c>
      <c r="K77" s="128">
        <f ca="1">IF(ISNUMBER(K$74),IF('Datos Instalación'!$F$6="Autoconsumo Aislado",CostesNoGeneración!J75,J18+J47),"")</f>
        <v>56.588041418543447</v>
      </c>
      <c r="L77" s="128">
        <f ca="1">IF(ISNUMBER(L$74),IF('Datos Instalación'!$F$6="Autoconsumo Aislado",CostesNoGeneración!K75,K18+K47),"")</f>
        <v>56.373148722852257</v>
      </c>
      <c r="M77" s="128">
        <f ca="1">IF(ISNUMBER(M$74),IF('Datos Instalación'!$F$6="Autoconsumo Aislado",CostesNoGeneración!L75,L18+L47),"")</f>
        <v>56.159416447717796</v>
      </c>
      <c r="N77" s="128">
        <f ca="1">IF(ISNUMBER(N$74),IF('Datos Instalación'!$F$6="Autoconsumo Aislado",CostesNoGeneración!M75,M18+M47),"")</f>
        <v>55.946838326869063</v>
      </c>
      <c r="O77" s="128">
        <f ca="1">IF(ISNUMBER(O$74),IF('Datos Instalación'!$F$6="Autoconsumo Aislado",CostesNoGeneración!N75,N18+N47),"")</f>
        <v>55.735408127872908</v>
      </c>
      <c r="P77" s="128">
        <f ca="1">IF(ISNUMBER(P$74),IF('Datos Instalación'!$F$6="Autoconsumo Aislado",CostesNoGeneración!O75,O18+O47),"")</f>
        <v>55.525119651951336</v>
      </c>
      <c r="Q77" s="128">
        <f ca="1">IF(ISNUMBER(Q$74),IF('Datos Instalación'!$F$6="Autoconsumo Aislado",CostesNoGeneración!P75,P18+P47),"")</f>
        <v>55.315966733799733</v>
      </c>
      <c r="R77" s="128">
        <f ca="1">IF(ISNUMBER(R$74),IF('Datos Instalación'!$F$6="Autoconsumo Aislado",CostesNoGeneración!Q75,Q18+Q47),"")</f>
        <v>55.107943241406154</v>
      </c>
      <c r="S77" s="128">
        <f ca="1">IF(ISNUMBER(S$74),IF('Datos Instalación'!$F$6="Autoconsumo Aislado",CostesNoGeneración!R75,R18+R47),"")</f>
        <v>54.901043075871506</v>
      </c>
      <c r="T77" s="128">
        <f ca="1">IF(ISNUMBER(T$74),IF('Datos Instalación'!$F$6="Autoconsumo Aislado",CostesNoGeneración!S75,S18+S47),"")</f>
        <v>54.695260171230736</v>
      </c>
      <c r="U77" s="128">
        <f ca="1">IF(ISNUMBER(U$74),IF('Datos Instalación'!$F$6="Autoconsumo Aislado",CostesNoGeneración!T75,T18+T47),"")</f>
        <v>54.49058849427503</v>
      </c>
      <c r="V77" s="128">
        <f ca="1">IF(ISNUMBER(V$74),IF('Datos Instalación'!$F$6="Autoconsumo Aislado",CostesNoGeneración!U75,U18+U47),"")</f>
        <v>54.287022044374886</v>
      </c>
      <c r="W77" s="128">
        <f ca="1">IF(ISNUMBER(W$74),IF('Datos Instalación'!$F$6="Autoconsumo Aislado",CostesNoGeneración!V75,V18+V47),"")</f>
        <v>54.084554853304205</v>
      </c>
      <c r="X77" s="128">
        <f ca="1">IF(ISNUMBER(X$74),IF('Datos Instalación'!$F$6="Autoconsumo Aislado",CostesNoGeneración!W75,W18+W47),"")</f>
        <v>53.883180985065309</v>
      </c>
      <c r="Y77" s="128">
        <f ca="1">IF(ISNUMBER(Y$74),IF('Datos Instalación'!$F$6="Autoconsumo Aislado",CostesNoGeneración!X75,X18+X47),"")</f>
        <v>53.682894535714894</v>
      </c>
      <c r="Z77" s="128">
        <f ca="1">IF(ISNUMBER(Z$74),IF('Datos Instalación'!$F$6="Autoconsumo Aislado",CostesNoGeneración!Y75,Y18+Y47),"")</f>
        <v>53.483689633190956</v>
      </c>
      <c r="AA77" s="128">
        <f ca="1">IF(ISNUMBER(AA$74),IF('Datos Instalación'!$F$6="Autoconsumo Aislado",CostesNoGeneración!Z75,Z18+Z47),"")</f>
        <v>53.285560437140674</v>
      </c>
      <c r="AB77" s="128">
        <f ca="1">IF(ISNUMBER(AB$74),IF('Datos Instalación'!$F$6="Autoconsumo Aislado",CostesNoGeneración!AA75,AA18+AA47),"")</f>
        <v>53.088501138749052</v>
      </c>
      <c r="AC77" s="128">
        <f ca="1">IF(ISNUMBER(AC$74),IF('Datos Instalación'!$F$6="Autoconsumo Aislado",CostesNoGeneración!AB75,AB18+AB47),"")</f>
        <v>52.892505960568741</v>
      </c>
      <c r="AD77" s="128">
        <f ca="1">IF(ISNUMBER(AD$74),IF('Datos Instalación'!$F$6="Autoconsumo Aislado",CostesNoGeneración!AC75,AC18+AC47),"")</f>
        <v>52.69756915635061</v>
      </c>
      <c r="AE77" s="128">
        <f ca="1">IF(ISNUMBER(AE$74),IF('Datos Instalación'!$F$6="Autoconsumo Aislado",CostesNoGeneración!AD75,AD18+AD47),"")</f>
        <v>52.503685010875259</v>
      </c>
      <c r="AF77" s="128">
        <f ca="1">IF(ISNUMBER(AF$74),IF('Datos Instalación'!$F$6="Autoconsumo Aislado",CostesNoGeneración!AE75,AE18+AE47),"")</f>
        <v>52.310847839785467</v>
      </c>
      <c r="AG77" s="128" t="str">
        <f>IF(ISNUMBER(AG$10),IF('Datos Instalación'!$F$6="Autoconsumo Aislado",CostesNoGeneración!AG141,Ingresos!AH72+Ingresos!AH111),"")</f>
        <v/>
      </c>
      <c r="AH77" s="128"/>
      <c r="AI77" s="128"/>
      <c r="AJ77" s="128"/>
      <c r="AK77" s="128"/>
      <c r="AL77" s="128"/>
      <c r="AM77" s="128"/>
      <c r="AN77" s="128"/>
      <c r="AO77" s="128"/>
    </row>
    <row r="78" spans="1:41">
      <c r="A78" s="128"/>
      <c r="B78" s="281"/>
      <c r="C78" s="14" t="s">
        <v>7</v>
      </c>
      <c r="D78" s="128">
        <f ca="1">IF(ISNUMBER(D$74),IF('Datos Instalación'!$F$6="Autoconsumo Aislado",CostesNoGeneración!C76,C19+C48),"")</f>
        <v>59.310937419578515</v>
      </c>
      <c r="E78" s="128">
        <f ca="1">IF(ISNUMBER(E$74),IF('Datos Instalación'!$F$6="Autoconsumo Aislado",CostesNoGeneración!D76,D19+D48),"")</f>
        <v>59.071265226818518</v>
      </c>
      <c r="F78" s="128">
        <f ca="1">IF(ISNUMBER(F$74),IF('Datos Instalación'!$F$6="Autoconsumo Aislado",CostesNoGeneración!E76,E19+E48),"")</f>
        <v>58.83288726389943</v>
      </c>
      <c r="G78" s="128">
        <f ca="1">IF(ISNUMBER(G$74),IF('Datos Instalación'!$F$6="Autoconsumo Aislado",CostesNoGeneración!F76,F19+F48),"")</f>
        <v>58.5957965419801</v>
      </c>
      <c r="H78" s="128">
        <f ca="1">IF(ISNUMBER(H$74),IF('Datos Instalación'!$F$6="Autoconsumo Aislado",CostesNoGeneración!G76,G19+G48),"")</f>
        <v>58.359986109959124</v>
      </c>
      <c r="I78" s="128">
        <f ca="1">IF(ISNUMBER(I$74),IF('Datos Instalación'!$F$6="Autoconsumo Aislado",CostesNoGeneración!H76,H19+H48),"")</f>
        <v>58.125449054271066</v>
      </c>
      <c r="J78" s="128">
        <f ca="1">IF(ISNUMBER(J$74),IF('Datos Instalación'!$F$6="Autoconsumo Aislado",CostesNoGeneración!I76,I19+I48),"")</f>
        <v>57.892178498683727</v>
      </c>
      <c r="K78" s="128">
        <f ca="1">IF(ISNUMBER(K$74),IF('Datos Instalación'!$F$6="Autoconsumo Aislado",CostesNoGeneración!J76,J19+J48),"")</f>
        <v>57.660167604096571</v>
      </c>
      <c r="L78" s="128">
        <f ca="1">IF(ISNUMBER(L$74),IF('Datos Instalación'!$F$6="Autoconsumo Aislado",CostesNoGeneración!K76,K19+K48),"")</f>
        <v>57.429409568340176</v>
      </c>
      <c r="M78" s="128">
        <f ca="1">IF(ISNUMBER(M$74),IF('Datos Instalación'!$F$6="Autoconsumo Aislado",CostesNoGeneración!L76,L19+L48),"")</f>
        <v>57.199897625976853</v>
      </c>
      <c r="N78" s="128">
        <f ca="1">IF(ISNUMBER(N$74),IF('Datos Instalación'!$F$6="Autoconsumo Aislado",CostesNoGeneración!M76,M19+M48),"")</f>
        <v>56.971625048102297</v>
      </c>
      <c r="O78" s="128">
        <f ca="1">IF(ISNUMBER(O$74),IF('Datos Instalación'!$F$6="Autoconsumo Aislado",CostesNoGeneración!N76,N19+N48),"")</f>
        <v>56.744585142148267</v>
      </c>
      <c r="P78" s="128">
        <f ca="1">IF(ISNUMBER(P$74),IF('Datos Instalación'!$F$6="Autoconsumo Aislado",CostesNoGeneración!O76,O19+O48),"")</f>
        <v>56.518771251686402</v>
      </c>
      <c r="Q78" s="128">
        <f ca="1">IF(ISNUMBER(Q$74),IF('Datos Instalación'!$F$6="Autoconsumo Aislado",CostesNoGeneración!P76,P19+P48),"")</f>
        <v>56.294176756233014</v>
      </c>
      <c r="R78" s="128">
        <f ca="1">IF(ISNUMBER(R$74),IF('Datos Instalación'!$F$6="Autoconsumo Aislado",CostesNoGeneración!Q76,Q19+Q48),"")</f>
        <v>56.07079507105508</v>
      </c>
      <c r="S78" s="128">
        <f ca="1">IF(ISNUMBER(S$74),IF('Datos Instalación'!$F$6="Autoconsumo Aislado",CostesNoGeneración!R76,R19+R48),"")</f>
        <v>55.848619646977106</v>
      </c>
      <c r="T78" s="128">
        <f ca="1">IF(ISNUMBER(T$74),IF('Datos Instalación'!$F$6="Autoconsumo Aislado",CostesNoGeneración!S76,S19+S48),"")</f>
        <v>55.627643970189148</v>
      </c>
      <c r="U78" s="128">
        <f ca="1">IF(ISNUMBER(U$74),IF('Datos Instalación'!$F$6="Autoconsumo Aislado",CostesNoGeneración!T76,T19+T48),"")</f>
        <v>55.407861562055857</v>
      </c>
      <c r="V78" s="128">
        <f ca="1">IF(ISNUMBER(V$74),IF('Datos Instalación'!$F$6="Autoconsumo Aislado",CostesNoGeneración!U76,U19+U48),"")</f>
        <v>55.189265978926485</v>
      </c>
      <c r="W78" s="128">
        <f ca="1">IF(ISNUMBER(W$74),IF('Datos Instalación'!$F$6="Autoconsumo Aislado",CostesNoGeneración!V76,V19+V48),"")</f>
        <v>54.971850811945998</v>
      </c>
      <c r="X78" s="128">
        <f ca="1">IF(ISNUMBER(X$74),IF('Datos Instalación'!$F$6="Autoconsumo Aislado",CostesNoGeneración!W76,W19+W48),"")</f>
        <v>54.75560968686721</v>
      </c>
      <c r="Y78" s="128">
        <f ca="1">IF(ISNUMBER(Y$74),IF('Datos Instalación'!$F$6="Autoconsumo Aislado",CostesNoGeneración!X76,X19+X48),"")</f>
        <v>54.540536263863864</v>
      </c>
      <c r="Z78" s="128">
        <f ca="1">IF(ISNUMBER(Z$74),IF('Datos Instalación'!$F$6="Autoconsumo Aislado",CostesNoGeneración!Y76,Y19+Y48),"")</f>
        <v>54.326624237344717</v>
      </c>
      <c r="AA78" s="128">
        <f ca="1">IF(ISNUMBER(AA$74),IF('Datos Instalación'!$F$6="Autoconsumo Aislado",CostesNoGeneración!Z76,Z19+Z48),"")</f>
        <v>54.113867335768781</v>
      </c>
      <c r="AB78" s="128">
        <f ca="1">IF(ISNUMBER(AB$74),IF('Datos Instalación'!$F$6="Autoconsumo Aislado",CostesNoGeneración!AA76,AA19+AA48),"")</f>
        <v>53.902259321461351</v>
      </c>
      <c r="AC78" s="128">
        <f ca="1">IF(ISNUMBER(AC$74),IF('Datos Instalación'!$F$6="Autoconsumo Aislado",CostesNoGeneración!AB76,AB19+AB48),"")</f>
        <v>53.691793990431179</v>
      </c>
      <c r="AD78" s="128">
        <f ca="1">IF(ISNUMBER(AD$74),IF('Datos Instalación'!$F$6="Autoconsumo Aislado",CostesNoGeneración!AC76,AC19+AC48),"")</f>
        <v>53.482465172188576</v>
      </c>
      <c r="AE78" s="128">
        <f ca="1">IF(ISNUMBER(AE$74),IF('Datos Instalación'!$F$6="Autoconsumo Aislado",CostesNoGeneración!AD76,AD19+AD48),"")</f>
        <v>53.274266729564474</v>
      </c>
      <c r="AF78" s="128">
        <f ca="1">IF(ISNUMBER(AF$74),IF('Datos Instalación'!$F$6="Autoconsumo Aislado",CostesNoGeneración!AE76,AE19+AE48),"")</f>
        <v>53.067192558530557</v>
      </c>
      <c r="AG78" s="128" t="str">
        <f>IF(ISNUMBER(AG$10),IF('Datos Instalación'!$F$6="Autoconsumo Aislado",CostesNoGeneración!AG142,Ingresos!AH73+Ingresos!AH112),"")</f>
        <v/>
      </c>
      <c r="AH78" s="128"/>
      <c r="AI78" s="128"/>
      <c r="AJ78" s="128"/>
      <c r="AK78" s="128"/>
      <c r="AL78" s="128"/>
      <c r="AM78" s="128"/>
      <c r="AN78" s="128"/>
      <c r="AO78" s="128"/>
    </row>
    <row r="79" spans="1:41">
      <c r="A79" s="128"/>
      <c r="B79" s="281"/>
      <c r="C79" s="14" t="s">
        <v>8</v>
      </c>
      <c r="D79" s="128">
        <f ca="1">IF(ISNUMBER(D$74),IF('Datos Instalación'!$F$6="Autoconsumo Aislado",CostesNoGeneración!C77,C20+C49),"")</f>
        <v>64.975193251653081</v>
      </c>
      <c r="E79" s="128">
        <f ca="1">IF(ISNUMBER(E$74),IF('Datos Instalación'!$F$6="Autoconsumo Aislado",CostesNoGeneración!D77,D20+D49),"")</f>
        <v>64.706613387177086</v>
      </c>
      <c r="F79" s="128">
        <f ca="1">IF(ISNUMBER(F$74),IF('Datos Instalación'!$F$6="Autoconsumo Aislado",CostesNoGeneración!E77,E20+E49),"")</f>
        <v>64.43948385396925</v>
      </c>
      <c r="G79" s="128">
        <f ca="1">IF(ISNUMBER(G$74),IF('Datos Instalación'!$F$6="Autoconsumo Aislado",CostesNoGeneración!F77,F20+F49),"")</f>
        <v>64.173796820240739</v>
      </c>
      <c r="H79" s="128">
        <f ca="1">IF(ISNUMBER(H$74),IF('Datos Instalación'!$F$6="Autoconsumo Aislado",CostesNoGeneración!G77,G20+G49),"")</f>
        <v>63.909544496494377</v>
      </c>
      <c r="I79" s="128">
        <f ca="1">IF(ISNUMBER(I$74),IF('Datos Instalación'!$F$6="Autoconsumo Aislado",CostesNoGeneración!H77,H20+H49),"")</f>
        <v>63.646719135296223</v>
      </c>
      <c r="J79" s="128">
        <f ca="1">IF(ISNUMBER(J$74),IF('Datos Instalación'!$F$6="Autoconsumo Aislado",CostesNoGeneración!I77,I20+I49),"")</f>
        <v>63.385313031048554</v>
      </c>
      <c r="K79" s="128">
        <f ca="1">IF(ISNUMBER(K$74),IF('Datos Instalación'!$F$6="Autoconsumo Aislado",CostesNoGeneración!J77,J20+J49),"")</f>
        <v>63.125318519763809</v>
      </c>
      <c r="L79" s="128">
        <f ca="1">IF(ISNUMBER(L$74),IF('Datos Instalación'!$F$6="Autoconsumo Aislado",CostesNoGeneración!K77,K20+K49),"")</f>
        <v>62.866727978840018</v>
      </c>
      <c r="M79" s="128">
        <f ca="1">IF(ISNUMBER(M$74),IF('Datos Instalación'!$F$6="Autoconsumo Aislado",CostesNoGeneración!L77,L20+L49),"")</f>
        <v>62.609533826837222</v>
      </c>
      <c r="N79" s="128">
        <f ca="1">IF(ISNUMBER(N$74),IF('Datos Instalación'!$F$6="Autoconsumo Aislado",CostesNoGeneración!M77,M20+M49),"")</f>
        <v>62.353728523255228</v>
      </c>
      <c r="O79" s="128">
        <f ca="1">IF(ISNUMBER(O$74),IF('Datos Instalación'!$F$6="Autoconsumo Aislado",CostesNoGeneración!N77,N20+N49),"")</f>
        <v>62.099304568312562</v>
      </c>
      <c r="P79" s="128">
        <f ca="1">IF(ISNUMBER(P$74),IF('Datos Instalación'!$F$6="Autoconsumo Aislado",CostesNoGeneración!O77,O20+O49),"")</f>
        <v>61.846254502726609</v>
      </c>
      <c r="Q79" s="128">
        <f ca="1">IF(ISNUMBER(Q$74),IF('Datos Instalación'!$F$6="Autoconsumo Aislado",CostesNoGeneración!P77,P20+P49),"")</f>
        <v>61.594570907494813</v>
      </c>
      <c r="R79" s="128">
        <f ca="1">IF(ISNUMBER(R$74),IF('Datos Instalación'!$F$6="Autoconsumo Aislado",CostesNoGeneración!Q77,Q20+Q49),"")</f>
        <v>61.344246403677261</v>
      </c>
      <c r="S79" s="128">
        <f ca="1">IF(ISNUMBER(S$74),IF('Datos Instalación'!$F$6="Autoconsumo Aislado",CostesNoGeneración!R77,R20+R49),"")</f>
        <v>61.095273652180325</v>
      </c>
      <c r="T79" s="128">
        <f ca="1">IF(ISNUMBER(T$74),IF('Datos Instalación'!$F$6="Autoconsumo Aislado",CostesNoGeneración!S77,S20+S49),"")</f>
        <v>60.847645353541466</v>
      </c>
      <c r="U79" s="128">
        <f ca="1">IF(ISNUMBER(U$74),IF('Datos Instalación'!$F$6="Autoconsumo Aislado",CostesNoGeneración!T77,T20+T49),"")</f>
        <v>60.601354247715278</v>
      </c>
      <c r="V79" s="128">
        <f ca="1">IF(ISNUMBER(V$74),IF('Datos Instalación'!$F$6="Autoconsumo Aislado",CostesNoGeneración!U77,U20+U49),"")</f>
        <v>60.356393113860548</v>
      </c>
      <c r="W79" s="128">
        <f ca="1">IF(ISNUMBER(W$74),IF('Datos Instalación'!$F$6="Autoconsumo Aislado",CostesNoGeneración!V77,V20+V49),"")</f>
        <v>60.112754770128632</v>
      </c>
      <c r="X79" s="128">
        <f ca="1">IF(ISNUMBER(X$74),IF('Datos Instalación'!$F$6="Autoconsumo Aislado",CostesNoGeneración!W77,W20+W49),"")</f>
        <v>59.870432073452861</v>
      </c>
      <c r="Y79" s="128">
        <f ca="1">IF(ISNUMBER(Y$74),IF('Datos Instalación'!$F$6="Autoconsumo Aislado",CostesNoGeneración!X77,X20+X49),"")</f>
        <v>59.629417919339147</v>
      </c>
      <c r="Z79" s="128">
        <f ca="1">IF(ISNUMBER(Z$74),IF('Datos Instalación'!$F$6="Autoconsumo Aislado",CostesNoGeneración!Y77,Y20+Y49),"")</f>
        <v>59.389705241657637</v>
      </c>
      <c r="AA79" s="128">
        <f ca="1">IF(ISNUMBER(AA$74),IF('Datos Instalación'!$F$6="Autoconsumo Aislado",CostesNoGeneración!Z77,Z20+Z49),"")</f>
        <v>59.151287012435617</v>
      </c>
      <c r="AB79" s="128">
        <f ca="1">IF(ISNUMBER(AB$74),IF('Datos Instalación'!$F$6="Autoconsumo Aislado",CostesNoGeneración!AA77,AA20+AA49),"")</f>
        <v>58.914156241651384</v>
      </c>
      <c r="AC79" s="128">
        <f ca="1">IF(ISNUMBER(AC$74),IF('Datos Instalación'!$F$6="Autoconsumo Aislado",CostesNoGeneración!AB77,AB20+AB49),"")</f>
        <v>58.67830597702941</v>
      </c>
      <c r="AD79" s="128">
        <f ca="1">IF(ISNUMBER(AD$74),IF('Datos Instalación'!$F$6="Autoconsumo Aislado",CostesNoGeneración!AC77,AC20+AC49),"")</f>
        <v>58.443729303836363</v>
      </c>
      <c r="AE79" s="128">
        <f ca="1">IF(ISNUMBER(AE$74),IF('Datos Instalación'!$F$6="Autoconsumo Aislado",CostesNoGeneración!AD77,AD20+AD49),"")</f>
        <v>58.21041934467857</v>
      </c>
      <c r="AF79" s="128">
        <f ca="1">IF(ISNUMBER(AF$74),IF('Datos Instalación'!$F$6="Autoconsumo Aislado",CostesNoGeneración!AE77,AE20+AE49),"")</f>
        <v>57.978369259300223</v>
      </c>
      <c r="AG79" s="128" t="str">
        <f>IF(ISNUMBER(AG$10),IF('Datos Instalación'!$F$6="Autoconsumo Aislado",CostesNoGeneración!AG143,Ingresos!AH74+Ingresos!AH113),"")</f>
        <v/>
      </c>
      <c r="AH79" s="128"/>
      <c r="AI79" s="128"/>
      <c r="AJ79" s="128"/>
      <c r="AK79" s="128"/>
      <c r="AL79" s="128"/>
      <c r="AM79" s="128"/>
      <c r="AN79" s="128"/>
      <c r="AO79" s="128"/>
    </row>
    <row r="80" spans="1:41">
      <c r="A80" s="128"/>
      <c r="B80" s="281"/>
      <c r="C80" s="14" t="s">
        <v>9</v>
      </c>
      <c r="D80" s="128">
        <f ca="1">IF(ISNUMBER(D$74),IF('Datos Instalación'!$F$6="Autoconsumo Aislado",CostesNoGeneración!C78,C21+C50),"")</f>
        <v>65.589655103727623</v>
      </c>
      <c r="E80" s="128">
        <f ca="1">IF(ISNUMBER(E$74),IF('Datos Instalación'!$F$6="Autoconsumo Aislado",CostesNoGeneración!D78,D21+D50),"")</f>
        <v>65.319436455027628</v>
      </c>
      <c r="F80" s="128">
        <f ca="1">IF(ISNUMBER(F$74),IF('Datos Instalación'!$F$6="Autoconsumo Aislado",CostesNoGeneración!E78,E21+E50),"")</f>
        <v>65.050676987030613</v>
      </c>
      <c r="G80" s="128">
        <f ca="1">IF(ISNUMBER(G$74),IF('Datos Instalación'!$F$6="Autoconsumo Aislado",CostesNoGeneración!F78,F21+F50),"")</f>
        <v>64.78336882016076</v>
      </c>
      <c r="H80" s="128">
        <f ca="1">IF(ISNUMBER(H$74),IF('Datos Instalación'!$F$6="Autoconsumo Aislado",CostesNoGeneración!G78,G21+G50),"")</f>
        <v>64.517504117392036</v>
      </c>
      <c r="I80" s="128">
        <f ca="1">IF(ISNUMBER(I$74),IF('Datos Instalación'!$F$6="Autoconsumo Aislado",CostesNoGeneración!H78,H21+H50),"")</f>
        <v>64.253075084018235</v>
      </c>
      <c r="J80" s="128">
        <f ca="1">IF(ISNUMBER(J$74),IF('Datos Instalación'!$F$6="Autoconsumo Aislado",CostesNoGeneración!I78,I21+I50),"")</f>
        <v>63.990073967424685</v>
      </c>
      <c r="K80" s="128">
        <f ca="1">IF(ISNUMBER(K$74),IF('Datos Instalación'!$F$6="Autoconsumo Aislado",CostesNoGeneración!J78,J21+J50),"")</f>
        <v>63.728493056860721</v>
      </c>
      <c r="L80" s="128">
        <f ca="1">IF(ISNUMBER(L$74),IF('Datos Instalación'!$F$6="Autoconsumo Aislado",CostesNoGeneración!K78,K21+K50),"")</f>
        <v>63.468324683213794</v>
      </c>
      <c r="M80" s="128">
        <f ca="1">IF(ISNUMBER(M$74),IF('Datos Instalación'!$F$6="Autoconsumo Aislado",CostesNoGeneración!L78,L21+L50),"")</f>
        <v>63.209561218784572</v>
      </c>
      <c r="N80" s="128">
        <f ca="1">IF(ISNUMBER(N$74),IF('Datos Instalación'!$F$6="Autoconsumo Aislado",CostesNoGeneración!M78,M21+M50),"")</f>
        <v>62.952195077063266</v>
      </c>
      <c r="O80" s="128">
        <f ca="1">IF(ISNUMBER(O$74),IF('Datos Instalación'!$F$6="Autoconsumo Aislado",CostesNoGeneración!N78,N21+N50),"")</f>
        <v>62.696218712507267</v>
      </c>
      <c r="P80" s="128">
        <f ca="1">IF(ISNUMBER(P$74),IF('Datos Instalación'!$F$6="Autoconsumo Aislado",CostesNoGeneración!O78,O21+O50),"")</f>
        <v>62.441624620319836</v>
      </c>
      <c r="Q80" s="128">
        <f ca="1">IF(ISNUMBER(Q$74),IF('Datos Instalación'!$F$6="Autoconsumo Aislado",CostesNoGeneración!P78,P21+P50),"")</f>
        <v>62.18840533623024</v>
      </c>
      <c r="R80" s="128">
        <f ca="1">IF(ISNUMBER(R$74),IF('Datos Instalación'!$F$6="Autoconsumo Aislado",CostesNoGeneración!Q78,Q21+Q50),"")</f>
        <v>61.936553436274721</v>
      </c>
      <c r="S80" s="128">
        <f ca="1">IF(ISNUMBER(S$74),IF('Datos Instalación'!$F$6="Autoconsumo Aislado",CostesNoGeneración!R78,R21+R50),"")</f>
        <v>61.686061536578968</v>
      </c>
      <c r="T80" s="128">
        <f ca="1">IF(ISNUMBER(T$74),IF('Datos Instalación'!$F$6="Autoconsumo Aislado",CostesNoGeneración!S78,S21+S50),"")</f>
        <v>61.436922293141571</v>
      </c>
      <c r="U80" s="128">
        <f ca="1">IF(ISNUMBER(U$74),IF('Datos Instalación'!$F$6="Autoconsumo Aislado",CostesNoGeneración!T78,T21+T50),"")</f>
        <v>61.189128401618738</v>
      </c>
      <c r="V80" s="128">
        <f ca="1">IF(ISNUMBER(V$74),IF('Datos Instalación'!$F$6="Autoconsumo Aislado",CostesNoGeneración!U78,U21+U50),"")</f>
        <v>60.942672597110118</v>
      </c>
      <c r="W80" s="128">
        <f ca="1">IF(ISNUMBER(W$74),IF('Datos Instalación'!$F$6="Autoconsumo Aislado",CostesNoGeneración!V78,V21+V50),"")</f>
        <v>60.697547653945861</v>
      </c>
      <c r="X80" s="128">
        <f ca="1">IF(ISNUMBER(X$74),IF('Datos Instalación'!$F$6="Autoconsumo Aislado",CostesNoGeneración!W78,W21+W50),"")</f>
        <v>60.45374638547468</v>
      </c>
      <c r="Y80" s="128">
        <f ca="1">IF(ISNUMBER(Y$74),IF('Datos Instalación'!$F$6="Autoconsumo Aislado",CostesNoGeneración!X78,X21+X50),"")</f>
        <v>60.211261643853248</v>
      </c>
      <c r="Z80" s="128">
        <f ca="1">IF(ISNUMBER(Z$74),IF('Datos Instalación'!$F$6="Autoconsumo Aislado",CostesNoGeneración!Y78,Y21+Y50),"")</f>
        <v>59.970086319836568</v>
      </c>
      <c r="AA80" s="128">
        <f ca="1">IF(ISNUMBER(AA$74),IF('Datos Instalación'!$F$6="Autoconsumo Aislado",CostesNoGeneración!Z78,Z21+Z50),"")</f>
        <v>59.730213342569584</v>
      </c>
      <c r="AB80" s="128">
        <f ca="1">IF(ISNUMBER(AB$74),IF('Datos Instalación'!$F$6="Autoconsumo Aislado",CostesNoGeneración!AA78,AA21+AA50),"")</f>
        <v>59.491635679379826</v>
      </c>
      <c r="AC80" s="128">
        <f ca="1">IF(ISNUMBER(AC$74),IF('Datos Instalación'!$F$6="Autoconsumo Aislado",CostesNoGeneración!AB78,AB21+AB50),"")</f>
        <v>59.254346335571313</v>
      </c>
      <c r="AD80" s="128">
        <f ca="1">IF(ISNUMBER(AD$74),IF('Datos Instalación'!$F$6="Autoconsumo Aislado",CostesNoGeneración!AC78,AC21+AC50),"")</f>
        <v>59.018338354219352</v>
      </c>
      <c r="AE80" s="128">
        <f ca="1">IF(ISNUMBER(AE$74),IF('Datos Instalación'!$F$6="Autoconsumo Aislado",CostesNoGeneración!AD78,AD21+AD50),"")</f>
        <v>58.783604815966697</v>
      </c>
      <c r="AF80" s="128">
        <f ca="1">IF(ISNUMBER(AF$74),IF('Datos Instalación'!$F$6="Autoconsumo Aislado",CostesNoGeneración!AE78,AE21+AE50),"")</f>
        <v>58.550138838820601</v>
      </c>
      <c r="AG80" s="128" t="str">
        <f>IF(ISNUMBER(AG$10),IF('Datos Instalación'!$F$6="Autoconsumo Aislado",CostesNoGeneración!AG144,Ingresos!AH75+Ingresos!AH114),"")</f>
        <v/>
      </c>
      <c r="AH80" s="128"/>
      <c r="AI80" s="128"/>
      <c r="AJ80" s="128"/>
      <c r="AK80" s="128"/>
      <c r="AL80" s="128"/>
      <c r="AM80" s="128"/>
      <c r="AN80" s="128"/>
      <c r="AO80" s="128"/>
    </row>
    <row r="81" spans="1:41">
      <c r="A81" s="128"/>
      <c r="B81" s="281"/>
      <c r="C81" s="14" t="s">
        <v>10</v>
      </c>
      <c r="D81" s="128">
        <f ca="1">IF(ISNUMBER(D$74),IF('Datos Instalación'!$F$6="Autoconsumo Aislado",CostesNoGeneración!C79,C22+C51),"")</f>
        <v>70.055604948622261</v>
      </c>
      <c r="E81" s="128">
        <f ca="1">IF(ISNUMBER(E$74),IF('Datos Instalación'!$F$6="Autoconsumo Aislado",CostesNoGeneración!D79,D22+D51),"")</f>
        <v>69.781421888086257</v>
      </c>
      <c r="F81" s="128">
        <f ca="1">IF(ISNUMBER(F$74),IF('Datos Instalación'!$F$6="Autoconsumo Aislado",CostesNoGeneración!E79,E22+E51),"")</f>
        <v>69.50871941607717</v>
      </c>
      <c r="G81" s="128">
        <f ca="1">IF(ISNUMBER(G$74),IF('Datos Instalación'!$F$6="Autoconsumo Aislado",CostesNoGeneración!F79,F22+F51),"")</f>
        <v>69.237489537416906</v>
      </c>
      <c r="H81" s="128">
        <f ca="1">IF(ISNUMBER(H$74),IF('Datos Instalación'!$F$6="Autoconsumo Aislado",CostesNoGeneración!G79,G22+G51),"")</f>
        <v>68.967724300101409</v>
      </c>
      <c r="I81" s="128">
        <f ca="1">IF(ISNUMBER(I$74),IF('Datos Instalación'!$F$6="Autoconsumo Aislado",CostesNoGeneración!H79,H22+H51),"")</f>
        <v>68.699415795067424</v>
      </c>
      <c r="J81" s="128">
        <f ca="1">IF(ISNUMBER(J$74),IF('Datos Instalación'!$F$6="Autoconsumo Aislado",CostesNoGeneración!I79,I22+I51),"")</f>
        <v>68.432556155960626</v>
      </c>
      <c r="K81" s="128">
        <f ca="1">IF(ISNUMBER(K$74),IF('Datos Instalación'!$F$6="Autoconsumo Aislado",CostesNoGeneración!J79,J22+J51),"")</f>
        <v>68.167137558904997</v>
      </c>
      <c r="L81" s="128">
        <f ca="1">IF(ISNUMBER(L$74),IF('Datos Instalación'!$F$6="Autoconsumo Aislado",CostesNoGeneración!K79,K22+K51),"")</f>
        <v>67.903152222273476</v>
      </c>
      <c r="M81" s="128">
        <f ca="1">IF(ISNUMBER(M$74),IF('Datos Instalación'!$F$6="Autoconsumo Aislado",CostesNoGeneración!L79,L22+L51),"")</f>
        <v>67.64059240645976</v>
      </c>
      <c r="N81" s="128">
        <f ca="1">IF(ISNUMBER(N$74),IF('Datos Instalación'!$F$6="Autoconsumo Aislado",CostesNoGeneración!M79,M22+M51),"")</f>
        <v>67.379450413651426</v>
      </c>
      <c r="O81" s="128">
        <f ca="1">IF(ISNUMBER(O$74),IF('Datos Instalación'!$F$6="Autoconsumo Aislado",CostesNoGeneración!N79,N22+N51),"")</f>
        <v>67.119718587604268</v>
      </c>
      <c r="P81" s="128">
        <f ca="1">IF(ISNUMBER(P$74),IF('Datos Instalación'!$F$6="Autoconsumo Aislado",CostesNoGeneración!O79,O22+O51),"")</f>
        <v>66.861389313417774</v>
      </c>
      <c r="Q81" s="128">
        <f ca="1">IF(ISNUMBER(Q$74),IF('Datos Instalación'!$F$6="Autoconsumo Aislado",CostesNoGeneración!P79,P22+P51),"")</f>
        <v>66.604455017311864</v>
      </c>
      <c r="R81" s="128">
        <f ca="1">IF(ISNUMBER(R$74),IF('Datos Instalación'!$F$6="Autoconsumo Aislado",CostesNoGeneración!Q79,Q22+Q51),"")</f>
        <v>66.348908166404939</v>
      </c>
      <c r="S81" s="128">
        <f ca="1">IF(ISNUMBER(S$74),IF('Datos Instalación'!$F$6="Autoconsumo Aislado",CostesNoGeneración!R79,R22+R51),"")</f>
        <v>66.094741268492911</v>
      </c>
      <c r="T81" s="128">
        <f ca="1">IF(ISNUMBER(T$74),IF('Datos Instalación'!$F$6="Autoconsumo Aislado",CostesNoGeneración!S79,S22+S51),"")</f>
        <v>65.84194687182962</v>
      </c>
      <c r="U81" s="128">
        <f ca="1">IF(ISNUMBER(U$74),IF('Datos Instalación'!$F$6="Autoconsumo Aislado",CostesNoGeneración!T79,T22+T51),"")</f>
        <v>65.590517564908296</v>
      </c>
      <c r="V81" s="128">
        <f ca="1">IF(ISNUMBER(V$74),IF('Datos Instalación'!$F$6="Autoconsumo Aislado",CostesNoGeneración!U79,U22+U51),"")</f>
        <v>65.340445976244354</v>
      </c>
      <c r="W81" s="128">
        <f ca="1">IF(ISNUMBER(W$74),IF('Datos Instalación'!$F$6="Autoconsumo Aislado",CostesNoGeneración!V79,V22+V51),"")</f>
        <v>65.091724774159189</v>
      </c>
      <c r="X81" s="128">
        <f ca="1">IF(ISNUMBER(X$74),IF('Datos Instalación'!$F$6="Autoconsumo Aislado",CostesNoGeneración!W79,W22+W51),"")</f>
        <v>64.844346666565301</v>
      </c>
      <c r="Y81" s="128">
        <f ca="1">IF(ISNUMBER(Y$74),IF('Datos Instalación'!$F$6="Autoconsumo Aislado",CostesNoGeneración!X79,X22+X51),"")</f>
        <v>64.598304400752397</v>
      </c>
      <c r="Z81" s="128">
        <f ca="1">IF(ISNUMBER(Z$74),IF('Datos Instalación'!$F$6="Autoconsumo Aislado",CostesNoGeneración!Y79,Y22+Y51),"")</f>
        <v>64.353590763174893</v>
      </c>
      <c r="AA81" s="128">
        <f ca="1">IF(ISNUMBER(AA$74),IF('Datos Instalación'!$F$6="Autoconsumo Aislado",CostesNoGeneración!Z79,Z22+Z51),"")</f>
        <v>64.110198579240304</v>
      </c>
      <c r="AB81" s="128">
        <f ca="1">IF(ISNUMBER(AB$74),IF('Datos Instalación'!$F$6="Autoconsumo Aislado",CostesNoGeneración!AA79,AA22+AA51),"")</f>
        <v>63.868120713098975</v>
      </c>
      <c r="AC81" s="128">
        <f ca="1">IF(ISNUMBER(AC$74),IF('Datos Instalación'!$F$6="Autoconsumo Aislado",CostesNoGeneración!AB79,AB22+AB51),"")</f>
        <v>63.627350067434804</v>
      </c>
      <c r="AD81" s="128">
        <f ca="1">IF(ISNUMBER(AD$74),IF('Datos Instalación'!$F$6="Autoconsumo Aislado",CostesNoGeneración!AC79,AC22+AC51),"")</f>
        <v>63.387879583257217</v>
      </c>
      <c r="AE81" s="128">
        <f ca="1">IF(ISNUMBER(AE$74),IF('Datos Instalación'!$F$6="Autoconsumo Aislado",CostesNoGeneración!AD79,AD22+AD51),"")</f>
        <v>63.149702239694179</v>
      </c>
      <c r="AF81" s="128">
        <f ca="1">IF(ISNUMBER(AF$74),IF('Datos Instalación'!$F$6="Autoconsumo Aislado",CostesNoGeneración!AE79,AE22+AE51),"")</f>
        <v>62.912811053786399</v>
      </c>
      <c r="AG81" s="128" t="str">
        <f>IF(ISNUMBER(AG$10),IF('Datos Instalación'!$F$6="Autoconsumo Aislado",CostesNoGeneración!AG145,Ingresos!AH76+Ingresos!AH115),"")</f>
        <v/>
      </c>
      <c r="AH81" s="128"/>
      <c r="AI81" s="128"/>
      <c r="AJ81" s="128"/>
      <c r="AK81" s="128"/>
      <c r="AL81" s="128"/>
      <c r="AM81" s="128"/>
      <c r="AN81" s="128"/>
      <c r="AO81" s="128"/>
    </row>
    <row r="82" spans="1:41">
      <c r="A82" s="128"/>
      <c r="B82" s="281"/>
      <c r="C82" s="14" t="s">
        <v>11</v>
      </c>
      <c r="D82" s="128">
        <f ca="1">IF(ISNUMBER(D$74),IF('Datos Instalación'!$F$6="Autoconsumo Aislado",CostesNoGeneración!C80,C23+C52),"")</f>
        <v>63.90175520995129</v>
      </c>
      <c r="E82" s="128">
        <f ca="1">IF(ISNUMBER(E$74),IF('Datos Instalación'!$F$6="Autoconsumo Aislado",CostesNoGeneración!D80,D23+D52),"")</f>
        <v>63.645689150009296</v>
      </c>
      <c r="F82" s="128">
        <f ca="1">IF(ISNUMBER(F$74),IF('Datos Instalación'!$F$6="Autoconsumo Aislado",CostesNoGeneración!E80,E23+E52),"")</f>
        <v>63.391005846790982</v>
      </c>
      <c r="G82" s="128">
        <f ca="1">IF(ISNUMBER(G$74),IF('Datos Instalación'!$F$6="Autoconsumo Aislado",CostesNoGeneración!F80,F23+F52),"")</f>
        <v>63.137697833410044</v>
      </c>
      <c r="H82" s="128">
        <f ca="1">IF(ISNUMBER(H$74),IF('Datos Instalación'!$F$6="Autoconsumo Aislado",CostesNoGeneración!G80,G23+G52),"")</f>
        <v>62.885757683301364</v>
      </c>
      <c r="I82" s="128">
        <f ca="1">IF(ISNUMBER(I$74),IF('Datos Instalación'!$F$6="Autoconsumo Aislado",CostesNoGeneración!H80,H23+H52),"")</f>
        <v>62.63517801000328</v>
      </c>
      <c r="J82" s="128">
        <f ca="1">IF(ISNUMBER(J$74),IF('Datos Instalación'!$F$6="Autoconsumo Aislado",CostesNoGeneración!I80,I23+I52),"")</f>
        <v>62.385951466940988</v>
      </c>
      <c r="K82" s="128">
        <f ca="1">IF(ISNUMBER(K$74),IF('Datos Instalación'!$F$6="Autoconsumo Aislado",CostesNoGeneración!J80,J23+J52),"")</f>
        <v>62.138070747211252</v>
      </c>
      <c r="L82" s="128">
        <f ca="1">IF(ISNUMBER(L$74),IF('Datos Instalación'!$F$6="Autoconsumo Aislado",CostesNoGeneración!K80,K23+K52),"")</f>
        <v>61.891528583368057</v>
      </c>
      <c r="M82" s="128">
        <f ca="1">IF(ISNUMBER(M$74),IF('Datos Instalación'!$F$6="Autoconsumo Aislado",CostesNoGeneración!L80,L23+L52),"")</f>
        <v>61.646317747209601</v>
      </c>
      <c r="N82" s="128">
        <f ca="1">IF(ISNUMBER(N$74),IF('Datos Instalación'!$F$6="Autoconsumo Aislado",CostesNoGeneración!M80,M23+M52),"")</f>
        <v>61.402431049566395</v>
      </c>
      <c r="O82" s="128">
        <f ca="1">IF(ISNUMBER(O$74),IF('Datos Instalación'!$F$6="Autoconsumo Aislado",CostesNoGeneración!N80,N23+N52),"")</f>
        <v>61.159861340090487</v>
      </c>
      <c r="P82" s="128">
        <f ca="1">IF(ISNUMBER(P$74),IF('Datos Instalación'!$F$6="Autoconsumo Aislado",CostesNoGeneración!O80,O23+O52),"")</f>
        <v>60.918601507045736</v>
      </c>
      <c r="Q82" s="128">
        <f ca="1">IF(ISNUMBER(Q$74),IF('Datos Instalación'!$F$6="Autoconsumo Aislado",CostesNoGeneración!P80,P23+P52),"")</f>
        <v>60.678644477099425</v>
      </c>
      <c r="R82" s="128">
        <f ca="1">IF(ISNUMBER(R$74),IF('Datos Instalación'!$F$6="Autoconsumo Aislado",CostesNoGeneración!Q80,Q23+Q52),"")</f>
        <v>60.439983215114822</v>
      </c>
      <c r="S82" s="128">
        <f ca="1">IF(ISNUMBER(S$74),IF('Datos Instalación'!$F$6="Autoconsumo Aislado",CostesNoGeneración!R80,R23+R52),"")</f>
        <v>60.202610723944936</v>
      </c>
      <c r="T82" s="128">
        <f ca="1">IF(ISNUMBER(T$74),IF('Datos Instalación'!$F$6="Autoconsumo Aislado",CostesNoGeneración!S80,S23+S52),"")</f>
        <v>59.966520044227366</v>
      </c>
      <c r="U82" s="128">
        <f ca="1">IF(ISNUMBER(U$74),IF('Datos Instalación'!$F$6="Autoconsumo Aislado",CostesNoGeneración!T80,T23+T52),"")</f>
        <v>59.731704254180279</v>
      </c>
      <c r="V82" s="128">
        <f ca="1">IF(ISNUMBER(V$74),IF('Datos Instalación'!$F$6="Autoconsumo Aislado",CostesNoGeneración!U80,U23+U52),"")</f>
        <v>59.49815646939944</v>
      </c>
      <c r="W82" s="128">
        <f ca="1">IF(ISNUMBER(W$74),IF('Datos Instalación'!$F$6="Autoconsumo Aislado",CostesNoGeneración!V80,V23+V52),"")</f>
        <v>59.265869842656414</v>
      </c>
      <c r="X82" s="128">
        <f ca="1">IF(ISNUMBER(X$74),IF('Datos Instalación'!$F$6="Autoconsumo Aislado",CostesNoGeneración!W80,W23+W52),"")</f>
        <v>59.034837563697813</v>
      </c>
      <c r="Y82" s="128">
        <f ca="1">IF(ISNUMBER(Y$74),IF('Datos Instalación'!$F$6="Autoconsumo Aislado",CostesNoGeneración!X80,X23+X52),"")</f>
        <v>58.805052859045588</v>
      </c>
      <c r="Z82" s="128">
        <f ca="1">IF(ISNUMBER(Z$74),IF('Datos Instalación'!$F$6="Autoconsumo Aislado",CostesNoGeneración!Y80,Y23+Y52),"")</f>
        <v>58.576508991798477</v>
      </c>
      <c r="AA82" s="128">
        <f ca="1">IF(ISNUMBER(AA$74),IF('Datos Instalación'!$F$6="Autoconsumo Aislado",CostesNoGeneración!Z80,Z23+Z52),"")</f>
        <v>58.349199261434499</v>
      </c>
      <c r="AB82" s="128">
        <f ca="1">IF(ISNUMBER(AB$74),IF('Datos Instalación'!$F$6="Autoconsumo Aislado",CostesNoGeneración!AA80,AA23+AA52),"")</f>
        <v>58.123117003614489</v>
      </c>
      <c r="AC82" s="128">
        <f ca="1">IF(ISNUMBER(AC$74),IF('Datos Instalación'!$F$6="Autoconsumo Aislado",CostesNoGeneración!AB80,AB23+AB52),"")</f>
        <v>57.898255589986711</v>
      </c>
      <c r="AD82" s="128">
        <f ca="1">IF(ISNUMBER(AD$74),IF('Datos Instalación'!$F$6="Autoconsumo Aislado",CostesNoGeneración!AC80,AC23+AC52),"")</f>
        <v>57.67460842799251</v>
      </c>
      <c r="AE82" s="128">
        <f ca="1">IF(ISNUMBER(AE$74),IF('Datos Instalación'!$F$6="Autoconsumo Aislado",CostesNoGeneración!AD80,AD23+AD52),"")</f>
        <v>57.452168960673092</v>
      </c>
      <c r="AF82" s="128">
        <f ca="1">IF(ISNUMBER(AF$74),IF('Datos Instalación'!$F$6="Autoconsumo Aislado",CostesNoGeneración!AE80,AE23+AE52),"")</f>
        <v>57.2309306664772</v>
      </c>
      <c r="AG82" s="128" t="str">
        <f>IF(ISNUMBER(AG$10),IF('Datos Instalación'!$F$6="Autoconsumo Aislado",CostesNoGeneración!AG146,Ingresos!AH77+Ingresos!AH116),"")</f>
        <v/>
      </c>
      <c r="AH82" s="128"/>
      <c r="AI82" s="128"/>
      <c r="AJ82" s="128"/>
      <c r="AK82" s="128"/>
      <c r="AL82" s="128"/>
      <c r="AM82" s="128"/>
      <c r="AN82" s="128"/>
      <c r="AO82" s="128"/>
    </row>
    <row r="83" spans="1:41">
      <c r="A83" s="128"/>
      <c r="B83" s="281"/>
      <c r="C83" s="14" t="s">
        <v>12</v>
      </c>
      <c r="D83" s="128">
        <f ca="1">IF(ISNUMBER(D$74),IF('Datos Instalación'!$F$6="Autoconsumo Aislado",CostesNoGeneración!C81,C24+C53),"")</f>
        <v>57.25515200372763</v>
      </c>
      <c r="E83" s="128">
        <f ca="1">IF(ISNUMBER(E$74),IF('Datos Instalación'!$F$6="Autoconsumo Aislado",CostesNoGeneración!D81,D24+D53),"")</f>
        <v>57.029939671767629</v>
      </c>
      <c r="F83" s="128">
        <f ca="1">IF(ISNUMBER(F$74),IF('Datos Instalación'!$F$6="Autoconsumo Aislado",CostesNoGeneración!E81,E24+E53),"")</f>
        <v>56.805943486400217</v>
      </c>
      <c r="G83" s="128">
        <f ca="1">IF(ISNUMBER(G$74),IF('Datos Instalación'!$F$6="Autoconsumo Aislado",CostesNoGeneración!F81,F24+F53),"")</f>
        <v>56.583156880433783</v>
      </c>
      <c r="H83" s="128">
        <f ca="1">IF(ISNUMBER(H$74),IF('Datos Instalación'!$F$6="Autoconsumo Aislado",CostesNoGeneración!G81,G24+G53),"")</f>
        <v>56.36157332213957</v>
      </c>
      <c r="I83" s="128">
        <f ca="1">IF(ISNUMBER(I$74),IF('Datos Instalación'!$F$6="Autoconsumo Aislado",CostesNoGeneración!H81,H24+H53),"")</f>
        <v>56.141186315060146</v>
      </c>
      <c r="J83" s="128">
        <f ca="1">IF(ISNUMBER(J$74),IF('Datos Instalación'!$F$6="Autoconsumo Aislado",CostesNoGeneración!I81,I24+I53),"")</f>
        <v>55.921989397818948</v>
      </c>
      <c r="K83" s="128">
        <f ca="1">IF(ISNUMBER(K$74),IF('Datos Instalación'!$F$6="Autoconsumo Aislado",CostesNoGeneración!J81,J24+J53),"")</f>
        <v>55.703976143930852</v>
      </c>
      <c r="L83" s="128">
        <f ca="1">IF(ISNUMBER(L$74),IF('Datos Instalación'!$F$6="Autoconsumo Aislado",CostesNoGeneración!K81,K24+K53),"")</f>
        <v>55.487140161613759</v>
      </c>
      <c r="M83" s="128">
        <f ca="1">IF(ISNUMBER(M$74),IF('Datos Instalación'!$F$6="Autoconsumo Aislado",CostesNoGeneración!L81,L24+L53),"")</f>
        <v>55.271475093601175</v>
      </c>
      <c r="N83" s="128">
        <f ca="1">IF(ISNUMBER(N$74),IF('Datos Instalación'!$F$6="Autoconsumo Aislado",CostesNoGeneración!M81,M24+M53),"")</f>
        <v>55.056974616955863</v>
      </c>
      <c r="O83" s="128">
        <f ca="1">IF(ISNUMBER(O$74),IF('Datos Instalación'!$F$6="Autoconsumo Aislado",CostesNoGeneración!N81,N24+N53),"")</f>
        <v>54.843632442884427</v>
      </c>
      <c r="P83" s="128">
        <f ca="1">IF(ISNUMBER(P$74),IF('Datos Instalación'!$F$6="Autoconsumo Aislado",CostesNoGeneración!O81,O24+O53),"")</f>
        <v>54.631442316552977</v>
      </c>
      <c r="Q83" s="128">
        <f ca="1">IF(ISNUMBER(Q$74),IF('Datos Instalación'!$F$6="Autoconsumo Aislado",CostesNoGeneración!P81,P24+P53),"")</f>
        <v>54.420398016903725</v>
      </c>
      <c r="R83" s="128">
        <f ca="1">IF(ISNUMBER(R$74),IF('Datos Instalación'!$F$6="Autoconsumo Aislado",CostesNoGeneración!Q81,Q24+Q53),"")</f>
        <v>54.210493356472568</v>
      </c>
      <c r="S83" s="128">
        <f ca="1">IF(ISNUMBER(S$74),IF('Datos Instalación'!$F$6="Autoconsumo Aislado",CostesNoGeneración!R81,R24+R53),"")</f>
        <v>54.001722181207739</v>
      </c>
      <c r="T83" s="128">
        <f ca="1">IF(ISNUMBER(T$74),IF('Datos Instalación'!$F$6="Autoconsumo Aislado",CostesNoGeneración!S81,S24+S53),"")</f>
        <v>53.794078370289355</v>
      </c>
      <c r="U83" s="128">
        <f ca="1">IF(ISNUMBER(U$74),IF('Datos Instalación'!$F$6="Autoconsumo Aislado",CostesNoGeneración!T81,T24+T53),"")</f>
        <v>53.587555835949928</v>
      </c>
      <c r="V83" s="128">
        <f ca="1">IF(ISNUMBER(V$74),IF('Datos Instalación'!$F$6="Autoconsumo Aislado",CostesNoGeneración!U81,U24+U53),"")</f>
        <v>53.382148523295918</v>
      </c>
      <c r="W83" s="128">
        <f ca="1">IF(ISNUMBER(W$74),IF('Datos Instalación'!$F$6="Autoconsumo Aislado",CostesNoGeneración!V81,V24+V53),"")</f>
        <v>53.177850410130247</v>
      </c>
      <c r="X83" s="128">
        <f ca="1">IF(ISNUMBER(X$74),IF('Datos Instalación'!$F$6="Autoconsumo Aislado",CostesNoGeneración!W81,W24+W53),"")</f>
        <v>52.974655506775662</v>
      </c>
      <c r="Y83" s="128">
        <f ca="1">IF(ISNUMBER(Y$74),IF('Datos Instalación'!$F$6="Autoconsumo Aislado",CostesNoGeneración!X81,X24+X53),"")</f>
        <v>52.772557855899223</v>
      </c>
      <c r="Z83" s="128">
        <f ca="1">IF(ISNUMBER(Z$74),IF('Datos Instalación'!$F$6="Autoconsumo Aislado",CostesNoGeneración!Y81,Y24+Y53),"")</f>
        <v>52.571551532337487</v>
      </c>
      <c r="AA83" s="128">
        <f ca="1">IF(ISNUMBER(AA$74),IF('Datos Instalación'!$F$6="Autoconsumo Aislado",CostesNoGeneración!Z81,Z24+Z53),"")</f>
        <v>52.371630642922995</v>
      </c>
      <c r="AB83" s="128">
        <f ca="1">IF(ISNUMBER(AB$74),IF('Datos Instalación'!$F$6="Autoconsumo Aislado",CostesNoGeneración!AA81,AA24+AA53),"")</f>
        <v>52.172789326311339</v>
      </c>
      <c r="AC83" s="128">
        <f ca="1">IF(ISNUMBER(AC$74),IF('Datos Instalación'!$F$6="Autoconsumo Aislado",CostesNoGeneración!AB81,AB24+AB53),"")</f>
        <v>51.975021752809397</v>
      </c>
      <c r="AD83" s="128">
        <f ca="1">IF(ISNUMBER(AD$74),IF('Datos Instalación'!$F$6="Autoconsumo Aislado",CostesNoGeneración!AC81,AC24+AC53),"")</f>
        <v>51.778322124204351</v>
      </c>
      <c r="AE83" s="128">
        <f ca="1">IF(ISNUMBER(AE$74),IF('Datos Instalación'!$F$6="Autoconsumo Aislado",CostesNoGeneración!AD81,AD24+AD53),"")</f>
        <v>51.582684673593768</v>
      </c>
      <c r="AF83" s="128">
        <f ca="1">IF(ISNUMBER(AF$74),IF('Datos Instalación'!$F$6="Autoconsumo Aislado",CostesNoGeneración!AE81,AE24+AE53),"")</f>
        <v>51.388103665216498</v>
      </c>
      <c r="AG83" s="128" t="str">
        <f>IF(ISNUMBER(AG$10),IF('Datos Instalación'!$F$6="Autoconsumo Aislado",CostesNoGeneración!AG147,Ingresos!AH78+Ingresos!AH117),"")</f>
        <v/>
      </c>
      <c r="AH83" s="128"/>
      <c r="AI83" s="128"/>
      <c r="AJ83" s="128"/>
      <c r="AK83" s="128"/>
      <c r="AL83" s="128"/>
      <c r="AM83" s="128"/>
      <c r="AN83" s="128"/>
      <c r="AO83" s="128"/>
    </row>
    <row r="84" spans="1:41">
      <c r="A84" s="128"/>
      <c r="B84" s="281"/>
      <c r="C84" s="14" t="s">
        <v>13</v>
      </c>
      <c r="D84" s="128">
        <f ca="1">IF(ISNUMBER(D$74),IF('Datos Instalación'!$F$6="Autoconsumo Aislado",CostesNoGeneración!C82,C25+C54),"")</f>
        <v>54.736338637876734</v>
      </c>
      <c r="E84" s="128">
        <f ca="1">IF(ISNUMBER(E$74),IF('Datos Instalación'!$F$6="Autoconsumo Aislado",CostesNoGeneración!D82,D25+D54),"")</f>
        <v>54.528086517646727</v>
      </c>
      <c r="F84" s="128">
        <f ca="1">IF(ISNUMBER(F$74),IF('Datos Instalación'!$F$6="Autoconsumo Aislado",CostesNoGeneración!E82,E25+E54),"")</f>
        <v>54.320958958865965</v>
      </c>
      <c r="G84" s="128">
        <f ca="1">IF(ISNUMBER(G$74),IF('Datos Instalación'!$F$6="Autoconsumo Aislado",CostesNoGeneración!F82,F25+F54),"")</f>
        <v>54.114949888902629</v>
      </c>
      <c r="H84" s="128">
        <f ca="1">IF(ISNUMBER(H$74),IF('Datos Instalación'!$F$6="Autoconsumo Aislado",CostesNoGeneración!G82,G25+G54),"")</f>
        <v>53.910053267917085</v>
      </c>
      <c r="I84" s="128">
        <f ca="1">IF(ISNUMBER(I$74),IF('Datos Instalación'!$F$6="Autoconsumo Aislado",CostesNoGeneración!H82,H25+H54),"")</f>
        <v>53.706263088684871</v>
      </c>
      <c r="J84" s="128">
        <f ca="1">IF(ISNUMBER(J$74),IF('Datos Instalación'!$F$6="Autoconsumo Aislado",CostesNoGeneración!I82,I25+I54),"")</f>
        <v>53.503573376420505</v>
      </c>
      <c r="K84" s="128">
        <f ca="1">IF(ISNUMBER(K$74),IF('Datos Instalación'!$F$6="Autoconsumo Aislado",CostesNoGeneración!J82,J25+J54),"")</f>
        <v>53.301978188602376</v>
      </c>
      <c r="L84" s="128">
        <f ca="1">IF(ISNUMBER(L$74),IF('Datos Instalación'!$F$6="Autoconsumo Aislado",CostesNoGeneración!K82,K25+K54),"")</f>
        <v>53.101471614798456</v>
      </c>
      <c r="M84" s="128">
        <f ca="1">IF(ISNUMBER(M$74),IF('Datos Instalación'!$F$6="Autoconsumo Aislado",CostesNoGeneración!L82,L25+L54),"")</f>
        <v>52.902047776493077</v>
      </c>
      <c r="N84" s="128">
        <f ca="1">IF(ISNUMBER(N$74),IF('Datos Instalación'!$F$6="Autoconsumo Aislado",CostesNoGeneración!M82,M25+M54),"")</f>
        <v>52.703700826914556</v>
      </c>
      <c r="O84" s="128">
        <f ca="1">IF(ISNUMBER(O$74),IF('Datos Instalación'!$F$6="Autoconsumo Aislado",CostesNoGeneración!N82,N25+N54),"")</f>
        <v>52.506424950863746</v>
      </c>
      <c r="P84" s="128">
        <f ca="1">IF(ISNUMBER(P$74),IF('Datos Instalación'!$F$6="Autoconsumo Aislado",CostesNoGeneración!O82,O25+O54),"")</f>
        <v>52.310214364543612</v>
      </c>
      <c r="Q84" s="128">
        <f ca="1">IF(ISNUMBER(Q$74),IF('Datos Instalación'!$F$6="Autoconsumo Aislado",CostesNoGeneración!P82,P25+P54),"")</f>
        <v>52.115063315389612</v>
      </c>
      <c r="R84" s="128">
        <f ca="1">IF(ISNUMBER(R$74),IF('Datos Instalación'!$F$6="Autoconsumo Aislado",CostesNoGeneración!Q82,Q25+Q54),"")</f>
        <v>51.920966081901042</v>
      </c>
      <c r="S84" s="128">
        <f ca="1">IF(ISNUMBER(S$74),IF('Datos Instalación'!$F$6="Autoconsumo Aislado",CostesNoGeneración!R82,R25+R54),"")</f>
        <v>51.727916973473299</v>
      </c>
      <c r="T84" s="128">
        <f ca="1">IF(ISNUMBER(T$74),IF('Datos Instalación'!$F$6="Autoconsumo Aislado",CostesNoGeneración!S82,S25+S54),"")</f>
        <v>51.53591033023109</v>
      </c>
      <c r="U84" s="128">
        <f ca="1">IF(ISNUMBER(U$74),IF('Datos Instalación'!$F$6="Autoconsumo Aislado",CostesNoGeneración!T82,T25+T54),"")</f>
        <v>51.344940522862387</v>
      </c>
      <c r="V84" s="128">
        <f ca="1">IF(ISNUMBER(V$74),IF('Datos Instalación'!$F$6="Autoconsumo Aislado",CostesNoGeneración!U82,U25+U54),"")</f>
        <v>51.155001952453453</v>
      </c>
      <c r="W84" s="128">
        <f ca="1">IF(ISNUMBER(W$74),IF('Datos Instalación'!$F$6="Autoconsumo Aislado",CostesNoGeneración!V82,V25+V54),"")</f>
        <v>50.966089050324733</v>
      </c>
      <c r="X84" s="128">
        <f ca="1">IF(ISNUMBER(X$74),IF('Datos Instalación'!$F$6="Autoconsumo Aislado",CostesNoGeneración!W82,W25+W54),"")</f>
        <v>50.778196277867522</v>
      </c>
      <c r="Y84" s="128">
        <f ca="1">IF(ISNUMBER(Y$74),IF('Datos Instalación'!$F$6="Autoconsumo Aislado",CostesNoGeneración!X82,X25+X54),"")</f>
        <v>50.591318126381566</v>
      </c>
      <c r="Z84" s="128">
        <f ca="1">IF(ISNUMBER(Z$74),IF('Datos Instalación'!$F$6="Autoconsumo Aislado",CostesNoGeneración!Y82,Y25+Y54),"")</f>
        <v>50.40544911691363</v>
      </c>
      <c r="AA84" s="128">
        <f ca="1">IF(ISNUMBER(AA$74),IF('Datos Instalación'!$F$6="Autoconsumo Aislado",CostesNoGeneración!Z82,Z25+Z54),"")</f>
        <v>50.220583800096847</v>
      </c>
      <c r="AB84" s="128">
        <f ca="1">IF(ISNUMBER(AB$74),IF('Datos Instalación'!$F$6="Autoconsumo Aislado",CostesNoGeneración!AA82,AA25+AA54),"")</f>
        <v>50.036716755990852</v>
      </c>
      <c r="AC84" s="128">
        <f ca="1">IF(ISNUMBER(AC$74),IF('Datos Instalación'!$F$6="Autoconsumo Aislado",CostesNoGeneración!AB82,AB25+AB54),"")</f>
        <v>49.853842593923041</v>
      </c>
      <c r="AD84" s="128">
        <f ca="1">IF(ISNUMBER(AD$74),IF('Datos Instalación'!$F$6="Autoconsumo Aislado",CostesNoGeneración!AC82,AC25+AC54),"")</f>
        <v>49.671955952330393</v>
      </c>
      <c r="AE84" s="128">
        <f ca="1">IF(ISNUMBER(AE$74),IF('Datos Instalación'!$F$6="Autoconsumo Aislado",CostesNoGeneración!AD82,AD25+AD54),"")</f>
        <v>49.491051498602346</v>
      </c>
      <c r="AF84" s="128">
        <f ca="1">IF(ISNUMBER(AF$74),IF('Datos Instalación'!$F$6="Autoconsumo Aislado",CostesNoGeneración!AE82,AE25+AE54),"")</f>
        <v>49.311123928924417</v>
      </c>
      <c r="AG84" s="128" t="str">
        <f>IF(ISNUMBER(AG$10),IF('Datos Instalación'!$F$6="Autoconsumo Aislado",CostesNoGeneración!AG148,Ingresos!AH79+Ingresos!AH118),"")</f>
        <v/>
      </c>
      <c r="AH84" s="128"/>
      <c r="AI84" s="128"/>
      <c r="AJ84" s="128"/>
      <c r="AK84" s="128"/>
      <c r="AL84" s="128"/>
      <c r="AM84" s="128"/>
      <c r="AN84" s="128"/>
      <c r="AO84" s="128"/>
    </row>
    <row r="85" spans="1:41">
      <c r="A85" s="128"/>
      <c r="B85" s="281"/>
      <c r="C85" s="14" t="s">
        <v>14</v>
      </c>
      <c r="D85" s="128">
        <f ca="1">IF(ISNUMBER(D$74),IF('Datos Instalación'!$F$6="Autoconsumo Aislado",CostesNoGeneración!C83,C26+C55),"")</f>
        <v>49.054536503727626</v>
      </c>
      <c r="E85" s="128">
        <f ca="1">IF(ISNUMBER(E$74),IF('Datos Instalación'!$F$6="Autoconsumo Aislado",CostesNoGeneración!D83,D26+D55),"")</f>
        <v>48.873607495467617</v>
      </c>
      <c r="F85" s="128">
        <f ca="1">IF(ISNUMBER(F$74),IF('Datos Instalación'!$F$6="Autoconsumo Aislado",CostesNoGeneración!E83,E26+E55),"")</f>
        <v>48.693655503852227</v>
      </c>
      <c r="G85" s="128">
        <f ca="1">IF(ISNUMBER(G$74),IF('Datos Instalación'!$F$6="Autoconsumo Aislado",CostesNoGeneración!F83,F26+F55),"")</f>
        <v>48.514675252991559</v>
      </c>
      <c r="H85" s="128">
        <f ca="1">IF(ISNUMBER(H$74),IF('Datos Instalación'!$F$6="Autoconsumo Aislado",CostesNoGeneración!G83,G26+G55),"")</f>
        <v>48.336661495485536</v>
      </c>
      <c r="I85" s="128">
        <f ca="1">IF(ISNUMBER(I$74),IF('Datos Instalación'!$F$6="Autoconsumo Aislado",CostesNoGeneración!H83,H26+H55),"")</f>
        <v>48.159609012270032</v>
      </c>
      <c r="J85" s="128">
        <f ca="1">IF(ISNUMBER(J$74),IF('Datos Instalación'!$F$6="Autoconsumo Aislado",CostesNoGeneración!I83,I26+I55),"")</f>
        <v>47.983512612463912</v>
      </c>
      <c r="K85" s="128">
        <f ca="1">IF(ISNUMBER(K$74),IF('Datos Instalación'!$F$6="Autoconsumo Aislado",CostesNoGeneración!J83,J26+J55),"")</f>
        <v>47.808367133216734</v>
      </c>
      <c r="L85" s="128">
        <f ca="1">IF(ISNUMBER(L$74),IF('Datos Instalación'!$F$6="Autoconsumo Aislado",CostesNoGeneración!K83,K26+K55),"")</f>
        <v>47.634167439557487</v>
      </c>
      <c r="M85" s="128">
        <f ca="1">IF(ISNUMBER(M$74),IF('Datos Instalación'!$F$6="Autoconsumo Aislado",CostesNoGeneración!L83,L26+L55),"")</f>
        <v>47.460908424244025</v>
      </c>
      <c r="N85" s="128">
        <f ca="1">IF(ISNUMBER(N$74),IF('Datos Instalación'!$F$6="Autoconsumo Aislado",CostesNoGeneración!M83,M26+M55),"")</f>
        <v>47.288585007613221</v>
      </c>
      <c r="O85" s="128">
        <f ca="1">IF(ISNUMBER(O$74),IF('Datos Instalación'!$F$6="Autoconsumo Aislado",CostesNoGeneración!N83,N26+N55),"")</f>
        <v>47.117192137432241</v>
      </c>
      <c r="P85" s="128">
        <f ca="1">IF(ISNUMBER(P$74),IF('Datos Instalación'!$F$6="Autoconsumo Aislado",CostesNoGeneración!O83,O26+O55),"")</f>
        <v>46.946724788750238</v>
      </c>
      <c r="Q85" s="128">
        <f ca="1">IF(ISNUMBER(Q$74),IF('Datos Instalación'!$F$6="Autoconsumo Aislado",CostesNoGeneración!P83,P26+P55),"")</f>
        <v>46.777177963751114</v>
      </c>
      <c r="R85" s="128">
        <f ca="1">IF(ISNUMBER(R$74),IF('Datos Instalación'!$F$6="Autoconsumo Aislado",CostesNoGeneración!Q83,Q26+Q55),"")</f>
        <v>46.608546691606989</v>
      </c>
      <c r="S85" s="128">
        <f ca="1">IF(ISNUMBER(S$74),IF('Datos Instalación'!$F$6="Autoconsumo Aislado",CostesNoGeneración!R83,R26+R55),"")</f>
        <v>46.440826028332438</v>
      </c>
      <c r="T85" s="128">
        <f ca="1">IF(ISNUMBER(T$74),IF('Datos Instalación'!$F$6="Autoconsumo Aislado",CostesNoGeneración!S83,S26+S55),"")</f>
        <v>46.274011056639573</v>
      </c>
      <c r="U85" s="128">
        <f ca="1">IF(ISNUMBER(U$74),IF('Datos Instalación'!$F$6="Autoconsumo Aislado",CostesNoGeneración!T83,T26+T55),"")</f>
        <v>46.108096885793856</v>
      </c>
      <c r="V85" s="128">
        <f ca="1">IF(ISNUMBER(V$74),IF('Datos Instalación'!$F$6="Autoconsumo Aislado",CostesNoGeneración!U83,U26+U55),"")</f>
        <v>45.943078651470692</v>
      </c>
      <c r="W85" s="128">
        <f ca="1">IF(ISNUMBER(W$74),IF('Datos Instalación'!$F$6="Autoconsumo Aislado",CostesNoGeneración!V83,V26+V55),"")</f>
        <v>45.778951515612874</v>
      </c>
      <c r="X85" s="128">
        <f ca="1">IF(ISNUMBER(X$74),IF('Datos Instalación'!$F$6="Autoconsumo Aislado",CostesNoGeneración!W83,W26+W55),"")</f>
        <v>45.615710666288692</v>
      </c>
      <c r="Y85" s="128">
        <f ca="1">IF(ISNUMBER(Y$74),IF('Datos Instalación'!$F$6="Autoconsumo Aislado",CostesNoGeneración!X83,X26+X55),"")</f>
        <v>45.453351317550869</v>
      </c>
      <c r="Z85" s="128">
        <f ca="1">IF(ISNUMBER(Z$74),IF('Datos Instalación'!$F$6="Autoconsumo Aislado",CostesNoGeneración!Y83,Y26+Y55),"")</f>
        <v>45.291868709296224</v>
      </c>
      <c r="AA85" s="128">
        <f ca="1">IF(ISNUMBER(AA$74),IF('Datos Instalación'!$F$6="Autoconsumo Aislado",CostesNoGeneración!Z83,Z26+Z55),"")</f>
        <v>45.131258107126143</v>
      </c>
      <c r="AB85" s="128">
        <f ca="1">IF(ISNUMBER(AB$74),IF('Datos Instalación'!$F$6="Autoconsumo Aislado",CostesNoGeneración!AA83,AA26+AA55),"")</f>
        <v>44.9715148022078</v>
      </c>
      <c r="AC85" s="128">
        <f ca="1">IF(ISNUMBER(AC$74),IF('Datos Instalación'!$F$6="Autoconsumo Aislado",CostesNoGeneración!AB83,AB26+AB55),"")</f>
        <v>44.812634111136006</v>
      </c>
      <c r="AD85" s="128">
        <f ca="1">IF(ISNUMBER(AD$74),IF('Datos Instalación'!$F$6="Autoconsumo Aislado",CostesNoGeneración!AC83,AC26+AC55),"")</f>
        <v>44.654611375796001</v>
      </c>
      <c r="AE85" s="128">
        <f ca="1">IF(ISNUMBER(AE$74),IF('Datos Instalación'!$F$6="Autoconsumo Aislado",CostesNoGeneración!AD83,AD26+AD55),"")</f>
        <v>44.497441963226827</v>
      </c>
      <c r="AF85" s="128">
        <f ca="1">IF(ISNUMBER(AF$74),IF('Datos Instalación'!$F$6="Autoconsumo Aislado",CostesNoGeneración!AE83,AE26+AE55),"")</f>
        <v>44.341121265485533</v>
      </c>
      <c r="AG85" s="128" t="str">
        <f>IF(ISNUMBER(AG$10),IF('Datos Instalación'!$F$6="Autoconsumo Aislado",CostesNoGeneración!AG149,Ingresos!AH80+Ingresos!AH119),"")</f>
        <v/>
      </c>
      <c r="AH85" s="128"/>
      <c r="AI85" s="128"/>
      <c r="AJ85" s="128"/>
      <c r="AK85" s="128"/>
      <c r="AL85" s="128"/>
      <c r="AM85" s="128"/>
      <c r="AN85" s="128"/>
      <c r="AO85" s="128"/>
    </row>
    <row r="86" spans="1:41">
      <c r="A86" s="128"/>
      <c r="B86" s="281"/>
      <c r="C86" s="14" t="s">
        <v>15</v>
      </c>
      <c r="D86" s="128">
        <f ca="1">IF(ISNUMBER(D$74),IF('Datos Instalación'!$F$6="Autoconsumo Aislado",CostesNoGeneración!C84,C27+C56),"")</f>
        <v>54.281202645218684</v>
      </c>
      <c r="E86" s="128">
        <f ca="1">IF(ISNUMBER(E$74),IF('Datos Instalación'!$F$6="Autoconsumo Aislado",CostesNoGeneración!D84,D27+D56),"")</f>
        <v>54.105635835338674</v>
      </c>
      <c r="F86" s="128">
        <f ca="1">IF(ISNUMBER(F$74),IF('Datos Instalación'!$F$6="Autoconsumo Aislado",CostesNoGeneración!E84,E27+E56),"")</f>
        <v>53.931017086232032</v>
      </c>
      <c r="G86" s="128">
        <f ca="1">IF(ISNUMBER(G$74),IF('Datos Instalación'!$F$6="Autoconsumo Aislado",CostesNoGeneración!F84,F27+F56),"")</f>
        <v>53.757341278370561</v>
      </c>
      <c r="H86" s="128">
        <f ca="1">IF(ISNUMBER(H$74),IF('Datos Instalación'!$F$6="Autoconsumo Aislado",CostesNoGeneración!G84,G27+G56),"")</f>
        <v>53.58460331987154</v>
      </c>
      <c r="I86" s="128">
        <f ca="1">IF(ISNUMBER(I$74),IF('Datos Instalación'!$F$6="Autoconsumo Aislado",CostesNoGeneración!H84,H27+H56),"")</f>
        <v>53.412798146348415</v>
      </c>
      <c r="J86" s="128">
        <f ca="1">IF(ISNUMBER(J$74),IF('Datos Instalación'!$F$6="Autoconsumo Aislado",CostesNoGeneración!I84,I27+I56),"")</f>
        <v>53.241920720762316</v>
      </c>
      <c r="K86" s="128">
        <f ca="1">IF(ISNUMBER(K$74),IF('Datos Instalación'!$F$6="Autoconsumo Aislado",CostesNoGeneración!J84,J27+J56),"")</f>
        <v>53.071966033274379</v>
      </c>
      <c r="L86" s="128">
        <f ca="1">IF(ISNUMBER(L$74),IF('Datos Instalación'!$F$6="Autoconsumo Aislado",CostesNoGeneración!K84,K27+K56),"")</f>
        <v>52.902929101098877</v>
      </c>
      <c r="M86" s="128">
        <f ca="1">IF(ISNUMBER(M$74),IF('Datos Instalación'!$F$6="Autoconsumo Aislado",CostesNoGeneración!L84,L27+L56),"")</f>
        <v>52.734804968357132</v>
      </c>
      <c r="N86" s="128">
        <f ca="1">IF(ISNUMBER(N$74),IF('Datos Instalación'!$F$6="Autoconsumo Aislado",CostesNoGeneración!M84,M27+M56),"")</f>
        <v>52.567588705932181</v>
      </c>
      <c r="O86" s="128">
        <f ca="1">IF(ISNUMBER(O$74),IF('Datos Instalación'!$F$6="Autoconsumo Aislado",CostesNoGeneración!N84,N27+N56),"")</f>
        <v>52.401275411324328</v>
      </c>
      <c r="P86" s="128">
        <f ca="1">IF(ISNUMBER(P$74),IF('Datos Instalación'!$F$6="Autoconsumo Aislado",CostesNoGeneración!O84,O27+O56),"")</f>
        <v>52.235860208507361</v>
      </c>
      <c r="Q86" s="128">
        <f ca="1">IF(ISNUMBER(Q$74),IF('Datos Instalación'!$F$6="Autoconsumo Aislado",CostesNoGeneración!P84,P27+P56),"")</f>
        <v>52.07133824778559</v>
      </c>
      <c r="R86" s="128">
        <f ca="1">IF(ISNUMBER(R$74),IF('Datos Instalación'!$F$6="Autoconsumo Aislado",CostesNoGeneración!Q84,Q27+Q56),"")</f>
        <v>51.907704705651739</v>
      </c>
      <c r="S86" s="128">
        <f ca="1">IF(ISNUMBER(S$74),IF('Datos Instalación'!$F$6="Autoconsumo Aislado",CostesNoGeneración!R84,R27+R56),"")</f>
        <v>51.744954784645401</v>
      </c>
      <c r="T86" s="128">
        <f ca="1">IF(ISNUMBER(T$74),IF('Datos Instalación'!$F$6="Autoconsumo Aislado",CostesNoGeneración!S84,S27+S56),"")</f>
        <v>51.583083713212488</v>
      </c>
      <c r="U86" s="128">
        <f ca="1">IF(ISNUMBER(U$74),IF('Datos Instalación'!$F$6="Autoconsumo Aislado",CostesNoGeneración!T84,T27+T56),"")</f>
        <v>51.422086745565323</v>
      </c>
      <c r="V86" s="128">
        <f ca="1">IF(ISNUMBER(V$74),IF('Datos Instalación'!$F$6="Autoconsumo Aislado",CostesNoGeneración!U84,U27+U56),"")</f>
        <v>51.261959161543459</v>
      </c>
      <c r="W86" s="128">
        <f ca="1">IF(ISNUMBER(W$74),IF('Datos Instalación'!$F$6="Autoconsumo Aislado",CostesNoGeneración!V84,V27+V56),"")</f>
        <v>51.102696266475306</v>
      </c>
      <c r="X86" s="128">
        <f ca="1">IF(ISNUMBER(X$74),IF('Datos Instalación'!$F$6="Autoconsumo Aislado",CostesNoGeneración!W84,W27+W56),"")</f>
        <v>50.944293391040517</v>
      </c>
      <c r="Y86" s="128">
        <f ca="1">IF(ISNUMBER(Y$74),IF('Datos Instalación'!$F$6="Autoconsumo Aislado",CostesNoGeneración!X84,X27+X56),"")</f>
        <v>50.78674589113308</v>
      </c>
      <c r="Z86" s="128">
        <f ca="1">IF(ISNUMBER(Z$74),IF('Datos Instalación'!$F$6="Autoconsumo Aislado",CostesNoGeneración!Y84,Y27+Y56),"")</f>
        <v>50.630049147725138</v>
      </c>
      <c r="AA86" s="128">
        <f ca="1">IF(ISNUMBER(AA$74),IF('Datos Instalación'!$F$6="Autoconsumo Aislado",CostesNoGeneración!Z84,Z27+Z56),"")</f>
        <v>50.474198566731602</v>
      </c>
      <c r="AB86" s="128">
        <f ca="1">IF(ISNUMBER(AB$74),IF('Datos Instalación'!$F$6="Autoconsumo Aislado",CostesNoGeneración!AA84,AA27+AA56),"")</f>
        <v>50.319189578875438</v>
      </c>
      <c r="AC86" s="128">
        <f ca="1">IF(ISNUMBER(AC$74),IF('Datos Instalación'!$F$6="Autoconsumo Aislado",CostesNoGeneración!AB84,AB27+AB56),"")</f>
        <v>50.165017639553689</v>
      </c>
      <c r="AD86" s="128">
        <f ca="1">IF(ISNUMBER(AD$74),IF('Datos Instalación'!$F$6="Autoconsumo Aislado",CostesNoGeneración!AC84,AC27+AC56),"")</f>
        <v>50.011678228704277</v>
      </c>
      <c r="AE86" s="128">
        <f ca="1">IF(ISNUMBER(AE$74),IF('Datos Instalación'!$F$6="Autoconsumo Aislado",CostesNoGeneración!AD84,AD27+AD56),"")</f>
        <v>49.859166850673446</v>
      </c>
      <c r="AF86" s="128">
        <f ca="1">IF(ISNUMBER(AF$74),IF('Datos Instalación'!$F$6="Autoconsumo Aislado",CostesNoGeneración!AE84,AE27+AE56),"")</f>
        <v>49.707479034084002</v>
      </c>
      <c r="AG86" s="128" t="str">
        <f>IF(ISNUMBER(AG$10),IF('Datos Instalación'!$F$6="Autoconsumo Aislado",CostesNoGeneración!AG150,Ingresos!AH81+Ingresos!AH120),"")</f>
        <v/>
      </c>
      <c r="AH86" s="128"/>
      <c r="AI86" s="128"/>
      <c r="AJ86" s="128"/>
      <c r="AK86" s="128"/>
      <c r="AL86" s="128"/>
      <c r="AM86" s="128"/>
      <c r="AN86" s="128"/>
      <c r="AO86" s="128"/>
    </row>
    <row r="87" spans="1:41">
      <c r="A87" s="128"/>
      <c r="B87" s="281"/>
      <c r="C87" s="14" t="s">
        <v>16</v>
      </c>
      <c r="D87" s="137">
        <f ca="1">SUM(D75:D86)</f>
        <v>705.96931201409939</v>
      </c>
      <c r="E87" s="137">
        <f t="shared" ref="E87:AG87" ca="1" si="0">SUM(E75:E86)</f>
        <v>703.28557389950322</v>
      </c>
      <c r="F87" s="137">
        <f t="shared" ca="1" si="0"/>
        <v>700.61632797072616</v>
      </c>
      <c r="G87" s="137">
        <f t="shared" ca="1" si="0"/>
        <v>697.96149596996429</v>
      </c>
      <c r="H87" s="137">
        <f t="shared" ca="1" si="0"/>
        <v>695.32100006200665</v>
      </c>
      <c r="I87" s="137">
        <f t="shared" ca="1" si="0"/>
        <v>692.69476283195206</v>
      </c>
      <c r="J87" s="137">
        <f t="shared" ca="1" si="0"/>
        <v>690.08270728293951</v>
      </c>
      <c r="K87" s="137">
        <f t="shared" ca="1" si="0"/>
        <v>687.48475683389188</v>
      </c>
      <c r="L87" s="137">
        <f t="shared" ca="1" si="0"/>
        <v>684.90083531726896</v>
      </c>
      <c r="M87" s="137">
        <f t="shared" ca="1" si="0"/>
        <v>682.33086697683598</v>
      </c>
      <c r="N87" s="137">
        <f t="shared" ca="1" si="0"/>
        <v>679.77477646544094</v>
      </c>
      <c r="O87" s="137">
        <f t="shared" ca="1" si="0"/>
        <v>677.23248884280792</v>
      </c>
      <c r="P87" s="137">
        <f t="shared" ca="1" si="0"/>
        <v>674.70392957333684</v>
      </c>
      <c r="Q87" s="137">
        <f t="shared" ca="1" si="0"/>
        <v>672.18902452392092</v>
      </c>
      <c r="R87" s="137">
        <f t="shared" ca="1" si="0"/>
        <v>669.68769996177195</v>
      </c>
      <c r="S87" s="137">
        <f t="shared" ca="1" si="0"/>
        <v>667.19988255225837</v>
      </c>
      <c r="T87" s="137">
        <f t="shared" ca="1" si="0"/>
        <v>664.72549935675647</v>
      </c>
      <c r="U87" s="137">
        <f t="shared" ca="1" si="0"/>
        <v>662.26447783051015</v>
      </c>
      <c r="V87" s="137">
        <f t="shared" ca="1" si="0"/>
        <v>659.8167458205055</v>
      </c>
      <c r="W87" s="137">
        <f t="shared" ca="1" si="0"/>
        <v>657.38223156335482</v>
      </c>
      <c r="X87" s="137">
        <f t="shared" ca="1" si="0"/>
        <v>654.96086368319288</v>
      </c>
      <c r="Y87" s="137">
        <f t="shared" ca="1" si="0"/>
        <v>652.55257118958366</v>
      </c>
      <c r="Z87" s="137">
        <f t="shared" ca="1" si="0"/>
        <v>650.15728347543995</v>
      </c>
      <c r="AA87" s="137">
        <f t="shared" ca="1" si="0"/>
        <v>647.77493031495294</v>
      </c>
      <c r="AB87" s="137">
        <f t="shared" ca="1" si="0"/>
        <v>645.40544186153227</v>
      </c>
      <c r="AC87" s="137">
        <f t="shared" ca="1" si="0"/>
        <v>643.04874864576016</v>
      </c>
      <c r="AD87" s="137">
        <f t="shared" ca="1" si="0"/>
        <v>640.7047815733531</v>
      </c>
      <c r="AE87" s="137">
        <f t="shared" ca="1" si="0"/>
        <v>638.37347192313712</v>
      </c>
      <c r="AF87" s="137">
        <f t="shared" ca="1" si="0"/>
        <v>636.0547513450324</v>
      </c>
      <c r="AG87" s="137">
        <f t="shared" si="0"/>
        <v>0</v>
      </c>
      <c r="AH87" s="128"/>
      <c r="AI87" s="128"/>
      <c r="AJ87" s="128"/>
      <c r="AK87" s="128"/>
      <c r="AL87" s="128"/>
      <c r="AM87" s="128"/>
      <c r="AN87" s="128"/>
      <c r="AO87" s="128"/>
    </row>
    <row r="88" spans="1:41" ht="43.2">
      <c r="A88" s="128"/>
      <c r="B88" s="146" t="s">
        <v>444</v>
      </c>
      <c r="D88" s="137" t="e">
        <f>IF(ISNUMBER(D74),$K$6,0)</f>
        <v>#N/A</v>
      </c>
      <c r="E88" s="137" t="e">
        <f t="shared" ref="E88:AG88" si="1">IF(ISNUMBER(E74),$K$6,0)</f>
        <v>#N/A</v>
      </c>
      <c r="F88" s="137" t="e">
        <f t="shared" si="1"/>
        <v>#N/A</v>
      </c>
      <c r="G88" s="137" t="e">
        <f t="shared" si="1"/>
        <v>#N/A</v>
      </c>
      <c r="H88" s="137" t="e">
        <f t="shared" si="1"/>
        <v>#N/A</v>
      </c>
      <c r="I88" s="137" t="e">
        <f t="shared" si="1"/>
        <v>#N/A</v>
      </c>
      <c r="J88" s="137" t="e">
        <f t="shared" si="1"/>
        <v>#N/A</v>
      </c>
      <c r="K88" s="137" t="e">
        <f t="shared" si="1"/>
        <v>#N/A</v>
      </c>
      <c r="L88" s="137" t="e">
        <f t="shared" si="1"/>
        <v>#N/A</v>
      </c>
      <c r="M88" s="137" t="e">
        <f t="shared" si="1"/>
        <v>#N/A</v>
      </c>
      <c r="N88" s="137" t="e">
        <f t="shared" si="1"/>
        <v>#N/A</v>
      </c>
      <c r="O88" s="137" t="e">
        <f t="shared" si="1"/>
        <v>#N/A</v>
      </c>
      <c r="P88" s="137" t="e">
        <f t="shared" si="1"/>
        <v>#N/A</v>
      </c>
      <c r="Q88" s="137" t="e">
        <f t="shared" si="1"/>
        <v>#N/A</v>
      </c>
      <c r="R88" s="137" t="e">
        <f t="shared" si="1"/>
        <v>#N/A</v>
      </c>
      <c r="S88" s="137" t="e">
        <f t="shared" si="1"/>
        <v>#N/A</v>
      </c>
      <c r="T88" s="137" t="e">
        <f t="shared" si="1"/>
        <v>#N/A</v>
      </c>
      <c r="U88" s="137" t="e">
        <f t="shared" si="1"/>
        <v>#N/A</v>
      </c>
      <c r="V88" s="137" t="e">
        <f t="shared" si="1"/>
        <v>#N/A</v>
      </c>
      <c r="W88" s="137" t="e">
        <f t="shared" si="1"/>
        <v>#N/A</v>
      </c>
      <c r="X88" s="137" t="e">
        <f t="shared" si="1"/>
        <v>#N/A</v>
      </c>
      <c r="Y88" s="137" t="e">
        <f t="shared" si="1"/>
        <v>#N/A</v>
      </c>
      <c r="Z88" s="137" t="e">
        <f t="shared" si="1"/>
        <v>#N/A</v>
      </c>
      <c r="AA88" s="137" t="e">
        <f t="shared" si="1"/>
        <v>#N/A</v>
      </c>
      <c r="AB88" s="137" t="e">
        <f t="shared" si="1"/>
        <v>#N/A</v>
      </c>
      <c r="AC88" s="137" t="e">
        <f t="shared" si="1"/>
        <v>#N/A</v>
      </c>
      <c r="AD88" s="137" t="e">
        <f t="shared" si="1"/>
        <v>#N/A</v>
      </c>
      <c r="AE88" s="137" t="e">
        <f t="shared" si="1"/>
        <v>#N/A</v>
      </c>
      <c r="AF88" s="137" t="e">
        <f t="shared" si="1"/>
        <v>#N/A</v>
      </c>
      <c r="AG88" s="137" t="e">
        <f t="shared" si="1"/>
        <v>#N/A</v>
      </c>
      <c r="AH88" s="128"/>
      <c r="AI88" s="128"/>
      <c r="AJ88" s="128"/>
      <c r="AK88" s="128"/>
      <c r="AL88" s="128"/>
      <c r="AM88" s="128"/>
      <c r="AN88" s="128"/>
      <c r="AO88" s="128"/>
    </row>
    <row r="89" spans="1:41" ht="28.8">
      <c r="A89" s="128"/>
      <c r="B89" s="138" t="s">
        <v>143</v>
      </c>
      <c r="C89" s="128"/>
      <c r="D89" s="139">
        <f ca="1">IF(D87&gt;0,-('Datos Instalación'!$G$28)/COUNTIF($C$23:$AF$23,"&gt;0"),0)</f>
        <v>-33.333333333333336</v>
      </c>
      <c r="E89" s="139">
        <f ca="1">IF(E87&gt;0,-('Datos Instalación'!$G$28)/COUNTIF($C$23:$AF$23,"&gt;0"),0)</f>
        <v>-33.333333333333336</v>
      </c>
      <c r="F89" s="139">
        <f ca="1">IF(F87&gt;0,-('Datos Instalación'!$G$28)/COUNTIF($C$23:$AF$23,"&gt;0"),0)</f>
        <v>-33.333333333333336</v>
      </c>
      <c r="G89" s="139">
        <f ca="1">IF(G87&gt;0,-('Datos Instalación'!$G$28)/COUNTIF($C$23:$AF$23,"&gt;0"),0)</f>
        <v>-33.333333333333336</v>
      </c>
      <c r="H89" s="139">
        <f ca="1">IF(H87&gt;0,-('Datos Instalación'!$G$28)/COUNTIF($C$23:$AF$23,"&gt;0"),0)</f>
        <v>-33.333333333333336</v>
      </c>
      <c r="I89" s="139">
        <f ca="1">IF(I87&gt;0,-('Datos Instalación'!$G$28)/COUNTIF($C$23:$AF$23,"&gt;0"),0)</f>
        <v>-33.333333333333336</v>
      </c>
      <c r="J89" s="139">
        <f ca="1">IF(J87&gt;0,-('Datos Instalación'!$G$28)/COUNTIF($C$23:$AF$23,"&gt;0"),0)</f>
        <v>-33.333333333333336</v>
      </c>
      <c r="K89" s="139">
        <f ca="1">IF(K87&gt;0,-('Datos Instalación'!$G$28)/COUNTIF($C$23:$AF$23,"&gt;0"),0)</f>
        <v>-33.333333333333336</v>
      </c>
      <c r="L89" s="139">
        <f ca="1">IF(L87&gt;0,-('Datos Instalación'!$G$28)/COUNTIF($C$23:$AF$23,"&gt;0"),0)</f>
        <v>-33.333333333333336</v>
      </c>
      <c r="M89" s="139">
        <f ca="1">IF(M87&gt;0,-('Datos Instalación'!$G$28)/COUNTIF($C$23:$AF$23,"&gt;0"),0)</f>
        <v>-33.333333333333336</v>
      </c>
      <c r="N89" s="139">
        <f ca="1">IF(N87&gt;0,-('Datos Instalación'!$G$28)/COUNTIF($C$23:$AF$23,"&gt;0"),0)</f>
        <v>-33.333333333333336</v>
      </c>
      <c r="O89" s="139">
        <f ca="1">IF(O87&gt;0,-('Datos Instalación'!$G$28)/COUNTIF($C$23:$AF$23,"&gt;0"),0)</f>
        <v>-33.333333333333336</v>
      </c>
      <c r="P89" s="139">
        <f ca="1">IF(P87&gt;0,-('Datos Instalación'!$G$28)/COUNTIF($C$23:$AF$23,"&gt;0"),0)</f>
        <v>-33.333333333333336</v>
      </c>
      <c r="Q89" s="139">
        <f ca="1">IF(Q87&gt;0,-('Datos Instalación'!$G$28)/COUNTIF($C$23:$AF$23,"&gt;0"),0)</f>
        <v>-33.333333333333336</v>
      </c>
      <c r="R89" s="139">
        <f ca="1">IF(R87&gt;0,-('Datos Instalación'!$G$28)/COUNTIF($C$23:$AF$23,"&gt;0"),0)</f>
        <v>-33.333333333333336</v>
      </c>
      <c r="S89" s="139">
        <f ca="1">IF(S87&gt;0,-('Datos Instalación'!$G$28)/COUNTIF($C$23:$AF$23,"&gt;0"),0)</f>
        <v>-33.333333333333336</v>
      </c>
      <c r="T89" s="139">
        <f ca="1">IF(T87&gt;0,-('Datos Instalación'!$G$28)/COUNTIF($C$23:$AF$23,"&gt;0"),0)</f>
        <v>-33.333333333333336</v>
      </c>
      <c r="U89" s="139">
        <f ca="1">IF(U87&gt;0,-('Datos Instalación'!$G$28)/COUNTIF($C$23:$AF$23,"&gt;0"),0)</f>
        <v>-33.333333333333336</v>
      </c>
      <c r="V89" s="139">
        <f ca="1">IF(V87&gt;0,-('Datos Instalación'!$G$28)/COUNTIF($C$23:$AF$23,"&gt;0"),0)</f>
        <v>-33.333333333333336</v>
      </c>
      <c r="W89" s="139">
        <f ca="1">IF(W87&gt;0,-('Datos Instalación'!$G$28)/COUNTIF($C$23:$AF$23,"&gt;0"),0)</f>
        <v>-33.333333333333336</v>
      </c>
      <c r="X89" s="139">
        <f ca="1">IF(X87&gt;0,-('Datos Instalación'!$G$28)/COUNTIF($C$23:$AF$23,"&gt;0"),0)</f>
        <v>-33.333333333333336</v>
      </c>
      <c r="Y89" s="139">
        <f ca="1">IF(Y87&gt;0,-('Datos Instalación'!$G$28)/COUNTIF($C$23:$AF$23,"&gt;0"),0)</f>
        <v>-33.333333333333336</v>
      </c>
      <c r="Z89" s="139">
        <f ca="1">IF(Z87&gt;0,-('Datos Instalación'!$G$28)/COUNTIF($C$23:$AF$23,"&gt;0"),0)</f>
        <v>-33.333333333333336</v>
      </c>
      <c r="AA89" s="139">
        <f ca="1">IF(AA87&gt;0,-('Datos Instalación'!$G$28)/COUNTIF($C$23:$AF$23,"&gt;0"),0)</f>
        <v>-33.333333333333336</v>
      </c>
      <c r="AB89" s="139">
        <f ca="1">IF(AB87&gt;0,-('Datos Instalación'!$G$28)/COUNTIF($C$23:$AF$23,"&gt;0"),0)</f>
        <v>-33.333333333333336</v>
      </c>
      <c r="AC89" s="139">
        <f ca="1">IF(AC87&gt;0,-('Datos Instalación'!$G$28)/COUNTIF($C$23:$AF$23,"&gt;0"),0)</f>
        <v>-33.333333333333336</v>
      </c>
      <c r="AD89" s="139">
        <f ca="1">IF(AD87&gt;0,-('Datos Instalación'!$G$28)/COUNTIF($C$23:$AF$23,"&gt;0"),0)</f>
        <v>-33.333333333333336</v>
      </c>
      <c r="AE89" s="139">
        <f ca="1">IF(AE87&gt;0,-('Datos Instalación'!$G$28)/COUNTIF($C$23:$AF$23,"&gt;0"),0)</f>
        <v>-33.333333333333336</v>
      </c>
      <c r="AF89" s="139">
        <f ca="1">IF(AF87&gt;0,-('Datos Instalación'!$G$28)/COUNTIF($C$23:$AF$23,"&gt;0"),0)</f>
        <v>-33.333333333333336</v>
      </c>
      <c r="AG89" s="139">
        <f>IF(AG87&gt;0,-('Datos Instalación'!$G$28)/COUNTIF($C$23:$AF$23,"&gt;0"),0)</f>
        <v>0</v>
      </c>
      <c r="AH89" s="128"/>
      <c r="AI89" s="128"/>
      <c r="AJ89" s="128"/>
      <c r="AK89" s="128"/>
      <c r="AL89" s="128"/>
      <c r="AM89" s="128"/>
      <c r="AN89" s="128"/>
      <c r="AO89" s="128"/>
    </row>
    <row r="90" spans="1:41" ht="28.8" customHeight="1">
      <c r="A90" s="128"/>
      <c r="B90" s="138" t="s">
        <v>18</v>
      </c>
      <c r="C90" s="128"/>
      <c r="D90" s="139">
        <f>-SUM('Datos Instalación'!H25:H27,'Datos Instalación'!H29:H30)</f>
        <v>-3865</v>
      </c>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128"/>
      <c r="AL90" s="128"/>
      <c r="AM90" s="128"/>
      <c r="AN90" s="128"/>
      <c r="AO90" s="128"/>
    </row>
    <row r="91" spans="1:41" ht="28.8">
      <c r="A91" s="128"/>
      <c r="B91" s="138" t="s">
        <v>37</v>
      </c>
      <c r="C91" s="128"/>
      <c r="D91" s="128">
        <f ca="1">IF(D23=0,IF(C23&gt;0,-'Datos Instalación'!$I$33,0),0)</f>
        <v>0</v>
      </c>
      <c r="E91" s="128">
        <f ca="1">IF(E23=0,IF(D23&gt;0,-'Datos Instalación'!$I$33,0),0)</f>
        <v>0</v>
      </c>
      <c r="F91" s="128">
        <f ca="1">IF(F23=0,IF(E23&gt;0,-'Datos Instalación'!$I$33,0),0)</f>
        <v>0</v>
      </c>
      <c r="G91" s="128">
        <f ca="1">IF(G23=0,IF(F23&gt;0,-'Datos Instalación'!$I$33,0),0)</f>
        <v>0</v>
      </c>
      <c r="H91" s="128">
        <f ca="1">IF(H23=0,IF(G23&gt;0,-'Datos Instalación'!$I$33,0),0)</f>
        <v>0</v>
      </c>
      <c r="I91" s="128">
        <f ca="1">IF(I23=0,IF(H23&gt;0,-'Datos Instalación'!$I$33,0),0)</f>
        <v>0</v>
      </c>
      <c r="J91" s="128">
        <f ca="1">IF(J23=0,IF(I23&gt;0,-'Datos Instalación'!$I$33,0),0)</f>
        <v>0</v>
      </c>
      <c r="K91" s="128">
        <f ca="1">IF(K23=0,IF(J23&gt;0,-'Datos Instalación'!$I$33,0),0)</f>
        <v>0</v>
      </c>
      <c r="L91" s="128">
        <f ca="1">IF(L23=0,IF(K23&gt;0,-'Datos Instalación'!$I$33,0),0)</f>
        <v>0</v>
      </c>
      <c r="M91" s="128">
        <f ca="1">IF(M23=0,IF(L23&gt;0,-'Datos Instalación'!$I$33,0),0)</f>
        <v>0</v>
      </c>
      <c r="N91" s="128">
        <f ca="1">IF(N23=0,IF(M23&gt;0,-'Datos Instalación'!$I$33,0),0)</f>
        <v>0</v>
      </c>
      <c r="O91" s="128">
        <f ca="1">IF(O23=0,IF(N23&gt;0,-'Datos Instalación'!$I$33,0),0)</f>
        <v>0</v>
      </c>
      <c r="P91" s="128">
        <f ca="1">IF(P23=0,IF(O23&gt;0,-'Datos Instalación'!$I$33,0),0)</f>
        <v>0</v>
      </c>
      <c r="Q91" s="128">
        <f ca="1">IF(Q23=0,IF(P23&gt;0,-'Datos Instalación'!$I$33,0),0)</f>
        <v>0</v>
      </c>
      <c r="R91" s="128">
        <f ca="1">IF(R23=0,IF(Q23&gt;0,-'Datos Instalación'!$I$33,0),0)</f>
        <v>0</v>
      </c>
      <c r="S91" s="128">
        <f ca="1">IF(S23=0,IF(R23&gt;0,-'Datos Instalación'!$I$33,0),0)</f>
        <v>0</v>
      </c>
      <c r="T91" s="128">
        <f ca="1">IF(T23=0,IF(S23&gt;0,-'Datos Instalación'!$I$33,0),0)</f>
        <v>0</v>
      </c>
      <c r="U91" s="128">
        <f ca="1">IF(U23=0,IF(T23&gt;0,-'Datos Instalación'!$I$33,0),0)</f>
        <v>0</v>
      </c>
      <c r="V91" s="128">
        <f ca="1">IF(V23=0,IF(U23&gt;0,-'Datos Instalación'!$I$33,0),0)</f>
        <v>0</v>
      </c>
      <c r="W91" s="128">
        <f ca="1">IF(W23=0,IF(V23&gt;0,-'Datos Instalación'!$I$33,0),0)</f>
        <v>0</v>
      </c>
      <c r="X91" s="128">
        <f ca="1">IF(X23=0,IF(W23&gt;0,-'Datos Instalación'!$I$33,0),0)</f>
        <v>0</v>
      </c>
      <c r="Y91" s="128">
        <f ca="1">IF(Y23=0,IF(X23&gt;0,-'Datos Instalación'!$I$33,0),0)</f>
        <v>0</v>
      </c>
      <c r="Z91" s="128">
        <f ca="1">IF(Z23=0,IF(Y23&gt;0,-'Datos Instalación'!$I$33,0),0)</f>
        <v>0</v>
      </c>
      <c r="AA91" s="128">
        <f ca="1">IF(AA23=0,IF(Z23&gt;0,-'Datos Instalación'!$I$33,0),0)</f>
        <v>0</v>
      </c>
      <c r="AB91" s="128">
        <f ca="1">IF(AB23=0,IF(AA23&gt;0,-'Datos Instalación'!$I$33,0),0)</f>
        <v>0</v>
      </c>
      <c r="AC91" s="128">
        <f ca="1">IF(AC23=0,IF(AB23&gt;0,-'Datos Instalación'!$I$33,0),0)</f>
        <v>0</v>
      </c>
      <c r="AD91" s="128">
        <f ca="1">IF(AD23=0,IF(AC23&gt;0,-'Datos Instalación'!$I$33,0),0)</f>
        <v>0</v>
      </c>
      <c r="AE91" s="128">
        <f ca="1">IF(AE23=0,IF(AD23&gt;0,-'Datos Instalación'!$I$33,0),0)</f>
        <v>0</v>
      </c>
      <c r="AF91" s="128">
        <f ca="1">IF(AF23=0,IF(AE23&gt;0,-'Datos Instalación'!$I$33,0),0)</f>
        <v>0</v>
      </c>
      <c r="AG91" s="128">
        <f ca="1">IF(AG23=0,IF(AF23&gt;0,-'Datos Instalación'!$I$33,0),0)</f>
        <v>0</v>
      </c>
      <c r="AH91" s="128"/>
      <c r="AI91" s="128"/>
      <c r="AJ91" s="128"/>
      <c r="AK91" s="128"/>
      <c r="AL91" s="128"/>
      <c r="AM91" s="128"/>
      <c r="AN91" s="128"/>
      <c r="AO91" s="128"/>
    </row>
    <row r="92" spans="1:41">
      <c r="A92" s="128"/>
      <c r="B92" s="140" t="s">
        <v>224</v>
      </c>
      <c r="C92" s="128"/>
      <c r="D92" s="128">
        <f ca="1">IF(ISNUMBER(OFFSET('Cálculo Préstamo'!$B$4,'Cálculo Préstamo'!C75,0)),-OFFSET('Cálculo Préstamo'!$D$4,'Cálculo Préstamo'!C75,0),0)</f>
        <v>-225</v>
      </c>
      <c r="E92" s="128">
        <f ca="1">IF(ISNUMBER(OFFSET('Cálculo Préstamo'!$B$4,'Cálculo Préstamo'!D75,0)),-OFFSET('Cálculo Préstamo'!$D$4,'Cálculo Préstamo'!D75,0),0)</f>
        <v>-207.11149999999998</v>
      </c>
      <c r="F92" s="128">
        <f ca="1">IF(ISNUMBER(OFFSET('Cálculo Préstamo'!$B$4,'Cálculo Préstamo'!E75,0)),-OFFSET('Cálculo Préstamo'!$D$4,'Cálculo Préstamo'!E75,0),0)</f>
        <v>-188.32850000000002</v>
      </c>
      <c r="G92" s="128">
        <f ca="1">IF(ISNUMBER(OFFSET('Cálculo Préstamo'!$B$4,'Cálculo Préstamo'!F75,0)),-OFFSET('Cálculo Préstamo'!$D$4,'Cálculo Préstamo'!F75,0),0)</f>
        <v>-168.60650000000001</v>
      </c>
      <c r="H92" s="128">
        <f ca="1">IF(ISNUMBER(OFFSET('Cálculo Préstamo'!$B$4,'Cálculo Préstamo'!G75,0)),-OFFSET('Cálculo Préstamo'!$D$4,'Cálculo Préstamo'!G75,0),0)</f>
        <v>-147.89849999999998</v>
      </c>
      <c r="I92" s="128">
        <f ca="1">IF(ISNUMBER(OFFSET('Cálculo Préstamo'!$B$4,'Cálculo Préstamo'!H75,0)),-OFFSET('Cálculo Préstamo'!$D$4,'Cálculo Préstamo'!H75,0),0)</f>
        <v>-126.155</v>
      </c>
      <c r="J92" s="128">
        <f ca="1">IF(ISNUMBER(OFFSET('Cálculo Préstamo'!$B$4,'Cálculo Préstamo'!I75,0)),-OFFSET('Cálculo Préstamo'!$D$4,'Cálculo Préstamo'!I75,0),0)</f>
        <v>-103.32400000000001</v>
      </c>
      <c r="K92" s="128">
        <f ca="1">IF(ISNUMBER(OFFSET('Cálculo Préstamo'!$B$4,'Cálculo Préstamo'!J75,0)),-OFFSET('Cálculo Préstamo'!$D$4,'Cálculo Préstamo'!J75,0),0)</f>
        <v>-79.351500000000001</v>
      </c>
      <c r="L92" s="128">
        <f ca="1">IF(ISNUMBER(OFFSET('Cálculo Préstamo'!$B$4,'Cálculo Préstamo'!K75,0)),-OFFSET('Cálculo Préstamo'!$D$4,'Cálculo Préstamo'!K75,0),0)</f>
        <v>-54.180499999999995</v>
      </c>
      <c r="M92" s="128">
        <f ca="1">IF(ISNUMBER(OFFSET('Cálculo Préstamo'!$B$4,'Cálculo Préstamo'!L75,0)),-OFFSET('Cálculo Préstamo'!$D$4,'Cálculo Préstamo'!L75,0),0)</f>
        <v>-27.751000000000001</v>
      </c>
      <c r="N92" s="128">
        <f ca="1">IF(ISNUMBER(OFFSET('Cálculo Préstamo'!$B$4,'Cálculo Préstamo'!M75,0)),-OFFSET('Cálculo Préstamo'!$D$4,'Cálculo Préstamo'!M75,0),0)</f>
        <v>0</v>
      </c>
      <c r="O92" s="128">
        <f ca="1">IF(ISNUMBER(OFFSET('Cálculo Préstamo'!$B$4,'Cálculo Préstamo'!N75,0)),-OFFSET('Cálculo Préstamo'!$D$4,'Cálculo Préstamo'!N75,0),0)</f>
        <v>0</v>
      </c>
      <c r="P92" s="128">
        <f ca="1">IF(ISNUMBER(OFFSET('Cálculo Préstamo'!$B$4,'Cálculo Préstamo'!O75,0)),-OFFSET('Cálculo Préstamo'!$D$4,'Cálculo Préstamo'!O75,0),0)</f>
        <v>0</v>
      </c>
      <c r="Q92" s="128">
        <f ca="1">IF(ISNUMBER(OFFSET('Cálculo Préstamo'!$B$4,'Cálculo Préstamo'!P75,0)),-OFFSET('Cálculo Préstamo'!$D$4,'Cálculo Préstamo'!P75,0),0)</f>
        <v>0</v>
      </c>
      <c r="R92" s="128">
        <f ca="1">IF(ISNUMBER(OFFSET('Cálculo Préstamo'!$B$4,'Cálculo Préstamo'!Q75,0)),-OFFSET('Cálculo Préstamo'!$D$4,'Cálculo Préstamo'!Q75,0),0)</f>
        <v>0</v>
      </c>
      <c r="S92" s="128">
        <f ca="1">IF(ISNUMBER(OFFSET('Cálculo Préstamo'!$B$4,'Cálculo Préstamo'!R75,0)),-OFFSET('Cálculo Préstamo'!$D$4,'Cálculo Préstamo'!R75,0),0)</f>
        <v>0</v>
      </c>
      <c r="T92" s="128">
        <f ca="1">IF(ISNUMBER(OFFSET('Cálculo Préstamo'!$B$4,'Cálculo Préstamo'!S75,0)),-OFFSET('Cálculo Préstamo'!$D$4,'Cálculo Préstamo'!S75,0),0)</f>
        <v>0</v>
      </c>
      <c r="U92" s="128">
        <f ca="1">IF(ISNUMBER(OFFSET('Cálculo Préstamo'!$B$4,'Cálculo Préstamo'!T75,0)),-OFFSET('Cálculo Préstamo'!$D$4,'Cálculo Préstamo'!T75,0),0)</f>
        <v>0</v>
      </c>
      <c r="V92" s="128">
        <f ca="1">IF(ISNUMBER(OFFSET('Cálculo Préstamo'!$B$4,'Cálculo Préstamo'!U75,0)),-OFFSET('Cálculo Préstamo'!$D$4,'Cálculo Préstamo'!U75,0),0)</f>
        <v>0</v>
      </c>
      <c r="W92" s="128">
        <f ca="1">IF(ISNUMBER(OFFSET('Cálculo Préstamo'!$B$4,'Cálculo Préstamo'!V75,0)),-OFFSET('Cálculo Préstamo'!$D$4,'Cálculo Préstamo'!V75,0),0)</f>
        <v>0</v>
      </c>
      <c r="X92" s="128">
        <f ca="1">IF(ISNUMBER(OFFSET('Cálculo Préstamo'!$B$4,'Cálculo Préstamo'!W75,0)),-OFFSET('Cálculo Préstamo'!$D$4,'Cálculo Préstamo'!W75,0),0)</f>
        <v>0</v>
      </c>
      <c r="Y92" s="128">
        <f ca="1">IF(ISNUMBER(OFFSET('Cálculo Préstamo'!$B$4,'Cálculo Préstamo'!X75,0)),-OFFSET('Cálculo Préstamo'!$D$4,'Cálculo Préstamo'!X75,0),0)</f>
        <v>0</v>
      </c>
      <c r="Z92" s="128">
        <f ca="1">IF(ISNUMBER(OFFSET('Cálculo Préstamo'!$B$4,'Cálculo Préstamo'!Y75,0)),-OFFSET('Cálculo Préstamo'!$D$4,'Cálculo Préstamo'!Y75,0),0)</f>
        <v>0</v>
      </c>
      <c r="AA92" s="128">
        <f ca="1">IF(ISNUMBER(OFFSET('Cálculo Préstamo'!$B$4,'Cálculo Préstamo'!Z75,0)),-OFFSET('Cálculo Préstamo'!$D$4,'Cálculo Préstamo'!Z75,0),0)</f>
        <v>0</v>
      </c>
      <c r="AB92" s="128">
        <f ca="1">IF(ISNUMBER(OFFSET('Cálculo Préstamo'!$B$4,'Cálculo Préstamo'!AA75,0)),-OFFSET('Cálculo Préstamo'!$D$4,'Cálculo Préstamo'!AA75,0),0)</f>
        <v>0</v>
      </c>
      <c r="AC92" s="128">
        <f ca="1">IF(ISNUMBER(OFFSET('Cálculo Préstamo'!$B$4,'Cálculo Préstamo'!AB75,0)),-OFFSET('Cálculo Préstamo'!$D$4,'Cálculo Préstamo'!AB75,0),0)</f>
        <v>0</v>
      </c>
      <c r="AD92" s="128">
        <f ca="1">IF(ISNUMBER(OFFSET('Cálculo Préstamo'!$B$4,'Cálculo Préstamo'!AC75,0)),-OFFSET('Cálculo Préstamo'!$D$4,'Cálculo Préstamo'!AC75,0),0)</f>
        <v>0</v>
      </c>
      <c r="AE92" s="128">
        <f ca="1">IF(ISNUMBER(OFFSET('Cálculo Préstamo'!$B$4,'Cálculo Préstamo'!AD75,0)),-OFFSET('Cálculo Préstamo'!$D$4,'Cálculo Préstamo'!AD75,0),0)</f>
        <v>0</v>
      </c>
      <c r="AF92" s="128">
        <f ca="1">IF(ISNUMBER(OFFSET('Cálculo Préstamo'!$B$4,'Cálculo Préstamo'!AE75,0)),-OFFSET('Cálculo Préstamo'!$D$4,'Cálculo Préstamo'!AE75,0),0)</f>
        <v>0</v>
      </c>
      <c r="AG92" s="128">
        <f ca="1">IF(ISNUMBER(OFFSET('Cálculo Préstamo'!$B$4,'Cálculo Préstamo'!AF75,0)),-OFFSET('Cálculo Préstamo'!$D$4,'Cálculo Préstamo'!AF75,0),0)</f>
        <v>0</v>
      </c>
      <c r="AH92" s="128"/>
      <c r="AI92" s="128"/>
      <c r="AJ92" s="128"/>
      <c r="AK92" s="128"/>
      <c r="AL92" s="128"/>
      <c r="AM92" s="128"/>
      <c r="AN92" s="128"/>
      <c r="AO92" s="128"/>
    </row>
    <row r="93" spans="1:41">
      <c r="A93" s="128"/>
      <c r="B93" s="141" t="s">
        <v>19</v>
      </c>
      <c r="C93" s="142">
        <f>'Hoja BIPV'!C53</f>
        <v>5.0000000000000001E-3</v>
      </c>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row>
    <row r="94" spans="1:41">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row>
    <row r="95" spans="1:41">
      <c r="A95" s="128"/>
      <c r="B95" s="128"/>
      <c r="C95" s="128"/>
      <c r="D95" s="143" t="s">
        <v>2</v>
      </c>
      <c r="E95" s="144" t="e">
        <f ca="1">SUM(E99:AB99)</f>
        <v>#N/A</v>
      </c>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row>
    <row r="96" spans="1:41">
      <c r="A96" s="128"/>
      <c r="B96" s="128"/>
      <c r="C96" s="128"/>
      <c r="D96" s="143" t="s">
        <v>20</v>
      </c>
      <c r="E96" s="145" t="e">
        <f ca="1">IRR(E99:AA99)</f>
        <v>#VALUE!</v>
      </c>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row>
    <row r="97" spans="1:41">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c r="AA97" s="128"/>
      <c r="AB97" s="128"/>
      <c r="AC97" s="128"/>
      <c r="AD97" s="128"/>
      <c r="AE97" s="128"/>
      <c r="AF97" s="128"/>
      <c r="AG97" s="128"/>
      <c r="AH97" s="128"/>
      <c r="AI97" s="128"/>
      <c r="AJ97" s="128"/>
      <c r="AK97" s="128"/>
      <c r="AL97" s="128"/>
      <c r="AM97" s="128"/>
      <c r="AN97" s="128"/>
      <c r="AO97" s="128"/>
    </row>
    <row r="98" spans="1:41">
      <c r="A98" s="128"/>
      <c r="B98" s="128"/>
      <c r="C98" s="128"/>
      <c r="D98" s="128"/>
      <c r="E98" s="128">
        <v>0</v>
      </c>
      <c r="F98" s="128">
        <f>E98+1</f>
        <v>1</v>
      </c>
      <c r="G98" s="128">
        <f t="shared" ref="G98:AI98" si="2">F98+1</f>
        <v>2</v>
      </c>
      <c r="H98" s="128">
        <f t="shared" si="2"/>
        <v>3</v>
      </c>
      <c r="I98" s="128">
        <f t="shared" si="2"/>
        <v>4</v>
      </c>
      <c r="J98" s="128">
        <f t="shared" si="2"/>
        <v>5</v>
      </c>
      <c r="K98" s="128">
        <f t="shared" si="2"/>
        <v>6</v>
      </c>
      <c r="L98" s="128">
        <f t="shared" si="2"/>
        <v>7</v>
      </c>
      <c r="M98" s="128">
        <f t="shared" si="2"/>
        <v>8</v>
      </c>
      <c r="N98" s="128">
        <f t="shared" si="2"/>
        <v>9</v>
      </c>
      <c r="O98" s="128">
        <f t="shared" si="2"/>
        <v>10</v>
      </c>
      <c r="P98" s="128">
        <f t="shared" si="2"/>
        <v>11</v>
      </c>
      <c r="Q98" s="128">
        <f t="shared" si="2"/>
        <v>12</v>
      </c>
      <c r="R98" s="128">
        <f t="shared" si="2"/>
        <v>13</v>
      </c>
      <c r="S98" s="128">
        <f t="shared" si="2"/>
        <v>14</v>
      </c>
      <c r="T98" s="128">
        <f t="shared" si="2"/>
        <v>15</v>
      </c>
      <c r="U98" s="128">
        <f t="shared" si="2"/>
        <v>16</v>
      </c>
      <c r="V98" s="128">
        <f t="shared" si="2"/>
        <v>17</v>
      </c>
      <c r="W98" s="128">
        <f t="shared" si="2"/>
        <v>18</v>
      </c>
      <c r="X98" s="128">
        <f t="shared" si="2"/>
        <v>19</v>
      </c>
      <c r="Y98" s="128">
        <f t="shared" si="2"/>
        <v>20</v>
      </c>
      <c r="Z98" s="128">
        <f t="shared" si="2"/>
        <v>21</v>
      </c>
      <c r="AA98" s="128">
        <f t="shared" si="2"/>
        <v>22</v>
      </c>
      <c r="AB98" s="128">
        <f t="shared" si="2"/>
        <v>23</v>
      </c>
      <c r="AC98" s="128">
        <f t="shared" si="2"/>
        <v>24</v>
      </c>
      <c r="AD98" s="128">
        <f t="shared" si="2"/>
        <v>25</v>
      </c>
      <c r="AE98" s="128">
        <f t="shared" si="2"/>
        <v>26</v>
      </c>
      <c r="AF98" s="128">
        <f t="shared" si="2"/>
        <v>27</v>
      </c>
      <c r="AG98" s="128">
        <f t="shared" si="2"/>
        <v>28</v>
      </c>
      <c r="AH98" s="128">
        <f t="shared" si="2"/>
        <v>29</v>
      </c>
      <c r="AI98" s="128">
        <f t="shared" si="2"/>
        <v>30</v>
      </c>
      <c r="AJ98" s="128"/>
      <c r="AK98" s="128"/>
      <c r="AL98" s="128"/>
      <c r="AM98" s="128"/>
      <c r="AN98" s="128"/>
      <c r="AO98" s="128"/>
    </row>
    <row r="99" spans="1:41">
      <c r="A99" s="128"/>
      <c r="B99" s="128"/>
      <c r="C99" s="128"/>
      <c r="D99" s="128"/>
      <c r="E99" s="139">
        <f>(D90)/POWER((1+$B$28),E98)</f>
        <v>-3865</v>
      </c>
      <c r="F99" s="139" t="e">
        <f t="shared" ref="F99:AI99" ca="1" si="3">(D87+D88+D89+D91+D92)/POWER((1+$B$28),F98)</f>
        <v>#N/A</v>
      </c>
      <c r="G99" s="139" t="e">
        <f t="shared" ca="1" si="3"/>
        <v>#N/A</v>
      </c>
      <c r="H99" s="139" t="e">
        <f t="shared" ca="1" si="3"/>
        <v>#N/A</v>
      </c>
      <c r="I99" s="139" t="e">
        <f t="shared" ca="1" si="3"/>
        <v>#N/A</v>
      </c>
      <c r="J99" s="139" t="e">
        <f t="shared" ca="1" si="3"/>
        <v>#N/A</v>
      </c>
      <c r="K99" s="139" t="e">
        <f t="shared" ca="1" si="3"/>
        <v>#N/A</v>
      </c>
      <c r="L99" s="139" t="e">
        <f t="shared" ca="1" si="3"/>
        <v>#N/A</v>
      </c>
      <c r="M99" s="139" t="e">
        <f t="shared" ca="1" si="3"/>
        <v>#N/A</v>
      </c>
      <c r="N99" s="139" t="e">
        <f t="shared" ca="1" si="3"/>
        <v>#N/A</v>
      </c>
      <c r="O99" s="139" t="e">
        <f t="shared" ca="1" si="3"/>
        <v>#N/A</v>
      </c>
      <c r="P99" s="139" t="e">
        <f t="shared" ca="1" si="3"/>
        <v>#N/A</v>
      </c>
      <c r="Q99" s="139" t="e">
        <f t="shared" ca="1" si="3"/>
        <v>#N/A</v>
      </c>
      <c r="R99" s="139" t="e">
        <f t="shared" ca="1" si="3"/>
        <v>#N/A</v>
      </c>
      <c r="S99" s="139" t="e">
        <f t="shared" ca="1" si="3"/>
        <v>#N/A</v>
      </c>
      <c r="T99" s="139" t="e">
        <f t="shared" ca="1" si="3"/>
        <v>#N/A</v>
      </c>
      <c r="U99" s="139" t="e">
        <f t="shared" ca="1" si="3"/>
        <v>#N/A</v>
      </c>
      <c r="V99" s="139" t="e">
        <f t="shared" ca="1" si="3"/>
        <v>#N/A</v>
      </c>
      <c r="W99" s="139" t="e">
        <f t="shared" ca="1" si="3"/>
        <v>#N/A</v>
      </c>
      <c r="X99" s="139" t="e">
        <f t="shared" ca="1" si="3"/>
        <v>#N/A</v>
      </c>
      <c r="Y99" s="139" t="e">
        <f t="shared" ca="1" si="3"/>
        <v>#N/A</v>
      </c>
      <c r="Z99" s="139" t="e">
        <f t="shared" ca="1" si="3"/>
        <v>#N/A</v>
      </c>
      <c r="AA99" s="139" t="e">
        <f t="shared" ca="1" si="3"/>
        <v>#N/A</v>
      </c>
      <c r="AB99" s="139" t="e">
        <f t="shared" ca="1" si="3"/>
        <v>#N/A</v>
      </c>
      <c r="AC99" s="139" t="e">
        <f t="shared" ca="1" si="3"/>
        <v>#N/A</v>
      </c>
      <c r="AD99" s="139" t="e">
        <f t="shared" ca="1" si="3"/>
        <v>#N/A</v>
      </c>
      <c r="AE99" s="139" t="e">
        <f t="shared" ca="1" si="3"/>
        <v>#N/A</v>
      </c>
      <c r="AF99" s="139" t="e">
        <f t="shared" ca="1" si="3"/>
        <v>#N/A</v>
      </c>
      <c r="AG99" s="139" t="e">
        <f t="shared" ca="1" si="3"/>
        <v>#N/A</v>
      </c>
      <c r="AH99" s="139" t="e">
        <f t="shared" ca="1" si="3"/>
        <v>#N/A</v>
      </c>
      <c r="AI99" s="139" t="e">
        <f t="shared" ca="1" si="3"/>
        <v>#N/A</v>
      </c>
      <c r="AJ99" s="139">
        <f t="shared" ref="AJ99:AO99" si="4">(AH87+AH89+AH91+AH92)/POWER((1+$B$28),AJ98)</f>
        <v>0</v>
      </c>
      <c r="AK99" s="139">
        <f t="shared" si="4"/>
        <v>0</v>
      </c>
      <c r="AL99" s="139">
        <f t="shared" si="4"/>
        <v>0</v>
      </c>
      <c r="AM99" s="139">
        <f t="shared" si="4"/>
        <v>0</v>
      </c>
      <c r="AN99" s="139">
        <f t="shared" si="4"/>
        <v>0</v>
      </c>
      <c r="AO99" s="139">
        <f t="shared" si="4"/>
        <v>0</v>
      </c>
    </row>
    <row r="100" spans="1:41">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c r="AC100" s="128"/>
      <c r="AD100" s="128"/>
      <c r="AE100" s="128"/>
      <c r="AF100" s="128"/>
      <c r="AG100" s="128"/>
      <c r="AH100" s="128"/>
      <c r="AI100" s="128"/>
      <c r="AJ100" s="128"/>
      <c r="AK100" s="128"/>
      <c r="AL100" s="128"/>
      <c r="AM100" s="128"/>
      <c r="AN100" s="128"/>
      <c r="AO100" s="128"/>
    </row>
    <row r="101" spans="1:41" s="113" customFormat="1">
      <c r="A101" s="147"/>
      <c r="B101" s="233" t="s">
        <v>446</v>
      </c>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c r="AB101" s="147"/>
      <c r="AC101" s="147"/>
      <c r="AD101" s="147"/>
      <c r="AE101" s="147"/>
      <c r="AF101" s="147"/>
      <c r="AG101" s="147"/>
      <c r="AH101" s="147"/>
      <c r="AI101" s="147"/>
      <c r="AJ101" s="147"/>
      <c r="AK101" s="147"/>
      <c r="AL101" s="147"/>
      <c r="AM101" s="147"/>
      <c r="AN101" s="147"/>
      <c r="AO101" s="147"/>
    </row>
    <row r="103" spans="1:41">
      <c r="A103" s="128"/>
      <c r="B103" s="128"/>
      <c r="C103" s="14" t="s">
        <v>3</v>
      </c>
      <c r="D103" s="14">
        <v>2021</v>
      </c>
      <c r="E103" s="14">
        <f>IF('Rendimiento Paneles'!C9&gt;0,D74+1,"")</f>
        <v>2022</v>
      </c>
      <c r="F103" s="14">
        <f>IF('Rendimiento Paneles'!D9&gt;0,E74+1,"")</f>
        <v>2023</v>
      </c>
      <c r="G103" s="14">
        <f>IF('Rendimiento Paneles'!E9&gt;0,F74+1,"")</f>
        <v>2024</v>
      </c>
      <c r="H103" s="14">
        <f>IF('Rendimiento Paneles'!F9&gt;0,G74+1,"")</f>
        <v>2025</v>
      </c>
      <c r="I103" s="14">
        <f>IF('Rendimiento Paneles'!G9&gt;0,H74+1,"")</f>
        <v>2026</v>
      </c>
      <c r="J103" s="14">
        <f>IF('Rendimiento Paneles'!H9&gt;0,I74+1,"")</f>
        <v>2027</v>
      </c>
      <c r="K103" s="14">
        <f>IF('Rendimiento Paneles'!I9&gt;0,J74+1,"")</f>
        <v>2028</v>
      </c>
      <c r="L103" s="14">
        <f>IF('Rendimiento Paneles'!J9&gt;0,K74+1,"")</f>
        <v>2029</v>
      </c>
      <c r="M103" s="14">
        <f>IF('Rendimiento Paneles'!K9&gt;0,L74+1,"")</f>
        <v>2030</v>
      </c>
      <c r="N103" s="14">
        <f>IF('Rendimiento Paneles'!L9&gt;0,M74+1,"")</f>
        <v>2031</v>
      </c>
      <c r="O103" s="14">
        <f>IF('Rendimiento Paneles'!M9&gt;0,N74+1,"")</f>
        <v>2032</v>
      </c>
      <c r="P103" s="14">
        <f>IF('Rendimiento Paneles'!N9&gt;0,O74+1,"")</f>
        <v>2033</v>
      </c>
      <c r="Q103" s="14">
        <f>IF('Rendimiento Paneles'!O9&gt;0,P74+1,"")</f>
        <v>2034</v>
      </c>
      <c r="R103" s="14">
        <f>IF('Rendimiento Paneles'!P9&gt;0,Q74+1,"")</f>
        <v>2035</v>
      </c>
      <c r="S103" s="14">
        <f>IF('Rendimiento Paneles'!Q9&gt;0,R74+1,"")</f>
        <v>2036</v>
      </c>
      <c r="T103" s="14">
        <f>IF('Rendimiento Paneles'!R9&gt;0,S74+1,"")</f>
        <v>2037</v>
      </c>
      <c r="U103" s="14">
        <f>IF('Rendimiento Paneles'!S9&gt;0,T74+1,"")</f>
        <v>2038</v>
      </c>
      <c r="V103" s="14">
        <f>IF('Rendimiento Paneles'!T9&gt;0,U74+1,"")</f>
        <v>2039</v>
      </c>
      <c r="W103" s="14">
        <f>IF('Rendimiento Paneles'!U9&gt;0,V74+1,"")</f>
        <v>2040</v>
      </c>
      <c r="X103" s="14">
        <f>IF('Rendimiento Paneles'!V9&gt;0,W74+1,"")</f>
        <v>2041</v>
      </c>
      <c r="Y103" s="14">
        <f>IF('Rendimiento Paneles'!W9&gt;0,X74+1,"")</f>
        <v>2042</v>
      </c>
      <c r="Z103" s="14">
        <f>IF('Rendimiento Paneles'!X9&gt;0,Y74+1,"")</f>
        <v>2043</v>
      </c>
      <c r="AA103" s="14">
        <f>IF('Rendimiento Paneles'!Y9&gt;0,Z74+1,"")</f>
        <v>2044</v>
      </c>
      <c r="AB103" s="14">
        <f>IF('Rendimiento Paneles'!Z9&gt;0,AA74+1,"")</f>
        <v>2045</v>
      </c>
      <c r="AC103" s="14">
        <f>IF('Rendimiento Paneles'!AA9&gt;0,AB74+1,"")</f>
        <v>2046</v>
      </c>
      <c r="AD103" s="14">
        <f>IF('Rendimiento Paneles'!AB9&gt;0,AC74+1,"")</f>
        <v>2047</v>
      </c>
      <c r="AE103" s="14">
        <f>IF('Rendimiento Paneles'!AC9&gt;0,AD74+1,"")</f>
        <v>2048</v>
      </c>
      <c r="AF103" s="14">
        <f>IF('Rendimiento Paneles'!AD9&gt;0,AE74+1,"")</f>
        <v>2049</v>
      </c>
      <c r="AG103" s="14">
        <f>IF('Rendimiento Paneles'!AE9&gt;0,AF74+1,"")</f>
        <v>2050</v>
      </c>
      <c r="AH103" s="128"/>
      <c r="AI103" s="128"/>
    </row>
    <row r="104" spans="1:41">
      <c r="A104" s="128"/>
      <c r="B104" s="281" t="s">
        <v>17</v>
      </c>
      <c r="C104" s="14" t="s">
        <v>4</v>
      </c>
      <c r="D104" s="128">
        <f ca="1">IF(ISNUMBER(D$103),IF('Datos Instalación'!$F$6="Autoconsumo Aislado",CostesNoGeneración!C73,C29+C58),"")</f>
        <v>53.224525950218684</v>
      </c>
      <c r="E104" s="128">
        <f ca="1">IF(ISNUMBER(E$103),IF('Datos Instalación'!$F$6="Autoconsumo Aislado",CostesNoGeneración!D73,D29+D58),"")</f>
        <v>53.224525950218684</v>
      </c>
      <c r="F104" s="128">
        <f ca="1">IF(ISNUMBER(F$103),IF('Datos Instalación'!$F$6="Autoconsumo Aislado",CostesNoGeneración!E73,E29+E58),"")</f>
        <v>52.885721686845613</v>
      </c>
      <c r="G104" s="128">
        <f ca="1">IF(ISNUMBER(G$103),IF('Datos Instalación'!$F$6="Autoconsumo Aislado",CostesNoGeneración!F73,F29+F58),"")</f>
        <v>52.717690474140824</v>
      </c>
      <c r="H104" s="128">
        <f ca="1">IF(ISNUMBER(H$103),IF('Datos Instalación'!$F$6="Autoconsumo Aislado",CostesNoGeneración!G73,G29+G58),"")</f>
        <v>52.550566629984644</v>
      </c>
      <c r="I104" s="128">
        <f ca="1">IF(ISNUMBER(I$103),IF('Datos Instalación'!$F$6="Autoconsumo Aislado",CostesNoGeneración!H73,H29+H58),"")</f>
        <v>52.384345254586904</v>
      </c>
      <c r="J104" s="128">
        <f ca="1">IF(ISNUMBER(J$103),IF('Datos Instalación'!$F$6="Autoconsumo Aislado",CostesNoGeneración!I73,I29+I58),"")</f>
        <v>52.219021474616326</v>
      </c>
      <c r="K104" s="128">
        <f ca="1">IF(ISNUMBER(K$103),IF('Datos Instalación'!$F$6="Autoconsumo Aislado",CostesNoGeneración!J73,J29+J58),"")</f>
        <v>52.054590443057577</v>
      </c>
      <c r="L104" s="128">
        <f ca="1">IF(ISNUMBER(L$103),IF('Datos Instalación'!$F$6="Autoconsumo Aislado",CostesNoGeneración!K73,K29+K58),"")</f>
        <v>51.891047339069246</v>
      </c>
      <c r="M104" s="128">
        <f ca="1">IF(ISNUMBER(M$103),IF('Datos Instalación'!$F$6="Autoconsumo Aislado",CostesNoGeneración!L73,L29+L58),"")</f>
        <v>51.728387367842451</v>
      </c>
      <c r="N104" s="128">
        <f ca="1">IF(ISNUMBER(N$103),IF('Datos Instalación'!$F$6="Autoconsumo Aislado",CostesNoGeneración!M73,M29+M58),"")</f>
        <v>51.566605760460284</v>
      </c>
      <c r="O104" s="128">
        <f ca="1">IF(ISNUMBER(O$103),IF('Datos Instalación'!$F$6="Autoconsumo Aislado",CostesNoGeneración!N73,N29+N58),"")</f>
        <v>51.405697773757971</v>
      </c>
      <c r="P104" s="128">
        <f ca="1">IF(ISNUMBER(P$103),IF('Datos Instalación'!$F$6="Autoconsumo Aislado",CostesNoGeneración!O73,O29+O58),"")</f>
        <v>52.150161942337775</v>
      </c>
      <c r="Q104" s="128">
        <f ca="1">IF(ISNUMBER(Q$103),IF('Datos Instalación'!$F$6="Autoconsumo Aislado",CostesNoGeneración!P73,P29+P58),"")</f>
        <v>51.986102752253338</v>
      </c>
      <c r="R104" s="128">
        <f ca="1">IF(ISNUMBER(R$103),IF('Datos Instalación'!$F$6="Autoconsumo Aislado",CostesNoGeneración!Q73,Q29+Q58),"")</f>
        <v>51.822929481795342</v>
      </c>
      <c r="S104" s="128">
        <f ca="1">IF(ISNUMBER(S$103),IF('Datos Instalación'!$F$6="Autoconsumo Aislado",CostesNoGeneración!R73,R29+R58),"")</f>
        <v>51.660637346997831</v>
      </c>
      <c r="T104" s="128">
        <f ca="1">IF(ISNUMBER(T$103),IF('Datos Instalación'!$F$6="Autoconsumo Aislado",CostesNoGeneración!S73,S29+S58),"")</f>
        <v>51.499221589728222</v>
      </c>
      <c r="U104" s="128">
        <f ca="1">IF(ISNUMBER(U$103),IF('Datos Instalación'!$F$6="Autoconsumo Aislado",CostesNoGeneración!T73,T29+T58),"")</f>
        <v>51.338677477547876</v>
      </c>
      <c r="V104" s="128">
        <f ca="1">IF(ISNUMBER(V$103),IF('Datos Instalación'!$F$6="Autoconsumo Aislado",CostesNoGeneración!U73,U29+U58),"")</f>
        <v>51.179000303573297</v>
      </c>
      <c r="W104" s="128">
        <f ca="1">IF(ISNUMBER(W$103),IF('Datos Instalación'!$F$6="Autoconsumo Aislado",CostesNoGeneración!V73,V29+V58),"")</f>
        <v>51.020185386338184</v>
      </c>
      <c r="X104" s="128">
        <f ca="1">IF(ISNUMBER(X$74),IF('Datos Instalación'!$F$6="Autoconsumo Aislado",CostesNoGeneración!W102,W45+W74),"")</f>
        <v>2063.302726808126</v>
      </c>
      <c r="Y104" s="128">
        <f ca="1">IF(ISNUMBER(Y$74),IF('Datos Instalación'!$F$6="Autoconsumo Aislado",CostesNoGeneración!X102,X45+X74),"")</f>
        <v>2064.1399835927959</v>
      </c>
      <c r="Z104" s="128">
        <f ca="1">IF(ISNUMBER(Z$74),IF('Datos Instalación'!$F$6="Autoconsumo Aislado",CostesNoGeneración!Y102,Y45+Y74),"")</f>
        <v>2064.9781191908287</v>
      </c>
      <c r="AA104" s="128">
        <f ca="1">IF(ISNUMBER(AA$74),IF('Datos Instalación'!$F$6="Autoconsumo Aislado",CostesNoGeneración!Z102,Z45+Z74),"")</f>
        <v>2065.8171288566323</v>
      </c>
      <c r="AB104" s="128">
        <f ca="1">IF(ISNUMBER(AB$74),IF('Datos Instalación'!$F$6="Autoconsumo Aislado",CostesNoGeneración!AA102,AA45+AA74),"")</f>
        <v>2066.6570078702402</v>
      </c>
      <c r="AC104" s="128">
        <f ca="1">IF(ISNUMBER(AC$74),IF('Datos Instalación'!$F$6="Autoconsumo Aislado",CostesNoGeneración!AB102,AB45+AB74),"")</f>
        <v>2067.4977515371752</v>
      </c>
      <c r="AD104" s="128">
        <f ca="1">IF(ISNUMBER(AD$74),IF('Datos Instalación'!$F$6="Autoconsumo Aislado",CostesNoGeneración!AC102,AC45+AC74),"")</f>
        <v>2068.3393551883082</v>
      </c>
      <c r="AE104" s="128">
        <f ca="1">IF(ISNUMBER(AE$74),IF('Datos Instalación'!$F$6="Autoconsumo Aislado",CostesNoGeneración!AD102,AD45+AD74),"")</f>
        <v>2069.1818141797253</v>
      </c>
      <c r="AF104" s="128">
        <f ca="1">IF(ISNUMBER(AF$74),IF('Datos Instalación'!$F$6="Autoconsumo Aislado",CostesNoGeneración!AE102,AE45+AE74),"")</f>
        <v>2070.0251238925889</v>
      </c>
      <c r="AG104" s="128" t="str">
        <f>IF(ISNUMBER(AG$10),IF('Datos Instalación'!$F$6="Autoconsumo Aislado",CostesNoGeneración!AG168,Ingresos!AH99+Ingresos!AH138),"")</f>
        <v/>
      </c>
      <c r="AH104" s="128"/>
      <c r="AI104" s="128"/>
    </row>
    <row r="105" spans="1:41">
      <c r="A105" s="128"/>
      <c r="B105" s="281"/>
      <c r="C105" s="14" t="s">
        <v>5</v>
      </c>
      <c r="D105" s="128">
        <f ca="1">IF(ISNUMBER(D$103),IF('Datos Instalación'!$F$6="Autoconsumo Aislado",CostesNoGeneración!C74,C30+C59),"")</f>
        <v>51.211280492771351</v>
      </c>
      <c r="E105" s="128">
        <f ca="1">IF(ISNUMBER(E$103),IF('Datos Instalación'!$F$6="Autoconsumo Aislado",CostesNoGeneración!D74,D30+D59),"")</f>
        <v>51.042215403851358</v>
      </c>
      <c r="F105" s="128">
        <f ca="1">IF(ISNUMBER(F$103),IF('Datos Instalación'!$F$6="Autoconsumo Aislado",CostesNoGeneración!E74,E30+E59),"")</f>
        <v>50.874063266411525</v>
      </c>
      <c r="G105" s="128">
        <f ca="1">IF(ISNUMBER(G$103),IF('Datos Instalación'!$F$6="Autoconsumo Aislado",CostesNoGeneración!F74,F30+F59),"")</f>
        <v>50.706819150513866</v>
      </c>
      <c r="H105" s="128">
        <f ca="1">IF(ISNUMBER(H$103),IF('Datos Instalación'!$F$6="Autoconsumo Aislado",CostesNoGeneración!G74,G30+G59),"")</f>
        <v>50.540478152842056</v>
      </c>
      <c r="I105" s="128">
        <f ca="1">IF(ISNUMBER(I$103),IF('Datos Instalación'!$F$6="Autoconsumo Aislado",CostesNoGeneración!H74,H30+H59),"")</f>
        <v>50.375035396557678</v>
      </c>
      <c r="J105" s="128">
        <f ca="1">IF(ISNUMBER(J$103),IF('Datos Instalación'!$F$6="Autoconsumo Aislado",CostesNoGeneración!I74,I30+I59),"")</f>
        <v>50.210486031157238</v>
      </c>
      <c r="K105" s="128">
        <f ca="1">IF(ISNUMBER(K$103),IF('Datos Instalación'!$F$6="Autoconsumo Aislado",CostesNoGeneración!J74,J30+J59),"")</f>
        <v>50.046825232329951</v>
      </c>
      <c r="L105" s="128">
        <f ca="1">IF(ISNUMBER(L$103),IF('Datos Instalación'!$F$6="Autoconsumo Aislado",CostesNoGeneración!K74,K30+K59),"")</f>
        <v>49.884048201816327</v>
      </c>
      <c r="M105" s="128">
        <f ca="1">IF(ISNUMBER(M$103),IF('Datos Instalación'!$F$6="Autoconsumo Aislado",CostesNoGeneración!L74,L30+L59),"")</f>
        <v>49.7221501672675</v>
      </c>
      <c r="N105" s="128">
        <f ca="1">IF(ISNUMBER(N$103),IF('Datos Instalación'!$F$6="Autoconsumo Aislado",CostesNoGeneración!M74,M30+M59),"")</f>
        <v>49.561126382105201</v>
      </c>
      <c r="O105" s="128">
        <f ca="1">IF(ISNUMBER(O$103),IF('Datos Instalación'!$F$6="Autoconsumo Aislado",CostesNoGeneración!N74,N30+N59),"")</f>
        <v>49.400972125382808</v>
      </c>
      <c r="P105" s="128">
        <f ca="1">IF(ISNUMBER(P$103),IF('Datos Instalación'!$F$6="Autoconsumo Aislado",CostesNoGeneración!O74,O30+O59),"")</f>
        <v>50.141949052749041</v>
      </c>
      <c r="Q105" s="128">
        <f ca="1">IF(ISNUMBER(Q$103),IF('Datos Instalación'!$F$6="Autoconsumo Aislado",CostesNoGeneración!P74,P30+P59),"")</f>
        <v>49.978658353605155</v>
      </c>
      <c r="R105" s="128">
        <f ca="1">IF(ISNUMBER(R$103),IF('Datos Instalación'!$F$6="Autoconsumo Aislado",CostesNoGeneración!Q74,Q30+Q59),"")</f>
        <v>49.816249424236645</v>
      </c>
      <c r="S105" s="128">
        <f ca="1">IF(ISNUMBER(S$103),IF('Datos Instalación'!$F$6="Autoconsumo Aislado",CostesNoGeneración!R74,R30+R59),"")</f>
        <v>49.654717503086736</v>
      </c>
      <c r="T105" s="128">
        <f ca="1">IF(ISNUMBER(T$103),IF('Datos Instalación'!$F$6="Autoconsumo Aislado",CostesNoGeneración!S74,S30+S59),"")</f>
        <v>49.494057854311023</v>
      </c>
      <c r="U105" s="128">
        <f ca="1">IF(ISNUMBER(U$103),IF('Datos Instalación'!$F$6="Autoconsumo Aislado",CostesNoGeneración!T74,T30+T59),"")</f>
        <v>49.334265767638712</v>
      </c>
      <c r="V105" s="128">
        <f ca="1">IF(ISNUMBER(V$103),IF('Datos Instalación'!$F$6="Autoconsumo Aislado",CostesNoGeneración!U74,U30+U59),"")</f>
        <v>49.175336558234434</v>
      </c>
      <c r="W105" s="128">
        <f ca="1">IF(ISNUMBER(W$103),IF('Datos Instalación'!$F$6="Autoconsumo Aislado",CostesNoGeneración!V74,V30+V59),"")</f>
        <v>49.017265566560937</v>
      </c>
      <c r="X105" s="128">
        <f ca="1">IF(ISNUMBER(X$74),IF('Datos Instalación'!$F$6="Autoconsumo Aislado",CostesNoGeneración!W103,W46+W75),"")</f>
        <v>75.817493983602532</v>
      </c>
      <c r="Y105" s="128">
        <f ca="1">IF(ISNUMBER(Y$74),IF('Datos Instalación'!$F$6="Autoconsumo Aislado",CostesNoGeneración!X103,X46+X75),"")</f>
        <v>75.491886294834899</v>
      </c>
      <c r="Z105" s="128">
        <f ca="1">IF(ISNUMBER(Z$74),IF('Datos Instalación'!$F$6="Autoconsumo Aislado",CostesNoGeneración!Y103,Y46+Y75),"")</f>
        <v>75.168036887586567</v>
      </c>
      <c r="AA105" s="128">
        <f ca="1">IF(ISNUMBER(AA$74),IF('Datos Instalación'!$F$6="Autoconsumo Aislado",CostesNoGeneración!Z103,Z46+Z75),"")</f>
        <v>74.845936267137418</v>
      </c>
      <c r="AB105" s="128">
        <f ca="1">IF(ISNUMBER(AB$74),IF('Datos Instalación'!$F$6="Autoconsumo Aislado",CostesNoGeneración!AA103,AA46+AA75),"")</f>
        <v>74.525574990038677</v>
      </c>
      <c r="AC105" s="128">
        <f ca="1">IF(ISNUMBER(AC$74),IF('Datos Instalación'!$F$6="Autoconsumo Aislado",CostesNoGeneración!AB103,AB46+AB75),"")</f>
        <v>74.20694366383627</v>
      </c>
      <c r="AD105" s="128">
        <f ca="1">IF(ISNUMBER(AD$74),IF('Datos Instalación'!$F$6="Autoconsumo Aislado",CostesNoGeneración!AC103,AC46+AC75),"")</f>
        <v>73.890032946795358</v>
      </c>
      <c r="AE105" s="128">
        <f ca="1">IF(ISNUMBER(AE$74),IF('Datos Instalación'!$F$6="Autoconsumo Aislado",CostesNoGeneración!AD103,AD46+AD75),"")</f>
        <v>73.574833547626469</v>
      </c>
      <c r="AF105" s="128">
        <f ca="1">IF(ISNUMBER(AF$74),IF('Datos Instalación'!$F$6="Autoconsumo Aislado",CostesNoGeneración!AE103,AE46+AE75),"")</f>
        <v>73.261336225213086</v>
      </c>
      <c r="AG105" s="128" t="str">
        <f>IF(ISNUMBER(AG$10),IF('Datos Instalación'!$F$6="Autoconsumo Aislado",CostesNoGeneración!AG169,Ingresos!AH100+Ingresos!AH139),"")</f>
        <v/>
      </c>
      <c r="AH105" s="128"/>
      <c r="AI105" s="128"/>
    </row>
    <row r="106" spans="1:41">
      <c r="A106" s="128"/>
      <c r="B106" s="281"/>
      <c r="C106" s="14" t="s">
        <v>6</v>
      </c>
      <c r="D106" s="128">
        <f ca="1">IF(ISNUMBER(D$103),IF('Datos Instalación'!$F$6="Autoconsumo Aislado",CostesNoGeneración!C75,C31+C60),"")</f>
        <v>55.505307997025831</v>
      </c>
      <c r="E106" s="128">
        <f ca="1">IF(ISNUMBER(E$103),IF('Datos Instalación'!$F$6="Autoconsumo Aislado",CostesNoGeneración!D75,D31+D60),"")</f>
        <v>55.296262061810829</v>
      </c>
      <c r="F106" s="128">
        <f ca="1">IF(ISNUMBER(F$103),IF('Datos Instalación'!$F$6="Autoconsumo Aislado",CostesNoGeneración!E75,E31+E60),"")</f>
        <v>55.088344974645999</v>
      </c>
      <c r="G106" s="128">
        <f ca="1">IF(ISNUMBER(G$103),IF('Datos Instalación'!$F$6="Autoconsumo Aislado",CostesNoGeneración!F75,F31+F60),"")</f>
        <v>54.88155063975185</v>
      </c>
      <c r="H106" s="128">
        <f ca="1">IF(ISNUMBER(H$103),IF('Datos Instalación'!$F$6="Autoconsumo Aislado",CostesNoGeneración!G75,G31+G60),"")</f>
        <v>54.675872994266129</v>
      </c>
      <c r="I106" s="128">
        <f ca="1">IF(ISNUMBER(I$103),IF('Datos Instalación'!$F$6="Autoconsumo Aislado",CostesNoGeneración!H75,H31+H60),"")</f>
        <v>54.47130600806603</v>
      </c>
      <c r="J106" s="128">
        <f ca="1">IF(ISNUMBER(J$103),IF('Datos Instalación'!$F$6="Autoconsumo Aislado",CostesNoGeneración!I75,I31+I60),"")</f>
        <v>54.267843683591416</v>
      </c>
      <c r="K106" s="128">
        <f ca="1">IF(ISNUMBER(K$103),IF('Datos Instalación'!$F$6="Autoconsumo Aislado",CostesNoGeneración!J75,J31+J60),"")</f>
        <v>54.065480055668957</v>
      </c>
      <c r="L106" s="128">
        <f ca="1">IF(ISNUMBER(L$103),IF('Datos Instalación'!$F$6="Autoconsumo Aislado",CostesNoGeneración!K75,K31+K60),"")</f>
        <v>53.864209191337295</v>
      </c>
      <c r="M106" s="128">
        <f ca="1">IF(ISNUMBER(M$103),IF('Datos Instalación'!$F$6="Autoconsumo Aislado",CostesNoGeneración!L75,L31+L60),"")</f>
        <v>53.664025189673012</v>
      </c>
      <c r="N106" s="128">
        <f ca="1">IF(ISNUMBER(N$103),IF('Datos Instalación'!$F$6="Autoconsumo Aislado",CostesNoGeneración!M75,M31+M60),"")</f>
        <v>53.464922181617709</v>
      </c>
      <c r="O106" s="128">
        <f ca="1">IF(ISNUMBER(O$103),IF('Datos Instalación'!$F$6="Autoconsumo Aislado",CostesNoGeneración!N75,N31+N60),"")</f>
        <v>53.266894329805922</v>
      </c>
      <c r="P106" s="128">
        <f ca="1">IF(ISNUMBER(P$103),IF('Datos Instalación'!$F$6="Autoconsumo Aislado",CostesNoGeneración!O75,O31+O60),"")</f>
        <v>54.18309894510238</v>
      </c>
      <c r="Q106" s="128">
        <f ca="1">IF(ISNUMBER(Q$103),IF('Datos Instalación'!$F$6="Autoconsumo Aislado",CostesNoGeneración!P75,P31+P60),"")</f>
        <v>53.981192938767762</v>
      </c>
      <c r="R106" s="128">
        <f ca="1">IF(ISNUMBER(R$103),IF('Datos Instalación'!$F$6="Autoconsumo Aislado",CostesNoGeneración!Q75,Q31+Q60),"")</f>
        <v>53.780377224867351</v>
      </c>
      <c r="S106" s="128">
        <f ca="1">IF(ISNUMBER(S$103),IF('Datos Instalación'!$F$6="Autoconsumo Aislado",CostesNoGeneración!R75,R31+R60),"")</f>
        <v>53.580645915822004</v>
      </c>
      <c r="T106" s="128">
        <f ca="1">IF(ISNUMBER(T$103),IF('Datos Instalación'!$F$6="Autoconsumo Aislado",CostesNoGeneración!S75,S31+S60),"")</f>
        <v>53.3819931558455</v>
      </c>
      <c r="U106" s="128">
        <f ca="1">IF(ISNUMBER(U$103),IF('Datos Instalación'!$F$6="Autoconsumo Aislado",CostesNoGeneración!T75,T31+T60),"")</f>
        <v>53.184413120772874</v>
      </c>
      <c r="V106" s="128">
        <f ca="1">IF(ISNUMBER(V$103),IF('Datos Instalación'!$F$6="Autoconsumo Aislado",CostesNoGeneración!U75,U31+U60),"")</f>
        <v>52.98790001788965</v>
      </c>
      <c r="W106" s="128">
        <f ca="1">IF(ISNUMBER(W$103),IF('Datos Instalación'!$F$6="Autoconsumo Aislado",CostesNoGeneración!V75,V31+V60),"")</f>
        <v>52.792448085761983</v>
      </c>
      <c r="X106" s="128">
        <f ca="1">IF(ISNUMBER(X$74),IF('Datos Instalación'!$F$6="Autoconsumo Aislado",CostesNoGeneración!W104,W47+W76),"")</f>
        <v>81.879693604504808</v>
      </c>
      <c r="Y106" s="128">
        <f ca="1">IF(ISNUMBER(Y$74),IF('Datos Instalación'!$F$6="Autoconsumo Aislado",CostesNoGeneración!X104,X47+X76),"")</f>
        <v>81.516546820630495</v>
      </c>
      <c r="Z106" s="128">
        <f ca="1">IF(ISNUMBER(Z$74),IF('Datos Instalación'!$F$6="Autoconsumo Aislado",CostesNoGeneración!Y104,Y47+Y76),"")</f>
        <v>81.155361029389098</v>
      </c>
      <c r="AA106" s="128">
        <f ca="1">IF(ISNUMBER(AA$74),IF('Datos Instalación'!$F$6="Autoconsumo Aislado",CostesNoGeneración!Z104,Z47+Z76),"")</f>
        <v>80.796125641420431</v>
      </c>
      <c r="AB106" s="128">
        <f ca="1">IF(ISNUMBER(AB$74),IF('Datos Instalación'!$F$6="Autoconsumo Aislado",CostesNoGeneración!AA104,AA47+AA76),"")</f>
        <v>80.438830124546797</v>
      </c>
      <c r="AC106" s="128">
        <f ca="1">IF(ISNUMBER(AC$74),IF('Datos Instalación'!$F$6="Autoconsumo Aislado",CostesNoGeneración!AB104,AB47+AB76),"")</f>
        <v>80.083464003464258</v>
      </c>
      <c r="AD106" s="128">
        <f ca="1">IF(ISNUMBER(AD$74),IF('Datos Instalación'!$F$6="Autoconsumo Aislado",CostesNoGeneración!AC104,AC47+AC76),"")</f>
        <v>79.730016859435551</v>
      </c>
      <c r="AE106" s="128">
        <f ca="1">IF(ISNUMBER(AE$74),IF('Datos Instalación'!$F$6="Autoconsumo Aislado",CostesNoGeneración!AD104,AD47+AD76),"")</f>
        <v>79.378478329984631</v>
      </c>
      <c r="AF106" s="128">
        <f ca="1">IF(ISNUMBER(AF$74),IF('Datos Instalación'!$F$6="Autoconsumo Aislado",CostesNoGeneración!AE104,AE47+AE76),"")</f>
        <v>79.028838108592737</v>
      </c>
      <c r="AG106" s="128" t="str">
        <f>IF(ISNUMBER(AG$10),IF('Datos Instalación'!$F$6="Autoconsumo Aislado",CostesNoGeneración!AG170,Ingresos!AH101+Ingresos!AH140),"")</f>
        <v/>
      </c>
      <c r="AH106" s="128"/>
      <c r="AI106" s="128"/>
    </row>
    <row r="107" spans="1:41">
      <c r="A107" s="128"/>
      <c r="B107" s="281"/>
      <c r="C107" s="14" t="s">
        <v>7</v>
      </c>
      <c r="D107" s="128">
        <f ca="1">IF(ISNUMBER(D$103),IF('Datos Instalación'!$F$6="Autoconsumo Aislado",CostesNoGeneración!C76,C32+C61),"")</f>
        <v>56.497496919578523</v>
      </c>
      <c r="E107" s="128">
        <f ca="1">IF(ISNUMBER(E$103),IF('Datos Instalación'!$F$6="Autoconsumo Aislado",CostesNoGeneración!D76,D32+D61),"")</f>
        <v>56.273017305518529</v>
      </c>
      <c r="F107" s="128">
        <f ca="1">IF(ISNUMBER(F$103),IF('Datos Instalación'!$F$6="Autoconsumo Aislado",CostesNoGeneración!E76,E32+E61),"")</f>
        <v>56.049749881374446</v>
      </c>
      <c r="G107" s="128">
        <f ca="1">IF(ISNUMBER(G$103),IF('Datos Instalación'!$F$6="Autoconsumo Aislado",CostesNoGeneración!F76,F32+F61),"")</f>
        <v>55.827688101320753</v>
      </c>
      <c r="H107" s="128">
        <f ca="1">IF(ISNUMBER(H$103),IF('Datos Instalación'!$F$6="Autoconsumo Aislado",CostesNoGeneración!G76,G32+G61),"")</f>
        <v>55.606825454879342</v>
      </c>
      <c r="I107" s="128">
        <f ca="1">IF(ISNUMBER(I$103),IF('Datos Instalación'!$F$6="Autoconsumo Aislado",CostesNoGeneración!H76,H32+H61),"")</f>
        <v>55.387155466728714</v>
      </c>
      <c r="J107" s="128">
        <f ca="1">IF(ISNUMBER(J$103),IF('Datos Instalación'!$F$6="Autoconsumo Aislado",CostesNoGeneración!I76,I32+I61),"")</f>
        <v>55.168671696514103</v>
      </c>
      <c r="K107" s="128">
        <f ca="1">IF(ISNUMBER(K$103),IF('Datos Instalación'!$F$6="Autoconsumo Aislado",CostesNoGeneración!J76,J32+J61),"")</f>
        <v>54.951367738658661</v>
      </c>
      <c r="L107" s="128">
        <f ca="1">IF(ISNUMBER(L$103),IF('Datos Instalación'!$F$6="Autoconsumo Aislado",CostesNoGeneración!K76,K32+K61),"")</f>
        <v>54.735237222175627</v>
      </c>
      <c r="M107" s="128">
        <f ca="1">IF(ISNUMBER(M$103),IF('Datos Instalación'!$F$6="Autoconsumo Aislado",CostesNoGeneración!L76,L32+L61),"")</f>
        <v>54.520273810481605</v>
      </c>
      <c r="N107" s="128">
        <f ca="1">IF(ISNUMBER(N$103),IF('Datos Instalación'!$F$6="Autoconsumo Aislado",CostesNoGeneración!M76,M32+M61),"")</f>
        <v>54.306471201210719</v>
      </c>
      <c r="O107" s="128">
        <f ca="1">IF(ISNUMBER(O$103),IF('Datos Instalación'!$F$6="Autoconsumo Aislado",CostesNoGeneración!N76,N32+N61),"")</f>
        <v>54.093823126029903</v>
      </c>
      <c r="P107" s="128">
        <f ca="1">IF(ISNUMBER(P$103),IF('Datos Instalación'!$F$6="Autoconsumo Aislado",CostesNoGeneración!O76,O32+O61),"")</f>
        <v>55.077670327986802</v>
      </c>
      <c r="Q107" s="128">
        <f ca="1">IF(ISNUMBER(Q$103),IF('Datos Instalación'!$F$6="Autoconsumo Aislado",CostesNoGeneración!P76,P32+P61),"")</f>
        <v>54.860857777521389</v>
      </c>
      <c r="R107" s="128">
        <f ca="1">IF(ISNUMBER(R$103),IF('Datos Instalación'!$F$6="Autoconsumo Aislado",CostesNoGeneración!Q76,Q32+Q61),"")</f>
        <v>54.645216014828499</v>
      </c>
      <c r="S107" s="128">
        <f ca="1">IF(ISNUMBER(S$103),IF('Datos Instalación'!$F$6="Autoconsumo Aislado",CostesNoGeneración!R76,R32+R61),"")</f>
        <v>54.430738717654151</v>
      </c>
      <c r="T107" s="128">
        <f ca="1">IF(ISNUMBER(T$103),IF('Datos Instalación'!$F$6="Autoconsumo Aislado",CostesNoGeneración!S76,S32+S61),"")</f>
        <v>54.217419597884536</v>
      </c>
      <c r="U107" s="128">
        <f ca="1">IF(ISNUMBER(U$103),IF('Datos Instalación'!$F$6="Autoconsumo Aislado",CostesNoGeneración!T76,T32+T61),"")</f>
        <v>54.005252401361687</v>
      </c>
      <c r="V107" s="128">
        <f ca="1">IF(ISNUMBER(V$103),IF('Datos Instalación'!$F$6="Autoconsumo Aislado",CostesNoGeneración!U76,U32+U61),"")</f>
        <v>53.794230907700054</v>
      </c>
      <c r="W107" s="128">
        <f ca="1">IF(ISNUMBER(W$103),IF('Datos Instalación'!$F$6="Autoconsumo Aislado",CostesNoGeneración!V76,V32+V61),"")</f>
        <v>53.584348930104213</v>
      </c>
      <c r="X107" s="128">
        <f ca="1">IF(ISNUMBER(X$74),IF('Datos Instalación'!$F$6="Autoconsumo Aislado",CostesNoGeneración!W105,W48+W77),"")</f>
        <v>89.226174067762713</v>
      </c>
      <c r="Y107" s="128">
        <f ca="1">IF(ISNUMBER(Y$74),IF('Datos Instalación'!$F$6="Autoconsumo Aislado",CostesNoGeneración!X105,X48+X77),"")</f>
        <v>88.809726776520463</v>
      </c>
      <c r="Z107" s="128">
        <f ca="1">IF(ISNUMBER(Z$74),IF('Datos Instalación'!$F$6="Autoconsumo Aislado",CostesNoGeneración!Y105,Y48+Y77),"")</f>
        <v>88.395528300650909</v>
      </c>
      <c r="AA107" s="128">
        <f ca="1">IF(ISNUMBER(AA$74),IF('Datos Instalación'!$F$6="Autoconsumo Aislado",CostesNoGeneración!Z105,Z48+Z77),"")</f>
        <v>87.98356649655102</v>
      </c>
      <c r="AB107" s="128">
        <f ca="1">IF(ISNUMBER(AB$74),IF('Datos Instalación'!$F$6="Autoconsumo Aislado",CostesNoGeneración!AA105,AA48+AA77),"")</f>
        <v>87.573829286193316</v>
      </c>
      <c r="AC107" s="128">
        <f ca="1">IF(ISNUMBER(AC$74),IF('Datos Instalación'!$F$6="Autoconsumo Aislado",CostesNoGeneración!AB105,AB48+AB77),"")</f>
        <v>87.16630465677153</v>
      </c>
      <c r="AD107" s="128">
        <f ca="1">IF(ISNUMBER(AD$74),IF('Datos Instalación'!$F$6="Autoconsumo Aislado",CostesNoGeneración!AC105,AC48+AC77),"")</f>
        <v>86.760980660348608</v>
      </c>
      <c r="AE107" s="128">
        <f ca="1">IF(ISNUMBER(AE$74),IF('Datos Instalación'!$F$6="Autoconsumo Aislado",CostesNoGeneración!AD105,AD48+AD77),"")</f>
        <v>86.357845413506368</v>
      </c>
      <c r="AF107" s="128">
        <f ca="1">IF(ISNUMBER(AF$74),IF('Datos Instalación'!$F$6="Autoconsumo Aislado",CostesNoGeneración!AE105,AE48+AE77),"")</f>
        <v>85.956887096997107</v>
      </c>
      <c r="AG107" s="128" t="str">
        <f>IF(ISNUMBER(AG$10),IF('Datos Instalación'!$F$6="Autoconsumo Aislado",CostesNoGeneración!AG171,Ingresos!AH102+Ingresos!AH141),"")</f>
        <v/>
      </c>
      <c r="AH107" s="128"/>
      <c r="AI107" s="128"/>
    </row>
    <row r="108" spans="1:41">
      <c r="A108" s="128"/>
      <c r="B108" s="281"/>
      <c r="C108" s="14" t="s">
        <v>8</v>
      </c>
      <c r="D108" s="128">
        <f ca="1">IF(ISNUMBER(D$103),IF('Datos Instalación'!$F$6="Autoconsumo Aislado",CostesNoGeneración!C77,C33+C62),"")</f>
        <v>61.822414201653075</v>
      </c>
      <c r="E108" s="128">
        <f ca="1">IF(ISNUMBER(E$103),IF('Datos Instalación'!$F$6="Autoconsumo Aislado",CostesNoGeneración!D77,D33+D62),"")</f>
        <v>61.570859344047065</v>
      </c>
      <c r="F108" s="128">
        <f ca="1">IF(ISNUMBER(F$103),IF('Datos Instalación'!$F$6="Autoconsumo Aislado",CostesNoGeneración!E77,E33+E62),"")</f>
        <v>61.320662882672138</v>
      </c>
      <c r="G108" s="128">
        <f ca="1">IF(ISNUMBER(G$103),IF('Datos Instalación'!$F$6="Autoconsumo Aislado",CostesNoGeneración!F77,F33+F62),"")</f>
        <v>61.071817482188649</v>
      </c>
      <c r="H108" s="128">
        <f ca="1">IF(ISNUMBER(H$103),IF('Datos Instalación'!$F$6="Autoconsumo Aislado",CostesNoGeneración!G77,G33+G62),"")</f>
        <v>60.824315846867748</v>
      </c>
      <c r="I108" s="128">
        <f ca="1">IF(ISNUMBER(I$103),IF('Datos Instalación'!$F$6="Autoconsumo Aislado",CostesNoGeneración!H77,H33+H62),"")</f>
        <v>60.578150720377593</v>
      </c>
      <c r="J108" s="128">
        <f ca="1">IF(ISNUMBER(J$103),IF('Datos Instalación'!$F$6="Autoconsumo Aislado",CostesNoGeneración!I77,I33+I62),"")</f>
        <v>60.333314885570488</v>
      </c>
      <c r="K108" s="128">
        <f ca="1">IF(ISNUMBER(K$103),IF('Datos Instalación'!$F$6="Autoconsumo Aislado",CostesNoGeneración!J77,J33+J62),"")</f>
        <v>60.089801164271321</v>
      </c>
      <c r="L108" s="128">
        <f ca="1">IF(ISNUMBER(L$103),IF('Datos Instalación'!$F$6="Autoconsumo Aislado",CostesNoGeneración!K77,K33+K62),"")</f>
        <v>59.847602417067193</v>
      </c>
      <c r="M108" s="128">
        <f ca="1">IF(ISNUMBER(M$103),IF('Datos Instalación'!$F$6="Autoconsumo Aislado",CostesNoGeneración!L77,L33+L62),"")</f>
        <v>59.606711543097958</v>
      </c>
      <c r="N108" s="128">
        <f ca="1">IF(ISNUMBER(N$103),IF('Datos Instalación'!$F$6="Autoconsumo Aislado",CostesNoGeneración!M77,M33+M62),"")</f>
        <v>59.367121479848137</v>
      </c>
      <c r="O108" s="128">
        <f ca="1">IF(ISNUMBER(O$103),IF('Datos Instalación'!$F$6="Autoconsumo Aislado",CostesNoGeneración!N77,N33+N62),"")</f>
        <v>59.128825202939893</v>
      </c>
      <c r="P108" s="128">
        <f ca="1">IF(ISNUMBER(P$103),IF('Datos Instalación'!$F$6="Autoconsumo Aislado",CostesNoGeneración!O77,O33+O62),"")</f>
        <v>60.231337534987006</v>
      </c>
      <c r="Q108" s="128">
        <f ca="1">IF(ISNUMBER(Q$103),IF('Datos Instalación'!$F$6="Autoconsumo Aislado",CostesNoGeneración!P77,P33+P62),"")</f>
        <v>59.988374491381009</v>
      </c>
      <c r="R108" s="128">
        <f ca="1">IF(ISNUMBER(R$103),IF('Datos Instalación'!$F$6="Autoconsumo Aislado",CostesNoGeneración!Q77,Q33+Q62),"")</f>
        <v>59.746723448210474</v>
      </c>
      <c r="S108" s="128">
        <f ca="1">IF(ISNUMBER(S$103),IF('Datos Instalación'!$F$6="Autoconsumo Aislado",CostesNoGeneración!R77,R33+R62),"")</f>
        <v>59.506377320673067</v>
      </c>
      <c r="T108" s="128">
        <f ca="1">IF(ISNUMBER(T$103),IF('Datos Instalación'!$F$6="Autoconsumo Aislado",CostesNoGeneración!S77,S33+S62),"")</f>
        <v>59.267329062224348</v>
      </c>
      <c r="U108" s="128">
        <f ca="1">IF(ISNUMBER(U$103),IF('Datos Instalación'!$F$6="Autoconsumo Aislado",CostesNoGeneración!T77,T33+T62),"")</f>
        <v>59.029571664371261</v>
      </c>
      <c r="V108" s="128">
        <f ca="1">IF(ISNUMBER(V$103),IF('Datos Instalación'!$F$6="Autoconsumo Aislado",CostesNoGeneración!U77,U33+U62),"")</f>
        <v>58.793098156466598</v>
      </c>
      <c r="W108" s="128">
        <f ca="1">IF(ISNUMBER(W$103),IF('Datos Instalación'!$F$6="Autoconsumo Aislado",CostesNoGeneración!V77,V33+V62),"")</f>
        <v>58.557901605504597</v>
      </c>
      <c r="X108" s="128">
        <f ca="1">IF(ISNUMBER(X$74),IF('Datos Instalación'!$F$6="Autoconsumo Aislado",CostesNoGeneración!W106,W49+W78),"")</f>
        <v>94.819667611481634</v>
      </c>
      <c r="Y108" s="128">
        <f ca="1">IF(ISNUMBER(Y$74),IF('Datos Instalación'!$F$6="Autoconsumo Aislado",CostesNoGeneración!X106,X49+X78),"")</f>
        <v>94.362412332289125</v>
      </c>
      <c r="Z108" s="128">
        <f ca="1">IF(ISNUMBER(Z$74),IF('Datos Instalación'!$F$6="Autoconsumo Aislado",CostesNoGeneración!Y106,Y49+Y78),"")</f>
        <v>93.907626231604269</v>
      </c>
      <c r="AA108" s="128">
        <f ca="1">IF(ISNUMBER(AA$74),IF('Datos Instalación'!$F$6="Autoconsumo Aislado",CostesNoGeneración!Z106,Z49+Z78),"")</f>
        <v>93.455295975863109</v>
      </c>
      <c r="AB108" s="128">
        <f ca="1">IF(ISNUMBER(AB$74),IF('Datos Instalación'!$F$6="Autoconsumo Aislado",CostesNoGeneración!AA106,AA49+AA78),"")</f>
        <v>93.005408303502946</v>
      </c>
      <c r="AC108" s="128">
        <f ca="1">IF(ISNUMBER(AC$74),IF('Datos Instalación'!$F$6="Autoconsumo Aislado",CostesNoGeneración!AB106,AB49+AB78),"")</f>
        <v>92.557950024573529</v>
      </c>
      <c r="AD108" s="128">
        <f ca="1">IF(ISNUMBER(AD$74),IF('Datos Instalación'!$F$6="Autoconsumo Aislado",CostesNoGeneración!AC106,AC49+AC78),"")</f>
        <v>92.112908020350318</v>
      </c>
      <c r="AE108" s="128">
        <f ca="1">IF(ISNUMBER(AE$74),IF('Datos Instalación'!$F$6="Autoconsumo Aislado",CostesNoGeneración!AD106,AD49+AD78),"")</f>
        <v>91.670269242949928</v>
      </c>
      <c r="AF108" s="128">
        <f ca="1">IF(ISNUMBER(AF$74),IF('Datos Instalación'!$F$6="Autoconsumo Aislado",CostesNoGeneración!AE106,AE49+AE78),"")</f>
        <v>91.230020714947472</v>
      </c>
      <c r="AG108" s="128" t="str">
        <f>IF(ISNUMBER(AG$10),IF('Datos Instalación'!$F$6="Autoconsumo Aislado",CostesNoGeneración!AG172,Ingresos!AH103+Ingresos!AH142),"")</f>
        <v/>
      </c>
      <c r="AH108" s="128"/>
      <c r="AI108" s="128"/>
    </row>
    <row r="109" spans="1:41">
      <c r="A109" s="128"/>
      <c r="B109" s="281"/>
      <c r="C109" s="14" t="s">
        <v>9</v>
      </c>
      <c r="D109" s="128">
        <f ca="1">IF(ISNUMBER(D$103),IF('Datos Instalación'!$F$6="Autoconsumo Aislado",CostesNoGeneración!C78,C34+C63),"")</f>
        <v>62.417638853727624</v>
      </c>
      <c r="E109" s="128">
        <f ca="1">IF(ISNUMBER(E$103),IF('Datos Instalación'!$F$6="Autoconsumo Aislado",CostesNoGeneración!D78,D34+D63),"")</f>
        <v>62.164549092777619</v>
      </c>
      <c r="F109" s="128">
        <f ca="1">IF(ISNUMBER(F$103),IF('Datos Instalación'!$F$6="Autoconsumo Aislado",CostesNoGeneración!E78,E34+E63),"")</f>
        <v>61.912826016536748</v>
      </c>
      <c r="G109" s="128">
        <f ca="1">IF(ISNUMBER(G$103),IF('Datos Instalación'!$F$6="Autoconsumo Aislado",CostesNoGeneración!F78,F34+F63),"")</f>
        <v>61.662462244907587</v>
      </c>
      <c r="H109" s="128">
        <f ca="1">IF(ISNUMBER(H$103),IF('Datos Instalación'!$F$6="Autoconsumo Aislado",CostesNoGeneración!G78,G34+G63),"")</f>
        <v>61.413450437645217</v>
      </c>
      <c r="I109" s="128">
        <f ca="1">IF(ISNUMBER(I$103),IF('Datos Instalación'!$F$6="Autoconsumo Aislado",CostesNoGeneración!H78,H34+H63),"")</f>
        <v>61.165783294142059</v>
      </c>
      <c r="J109" s="128">
        <f ca="1">IF(ISNUMBER(J$103),IF('Datos Instalación'!$F$6="Autoconsumo Aislado",CostesNoGeneración!I78,I34+I63),"")</f>
        <v>60.91945355321382</v>
      </c>
      <c r="K109" s="128">
        <f ca="1">IF(ISNUMBER(K$103),IF('Datos Instalación'!$F$6="Autoconsumo Aislado",CostesNoGeneración!J78,J34+J63),"")</f>
        <v>60.674453992886598</v>
      </c>
      <c r="L109" s="128">
        <f ca="1">IF(ISNUMBER(L$103),IF('Datos Instalación'!$F$6="Autoconsumo Aislado",CostesNoGeneración!K78,K34+K63),"")</f>
        <v>60.430777430185138</v>
      </c>
      <c r="M109" s="128">
        <f ca="1">IF(ISNUMBER(M$103),IF('Datos Instalación'!$F$6="Autoconsumo Aislado",CostesNoGeneración!L78,L34+L63),"")</f>
        <v>60.18841672092227</v>
      </c>
      <c r="N109" s="128">
        <f ca="1">IF(ISNUMBER(N$103),IF('Datos Instalación'!$F$6="Autoconsumo Aislado",CostesNoGeneración!M78,M34+M63),"")</f>
        <v>59.94736475948941</v>
      </c>
      <c r="O109" s="128">
        <f ca="1">IF(ISNUMBER(O$103),IF('Datos Instalación'!$F$6="Autoconsumo Aislado",CostesNoGeneración!N78,N34+N63),"")</f>
        <v>59.707614478648296</v>
      </c>
      <c r="P109" s="128">
        <f ca="1">IF(ISNUMBER(P$103),IF('Datos Instalación'!$F$6="Autoconsumo Aislado",CostesNoGeneración!O78,O34+O63),"")</f>
        <v>60.816853971050683</v>
      </c>
      <c r="Q109" s="128">
        <f ca="1">IF(ISNUMBER(Q$103),IF('Datos Instalación'!$F$6="Autoconsumo Aislado",CostesNoGeneración!P78,P34+P63),"")</f>
        <v>60.572408448467137</v>
      </c>
      <c r="R109" s="128">
        <f ca="1">IF(ISNUMBER(R$103),IF('Datos Instalación'!$F$6="Autoconsumo Aislado",CostesNoGeneración!Q78,Q34+Q63),"")</f>
        <v>60.329282931705542</v>
      </c>
      <c r="S109" s="128">
        <f ca="1">IF(ISNUMBER(S$103),IF('Datos Instalación'!$F$6="Autoconsumo Aislado",CostesNoGeneración!R78,R34+R63),"")</f>
        <v>60.087470292734459</v>
      </c>
      <c r="T109" s="128">
        <f ca="1">IF(ISNUMBER(T$103),IF('Datos Instalación'!$F$6="Autoconsumo Aislado",CostesNoGeneración!S78,S34+S63),"")</f>
        <v>59.846963442013816</v>
      </c>
      <c r="U109" s="128">
        <f ca="1">IF(ISNUMBER(U$103),IF('Datos Instalación'!$F$6="Autoconsumo Aislado",CostesNoGeneración!T78,T34+T63),"")</f>
        <v>59.60775532828707</v>
      </c>
      <c r="V109" s="128">
        <f ca="1">IF(ISNUMBER(V$103),IF('Datos Instalación'!$F$6="Autoconsumo Aislado",CostesNoGeneración!U78,U34+U63),"")</f>
        <v>59.369838938374457</v>
      </c>
      <c r="W109" s="128">
        <f ca="1">IF(ISNUMBER(W$103),IF('Datos Instalación'!$F$6="Autoconsumo Aislado",CostesNoGeneración!V78,V34+V63),"")</f>
        <v>59.133207296967363</v>
      </c>
      <c r="X109" s="128">
        <f ca="1">IF(ISNUMBER(X$74),IF('Datos Instalación'!$F$6="Autoconsumo Aislado",CostesNoGeneración!W107,W50+W79),"")</f>
        <v>100.13526108017757</v>
      </c>
      <c r="Y109" s="128">
        <f ca="1">IF(ISNUMBER(Y$74),IF('Datos Instalación'!$F$6="Autoconsumo Aislado",CostesNoGeneración!X107,X50+X79),"")</f>
        <v>99.650453641880375</v>
      </c>
      <c r="Z109" s="128">
        <f ca="1">IF(ISNUMBER(Z$74),IF('Datos Instalación'!$F$6="Autoconsumo Aislado",CostesNoGeneración!Y107,Y50+Y79),"")</f>
        <v>99.168264163749967</v>
      </c>
      <c r="AA109" s="128">
        <f ca="1">IF(ISNUMBER(AA$74),IF('Datos Instalación'!$F$6="Autoconsumo Aislado",CostesNoGeneración!Z107,Z50+Z79),"")</f>
        <v>98.688678508801473</v>
      </c>
      <c r="AB109" s="128">
        <f ca="1">IF(ISNUMBER(AB$74),IF('Datos Instalación'!$F$6="Autoconsumo Aislado",CostesNoGeneración!AA107,AA50+AA79),"")</f>
        <v>98.211682616389709</v>
      </c>
      <c r="AC109" s="128">
        <f ca="1">IF(ISNUMBER(AC$74),IF('Datos Instalación'!$F$6="Autoconsumo Aislado",CostesNoGeneración!AB107,AB50+AB79),"")</f>
        <v>97.737262501796948</v>
      </c>
      <c r="AD109" s="128">
        <f ca="1">IF(ISNUMBER(AD$74),IF('Datos Instalación'!$F$6="Autoconsumo Aislado",CostesNoGeneración!AC107,AC50+AC79),"")</f>
        <v>97.265404255823029</v>
      </c>
      <c r="AE109" s="128">
        <f ca="1">IF(ISNUMBER(AE$74),IF('Datos Instalación'!$F$6="Autoconsumo Aislado",CostesNoGeneración!AD107,AD50+AD79),"")</f>
        <v>96.796094044377327</v>
      </c>
      <c r="AF109" s="128">
        <f ca="1">IF(ISNUMBER(AF$74),IF('Datos Instalación'!$F$6="Autoconsumo Aislado",CostesNoGeneración!AE107,AE50+AE79),"")</f>
        <v>96.329318108073437</v>
      </c>
      <c r="AG109" s="128" t="str">
        <f>IF(ISNUMBER(AG$10),IF('Datos Instalación'!$F$6="Autoconsumo Aislado",CostesNoGeneración!AG173,Ingresos!AH104+Ingresos!AH143),"")</f>
        <v/>
      </c>
      <c r="AH109" s="128"/>
      <c r="AI109" s="128"/>
    </row>
    <row r="110" spans="1:41">
      <c r="A110" s="128"/>
      <c r="B110" s="281"/>
      <c r="C110" s="14" t="s">
        <v>10</v>
      </c>
      <c r="D110" s="128">
        <f ca="1">IF(ISNUMBER(D$103),IF('Datos Instalación'!$F$6="Autoconsumo Aislado",CostesNoGeneración!C79,C35+C64),"")</f>
        <v>66.837051648622264</v>
      </c>
      <c r="E110" s="128">
        <f ca="1">IF(ISNUMBER(E$103),IF('Datos Instalación'!$F$6="Autoconsumo Aislado",CostesNoGeneración!D79,D35+D64),"")</f>
        <v>66.580248775906256</v>
      </c>
      <c r="F110" s="128">
        <f ca="1">IF(ISNUMBER(F$103),IF('Datos Instalación'!$F$6="Autoconsumo Aislado",CostesNoGeneración!E79,E35+E64),"")</f>
        <v>66.324832638702929</v>
      </c>
      <c r="G110" s="128">
        <f ca="1">IF(ISNUMBER(G$103),IF('Datos Instalación'!$F$6="Autoconsumo Aislado",CostesNoGeneración!F79,F35+F64),"")</f>
        <v>66.070795748640492</v>
      </c>
      <c r="H110" s="128">
        <f ca="1">IF(ISNUMBER(H$103),IF('Datos Instalación'!$F$6="Autoconsumo Aislado",CostesNoGeneración!G79,G35+G64),"")</f>
        <v>65.818130657784394</v>
      </c>
      <c r="I110" s="128">
        <f ca="1">IF(ISNUMBER(I$103),IF('Datos Instalación'!$F$6="Autoconsumo Aislado",CostesNoGeneración!H79,H35+H64),"")</f>
        <v>65.566829958418921</v>
      </c>
      <c r="J110" s="128">
        <f ca="1">IF(ISNUMBER(J$103),IF('Datos Instalación'!$F$6="Autoconsumo Aislado",CostesNoGeneración!I79,I35+I64),"")</f>
        <v>65.316886282830012</v>
      </c>
      <c r="K110" s="128">
        <f ca="1">IF(ISNUMBER(K$103),IF('Datos Instalación'!$F$6="Autoconsumo Aislado",CostesNoGeneración!J79,J35+J64),"")</f>
        <v>65.068292303089294</v>
      </c>
      <c r="L110" s="128">
        <f ca="1">IF(ISNUMBER(L$103),IF('Datos Instalación'!$F$6="Autoconsumo Aislado",CostesNoGeneración!K79,K35+K64),"")</f>
        <v>64.821040730839172</v>
      </c>
      <c r="M110" s="128">
        <f ca="1">IF(ISNUMBER(M$103),IF('Datos Instalación'!$F$6="Autoconsumo Aislado",CostesNoGeneración!L79,L35+L64),"")</f>
        <v>64.575124317079201</v>
      </c>
      <c r="N110" s="128">
        <f ca="1">IF(ISNUMBER(N$103),IF('Datos Instalación'!$F$6="Autoconsumo Aislado",CostesNoGeneración!M79,M35+M64),"")</f>
        <v>64.330535851953528</v>
      </c>
      <c r="O110" s="128">
        <f ca="1">IF(ISNUMBER(O$103),IF('Datos Instalación'!$F$6="Autoconsumo Aislado",CostesNoGeneración!N79,N35+N64),"")</f>
        <v>64.087268164539537</v>
      </c>
      <c r="P110" s="128">
        <f ca="1">IF(ISNUMBER(P$103),IF('Datos Instalación'!$F$6="Autoconsumo Aislado",CostesNoGeneración!O79,O35+O64),"")</f>
        <v>65.21278144927193</v>
      </c>
      <c r="Q110" s="128">
        <f ca="1">IF(ISNUMBER(Q$103),IF('Datos Instalación'!$F$6="Autoconsumo Aislado",CostesNoGeneración!P79,P35+P64),"")</f>
        <v>64.964749635632415</v>
      </c>
      <c r="R110" s="128">
        <f ca="1">IF(ISNUMBER(R$103),IF('Datos Instalación'!$F$6="Autoconsumo Aislado",CostesNoGeneración!Q79,Q35+Q64),"")</f>
        <v>64.718057193786564</v>
      </c>
      <c r="S110" s="128">
        <f ca="1">IF(ISNUMBER(S$103),IF('Datos Instalación'!$F$6="Autoconsumo Aislado",CostesNoGeneración!R79,R35+R64),"")</f>
        <v>64.472696891126674</v>
      </c>
      <c r="T110" s="128">
        <f ca="1">IF(ISNUMBER(T$103),IF('Datos Instalación'!$F$6="Autoconsumo Aislado",CostesNoGeneración!S79,S35+S64),"")</f>
        <v>64.228661534101136</v>
      </c>
      <c r="U110" s="128">
        <f ca="1">IF(ISNUMBER(U$103),IF('Datos Instalación'!$F$6="Autoconsumo Aislado",CostesNoGeneración!T79,T35+T64),"")</f>
        <v>63.985943968003568</v>
      </c>
      <c r="V110" s="128">
        <f ca="1">IF(ISNUMBER(V$103),IF('Datos Instalación'!$F$6="Autoconsumo Aislado",CostesNoGeneración!U79,U35+U64),"")</f>
        <v>63.74453707676291</v>
      </c>
      <c r="W110" s="128">
        <f ca="1">IF(ISNUMBER(W$103),IF('Datos Instalación'!$F$6="Autoconsumo Aislado",CostesNoGeneración!V79,V35+V64),"")</f>
        <v>63.504433782734949</v>
      </c>
      <c r="X110" s="128">
        <f ca="1">IF(ISNUMBER(X$74),IF('Datos Instalación'!$F$6="Autoconsumo Aislado",CostesNoGeneración!W108,W51+W80),"")</f>
        <v>100.20715662698325</v>
      </c>
      <c r="Y110" s="128">
        <f ca="1">IF(ISNUMBER(Y$74),IF('Datos Instalación'!$F$6="Autoconsumo Aislado",CostesNoGeneración!X108,X51+X80),"")</f>
        <v>99.717313092699158</v>
      </c>
      <c r="Z110" s="128">
        <f ca="1">IF(ISNUMBER(Z$74),IF('Datos Instalación'!$F$6="Autoconsumo Aislado",CostesNoGeneración!Y108,Y51+Y80),"")</f>
        <v>99.230114713500228</v>
      </c>
      <c r="AA110" s="128">
        <f ca="1">IF(ISNUMBER(AA$74),IF('Datos Instalación'!$F$6="Autoconsumo Aislado",CostesNoGeneración!Z108,Z51+Z80),"")</f>
        <v>98.745547205548959</v>
      </c>
      <c r="AB110" s="128">
        <f ca="1">IF(ISNUMBER(AB$74),IF('Datos Instalación'!$F$6="Autoconsumo Aislado",CostesNoGeneración!AA108,AA51+AA80),"")</f>
        <v>98.263596362140646</v>
      </c>
      <c r="AC110" s="128">
        <f ca="1">IF(ISNUMBER(AC$74),IF('Datos Instalación'!$F$6="Autoconsumo Aislado",CostesNoGeneración!AB108,AB51+AB80),"")</f>
        <v>97.784248053286717</v>
      </c>
      <c r="AD110" s="128">
        <f ca="1">IF(ISNUMBER(AD$74),IF('Datos Instalación'!$F$6="Autoconsumo Aislado",CostesNoGeneración!AC108,AC51+AC80),"")</f>
        <v>97.307488225300602</v>
      </c>
      <c r="AE110" s="128">
        <f ca="1">IF(ISNUMBER(AE$74),IF('Datos Instalación'!$F$6="Autoconsumo Aislado",CostesNoGeneración!AD108,AD51+AD80),"")</f>
        <v>96.833302900385618</v>
      </c>
      <c r="AF110" s="128">
        <f ca="1">IF(ISNUMBER(AF$74),IF('Datos Instalación'!$F$6="Autoconsumo Aislado",CostesNoGeneración!AE108,AE51+AE80),"")</f>
        <v>96.361678176225183</v>
      </c>
      <c r="AG110" s="128" t="str">
        <f>IF(ISNUMBER(AG$10),IF('Datos Instalación'!$F$6="Autoconsumo Aislado",CostesNoGeneración!AG174,Ingresos!AH105+Ingresos!AH144),"")</f>
        <v/>
      </c>
      <c r="AH110" s="128"/>
      <c r="AI110" s="128"/>
    </row>
    <row r="111" spans="1:41">
      <c r="A111" s="128"/>
      <c r="B111" s="281"/>
      <c r="C111" s="14" t="s">
        <v>11</v>
      </c>
      <c r="D111" s="128">
        <f ca="1">IF(ISNUMBER(D$103),IF('Datos Instalación'!$F$6="Autoconsumo Aislado",CostesNoGeneración!C80,C36+C65),"")</f>
        <v>60.895871984951285</v>
      </c>
      <c r="E111" s="128">
        <f ca="1">IF(ISNUMBER(E$103),IF('Datos Instalación'!$F$6="Autoconsumo Aislado",CostesNoGeneración!D80,D36+D65),"")</f>
        <v>60.656037694424285</v>
      </c>
      <c r="F111" s="128">
        <f ca="1">IF(ISNUMBER(F$103),IF('Datos Instalación'!$F$6="Autoconsumo Aislado",CostesNoGeneración!E80,E36+E65),"")</f>
        <v>60.417498509066128</v>
      </c>
      <c r="G111" s="128">
        <f ca="1">IF(ISNUMBER(G$103),IF('Datos Instalación'!$F$6="Autoconsumo Aislado",CostesNoGeneración!F80,F36+F65),"")</f>
        <v>60.180247435308907</v>
      </c>
      <c r="H111" s="128">
        <f ca="1">IF(ISNUMBER(H$103),IF('Datos Instalación'!$F$6="Autoconsumo Aislado",CostesNoGeneración!G80,G36+G65),"")</f>
        <v>59.944277517349981</v>
      </c>
      <c r="I111" s="128">
        <f ca="1">IF(ISNUMBER(I$103),IF('Datos Instalación'!$F$6="Autoconsumo Aislado",CostesNoGeneración!H80,H36+H65),"")</f>
        <v>59.709581836948026</v>
      </c>
      <c r="J111" s="128">
        <f ca="1">IF(ISNUMBER(J$103),IF('Datos Instalación'!$F$6="Autoconsumo Aislado",CostesNoGeneración!I80,I36+I65),"")</f>
        <v>59.476153513220254</v>
      </c>
      <c r="K111" s="128">
        <f ca="1">IF(ISNUMBER(K$103),IF('Datos Instalación'!$F$6="Autoconsumo Aislado",CostesNoGeneración!J80,J36+J65),"")</f>
        <v>59.243985702440597</v>
      </c>
      <c r="L111" s="128">
        <f ca="1">IF(ISNUMBER(L$103),IF('Datos Instalación'!$F$6="Autoconsumo Aislado",CostesNoGeneración!K80,K36+K65),"")</f>
        <v>59.013071597839151</v>
      </c>
      <c r="M111" s="128">
        <f ca="1">IF(ISNUMBER(M$103),IF('Datos Instalación'!$F$6="Autoconsumo Aislado",CostesNoGeneración!L80,L36+L65),"")</f>
        <v>58.783404429402559</v>
      </c>
      <c r="N111" s="128">
        <f ca="1">IF(ISNUMBER(N$103),IF('Datos Instalación'!$F$6="Autoconsumo Aislado",CostesNoGeneración!M80,M36+M65),"")</f>
        <v>58.554977463675513</v>
      </c>
      <c r="O111" s="128">
        <f ca="1">IF(ISNUMBER(O$103),IF('Datos Instalación'!$F$6="Autoconsumo Aislado",CostesNoGeneración!N80,N36+N65),"")</f>
        <v>58.327784003563409</v>
      </c>
      <c r="P111" s="128">
        <f ca="1">IF(ISNUMBER(P$103),IF('Datos Instalación'!$F$6="Autoconsumo Aislado",CostesNoGeneración!O80,O36+O65),"")</f>
        <v>59.378927541280092</v>
      </c>
      <c r="Q111" s="128">
        <f ca="1">IF(ISNUMBER(Q$103),IF('Datos Instalación'!$F$6="Autoconsumo Aislado",CostesNoGeneración!P80,P36+P65),"")</f>
        <v>59.147284750748916</v>
      </c>
      <c r="R111" s="128">
        <f ca="1">IF(ISNUMBER(R$103),IF('Datos Instalación'!$F$6="Autoconsumo Aislado",CostesNoGeneración!Q80,Q36+Q65),"")</f>
        <v>58.916892831286603</v>
      </c>
      <c r="S111" s="128">
        <f ca="1">IF(ISNUMBER(S$103),IF('Datos Instalación'!$F$6="Autoconsumo Aislado",CostesNoGeneración!R80,R36+R65),"")</f>
        <v>58.687745028189397</v>
      </c>
      <c r="T111" s="128">
        <f ca="1">IF(ISNUMBER(T$103),IF('Datos Instalación'!$F$6="Autoconsumo Aislado",CostesNoGeneración!S80,S36+S65),"")</f>
        <v>58.459834623228915</v>
      </c>
      <c r="U111" s="128">
        <f ca="1">IF(ISNUMBER(U$103),IF('Datos Instalación'!$F$6="Autoconsumo Aislado",CostesNoGeneración!T80,T36+T65),"")</f>
        <v>58.233154934455207</v>
      </c>
      <c r="V111" s="128">
        <f ca="1">IF(ISNUMBER(V$103),IF('Datos Instalación'!$F$6="Autoconsumo Aislado",CostesNoGeneración!U80,U36+U65),"")</f>
        <v>58.007699316000895</v>
      </c>
      <c r="W111" s="128">
        <f ca="1">IF(ISNUMBER(W$103),IF('Datos Instalación'!$F$6="Autoconsumo Aislado",CostesNoGeneración!V80,V36+V65),"")</f>
        <v>57.783461157886229</v>
      </c>
      <c r="X111" s="128">
        <f ca="1">IF(ISNUMBER(X$74),IF('Datos Instalación'!$F$6="Autoconsumo Aislado",CostesNoGeneración!W109,W52+W81),"")</f>
        <v>102.46944785790572</v>
      </c>
      <c r="Y111" s="128">
        <f ca="1">IF(ISNUMBER(Y$74),IF('Datos Instalación'!$F$6="Autoconsumo Aislado",CostesNoGeneración!X109,X52+X81),"")</f>
        <v>101.9922850456596</v>
      </c>
      <c r="Z111" s="128">
        <f ca="1">IF(ISNUMBER(Z$74),IF('Datos Instalación'!$F$6="Autoconsumo Aislado",CostesNoGeneración!Y109,Y52+Y81),"")</f>
        <v>101.5176989125996</v>
      </c>
      <c r="AA111" s="128">
        <f ca="1">IF(ISNUMBER(AA$74),IF('Datos Instalación'!$F$6="Autoconsumo Aislado",CostesNoGeneración!Z109,Z52+Z81),"")</f>
        <v>101.04567554465811</v>
      </c>
      <c r="AB111" s="128">
        <f ca="1">IF(ISNUMBER(AB$74),IF('Datos Instalación'!$F$6="Autoconsumo Aislado",CostesNoGeneración!AA109,AA52+AA81),"")</f>
        <v>100.57620110290351</v>
      </c>
      <c r="AC111" s="128">
        <f ca="1">IF(ISNUMBER(AC$74),IF('Datos Instalación'!$F$6="Autoconsumo Aislado",CostesNoGeneración!AB109,AB52+AB81),"")</f>
        <v>100.1092618231344</v>
      </c>
      <c r="AD111" s="128">
        <f ca="1">IF(ISNUMBER(AD$74),IF('Datos Instalación'!$F$6="Autoconsumo Aislado",CostesNoGeneración!AC109,AC52+AC81),"")</f>
        <v>99.644844015476025</v>
      </c>
      <c r="AE111" s="128">
        <f ca="1">IF(ISNUMBER(AE$74),IF('Datos Instalación'!$F$6="Autoconsumo Aislado",CostesNoGeneración!AD109,AD52+AD81),"")</f>
        <v>99.182934063979019</v>
      </c>
      <c r="AF111" s="128">
        <f ca="1">IF(ISNUMBER(AF$74),IF('Datos Instalación'!$F$6="Autoconsumo Aislado",CostesNoGeneración!AE109,AE52+AE81),"")</f>
        <v>98.723518426220096</v>
      </c>
      <c r="AG111" s="128" t="str">
        <f>IF(ISNUMBER(AG$10),IF('Datos Instalación'!$F$6="Autoconsumo Aislado",CostesNoGeneración!AG175,Ingresos!AH106+Ingresos!AH145),"")</f>
        <v/>
      </c>
      <c r="AH111" s="128"/>
      <c r="AI111" s="128"/>
    </row>
    <row r="112" spans="1:41">
      <c r="A112" s="128"/>
      <c r="B112" s="281"/>
      <c r="C112" s="14" t="s">
        <v>12</v>
      </c>
      <c r="D112" s="128">
        <f ca="1">IF(ISNUMBER(D$103),IF('Datos Instalación'!$F$6="Autoconsumo Aislado",CostesNoGeneración!C81,C37+C66),"")</f>
        <v>54.611451503727629</v>
      </c>
      <c r="E112" s="128">
        <f ca="1">IF(ISNUMBER(E$103),IF('Datos Instalación'!$F$6="Autoconsumo Aislado",CostesNoGeneración!D81,D37+D66),"")</f>
        <v>54.400515154467634</v>
      </c>
      <c r="F112" s="128">
        <f ca="1">IF(ISNUMBER(F$103),IF('Datos Instalación'!$F$6="Autoconsumo Aislado",CostesNoGeneración!E81,E37+E66),"")</f>
        <v>54.190717861493638</v>
      </c>
      <c r="G112" s="128">
        <f ca="1">IF(ISNUMBER(G$103),IF('Datos Instalación'!$F$6="Autoconsumo Aislado",CostesNoGeneración!F81,F37+F66),"")</f>
        <v>53.982053473901701</v>
      </c>
      <c r="H112" s="128">
        <f ca="1">IF(ISNUMBER(H$103),IF('Datos Instalación'!$F$6="Autoconsumo Aislado",CostesNoGeneración!G81,G37+G66),"")</f>
        <v>53.774515874002759</v>
      </c>
      <c r="I112" s="128">
        <f ca="1">IF(ISNUMBER(I$103),IF('Datos Instalación'!$F$6="Autoconsumo Aislado",CostesNoGeneración!H81,H37+H66),"")</f>
        <v>53.568098977143272</v>
      </c>
      <c r="J112" s="128">
        <f ca="1">IF(ISNUMBER(J$103),IF('Datos Instalación'!$F$6="Autoconsumo Aislado",CostesNoGeneración!I81,I37+I66),"")</f>
        <v>53.362796731526828</v>
      </c>
      <c r="K112" s="128">
        <f ca="1">IF(ISNUMBER(K$103),IF('Datos Instalación'!$F$6="Autoconsumo Aislado",CostesNoGeneración!J81,J37+J66),"")</f>
        <v>53.158603118036723</v>
      </c>
      <c r="L112" s="128">
        <f ca="1">IF(ISNUMBER(L$103),IF('Datos Instalación'!$F$6="Autoconsumo Aislado",CostesNoGeneración!K81,K37+K66),"")</f>
        <v>52.955512150059441</v>
      </c>
      <c r="M112" s="128">
        <f ca="1">IF(ISNUMBER(M$103),IF('Datos Instalación'!$F$6="Autoconsumo Aislado",CostesNoGeneración!L81,L37+L66),"")</f>
        <v>52.753517873309256</v>
      </c>
      <c r="N112" s="128">
        <f ca="1">IF(ISNUMBER(N$103),IF('Datos Instalación'!$F$6="Autoconsumo Aislado",CostesNoGeneración!M81,M37+M66),"")</f>
        <v>52.552614365653511</v>
      </c>
      <c r="O112" s="128">
        <f ca="1">IF(ISNUMBER(O$103),IF('Datos Instalación'!$F$6="Autoconsumo Aislado",CostesNoGeneración!N81,N37+N66),"")</f>
        <v>52.352795736939107</v>
      </c>
      <c r="P112" s="128">
        <f ca="1">IF(ISNUMBER(P$103),IF('Datos Instalación'!$F$6="Autoconsumo Aislado",CostesNoGeneración!O81,O37+O66),"")</f>
        <v>53.277285641643701</v>
      </c>
      <c r="Q112" s="128">
        <f ca="1">IF(ISNUMBER(Q$103),IF('Datos Instalación'!$F$6="Autoconsumo Aislado",CostesNoGeneración!P81,P37+P66),"")</f>
        <v>53.073553788038957</v>
      </c>
      <c r="R112" s="128">
        <f ca="1">IF(ISNUMBER(R$103),IF('Datos Instalación'!$F$6="Autoconsumo Aislado",CostesNoGeneración!Q81,Q37+Q66),"")</f>
        <v>52.87092208644367</v>
      </c>
      <c r="S112" s="128">
        <f ca="1">IF(ISNUMBER(S$103),IF('Datos Instalación'!$F$6="Autoconsumo Aislado",CostesNoGeneración!R81,R37+R66),"")</f>
        <v>52.669384596037006</v>
      </c>
      <c r="T112" s="128">
        <f ca="1">IF(ISNUMBER(T$103),IF('Datos Instalación'!$F$6="Autoconsumo Aislado",CostesNoGeneración!S81,S37+S66),"")</f>
        <v>52.468935408078529</v>
      </c>
      <c r="U112" s="128">
        <f ca="1">IF(ISNUMBER(U$103),IF('Datos Instalación'!$F$6="Autoconsumo Aislado",CostesNoGeneración!T81,T37+T66),"")</f>
        <v>52.269568645735035</v>
      </c>
      <c r="V112" s="128">
        <f ca="1">IF(ISNUMBER(V$103),IF('Datos Instalación'!$F$6="Autoconsumo Aislado",CostesNoGeneración!U81,U37+U66),"")</f>
        <v>52.0712784639082</v>
      </c>
      <c r="W112" s="128">
        <f ca="1">IF(ISNUMBER(W$103),IF('Datos Instalación'!$F$6="Autoconsumo Aislado",CostesNoGeneración!V81,V37+V66),"")</f>
        <v>51.874059049063227</v>
      </c>
      <c r="X112" s="128">
        <f ca="1">IF(ISNUMBER(X$74),IF('Datos Instalación'!$F$6="Autoconsumo Aislado",CostesNoGeneración!W110,W53+W82),"")</f>
        <v>91.809285274006328</v>
      </c>
      <c r="Y112" s="128">
        <f ca="1">IF(ISNUMBER(Y$74),IF('Datos Instalación'!$F$6="Autoconsumo Aislado",CostesNoGeneración!X110,X53+X82),"")</f>
        <v>91.376155344171295</v>
      </c>
      <c r="Z112" s="128">
        <f ca="1">IF(ISNUMBER(Z$74),IF('Datos Instalación'!$F$6="Autoconsumo Aislado",CostesNoGeneración!Y110,Y53+Y82),"")</f>
        <v>90.945364315957335</v>
      </c>
      <c r="AA112" s="128">
        <f ca="1">IF(ISNUMBER(AA$74),IF('Datos Instalación'!$F$6="Autoconsumo Aislado",CostesNoGeneración!Z110,Z53+Z82),"")</f>
        <v>90.516899559295723</v>
      </c>
      <c r="AB112" s="128">
        <f ca="1">IF(ISNUMBER(AB$74),IF('Datos Instalación'!$F$6="Autoconsumo Aislado",CostesNoGeneración!AA110,AA53+AA82),"")</f>
        <v>90.09074851232009</v>
      </c>
      <c r="AC112" s="128">
        <f ca="1">IF(ISNUMBER(AC$74),IF('Datos Instalación'!$F$6="Autoconsumo Aislado",CostesNoGeneración!AB110,AB53+AB82),"")</f>
        <v>89.666898680998145</v>
      </c>
      <c r="AD112" s="128">
        <f ca="1">IF(ISNUMBER(AD$74),IF('Datos Instalación'!$F$6="Autoconsumo Aislado",CostesNoGeneración!AC110,AC53+AC82),"")</f>
        <v>89.245337638765321</v>
      </c>
      <c r="AE112" s="128">
        <f ca="1">IF(ISNUMBER(AE$74),IF('Datos Instalación'!$F$6="Autoconsumo Aislado",CostesNoGeneración!AD110,AD53+AD82),"")</f>
        <v>88.826053026160537</v>
      </c>
      <c r="AF112" s="128">
        <f ca="1">IF(ISNUMBER(AF$74),IF('Datos Instalación'!$F$6="Autoconsumo Aislado",CostesNoGeneración!AE110,AE53+AE82),"")</f>
        <v>88.409032550463849</v>
      </c>
      <c r="AG112" s="128" t="str">
        <f>IF(ISNUMBER(AG$10),IF('Datos Instalación'!$F$6="Autoconsumo Aislado",CostesNoGeneración!AG176,Ingresos!AH107+Ingresos!AH146),"")</f>
        <v/>
      </c>
      <c r="AH112" s="128"/>
      <c r="AI112" s="128"/>
    </row>
    <row r="113" spans="1:35">
      <c r="A113" s="128"/>
      <c r="B113" s="281"/>
      <c r="C113" s="14" t="s">
        <v>13</v>
      </c>
      <c r="D113" s="128">
        <f ca="1">IF(ISNUMBER(D$103),IF('Datos Instalación'!$F$6="Autoconsumo Aislado",CostesNoGeneración!C82,C38+C67),"")</f>
        <v>52.291729012876729</v>
      </c>
      <c r="E113" s="128">
        <f ca="1">IF(ISNUMBER(E$103),IF('Datos Instalación'!$F$6="Autoconsumo Aislado",CostesNoGeneración!D82,D38+D67),"")</f>
        <v>52.096677784621733</v>
      </c>
      <c r="F113" s="128">
        <f ca="1">IF(ISNUMBER(F$103),IF('Datos Instalación'!$F$6="Autoconsumo Aislado",CostesNoGeneración!E82,E38+E67),"")</f>
        <v>51.902679832999311</v>
      </c>
      <c r="G113" s="128">
        <f ca="1">IF(ISNUMBER(G$103),IF('Datos Instalación'!$F$6="Autoconsumo Aislado",CostesNoGeneración!F82,F38+F67),"")</f>
        <v>51.709729470315636</v>
      </c>
      <c r="H113" s="128">
        <f ca="1">IF(ISNUMBER(H$103),IF('Datos Instalación'!$F$6="Autoconsumo Aislado",CostesNoGeneración!G82,G38+G67),"")</f>
        <v>51.517821039590473</v>
      </c>
      <c r="I113" s="128">
        <f ca="1">IF(ISNUMBER(I$103),IF('Datos Instalación'!$F$6="Autoconsumo Aislado",CostesNoGeneración!H82,H38+H67),"")</f>
        <v>51.326948914391224</v>
      </c>
      <c r="J113" s="128">
        <f ca="1">IF(ISNUMBER(J$103),IF('Datos Instalación'!$F$6="Autoconsumo Aislado",CostesNoGeneración!I82,I38+I67),"")</f>
        <v>51.137107498668051</v>
      </c>
      <c r="K113" s="128">
        <f ca="1">IF(ISNUMBER(K$103),IF('Datos Instalación'!$F$6="Autoconsumo Aislado",CostesNoGeneración!J82,J38+J67),"")</f>
        <v>50.948291226589781</v>
      </c>
      <c r="L113" s="128">
        <f ca="1">IF(ISNUMBER(L$103),IF('Datos Instalación'!$F$6="Autoconsumo Aislado",CostesNoGeneración!K82,K38+K67),"")</f>
        <v>50.760494562380728</v>
      </c>
      <c r="M113" s="128">
        <f ca="1">IF(ISNUMBER(M$103),IF('Datos Instalación'!$F$6="Autoconsumo Aislado",CostesNoGeneración!L82,L38+L67),"")</f>
        <v>50.573712000158409</v>
      </c>
      <c r="N113" s="128">
        <f ca="1">IF(ISNUMBER(N$103),IF('Datos Instalación'!$F$6="Autoconsumo Aislado",CostesNoGeneración!M82,M38+M67),"")</f>
        <v>50.387938063772076</v>
      </c>
      <c r="O113" s="128">
        <f ca="1">IF(ISNUMBER(O$103),IF('Datos Instalación'!$F$6="Autoconsumo Aislado",CostesNoGeneración!N82,N38+N67),"")</f>
        <v>50.203167306642243</v>
      </c>
      <c r="P113" s="128">
        <f ca="1">IF(ISNUMBER(P$103),IF('Datos Instalación'!$F$6="Autoconsumo Aislado",CostesNoGeneración!O82,O38+O67),"")</f>
        <v>51.058036048111319</v>
      </c>
      <c r="Q113" s="128">
        <f ca="1">IF(ISNUMBER(Q$103),IF('Datos Instalación'!$F$6="Autoconsumo Aislado",CostesNoGeneración!P82,P38+P67),"")</f>
        <v>50.869646761866051</v>
      </c>
      <c r="R113" s="128">
        <f ca="1">IF(ISNUMBER(R$103),IF('Datos Instalación'!$F$6="Autoconsumo Aislado",CostesNoGeneración!Q82,Q38+Q67),"")</f>
        <v>50.682274777766509</v>
      </c>
      <c r="S113" s="128">
        <f ca="1">IF(ISNUMBER(S$103),IF('Datos Instalación'!$F$6="Autoconsumo Aislado",CostesNoGeneración!R82,R38+R67),"")</f>
        <v>50.495914602381106</v>
      </c>
      <c r="T113" s="128">
        <f ca="1">IF(ISNUMBER(T$103),IF('Datos Instalación'!$F$6="Autoconsumo Aislado",CostesNoGeneración!S82,S38+S67),"")</f>
        <v>50.310560771942782</v>
      </c>
      <c r="U113" s="128">
        <f ca="1">IF(ISNUMBER(U$103),IF('Datos Instalación'!$F$6="Autoconsumo Aislado",CostesNoGeneración!T82,T38+T67),"")</f>
        <v>50.126207852188827</v>
      </c>
      <c r="V113" s="128">
        <f ca="1">IF(ISNUMBER(V$103),IF('Datos Instalación'!$F$6="Autoconsumo Aislado",CostesNoGeneración!U82,U38+U67),"")</f>
        <v>49.942850438201546</v>
      </c>
      <c r="W113" s="128">
        <f ca="1">IF(ISNUMBER(W$103),IF('Datos Instalación'!$F$6="Autoconsumo Aislado",CostesNoGeneración!V82,V38+V67),"")</f>
        <v>49.760483154249783</v>
      </c>
      <c r="X113" s="128">
        <f ca="1">IF(ISNUMBER(X$74),IF('Datos Instalación'!$F$6="Autoconsumo Aislado",CostesNoGeneración!W111,W54+W83),"")</f>
        <v>82.707557009555003</v>
      </c>
      <c r="Y113" s="128">
        <f ca="1">IF(ISNUMBER(Y$74),IF('Datos Instalación'!$F$6="Autoconsumo Aislado",CostesNoGeneración!X111,X54+X83),"")</f>
        <v>82.317483954714461</v>
      </c>
      <c r="Z113" s="128">
        <f ca="1">IF(ISNUMBER(Z$74),IF('Datos Instalación'!$F$6="Autoconsumo Aislado",CostesNoGeneración!Y111,Y54+Y83),"")</f>
        <v>81.929517294370086</v>
      </c>
      <c r="AA113" s="128">
        <f ca="1">IF(ISNUMBER(AA$74),IF('Datos Instalación'!$F$6="Autoconsumo Aislado",CostesNoGeneración!Z111,Z54+Z83),"")</f>
        <v>81.543645653991575</v>
      </c>
      <c r="AB113" s="128">
        <f ca="1">IF(ISNUMBER(AB$74),IF('Datos Instalación'!$F$6="Autoconsumo Aislado",CostesNoGeneración!AA111,AA54+AA83),"")</f>
        <v>81.159857720471081</v>
      </c>
      <c r="AC113" s="128">
        <f ca="1">IF(ISNUMBER(AC$74),IF('Datos Instalación'!$F$6="Autoconsumo Aislado",CostesNoGeneración!AB111,AB54+AB83),"")</f>
        <v>80.778142241791613</v>
      </c>
      <c r="AD113" s="128">
        <f ca="1">IF(ISNUMBER(AD$74),IF('Datos Instalación'!$F$6="Autoconsumo Aislado",CostesNoGeneración!AC111,AC54+AC83),"")</f>
        <v>80.398488026697024</v>
      </c>
      <c r="AE113" s="128">
        <f ca="1">IF(ISNUMBER(AE$74),IF('Datos Instalación'!$F$6="Autoconsumo Aislado",CostesNoGeneración!AD111,AD54+AD83),"")</f>
        <v>80.020883944363931</v>
      </c>
      <c r="AF113" s="128">
        <f ca="1">IF(ISNUMBER(AF$74),IF('Datos Instalación'!$F$6="Autoconsumo Aislado",CostesNoGeneración!AE111,AE54+AE83),"")</f>
        <v>79.645318924075426</v>
      </c>
      <c r="AG113" s="128" t="str">
        <f>IF(ISNUMBER(AG$10),IF('Datos Instalación'!$F$6="Autoconsumo Aislado",CostesNoGeneración!AG177,Ingresos!AH108+Ingresos!AH147),"")</f>
        <v/>
      </c>
      <c r="AH113" s="128"/>
      <c r="AI113" s="128"/>
    </row>
    <row r="114" spans="1:35">
      <c r="A114" s="128"/>
      <c r="B114" s="281"/>
      <c r="C114" s="14" t="s">
        <v>14</v>
      </c>
      <c r="D114" s="128">
        <f ca="1">IF(ISNUMBER(D$103),IF('Datos Instalación'!$F$6="Autoconsumo Aislado",CostesNoGeneración!C83,C39+C68),"")</f>
        <v>46.930664753727626</v>
      </c>
      <c r="E114" s="128">
        <f ca="1">IF(ISNUMBER(E$103),IF('Datos Instalación'!$F$6="Autoconsumo Aislado",CostesNoGeneración!D83,D39+D68),"")</f>
        <v>46.761204652917627</v>
      </c>
      <c r="F114" s="128">
        <f ca="1">IF(ISNUMBER(F$103),IF('Datos Instalación'!$F$6="Autoconsumo Aislado",CostesNoGeneración!E83,E39+E68),"")</f>
        <v>46.592659636652002</v>
      </c>
      <c r="G114" s="128">
        <f ca="1">IF(ISNUMBER(G$103),IF('Datos Instalación'!$F$6="Autoconsumo Aislado",CostesNoGeneración!F83,F39+F68),"")</f>
        <v>46.425024763474205</v>
      </c>
      <c r="H114" s="128">
        <f ca="1">IF(ISNUMBER(H$103),IF('Datos Instalación'!$F$6="Autoconsumo Aislado",CostesNoGeneración!G83,G39+G68),"")</f>
        <v>46.258295118611578</v>
      </c>
      <c r="I114" s="128">
        <f ca="1">IF(ISNUMBER(I$103),IF('Datos Instalación'!$F$6="Autoconsumo Aislado",CostesNoGeneración!H83,H39+H68),"")</f>
        <v>46.092465813831204</v>
      </c>
      <c r="J114" s="128">
        <f ca="1">IF(ISNUMBER(J$103),IF('Datos Instalación'!$F$6="Autoconsumo Aislado",CostesNoGeneración!I83,I39+I68),"")</f>
        <v>45.927531987296646</v>
      </c>
      <c r="K114" s="128">
        <f ca="1">IF(ISNUMBER(K$103),IF('Datos Instalación'!$F$6="Autoconsumo Aislado",CostesNoGeneración!J83,J39+J68),"")</f>
        <v>45.763488803425375</v>
      </c>
      <c r="L114" s="128">
        <f ca="1">IF(ISNUMBER(L$103),IF('Datos Instalación'!$F$6="Autoconsumo Aislado",CostesNoGeneración!K83,K39+K68),"")</f>
        <v>45.600331452747007</v>
      </c>
      <c r="M114" s="128">
        <f ca="1">IF(ISNUMBER(M$103),IF('Datos Instalación'!$F$6="Autoconsumo Aislado",CostesNoGeneración!L83,L39+L68),"")</f>
        <v>45.438055151762299</v>
      </c>
      <c r="N114" s="128">
        <f ca="1">IF(ISNUMBER(N$103),IF('Datos Instalación'!$F$6="Autoconsumo Aislado",CostesNoGeneración!M83,M39+M68),"")</f>
        <v>45.276655142802909</v>
      </c>
      <c r="O114" s="128">
        <f ca="1">IF(ISNUMBER(O$103),IF('Datos Instalación'!$F$6="Autoconsumo Aislado",CostesNoGeneración!N83,N39+N68),"")</f>
        <v>45.1161266938919</v>
      </c>
      <c r="P114" s="128">
        <f ca="1">IF(ISNUMBER(P$103),IF('Datos Instalación'!$F$6="Autoconsumo Aislado",CostesNoGeneración!O83,O39+O68),"")</f>
        <v>45.858834875761318</v>
      </c>
      <c r="Q114" s="128">
        <f ca="1">IF(ISNUMBER(Q$103),IF('Datos Instalación'!$F$6="Autoconsumo Aislado",CostesNoGeneración!P83,P39+P68),"")</f>
        <v>45.695162656292339</v>
      </c>
      <c r="R114" s="128">
        <f ca="1">IF(ISNUMBER(R$103),IF('Datos Instalación'!$F$6="Autoconsumo Aislado",CostesNoGeneración!Q83,Q39+Q68),"")</f>
        <v>45.532374266808489</v>
      </c>
      <c r="S114" s="128">
        <f ca="1">IF(ISNUMBER(S$103),IF('Datos Instalación'!$F$6="Autoconsumo Aislado",CostesNoGeneración!R83,R39+R68),"")</f>
        <v>45.370464934627847</v>
      </c>
      <c r="T114" s="128">
        <f ca="1">IF(ISNUMBER(T$103),IF('Datos Instalación'!$F$6="Autoconsumo Aislado",CostesNoGeneración!S83,S39+S68),"")</f>
        <v>45.209429912840989</v>
      </c>
      <c r="U114" s="128">
        <f ca="1">IF(ISNUMBER(U$103),IF('Datos Instalación'!$F$6="Autoconsumo Aislado",CostesNoGeneración!T83,T39+T68),"")</f>
        <v>45.049264480171779</v>
      </c>
      <c r="V114" s="128">
        <f ca="1">IF(ISNUMBER(V$103),IF('Datos Instalación'!$F$6="Autoconsumo Aislado",CostesNoGeneración!U83,U39+U68),"")</f>
        <v>44.889963940838982</v>
      </c>
      <c r="W114" s="128">
        <f ca="1">IF(ISNUMBER(W$103),IF('Datos Instalación'!$F$6="Autoconsumo Aislado",CostesNoGeneración!V83,V39+V68),"")</f>
        <v>44.731523624418585</v>
      </c>
      <c r="X114" s="128">
        <f ca="1">IF(ISNUMBER(X$74),IF('Datos Instalación'!$F$6="Autoconsumo Aislado",CostesNoGeneración!W112,W55+W84),"")</f>
        <v>76.150559641187684</v>
      </c>
      <c r="Y114" s="128">
        <f ca="1">IF(ISNUMBER(Y$74),IF('Datos Instalación'!$F$6="Autoconsumo Aislado",CostesNoGeneración!X112,X55+X84),"")</f>
        <v>75.800307519992643</v>
      </c>
      <c r="Z114" s="128">
        <f ca="1">IF(ISNUMBER(Z$74),IF('Datos Instalación'!$F$6="Autoconsumo Aislado",CostesNoGeneración!Y112,Y55+Y84),"")</f>
        <v>75.451946760252042</v>
      </c>
      <c r="AA114" s="128">
        <f ca="1">IF(ISNUMBER(AA$74),IF('Datos Instalación'!$F$6="Autoconsumo Aislado",CostesNoGeneración!Z112,Z55+Z84),"")</f>
        <v>75.105467148614039</v>
      </c>
      <c r="AB114" s="128">
        <f ca="1">IF(ISNUMBER(AB$74),IF('Datos Instalación'!$F$6="Autoconsumo Aislado",CostesNoGeneración!AA112,AA55+AA84),"")</f>
        <v>74.760858526878906</v>
      </c>
      <c r="AC114" s="128">
        <f ca="1">IF(ISNUMBER(AC$74),IF('Datos Instalación'!$F$6="Autoconsumo Aislado",CostesNoGeneración!AB112,AB55+AB84),"")</f>
        <v>74.41811079170111</v>
      </c>
      <c r="AD114" s="128">
        <f ca="1">IF(ISNUMBER(AD$74),IF('Datos Instalación'!$F$6="Autoconsumo Aislado",CostesNoGeneración!AC112,AC55+AC84),"")</f>
        <v>74.077213894293294</v>
      </c>
      <c r="AE114" s="128">
        <f ca="1">IF(ISNUMBER(AE$74),IF('Datos Instalación'!$F$6="Autoconsumo Aislado",CostesNoGeneración!AD112,AD55+AD84),"")</f>
        <v>73.738157840131478</v>
      </c>
      <c r="AF114" s="128">
        <f ca="1">IF(ISNUMBER(AF$74),IF('Datos Instalación'!$F$6="Autoconsumo Aislado",CostesNoGeneración!AE112,AE55+AE84),"")</f>
        <v>73.400932688662138</v>
      </c>
      <c r="AG114" s="128" t="str">
        <f>IF(ISNUMBER(AG$10),IF('Datos Instalación'!$F$6="Autoconsumo Aislado",CostesNoGeneración!AG178,Ingresos!AH109+Ingresos!AH148),"")</f>
        <v/>
      </c>
      <c r="AH114" s="128"/>
      <c r="AI114" s="128"/>
    </row>
    <row r="115" spans="1:35">
      <c r="A115" s="128"/>
      <c r="B115" s="281"/>
      <c r="C115" s="14" t="s">
        <v>15</v>
      </c>
      <c r="D115" s="128">
        <f ca="1">IF(ISNUMBER(D$103),IF('Datos Instalación'!$F$6="Autoconsumo Aislado",CostesNoGeneración!C84,C40+C69),"")</f>
        <v>52.220276145218683</v>
      </c>
      <c r="E115" s="128">
        <f ca="1">IF(ISNUMBER(E$103),IF('Datos Instalación'!$F$6="Autoconsumo Aislado",CostesNoGeneración!D84,D40+D69),"")</f>
        <v>52.055838338438683</v>
      </c>
      <c r="F115" s="128">
        <f ca="1">IF(ISNUMBER(F$103),IF('Datos Instalación'!$F$6="Autoconsumo Aislado",CostesNoGeneración!E84,E40+E69),"")</f>
        <v>51.892288495815293</v>
      </c>
      <c r="G115" s="128">
        <f ca="1">IF(ISNUMBER(G$103),IF('Datos Instalación'!$F$6="Autoconsumo Aislado",CostesNoGeneración!F84,F40+F69),"")</f>
        <v>51.729621822342082</v>
      </c>
      <c r="H115" s="128">
        <f ca="1">IF(ISNUMBER(H$103),IF('Datos Instalación'!$F$6="Autoconsumo Aislado",CostesNoGeneración!G84,G40+G69),"")</f>
        <v>51.567833548905611</v>
      </c>
      <c r="I115" s="128">
        <f ca="1">IF(ISNUMBER(I$103),IF('Datos Instalación'!$F$6="Autoconsumo Aislado",CostesNoGeneración!H84,H40+H69),"")</f>
        <v>51.4069189321457</v>
      </c>
      <c r="J115" s="128">
        <f ca="1">IF(ISNUMBER(J$103),IF('Datos Instalación'!$F$6="Autoconsumo Aislado",CostesNoGeneración!I84,I40+I69),"")</f>
        <v>51.246873254316299</v>
      </c>
      <c r="K115" s="128">
        <f ca="1">IF(ISNUMBER(K$103),IF('Datos Instalación'!$F$6="Autoconsumo Aislado",CostesNoGeneración!J84,J40+J69),"")</f>
        <v>51.087691823147168</v>
      </c>
      <c r="L115" s="128">
        <f ca="1">IF(ISNUMBER(L$103),IF('Datos Instalación'!$F$6="Autoconsumo Aislado",CostesNoGeneración!K84,K40+K69),"")</f>
        <v>50.92936997170635</v>
      </c>
      <c r="M115" s="128">
        <f ca="1">IF(ISNUMBER(M$103),IF('Datos Instalación'!$F$6="Autoconsumo Aislado",CostesNoGeneración!L84,L40+L69),"")</f>
        <v>50.77190305826332</v>
      </c>
      <c r="N115" s="128">
        <f ca="1">IF(ISNUMBER(N$103),IF('Datos Instalación'!$F$6="Autoconsumo Aislado",CostesNoGeneración!M84,M40+M69),"")</f>
        <v>50.615286466152881</v>
      </c>
      <c r="O115" s="128">
        <f ca="1">IF(ISNUMBER(O$103),IF('Datos Instalación'!$F$6="Autoconsumo Aislado",CostesNoGeneración!N84,N40+N69),"")</f>
        <v>50.459515603639836</v>
      </c>
      <c r="P115" s="128">
        <f ca="1">IF(ISNUMBER(P$103),IF('Datos Instalación'!$F$6="Autoconsumo Aislado",CostesNoGeneración!O84,O40+O69),"")</f>
        <v>51.180212121111524</v>
      </c>
      <c r="Q115" s="128">
        <f ca="1">IF(ISNUMBER(Q$103),IF('Datos Instalación'!$F$6="Autoconsumo Aislado",CostesNoGeneración!P84,P40+P69),"")</f>
        <v>51.021390660061705</v>
      </c>
      <c r="R115" s="128">
        <f ca="1">IF(ISNUMBER(R$103),IF('Datos Instalación'!$F$6="Autoconsumo Aislado",CostesNoGeneración!Q84,Q40+Q69),"")</f>
        <v>50.863426834901546</v>
      </c>
      <c r="S115" s="128">
        <f ca="1">IF(ISNUMBER(S$103),IF('Datos Instalación'!$F$6="Autoconsumo Aislado",CostesNoGeneración!R84,R40+R69),"")</f>
        <v>50.70631601439726</v>
      </c>
      <c r="T115" s="128">
        <f ca="1">IF(ISNUMBER(T$103),IF('Datos Instalación'!$F$6="Autoconsumo Aislado",CostesNoGeneración!S84,S40+S69),"")</f>
        <v>50.550053592323692</v>
      </c>
      <c r="U115" s="128">
        <f ca="1">IF(ISNUMBER(U$103),IF('Datos Instalación'!$F$6="Autoconsumo Aislado",CostesNoGeneración!T84,T40+T69),"")</f>
        <v>50.394634987329326</v>
      </c>
      <c r="V115" s="128">
        <f ca="1">IF(ISNUMBER(V$103),IF('Datos Instalación'!$F$6="Autoconsumo Aislado",CostesNoGeneración!U84,U40+U69),"")</f>
        <v>50.240055642801934</v>
      </c>
      <c r="W115" s="128">
        <f ca="1">IF(ISNUMBER(W$103),IF('Datos Instalación'!$F$6="Autoconsumo Aislado",CostesNoGeneración!V84,V40+V69),"")</f>
        <v>50.08631102673499</v>
      </c>
      <c r="X115" s="128">
        <f ca="1">IF(ISNUMBER(X$74),IF('Datos Instalación'!$F$6="Autoconsumo Aislado",CostesNoGeneración!W113,W56+W85),"")</f>
        <v>68.11950880105735</v>
      </c>
      <c r="Y115" s="128">
        <f ca="1">IF(ISNUMBER(Y$74),IF('Datos Instalación'!$F$6="Autoconsumo Aislado",CostesNoGeneración!X113,X56+X85),"")</f>
        <v>67.79872045182573</v>
      </c>
      <c r="Z115" s="128">
        <f ca="1">IF(ISNUMBER(Z$74),IF('Datos Instalación'!$F$6="Autoconsumo Aislado",CostesNoGeneración!Y113,Y56+Y85),"")</f>
        <v>67.479664359679973</v>
      </c>
      <c r="AA115" s="128">
        <f ca="1">IF(ISNUMBER(AA$74),IF('Datos Instalación'!$F$6="Autoconsumo Aislado",CostesNoGeneración!Z113,Z56+Z85),"")</f>
        <v>67.162331170431798</v>
      </c>
      <c r="AB115" s="128">
        <f ca="1">IF(ISNUMBER(AB$74),IF('Datos Instalación'!$F$6="Autoconsumo Aislado",CostesNoGeneración!AA113,AA56+AA85),"")</f>
        <v>66.84671158040554</v>
      </c>
      <c r="AC115" s="128">
        <f ca="1">IF(ISNUMBER(AC$74),IF('Datos Instalación'!$F$6="Autoconsumo Aislado",CostesNoGeneración!AB113,AB56+AB85),"")</f>
        <v>66.532796336165447</v>
      </c>
      <c r="AD115" s="128">
        <f ca="1">IF(ISNUMBER(AD$74),IF('Datos Instalación'!$F$6="Autoconsumo Aislado",CostesNoGeneración!AC113,AC56+AC85),"")</f>
        <v>66.220576234244248</v>
      </c>
      <c r="AE115" s="128">
        <f ca="1">IF(ISNUMBER(AE$74),IF('Datos Instalación'!$F$6="Autoconsumo Aislado",CostesNoGeneración!AD113,AD56+AD85),"")</f>
        <v>65.910042120873413</v>
      </c>
      <c r="AF115" s="128">
        <f ca="1">IF(ISNUMBER(AF$74),IF('Datos Instalación'!$F$6="Autoconsumo Aislado",CostesNoGeneración!AE113,AE56+AE85),"")</f>
        <v>65.60118489171478</v>
      </c>
      <c r="AG115" s="128" t="str">
        <f>IF(ISNUMBER(AG$10),IF('Datos Instalación'!$F$6="Autoconsumo Aislado",CostesNoGeneración!AG179,Ingresos!AH110+Ingresos!AH149),"")</f>
        <v/>
      </c>
      <c r="AH115" s="128"/>
      <c r="AI115" s="128"/>
    </row>
    <row r="116" spans="1:35">
      <c r="A116" s="128"/>
      <c r="B116" s="281"/>
      <c r="C116" s="14" t="s">
        <v>16</v>
      </c>
      <c r="D116" s="137">
        <f ca="1">SUM(D104:D115)</f>
        <v>674.4657094640994</v>
      </c>
      <c r="E116" s="137">
        <f t="shared" ref="E116:AG116" ca="1" si="5">SUM(E104:E115)</f>
        <v>672.12195155900031</v>
      </c>
      <c r="F116" s="137">
        <f t="shared" ca="1" si="5"/>
        <v>669.45204568321583</v>
      </c>
      <c r="G116" s="137">
        <f t="shared" ca="1" si="5"/>
        <v>666.96550080680652</v>
      </c>
      <c r="H116" s="137">
        <f t="shared" ca="1" si="5"/>
        <v>664.49238327272997</v>
      </c>
      <c r="I116" s="137">
        <f t="shared" ca="1" si="5"/>
        <v>662.03262057333723</v>
      </c>
      <c r="J116" s="137">
        <f t="shared" ca="1" si="5"/>
        <v>659.58614059252147</v>
      </c>
      <c r="K116" s="137">
        <f t="shared" ca="1" si="5"/>
        <v>657.15287160360185</v>
      </c>
      <c r="L116" s="137">
        <f t="shared" ca="1" si="5"/>
        <v>654.73274226722265</v>
      </c>
      <c r="M116" s="137">
        <f t="shared" ca="1" si="5"/>
        <v>652.32568162925975</v>
      </c>
      <c r="N116" s="137">
        <f t="shared" ca="1" si="5"/>
        <v>649.93161911874188</v>
      </c>
      <c r="O116" s="137">
        <f t="shared" ca="1" si="5"/>
        <v>647.55048454578082</v>
      </c>
      <c r="P116" s="137">
        <f t="shared" ca="1" si="5"/>
        <v>658.56714945139345</v>
      </c>
      <c r="Q116" s="137">
        <f t="shared" ca="1" si="5"/>
        <v>656.13938301463622</v>
      </c>
      <c r="R116" s="137">
        <f t="shared" ca="1" si="5"/>
        <v>653.72472651663725</v>
      </c>
      <c r="S116" s="137">
        <f t="shared" ca="1" si="5"/>
        <v>651.32310916372762</v>
      </c>
      <c r="T116" s="137">
        <f t="shared" ca="1" si="5"/>
        <v>648.93446054452352</v>
      </c>
      <c r="U116" s="137">
        <f t="shared" ca="1" si="5"/>
        <v>646.55871062786332</v>
      </c>
      <c r="V116" s="137">
        <f t="shared" ca="1" si="5"/>
        <v>644.19578976075309</v>
      </c>
      <c r="W116" s="137">
        <f t="shared" ca="1" si="5"/>
        <v>641.84562866632507</v>
      </c>
      <c r="X116" s="137">
        <f t="shared" ca="1" si="5"/>
        <v>3026.6445323663506</v>
      </c>
      <c r="Y116" s="137">
        <f t="shared" ca="1" si="5"/>
        <v>3022.9732748680144</v>
      </c>
      <c r="Z116" s="137">
        <f t="shared" ca="1" si="5"/>
        <v>3019.3272421601691</v>
      </c>
      <c r="AA116" s="137">
        <f t="shared" ca="1" si="5"/>
        <v>3015.7062980289456</v>
      </c>
      <c r="AB116" s="137">
        <f t="shared" ca="1" si="5"/>
        <v>3012.1103069960318</v>
      </c>
      <c r="AC116" s="137">
        <f t="shared" ca="1" si="5"/>
        <v>3008.5391343146953</v>
      </c>
      <c r="AD116" s="137">
        <f t="shared" ca="1" si="5"/>
        <v>3004.9926459658373</v>
      </c>
      <c r="AE116" s="137">
        <f t="shared" ca="1" si="5"/>
        <v>3001.4707086540639</v>
      </c>
      <c r="AF116" s="137">
        <f t="shared" ca="1" si="5"/>
        <v>2997.9731898037744</v>
      </c>
      <c r="AG116" s="137">
        <f t="shared" si="5"/>
        <v>0</v>
      </c>
      <c r="AH116" s="128"/>
      <c r="AI116" s="128"/>
    </row>
    <row r="117" spans="1:35" ht="43.2">
      <c r="A117" s="128"/>
      <c r="B117" s="146" t="s">
        <v>444</v>
      </c>
      <c r="D117" s="137" t="e">
        <f>IF(ISNUMBER(D103),$K$6,0)</f>
        <v>#N/A</v>
      </c>
      <c r="E117" s="137" t="e">
        <f t="shared" ref="E117:AG117" si="6">IF(ISNUMBER(E103),$K$6,0)</f>
        <v>#N/A</v>
      </c>
      <c r="F117" s="137" t="e">
        <f t="shared" si="6"/>
        <v>#N/A</v>
      </c>
      <c r="G117" s="137" t="e">
        <f t="shared" si="6"/>
        <v>#N/A</v>
      </c>
      <c r="H117" s="137" t="e">
        <f t="shared" si="6"/>
        <v>#N/A</v>
      </c>
      <c r="I117" s="137" t="e">
        <f t="shared" si="6"/>
        <v>#N/A</v>
      </c>
      <c r="J117" s="137" t="e">
        <f t="shared" si="6"/>
        <v>#N/A</v>
      </c>
      <c r="K117" s="137" t="e">
        <f t="shared" si="6"/>
        <v>#N/A</v>
      </c>
      <c r="L117" s="137" t="e">
        <f t="shared" si="6"/>
        <v>#N/A</v>
      </c>
      <c r="M117" s="137" t="e">
        <f t="shared" si="6"/>
        <v>#N/A</v>
      </c>
      <c r="N117" s="137" t="e">
        <f t="shared" si="6"/>
        <v>#N/A</v>
      </c>
      <c r="O117" s="137" t="e">
        <f t="shared" si="6"/>
        <v>#N/A</v>
      </c>
      <c r="P117" s="137" t="e">
        <f t="shared" si="6"/>
        <v>#N/A</v>
      </c>
      <c r="Q117" s="137" t="e">
        <f t="shared" si="6"/>
        <v>#N/A</v>
      </c>
      <c r="R117" s="137" t="e">
        <f t="shared" si="6"/>
        <v>#N/A</v>
      </c>
      <c r="S117" s="137" t="e">
        <f t="shared" si="6"/>
        <v>#N/A</v>
      </c>
      <c r="T117" s="137" t="e">
        <f t="shared" si="6"/>
        <v>#N/A</v>
      </c>
      <c r="U117" s="137" t="e">
        <f t="shared" si="6"/>
        <v>#N/A</v>
      </c>
      <c r="V117" s="137" t="e">
        <f t="shared" si="6"/>
        <v>#N/A</v>
      </c>
      <c r="W117" s="137" t="e">
        <f t="shared" si="6"/>
        <v>#N/A</v>
      </c>
      <c r="X117" s="137" t="e">
        <f t="shared" si="6"/>
        <v>#N/A</v>
      </c>
      <c r="Y117" s="137" t="e">
        <f t="shared" si="6"/>
        <v>#N/A</v>
      </c>
      <c r="Z117" s="137" t="e">
        <f t="shared" si="6"/>
        <v>#N/A</v>
      </c>
      <c r="AA117" s="137" t="e">
        <f t="shared" si="6"/>
        <v>#N/A</v>
      </c>
      <c r="AB117" s="137" t="e">
        <f t="shared" si="6"/>
        <v>#N/A</v>
      </c>
      <c r="AC117" s="137" t="e">
        <f t="shared" si="6"/>
        <v>#N/A</v>
      </c>
      <c r="AD117" s="137" t="e">
        <f t="shared" si="6"/>
        <v>#N/A</v>
      </c>
      <c r="AE117" s="137" t="e">
        <f t="shared" si="6"/>
        <v>#N/A</v>
      </c>
      <c r="AF117" s="137" t="e">
        <f t="shared" si="6"/>
        <v>#N/A</v>
      </c>
      <c r="AG117" s="137" t="e">
        <f t="shared" si="6"/>
        <v>#N/A</v>
      </c>
      <c r="AH117" s="128"/>
      <c r="AI117" s="128"/>
    </row>
    <row r="118" spans="1:35" ht="28.8">
      <c r="A118" s="128"/>
      <c r="B118" s="138" t="s">
        <v>143</v>
      </c>
      <c r="C118" s="128"/>
      <c r="D118" s="139">
        <f ca="1">IF(D116&gt;0,-('Datos Instalación'!$G$28)/COUNTIF($C$23:$AF$23,"&gt;0"),0)</f>
        <v>-33.333333333333336</v>
      </c>
      <c r="E118" s="139">
        <f ca="1">IF(E116&gt;0,-('Datos Instalación'!$G$28)/COUNTIF($C$23:$AF$23,"&gt;0"),0)</f>
        <v>-33.333333333333336</v>
      </c>
      <c r="F118" s="139">
        <f ca="1">IF(F116&gt;0,-('Datos Instalación'!$G$28)/COUNTIF($C$23:$AF$23,"&gt;0"),0)</f>
        <v>-33.333333333333336</v>
      </c>
      <c r="G118" s="139">
        <f ca="1">IF(G116&gt;0,-('Datos Instalación'!$G$28)/COUNTIF($C$23:$AF$23,"&gt;0"),0)</f>
        <v>-33.333333333333336</v>
      </c>
      <c r="H118" s="139">
        <f ca="1">IF(H116&gt;0,-('Datos Instalación'!$G$28)/COUNTIF($C$23:$AF$23,"&gt;0"),0)</f>
        <v>-33.333333333333336</v>
      </c>
      <c r="I118" s="139">
        <f ca="1">IF(I116&gt;0,-('Datos Instalación'!$G$28)/COUNTIF($C$23:$AF$23,"&gt;0"),0)</f>
        <v>-33.333333333333336</v>
      </c>
      <c r="J118" s="139">
        <f ca="1">IF(J116&gt;0,-('Datos Instalación'!$G$28)/COUNTIF($C$23:$AF$23,"&gt;0"),0)</f>
        <v>-33.333333333333336</v>
      </c>
      <c r="K118" s="139">
        <f ca="1">IF(K116&gt;0,-('Datos Instalación'!$G$28)/COUNTIF($C$23:$AF$23,"&gt;0"),0)</f>
        <v>-33.333333333333336</v>
      </c>
      <c r="L118" s="139">
        <f ca="1">IF(L116&gt;0,-('Datos Instalación'!$G$28)/COUNTIF($C$23:$AF$23,"&gt;0"),0)</f>
        <v>-33.333333333333336</v>
      </c>
      <c r="M118" s="139">
        <f ca="1">IF(M116&gt;0,-('Datos Instalación'!$G$28)/COUNTIF($C$23:$AF$23,"&gt;0"),0)</f>
        <v>-33.333333333333336</v>
      </c>
      <c r="N118" s="139">
        <f ca="1">IF(N116&gt;0,-('Datos Instalación'!$G$28)/COUNTIF($C$23:$AF$23,"&gt;0"),0)</f>
        <v>-33.333333333333336</v>
      </c>
      <c r="O118" s="139">
        <f ca="1">IF(O116&gt;0,-('Datos Instalación'!$G$28)/COUNTIF($C$23:$AF$23,"&gt;0"),0)</f>
        <v>-33.333333333333336</v>
      </c>
      <c r="P118" s="139">
        <f ca="1">IF(P116&gt;0,-('Datos Instalación'!$G$28)/COUNTIF($C$23:$AF$23,"&gt;0"),0)</f>
        <v>-33.333333333333336</v>
      </c>
      <c r="Q118" s="139">
        <f ca="1">IF(Q116&gt;0,-('Datos Instalación'!$G$28)/COUNTIF($C$23:$AF$23,"&gt;0"),0)</f>
        <v>-33.333333333333336</v>
      </c>
      <c r="R118" s="139">
        <f ca="1">IF(R116&gt;0,-('Datos Instalación'!$G$28)/COUNTIF($C$23:$AF$23,"&gt;0"),0)</f>
        <v>-33.333333333333336</v>
      </c>
      <c r="S118" s="139">
        <f ca="1">IF(S116&gt;0,-('Datos Instalación'!$G$28)/COUNTIF($C$23:$AF$23,"&gt;0"),0)</f>
        <v>-33.333333333333336</v>
      </c>
      <c r="T118" s="139">
        <f ca="1">IF(T116&gt;0,-('Datos Instalación'!$G$28)/COUNTIF($C$23:$AF$23,"&gt;0"),0)</f>
        <v>-33.333333333333336</v>
      </c>
      <c r="U118" s="139">
        <f ca="1">IF(U116&gt;0,-('Datos Instalación'!$G$28)/COUNTIF($C$23:$AF$23,"&gt;0"),0)</f>
        <v>-33.333333333333336</v>
      </c>
      <c r="V118" s="139">
        <f ca="1">IF(V116&gt;0,-('Datos Instalación'!$G$28)/COUNTIF($C$23:$AF$23,"&gt;0"),0)</f>
        <v>-33.333333333333336</v>
      </c>
      <c r="W118" s="139">
        <f ca="1">IF(W116&gt;0,-('Datos Instalación'!$G$28)/COUNTIF($C$23:$AF$23,"&gt;0"),0)</f>
        <v>-33.333333333333336</v>
      </c>
      <c r="X118" s="139">
        <f ca="1">IF(X116&gt;0,-('Datos Instalación'!$G$28)/COUNTIF($C$23:$AF$23,"&gt;0"),0)</f>
        <v>-33.333333333333336</v>
      </c>
      <c r="Y118" s="139">
        <f ca="1">IF(Y116&gt;0,-('Datos Instalación'!$G$28)/COUNTIF($C$23:$AF$23,"&gt;0"),0)</f>
        <v>-33.333333333333336</v>
      </c>
      <c r="Z118" s="139">
        <f ca="1">IF(Z116&gt;0,-('Datos Instalación'!$G$28)/COUNTIF($C$23:$AF$23,"&gt;0"),0)</f>
        <v>-33.333333333333336</v>
      </c>
      <c r="AA118" s="139">
        <f ca="1">IF(AA116&gt;0,-('Datos Instalación'!$G$28)/COUNTIF($C$23:$AF$23,"&gt;0"),0)</f>
        <v>-33.333333333333336</v>
      </c>
      <c r="AB118" s="139">
        <f ca="1">IF(AB116&gt;0,-('Datos Instalación'!$G$28)/COUNTIF($C$23:$AF$23,"&gt;0"),0)</f>
        <v>-33.333333333333336</v>
      </c>
      <c r="AC118" s="139">
        <f ca="1">IF(AC116&gt;0,-('Datos Instalación'!$G$28)/COUNTIF($C$23:$AF$23,"&gt;0"),0)</f>
        <v>-33.333333333333336</v>
      </c>
      <c r="AD118" s="139">
        <f ca="1">IF(AD116&gt;0,-('Datos Instalación'!$G$28)/COUNTIF($C$23:$AF$23,"&gt;0"),0)</f>
        <v>-33.333333333333336</v>
      </c>
      <c r="AE118" s="139">
        <f ca="1">IF(AE116&gt;0,-('Datos Instalación'!$G$28)/COUNTIF($C$23:$AF$23,"&gt;0"),0)</f>
        <v>-33.333333333333336</v>
      </c>
      <c r="AF118" s="139">
        <f ca="1">IF(AF116&gt;0,-('Datos Instalación'!$G$28)/COUNTIF($C$23:$AF$23,"&gt;0"),0)</f>
        <v>-33.333333333333336</v>
      </c>
      <c r="AG118" s="139">
        <f>IF(AG116&gt;0,-('Datos Instalación'!$G$28)/COUNTIF($C$23:$AF$23,"&gt;0"),0)</f>
        <v>0</v>
      </c>
      <c r="AH118" s="128"/>
      <c r="AI118" s="128"/>
    </row>
    <row r="119" spans="1:35">
      <c r="A119" s="128"/>
      <c r="B119" s="138" t="s">
        <v>18</v>
      </c>
      <c r="C119" s="128"/>
      <c r="D119" s="139">
        <f>-SUM('Datos Instalación'!I25:I27,'Datos Instalación'!I29:I30)</f>
        <v>-2812.5</v>
      </c>
      <c r="E119" s="139"/>
      <c r="F119" s="139"/>
      <c r="G119" s="139"/>
      <c r="H119" s="139"/>
      <c r="I119" s="139"/>
      <c r="J119" s="128"/>
      <c r="K119" s="128"/>
      <c r="L119" s="128"/>
      <c r="M119" s="128"/>
      <c r="N119" s="128"/>
      <c r="O119" s="128"/>
      <c r="P119" s="128"/>
      <c r="Q119" s="128"/>
      <c r="R119" s="128"/>
      <c r="S119" s="128"/>
      <c r="T119" s="128"/>
      <c r="U119" s="128"/>
      <c r="V119" s="128"/>
      <c r="W119" s="128"/>
      <c r="X119" s="128"/>
      <c r="Y119" s="128"/>
      <c r="Z119" s="128"/>
      <c r="AA119" s="128"/>
      <c r="AB119" s="128"/>
      <c r="AC119" s="128"/>
      <c r="AD119" s="128"/>
      <c r="AE119" s="128"/>
      <c r="AF119" s="128"/>
      <c r="AG119" s="128"/>
      <c r="AH119" s="128"/>
      <c r="AI119" s="128"/>
    </row>
    <row r="120" spans="1:35" ht="28.8">
      <c r="A120" s="128"/>
      <c r="B120" s="138" t="s">
        <v>37</v>
      </c>
      <c r="C120" s="128"/>
      <c r="D120" s="128">
        <f ca="1">IF(D52=0,IF(C52&gt;0,-'Datos Instalación'!$I$33,0),0)</f>
        <v>0</v>
      </c>
      <c r="E120" s="128">
        <f ca="1">IF(E52=0,IF(D52&gt;0,-'Datos Instalación'!$I$33,0),0)</f>
        <v>0</v>
      </c>
      <c r="F120" s="128">
        <f ca="1">IF(F52=0,IF(E52&gt;0,-'Datos Instalación'!$I$33,0),0)</f>
        <v>0</v>
      </c>
      <c r="G120" s="128">
        <f ca="1">IF(G52=0,IF(F52&gt;0,-'Datos Instalación'!$I$33,0),0)</f>
        <v>0</v>
      </c>
      <c r="H120" s="128">
        <f ca="1">IF(H52=0,IF(G52&gt;0,-'Datos Instalación'!$I$33,0),0)</f>
        <v>0</v>
      </c>
      <c r="I120" s="128">
        <f ca="1">IF(I52=0,IF(H52&gt;0,-'Datos Instalación'!$I$33,0),0)</f>
        <v>0</v>
      </c>
      <c r="J120" s="128">
        <f ca="1">IF(J52=0,IF(I52&gt;0,-'Datos Instalación'!$I$33,0),0)</f>
        <v>0</v>
      </c>
      <c r="K120" s="128">
        <f ca="1">IF(K52=0,IF(J52&gt;0,-'Datos Instalación'!$I$33,0),0)</f>
        <v>0</v>
      </c>
      <c r="L120" s="128">
        <f ca="1">IF(L52=0,IF(K52&gt;0,-'Datos Instalación'!$I$33,0),0)</f>
        <v>0</v>
      </c>
      <c r="M120" s="128">
        <f ca="1">IF(M52=0,IF(L52&gt;0,-'Datos Instalación'!$I$33,0),0)</f>
        <v>0</v>
      </c>
      <c r="N120" s="128">
        <f ca="1">IF(N52=0,IF(M52&gt;0,-'Datos Instalación'!$I$33,0),0)</f>
        <v>0</v>
      </c>
      <c r="O120" s="128">
        <f ca="1">IF(O52=0,IF(N52&gt;0,-'Datos Instalación'!$I$33,0),0)</f>
        <v>0</v>
      </c>
      <c r="P120" s="128">
        <f ca="1">IF(P52=0,IF(O52&gt;0,-'Datos Instalación'!$I$33,0),0)</f>
        <v>0</v>
      </c>
      <c r="Q120" s="128">
        <f ca="1">IF(Q52=0,IF(P52&gt;0,-'Datos Instalación'!$I$33,0),0)</f>
        <v>0</v>
      </c>
      <c r="R120" s="128">
        <f ca="1">IF(R52=0,IF(Q52&gt;0,-'Datos Instalación'!$I$33,0),0)</f>
        <v>0</v>
      </c>
      <c r="S120" s="128">
        <f ca="1">IF(S52=0,IF(R52&gt;0,-'Datos Instalación'!$I$33,0),0)</f>
        <v>0</v>
      </c>
      <c r="T120" s="128">
        <f ca="1">IF(T52=0,IF(S52&gt;0,-'Datos Instalación'!$I$33,0),0)</f>
        <v>0</v>
      </c>
      <c r="U120" s="128">
        <f ca="1">IF(U52=0,IF(T52&gt;0,-'Datos Instalación'!$I$33,0),0)</f>
        <v>0</v>
      </c>
      <c r="V120" s="128">
        <f ca="1">IF(V52=0,IF(U52&gt;0,-'Datos Instalación'!$I$33,0),0)</f>
        <v>0</v>
      </c>
      <c r="W120" s="128">
        <f ca="1">IF(W52=0,IF(V52&gt;0,-'Datos Instalación'!$I$33,0),0)</f>
        <v>0</v>
      </c>
      <c r="X120" s="128">
        <f ca="1">IF(X52=0,IF(W52&gt;0,-'Datos Instalación'!$I$33,0),0)</f>
        <v>0</v>
      </c>
      <c r="Y120" s="128">
        <f ca="1">IF(Y52=0,IF(X52&gt;0,-'Datos Instalación'!$I$33,0),0)</f>
        <v>0</v>
      </c>
      <c r="Z120" s="128">
        <f ca="1">IF(Z52=0,IF(Y52&gt;0,-'Datos Instalación'!$I$33,0),0)</f>
        <v>0</v>
      </c>
      <c r="AA120" s="128">
        <f ca="1">IF(AA52=0,IF(Z52&gt;0,-'Datos Instalación'!$I$33,0),0)</f>
        <v>0</v>
      </c>
      <c r="AB120" s="128">
        <f ca="1">IF(AB52=0,IF(AA52&gt;0,-'Datos Instalación'!$I$33,0),0)</f>
        <v>0</v>
      </c>
      <c r="AC120" s="128">
        <f ca="1">IF(AC52=0,IF(AB52&gt;0,-'Datos Instalación'!$I$33,0),0)</f>
        <v>0</v>
      </c>
      <c r="AD120" s="128">
        <f ca="1">IF(AD52=0,IF(AC52&gt;0,-'Datos Instalación'!$I$33,0),0)</f>
        <v>0</v>
      </c>
      <c r="AE120" s="128">
        <f ca="1">IF(AE52=0,IF(AD52&gt;0,-'Datos Instalación'!$I$33,0),0)</f>
        <v>0</v>
      </c>
      <c r="AF120" s="128">
        <f ca="1">IF(AF52=0,IF(AE52&gt;0,-'Datos Instalación'!$I$33,0),0)</f>
        <v>0</v>
      </c>
      <c r="AG120" s="128">
        <f ca="1">IF(AG52=0,IF(AF52&gt;0,-'Datos Instalación'!$I$33,0),0)</f>
        <v>0</v>
      </c>
      <c r="AH120" s="128"/>
      <c r="AI120" s="128"/>
    </row>
    <row r="121" spans="1:35" ht="28.8">
      <c r="A121" s="128"/>
      <c r="B121" s="138" t="s">
        <v>267</v>
      </c>
      <c r="C121" s="128"/>
      <c r="D121" s="128">
        <f>IF('Rendimiento Paneles'!$B$18+'Rendimiento Paneles'!$B$15=VAN_Usados!C$10,-'Hoja BIPV'!$C$20-'Rendimiento Paneles'!C21*'Datos Instalación'!$C$15,0)</f>
        <v>0</v>
      </c>
      <c r="E121" s="128">
        <f>IF('Rendimiento Paneles'!$B$18+'Rendimiento Paneles'!$B$15=VAN_Usados!D$10,-'Hoja BIPV'!$C$20-'Rendimiento Paneles'!D21*'Datos Instalación'!$C$15,0)</f>
        <v>0</v>
      </c>
      <c r="F121" s="128">
        <f>IF('Rendimiento Paneles'!$B$18+'Rendimiento Paneles'!$B$15=VAN_Usados!E$10,-'Hoja BIPV'!$C$20-'Rendimiento Paneles'!E21*'Datos Instalación'!$C$15,0)</f>
        <v>0</v>
      </c>
      <c r="G121" s="128">
        <f>IF('Rendimiento Paneles'!$B$18+'Rendimiento Paneles'!$B$15=VAN_Usados!F$10,-'Hoja BIPV'!$C$20-'Rendimiento Paneles'!F21*'Datos Instalación'!$C$15,0)</f>
        <v>0</v>
      </c>
      <c r="H121" s="128">
        <f>IF('Rendimiento Paneles'!$B$18+'Rendimiento Paneles'!$B$15=VAN_Usados!G$10,-'Hoja BIPV'!$C$20-'Rendimiento Paneles'!G21*'Datos Instalación'!$C$15,0)</f>
        <v>0</v>
      </c>
      <c r="I121" s="128">
        <f>IF('Rendimiento Paneles'!$B$18+'Rendimiento Paneles'!$B$15=VAN_Usados!H$10,-'Hoja BIPV'!$C$20-'Rendimiento Paneles'!H21*'Datos Instalación'!$C$15,0)</f>
        <v>0</v>
      </c>
      <c r="J121" s="128">
        <f>IF('Rendimiento Paneles'!$B$18+'Rendimiento Paneles'!$B$15=VAN_Usados!I$10,-'Hoja BIPV'!$C$20-'Rendimiento Paneles'!I21*'Datos Instalación'!$C$15,0)</f>
        <v>0</v>
      </c>
      <c r="K121" s="128">
        <f>IF('Rendimiento Paneles'!$B$18+'Rendimiento Paneles'!$B$15=VAN_Usados!J$10,-'Hoja BIPV'!$C$20-'Rendimiento Paneles'!J21*'Datos Instalación'!$C$15,0)</f>
        <v>0</v>
      </c>
      <c r="L121" s="128">
        <f>IF('Rendimiento Paneles'!$B$18+'Rendimiento Paneles'!$B$15=VAN_Usados!K$10,-'Hoja BIPV'!$C$20-'Rendimiento Paneles'!K21*'Datos Instalación'!$C$15,0)</f>
        <v>0</v>
      </c>
      <c r="M121" s="128">
        <f>IF('Rendimiento Paneles'!$B$18+'Rendimiento Paneles'!$B$15=VAN_Usados!L$10,-'Hoja BIPV'!$C$20-'Rendimiento Paneles'!L21*'Datos Instalación'!$C$15,0)</f>
        <v>0</v>
      </c>
      <c r="N121" s="128">
        <f>IF('Rendimiento Paneles'!$B$18+'Rendimiento Paneles'!$B$15=VAN_Usados!M$10,-'Hoja BIPV'!$C$20-'Rendimiento Paneles'!M21*'Datos Instalación'!$C$15,0)</f>
        <v>0</v>
      </c>
      <c r="O121" s="128">
        <f>IF('Rendimiento Paneles'!$B$18+'Rendimiento Paneles'!$B$15=VAN_Usados!N$10,-'Hoja BIPV'!$C$20-'Rendimiento Paneles'!N21*'Datos Instalación'!$C$15,0)</f>
        <v>0</v>
      </c>
      <c r="P121" s="128">
        <f>IF('Rendimiento Paneles'!$B$18+'Rendimiento Paneles'!$B$15=VAN_Usados!O$10,-'Hoja BIPV'!$C$20-'Rendimiento Paneles'!O21*'Datos Instalación'!$C$15,0)</f>
        <v>-530</v>
      </c>
      <c r="Q121" s="128">
        <f>IF('Rendimiento Paneles'!$B$18+'Rendimiento Paneles'!$B$15=VAN_Usados!P$10,-'Hoja BIPV'!$C$20-'Rendimiento Paneles'!P21*'Datos Instalación'!$C$15,0)</f>
        <v>0</v>
      </c>
      <c r="R121" s="128">
        <f>IF('Rendimiento Paneles'!$B$18+'Rendimiento Paneles'!$B$15=VAN_Usados!Q$10,-'Hoja BIPV'!$C$20-'Rendimiento Paneles'!Q21*'Datos Instalación'!$C$15,0)</f>
        <v>0</v>
      </c>
      <c r="S121" s="128">
        <f>IF('Rendimiento Paneles'!$B$18+'Rendimiento Paneles'!$B$15=VAN_Usados!R$10,-'Hoja BIPV'!$C$20-'Rendimiento Paneles'!R21*'Datos Instalación'!$C$15,0)</f>
        <v>0</v>
      </c>
      <c r="T121" s="128">
        <f>IF('Rendimiento Paneles'!$B$18+'Rendimiento Paneles'!$B$15=VAN_Usados!S$10,-'Hoja BIPV'!$C$20-'Rendimiento Paneles'!S21*'Datos Instalación'!$C$15,0)</f>
        <v>0</v>
      </c>
      <c r="U121" s="128">
        <f>IF('Rendimiento Paneles'!$B$18+'Rendimiento Paneles'!$B$15=VAN_Usados!T$10,-'Hoja BIPV'!$C$20-'Rendimiento Paneles'!T21*'Datos Instalación'!$C$15,0)</f>
        <v>0</v>
      </c>
      <c r="V121" s="128">
        <f>IF('Rendimiento Paneles'!$B$18+'Rendimiento Paneles'!$B$15=VAN_Usados!U$10,-'Hoja BIPV'!$C$20-'Rendimiento Paneles'!U21*'Datos Instalación'!$C$15,0)</f>
        <v>0</v>
      </c>
      <c r="W121" s="128">
        <f>IF('Rendimiento Paneles'!$B$18+'Rendimiento Paneles'!$B$15=VAN_Usados!V$10,-'Hoja BIPV'!$C$20-'Rendimiento Paneles'!V21*'Datos Instalación'!$C$15,0)</f>
        <v>0</v>
      </c>
      <c r="X121" s="128">
        <f>IF('Rendimiento Paneles'!$B$18+'Rendimiento Paneles'!$B$15=VAN_Usados!W$10,-'Hoja BIPV'!$C$20-'Rendimiento Paneles'!W21*'Datos Instalación'!$C$15,0)</f>
        <v>0</v>
      </c>
      <c r="Y121" s="128">
        <f>IF('Rendimiento Paneles'!$B$18+'Rendimiento Paneles'!$B$15=VAN_Usados!X$10,-'Hoja BIPV'!$C$20-'Rendimiento Paneles'!X21*'Datos Instalación'!$C$15,0)</f>
        <v>0</v>
      </c>
      <c r="Z121" s="128">
        <f>IF('Rendimiento Paneles'!$B$18+'Rendimiento Paneles'!$B$15=VAN_Usados!Y$10,-'Hoja BIPV'!$C$20-'Rendimiento Paneles'!Y21*'Datos Instalación'!$C$15,0)</f>
        <v>0</v>
      </c>
      <c r="AA121" s="128">
        <f>IF('Rendimiento Paneles'!$B$18+'Rendimiento Paneles'!$B$15=VAN_Usados!Z$10,-'Hoja BIPV'!$C$20-'Rendimiento Paneles'!Z21*'Datos Instalación'!$C$15,0)</f>
        <v>0</v>
      </c>
      <c r="AB121" s="128">
        <f>IF('Rendimiento Paneles'!$B$18+'Rendimiento Paneles'!$B$15=VAN_Usados!AA$10,-'Hoja BIPV'!$C$20-'Rendimiento Paneles'!AA21*'Datos Instalación'!$C$15,0)</f>
        <v>0</v>
      </c>
      <c r="AC121" s="128">
        <f>IF('Rendimiento Paneles'!$B$18+'Rendimiento Paneles'!$B$15=VAN_Usados!AB$10,-'Hoja BIPV'!$C$20-'Rendimiento Paneles'!AB21*'Datos Instalación'!$C$15,0)</f>
        <v>0</v>
      </c>
      <c r="AD121" s="128">
        <f>IF('Rendimiento Paneles'!$B$18+'Rendimiento Paneles'!$B$15=VAN_Usados!AC$10,-'Hoja BIPV'!$C$20-'Rendimiento Paneles'!AC21*'Datos Instalación'!$C$15,0)</f>
        <v>0</v>
      </c>
      <c r="AE121" s="128">
        <f>IF('Rendimiento Paneles'!$B$18+'Rendimiento Paneles'!$B$15=VAN_Usados!AD$10,-'Hoja BIPV'!$C$20-'Rendimiento Paneles'!AD21*'Datos Instalación'!$C$15,0)</f>
        <v>0</v>
      </c>
      <c r="AF121" s="128">
        <f>IF('Rendimiento Paneles'!$B$18+'Rendimiento Paneles'!$B$15=VAN_Usados!AE$10,-'Hoja BIPV'!$C$20-'Rendimiento Paneles'!AE21*'Datos Instalación'!$C$15,0)</f>
        <v>0</v>
      </c>
      <c r="AG121" s="128">
        <f>IF('Rendimiento Paneles'!$B$18+'Rendimiento Paneles'!$B$15=VAN_Usados!AF$10,-'Hoja BIPV'!$C$20-'Rendimiento Paneles'!AF21*'Datos Instalación'!$C$15,0)</f>
        <v>0</v>
      </c>
      <c r="AH121" s="128"/>
      <c r="AI121" s="128"/>
    </row>
    <row r="122" spans="1:35">
      <c r="A122" s="128"/>
      <c r="B122" s="140" t="s">
        <v>224</v>
      </c>
      <c r="C122" s="128"/>
      <c r="D122" s="128">
        <f ca="1">IF(ISNUMBER(OFFSET('Cálculo Préstamo'!$B$4,'Cálculo Préstamo'!C75,0)),-OFFSET('Cálculo Préstamo'!$D$4,'Cálculo Préstamo'!C75,0),0)</f>
        <v>-225</v>
      </c>
      <c r="E122" s="128">
        <f ca="1">IF(ISNUMBER(OFFSET('Cálculo Préstamo'!$B$4,'Cálculo Préstamo'!D75,0)),-OFFSET('Cálculo Préstamo'!$D$4,'Cálculo Préstamo'!D75,0),0)</f>
        <v>-207.11149999999998</v>
      </c>
      <c r="F122" s="128">
        <f ca="1">IF(ISNUMBER(OFFSET('Cálculo Préstamo'!$B$4,'Cálculo Préstamo'!E75,0)),-OFFSET('Cálculo Préstamo'!$D$4,'Cálculo Préstamo'!E75,0),0)</f>
        <v>-188.32850000000002</v>
      </c>
      <c r="G122" s="128">
        <f ca="1">IF(ISNUMBER(OFFSET('Cálculo Préstamo'!$B$4,'Cálculo Préstamo'!F75,0)),-OFFSET('Cálculo Préstamo'!$D$4,'Cálculo Préstamo'!F75,0),0)</f>
        <v>-168.60650000000001</v>
      </c>
      <c r="H122" s="128">
        <f ca="1">IF(ISNUMBER(OFFSET('Cálculo Préstamo'!$B$4,'Cálculo Préstamo'!G75,0)),-OFFSET('Cálculo Préstamo'!$D$4,'Cálculo Préstamo'!G75,0),0)</f>
        <v>-147.89849999999998</v>
      </c>
      <c r="I122" s="128">
        <f ca="1">IF(ISNUMBER(OFFSET('Cálculo Préstamo'!$B$4,'Cálculo Préstamo'!H75,0)),-OFFSET('Cálculo Préstamo'!$D$4,'Cálculo Préstamo'!H75,0),0)</f>
        <v>-126.155</v>
      </c>
      <c r="J122" s="128">
        <f ca="1">IF(ISNUMBER(OFFSET('Cálculo Préstamo'!$B$4,'Cálculo Préstamo'!I75,0)),-OFFSET('Cálculo Préstamo'!$D$4,'Cálculo Préstamo'!I75,0),0)</f>
        <v>-103.32400000000001</v>
      </c>
      <c r="K122" s="128">
        <f ca="1">IF(ISNUMBER(OFFSET('Cálculo Préstamo'!$B$4,'Cálculo Préstamo'!J75,0)),-OFFSET('Cálculo Préstamo'!$D$4,'Cálculo Préstamo'!J75,0),0)</f>
        <v>-79.351500000000001</v>
      </c>
      <c r="L122" s="128">
        <f ca="1">IF(ISNUMBER(OFFSET('Cálculo Préstamo'!$B$4,'Cálculo Préstamo'!K75,0)),-OFFSET('Cálculo Préstamo'!$D$4,'Cálculo Préstamo'!K75,0),0)</f>
        <v>-54.180499999999995</v>
      </c>
      <c r="M122" s="128">
        <f ca="1">IF(ISNUMBER(OFFSET('Cálculo Préstamo'!$B$4,'Cálculo Préstamo'!L75,0)),-OFFSET('Cálculo Préstamo'!$D$4,'Cálculo Préstamo'!L75,0),0)</f>
        <v>-27.751000000000001</v>
      </c>
      <c r="N122" s="128">
        <f ca="1">IF(ISNUMBER(OFFSET('Cálculo Préstamo'!$B$4,'Cálculo Préstamo'!M75,0)),-OFFSET('Cálculo Préstamo'!$D$4,'Cálculo Préstamo'!M75,0),0)</f>
        <v>0</v>
      </c>
      <c r="O122" s="128">
        <f ca="1">IF(ISNUMBER(OFFSET('Cálculo Préstamo'!$B$4,'Cálculo Préstamo'!N75,0)),-OFFSET('Cálculo Préstamo'!$D$4,'Cálculo Préstamo'!N75,0),0)</f>
        <v>0</v>
      </c>
      <c r="P122" s="128">
        <f ca="1">IF(ISNUMBER(OFFSET('Cálculo Préstamo'!$B$4,'Cálculo Préstamo'!O75,0)),-OFFSET('Cálculo Préstamo'!$D$4,'Cálculo Préstamo'!O75,0),0)</f>
        <v>0</v>
      </c>
      <c r="Q122" s="128">
        <f ca="1">IF(ISNUMBER(OFFSET('Cálculo Préstamo'!$B$4,'Cálculo Préstamo'!P75,0)),-OFFSET('Cálculo Préstamo'!$D$4,'Cálculo Préstamo'!P75,0),0)</f>
        <v>0</v>
      </c>
      <c r="R122" s="128">
        <f ca="1">IF(ISNUMBER(OFFSET('Cálculo Préstamo'!$B$4,'Cálculo Préstamo'!Q75,0)),-OFFSET('Cálculo Préstamo'!$D$4,'Cálculo Préstamo'!Q75,0),0)</f>
        <v>0</v>
      </c>
      <c r="S122" s="128">
        <f ca="1">IF(ISNUMBER(OFFSET('Cálculo Préstamo'!$B$4,'Cálculo Préstamo'!R75,0)),-OFFSET('Cálculo Préstamo'!$D$4,'Cálculo Préstamo'!R75,0),0)</f>
        <v>0</v>
      </c>
      <c r="T122" s="128">
        <f ca="1">IF(ISNUMBER(OFFSET('Cálculo Préstamo'!$B$4,'Cálculo Préstamo'!S75,0)),-OFFSET('Cálculo Préstamo'!$D$4,'Cálculo Préstamo'!S75,0),0)</f>
        <v>0</v>
      </c>
      <c r="U122" s="128">
        <f ca="1">IF(ISNUMBER(OFFSET('Cálculo Préstamo'!$B$4,'Cálculo Préstamo'!T75,0)),-OFFSET('Cálculo Préstamo'!$D$4,'Cálculo Préstamo'!T75,0),0)</f>
        <v>0</v>
      </c>
      <c r="V122" s="128">
        <f ca="1">IF(ISNUMBER(OFFSET('Cálculo Préstamo'!$B$4,'Cálculo Préstamo'!U75,0)),-OFFSET('Cálculo Préstamo'!$D$4,'Cálculo Préstamo'!U75,0),0)</f>
        <v>0</v>
      </c>
      <c r="W122" s="128">
        <f ca="1">IF(ISNUMBER(OFFSET('Cálculo Préstamo'!$B$4,'Cálculo Préstamo'!V75,0)),-OFFSET('Cálculo Préstamo'!$D$4,'Cálculo Préstamo'!V75,0),0)</f>
        <v>0</v>
      </c>
      <c r="X122" s="128">
        <f ca="1">IF(ISNUMBER(OFFSET('Cálculo Préstamo'!$B$4,'Cálculo Préstamo'!W75,0)),-OFFSET('Cálculo Préstamo'!$D$4,'Cálculo Préstamo'!W75,0),0)</f>
        <v>0</v>
      </c>
      <c r="Y122" s="128">
        <f ca="1">IF(ISNUMBER(OFFSET('Cálculo Préstamo'!$B$4,'Cálculo Préstamo'!X75,0)),-OFFSET('Cálculo Préstamo'!$D$4,'Cálculo Préstamo'!X75,0),0)</f>
        <v>0</v>
      </c>
      <c r="Z122" s="128">
        <f ca="1">IF(ISNUMBER(OFFSET('Cálculo Préstamo'!$B$4,'Cálculo Préstamo'!Y75,0)),-OFFSET('Cálculo Préstamo'!$D$4,'Cálculo Préstamo'!Y75,0),0)</f>
        <v>0</v>
      </c>
      <c r="AA122" s="128">
        <f ca="1">IF(ISNUMBER(OFFSET('Cálculo Préstamo'!$B$4,'Cálculo Préstamo'!Z75,0)),-OFFSET('Cálculo Préstamo'!$D$4,'Cálculo Préstamo'!Z75,0),0)</f>
        <v>0</v>
      </c>
      <c r="AB122" s="128">
        <f ca="1">IF(ISNUMBER(OFFSET('Cálculo Préstamo'!$B$4,'Cálculo Préstamo'!AA75,0)),-OFFSET('Cálculo Préstamo'!$D$4,'Cálculo Préstamo'!AA75,0),0)</f>
        <v>0</v>
      </c>
      <c r="AC122" s="128">
        <f ca="1">IF(ISNUMBER(OFFSET('Cálculo Préstamo'!$B$4,'Cálculo Préstamo'!AB75,0)),-OFFSET('Cálculo Préstamo'!$D$4,'Cálculo Préstamo'!AB75,0),0)</f>
        <v>0</v>
      </c>
      <c r="AD122" s="128">
        <f ca="1">IF(ISNUMBER(OFFSET('Cálculo Préstamo'!$B$4,'Cálculo Préstamo'!AC75,0)),-OFFSET('Cálculo Préstamo'!$D$4,'Cálculo Préstamo'!AC75,0),0)</f>
        <v>0</v>
      </c>
      <c r="AE122" s="128">
        <f ca="1">IF(ISNUMBER(OFFSET('Cálculo Préstamo'!$B$4,'Cálculo Préstamo'!AD75,0)),-OFFSET('Cálculo Préstamo'!$D$4,'Cálculo Préstamo'!AD75,0),0)</f>
        <v>0</v>
      </c>
      <c r="AF122" s="128">
        <f ca="1">IF(ISNUMBER(OFFSET('Cálculo Préstamo'!$B$4,'Cálculo Préstamo'!AE75,0)),-OFFSET('Cálculo Préstamo'!$D$4,'Cálculo Préstamo'!AE75,0),0)</f>
        <v>0</v>
      </c>
      <c r="AG122" s="128">
        <f ca="1">IF(ISNUMBER(OFFSET('Cálculo Préstamo'!$B$4,'Cálculo Préstamo'!AF75,0)),-OFFSET('Cálculo Préstamo'!$D$4,'Cálculo Préstamo'!AF75,0),0)</f>
        <v>0</v>
      </c>
      <c r="AH122" s="128"/>
      <c r="AI122" s="128"/>
    </row>
    <row r="123" spans="1:35">
      <c r="A123" s="128"/>
      <c r="B123" s="141" t="s">
        <v>19</v>
      </c>
      <c r="C123" s="142">
        <f>'Hoja BIPV'!C53</f>
        <v>5.0000000000000001E-3</v>
      </c>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c r="AC123" s="128"/>
      <c r="AD123" s="128"/>
      <c r="AE123" s="128"/>
      <c r="AF123" s="128"/>
      <c r="AG123" s="128"/>
      <c r="AH123" s="128"/>
      <c r="AI123" s="128"/>
    </row>
    <row r="124" spans="1:3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c r="AA124" s="128"/>
      <c r="AB124" s="128"/>
      <c r="AC124" s="128"/>
      <c r="AD124" s="128"/>
      <c r="AE124" s="128"/>
      <c r="AF124" s="128"/>
      <c r="AG124" s="128"/>
      <c r="AH124" s="128"/>
      <c r="AI124" s="128"/>
    </row>
    <row r="125" spans="1:35">
      <c r="A125" s="128"/>
      <c r="B125" s="128"/>
      <c r="C125" s="128"/>
      <c r="D125" s="143" t="s">
        <v>2</v>
      </c>
      <c r="E125" s="144" t="e">
        <f ca="1">SUM(E129:AB129)</f>
        <v>#N/A</v>
      </c>
      <c r="F125" s="128"/>
      <c r="G125" s="128"/>
      <c r="H125" s="128"/>
      <c r="I125" s="128"/>
      <c r="J125" s="128"/>
      <c r="K125" s="128"/>
      <c r="L125" s="128"/>
      <c r="M125" s="128"/>
      <c r="N125" s="128"/>
      <c r="O125" s="128"/>
      <c r="P125" s="128"/>
      <c r="Q125" s="128"/>
      <c r="R125" s="128"/>
      <c r="S125" s="128"/>
      <c r="T125" s="128"/>
      <c r="U125" s="128"/>
      <c r="V125" s="128"/>
      <c r="W125" s="128"/>
      <c r="X125" s="128"/>
      <c r="Y125" s="128"/>
      <c r="Z125" s="128"/>
      <c r="AA125" s="128"/>
      <c r="AB125" s="128"/>
      <c r="AC125" s="128"/>
      <c r="AD125" s="128"/>
      <c r="AE125" s="128"/>
      <c r="AF125" s="128"/>
      <c r="AG125" s="128"/>
      <c r="AH125" s="128"/>
      <c r="AI125" s="128"/>
    </row>
    <row r="126" spans="1:35">
      <c r="A126" s="128"/>
      <c r="B126" s="128"/>
      <c r="C126" s="128"/>
      <c r="D126" s="143" t="s">
        <v>20</v>
      </c>
      <c r="E126" s="145" t="e">
        <f ca="1">IRR(E129:AA129)</f>
        <v>#VALUE!</v>
      </c>
      <c r="F126" s="128"/>
      <c r="G126" s="128"/>
      <c r="H126" s="128"/>
      <c r="I126" s="128"/>
      <c r="J126" s="128"/>
      <c r="K126" s="128"/>
      <c r="L126" s="128"/>
      <c r="M126" s="128"/>
      <c r="N126" s="128"/>
      <c r="O126" s="128"/>
      <c r="P126" s="128"/>
      <c r="Q126" s="128"/>
      <c r="R126" s="128"/>
      <c r="S126" s="128"/>
      <c r="T126" s="128"/>
      <c r="U126" s="128"/>
      <c r="V126" s="128"/>
      <c r="W126" s="128"/>
      <c r="X126" s="128"/>
      <c r="Y126" s="128"/>
      <c r="Z126" s="128"/>
      <c r="AA126" s="128"/>
      <c r="AB126" s="128"/>
      <c r="AC126" s="128"/>
      <c r="AD126" s="128"/>
      <c r="AE126" s="128"/>
      <c r="AF126" s="128"/>
      <c r="AG126" s="128"/>
      <c r="AH126" s="128"/>
      <c r="AI126" s="128"/>
    </row>
    <row r="127" spans="1:3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c r="AC127" s="128"/>
      <c r="AD127" s="128"/>
      <c r="AE127" s="128"/>
      <c r="AF127" s="128"/>
      <c r="AG127" s="128"/>
      <c r="AH127" s="128"/>
      <c r="AI127" s="128"/>
    </row>
    <row r="128" spans="1:35">
      <c r="A128" s="128"/>
      <c r="B128" s="128"/>
      <c r="C128" s="128"/>
      <c r="D128" s="128"/>
      <c r="E128" s="128">
        <v>0</v>
      </c>
      <c r="F128" s="128">
        <f>E128+1</f>
        <v>1</v>
      </c>
      <c r="G128" s="128">
        <f t="shared" ref="G128" si="7">F128+1</f>
        <v>2</v>
      </c>
      <c r="H128" s="128">
        <f t="shared" ref="H128" si="8">G128+1</f>
        <v>3</v>
      </c>
      <c r="I128" s="128">
        <f t="shared" ref="I128" si="9">H128+1</f>
        <v>4</v>
      </c>
      <c r="J128" s="128">
        <f t="shared" ref="J128" si="10">I128+1</f>
        <v>5</v>
      </c>
      <c r="K128" s="128">
        <f t="shared" ref="K128" si="11">J128+1</f>
        <v>6</v>
      </c>
      <c r="L128" s="128">
        <f t="shared" ref="L128" si="12">K128+1</f>
        <v>7</v>
      </c>
      <c r="M128" s="128">
        <f t="shared" ref="M128" si="13">L128+1</f>
        <v>8</v>
      </c>
      <c r="N128" s="128">
        <f t="shared" ref="N128" si="14">M128+1</f>
        <v>9</v>
      </c>
      <c r="O128" s="128">
        <f t="shared" ref="O128" si="15">N128+1</f>
        <v>10</v>
      </c>
      <c r="P128" s="128">
        <f t="shared" ref="P128" si="16">O128+1</f>
        <v>11</v>
      </c>
      <c r="Q128" s="128">
        <f t="shared" ref="Q128" si="17">P128+1</f>
        <v>12</v>
      </c>
      <c r="R128" s="128">
        <f t="shared" ref="R128" si="18">Q128+1</f>
        <v>13</v>
      </c>
      <c r="S128" s="128">
        <f t="shared" ref="S128" si="19">R128+1</f>
        <v>14</v>
      </c>
      <c r="T128" s="128">
        <f t="shared" ref="T128" si="20">S128+1</f>
        <v>15</v>
      </c>
      <c r="U128" s="128">
        <f t="shared" ref="U128" si="21">T128+1</f>
        <v>16</v>
      </c>
      <c r="V128" s="128">
        <f t="shared" ref="V128" si="22">U128+1</f>
        <v>17</v>
      </c>
      <c r="W128" s="128">
        <f t="shared" ref="W128" si="23">V128+1</f>
        <v>18</v>
      </c>
      <c r="X128" s="128">
        <f t="shared" ref="X128" si="24">W128+1</f>
        <v>19</v>
      </c>
      <c r="Y128" s="128">
        <f t="shared" ref="Y128" si="25">X128+1</f>
        <v>20</v>
      </c>
      <c r="Z128" s="128">
        <f t="shared" ref="Z128" si="26">Y128+1</f>
        <v>21</v>
      </c>
      <c r="AA128" s="128">
        <f t="shared" ref="AA128" si="27">Z128+1</f>
        <v>22</v>
      </c>
      <c r="AB128" s="128">
        <f t="shared" ref="AB128" si="28">AA128+1</f>
        <v>23</v>
      </c>
      <c r="AC128" s="128">
        <f t="shared" ref="AC128" si="29">AB128+1</f>
        <v>24</v>
      </c>
      <c r="AD128" s="128">
        <f t="shared" ref="AD128" si="30">AC128+1</f>
        <v>25</v>
      </c>
      <c r="AE128" s="128">
        <f t="shared" ref="AE128" si="31">AD128+1</f>
        <v>26</v>
      </c>
      <c r="AF128" s="128">
        <f t="shared" ref="AF128" si="32">AE128+1</f>
        <v>27</v>
      </c>
      <c r="AG128" s="128">
        <f t="shared" ref="AG128" si="33">AF128+1</f>
        <v>28</v>
      </c>
      <c r="AH128" s="128">
        <f t="shared" ref="AH128" si="34">AG128+1</f>
        <v>29</v>
      </c>
      <c r="AI128" s="128">
        <f t="shared" ref="AI128" si="35">AH128+1</f>
        <v>30</v>
      </c>
    </row>
    <row r="129" spans="1:35">
      <c r="A129" s="128"/>
      <c r="B129" s="128"/>
      <c r="C129" s="128"/>
      <c r="D129" s="128"/>
      <c r="E129" s="139">
        <f>(D119)/POWER((1+$B$28),E128)</f>
        <v>-2812.5</v>
      </c>
      <c r="F129" s="139" t="e">
        <f t="shared" ref="F129:AI129" ca="1" si="36">(D116+D117+D118+D120+D122)/POWER((1+$B$28),F128)</f>
        <v>#N/A</v>
      </c>
      <c r="G129" s="139" t="e">
        <f t="shared" ca="1" si="36"/>
        <v>#N/A</v>
      </c>
      <c r="H129" s="139" t="e">
        <f t="shared" ca="1" si="36"/>
        <v>#N/A</v>
      </c>
      <c r="I129" s="139" t="e">
        <f t="shared" ca="1" si="36"/>
        <v>#N/A</v>
      </c>
      <c r="J129" s="139" t="e">
        <f t="shared" ca="1" si="36"/>
        <v>#N/A</v>
      </c>
      <c r="K129" s="139" t="e">
        <f t="shared" ca="1" si="36"/>
        <v>#N/A</v>
      </c>
      <c r="L129" s="139" t="e">
        <f t="shared" ca="1" si="36"/>
        <v>#N/A</v>
      </c>
      <c r="M129" s="139" t="e">
        <f t="shared" ca="1" si="36"/>
        <v>#N/A</v>
      </c>
      <c r="N129" s="139" t="e">
        <f t="shared" ca="1" si="36"/>
        <v>#N/A</v>
      </c>
      <c r="O129" s="139" t="e">
        <f t="shared" ca="1" si="36"/>
        <v>#N/A</v>
      </c>
      <c r="P129" s="139" t="e">
        <f t="shared" ca="1" si="36"/>
        <v>#N/A</v>
      </c>
      <c r="Q129" s="139" t="e">
        <f t="shared" ca="1" si="36"/>
        <v>#N/A</v>
      </c>
      <c r="R129" s="139" t="e">
        <f t="shared" ca="1" si="36"/>
        <v>#N/A</v>
      </c>
      <c r="S129" s="139" t="e">
        <f t="shared" ca="1" si="36"/>
        <v>#N/A</v>
      </c>
      <c r="T129" s="139" t="e">
        <f t="shared" ca="1" si="36"/>
        <v>#N/A</v>
      </c>
      <c r="U129" s="139" t="e">
        <f t="shared" ca="1" si="36"/>
        <v>#N/A</v>
      </c>
      <c r="V129" s="139" t="e">
        <f t="shared" ca="1" si="36"/>
        <v>#N/A</v>
      </c>
      <c r="W129" s="139" t="e">
        <f t="shared" ca="1" si="36"/>
        <v>#N/A</v>
      </c>
      <c r="X129" s="139" t="e">
        <f t="shared" ca="1" si="36"/>
        <v>#N/A</v>
      </c>
      <c r="Y129" s="139" t="e">
        <f t="shared" ca="1" si="36"/>
        <v>#N/A</v>
      </c>
      <c r="Z129" s="139" t="e">
        <f t="shared" ca="1" si="36"/>
        <v>#N/A</v>
      </c>
      <c r="AA129" s="139" t="e">
        <f t="shared" ca="1" si="36"/>
        <v>#N/A</v>
      </c>
      <c r="AB129" s="139" t="e">
        <f t="shared" ca="1" si="36"/>
        <v>#N/A</v>
      </c>
      <c r="AC129" s="139" t="e">
        <f t="shared" ca="1" si="36"/>
        <v>#N/A</v>
      </c>
      <c r="AD129" s="139" t="e">
        <f t="shared" ca="1" si="36"/>
        <v>#N/A</v>
      </c>
      <c r="AE129" s="139" t="e">
        <f t="shared" ca="1" si="36"/>
        <v>#N/A</v>
      </c>
      <c r="AF129" s="139" t="e">
        <f t="shared" ca="1" si="36"/>
        <v>#N/A</v>
      </c>
      <c r="AG129" s="139" t="e">
        <f t="shared" ca="1" si="36"/>
        <v>#N/A</v>
      </c>
      <c r="AH129" s="139" t="e">
        <f t="shared" ca="1" si="36"/>
        <v>#N/A</v>
      </c>
      <c r="AI129" s="139" t="e">
        <f t="shared" ca="1" si="36"/>
        <v>#N/A</v>
      </c>
    </row>
  </sheetData>
  <mergeCells count="10">
    <mergeCell ref="B3:D3"/>
    <mergeCell ref="F3:H3"/>
    <mergeCell ref="J3:L3"/>
    <mergeCell ref="A14:C14"/>
    <mergeCell ref="A28:C28"/>
    <mergeCell ref="A44:C44"/>
    <mergeCell ref="A57:C57"/>
    <mergeCell ref="A72:C72"/>
    <mergeCell ref="B75:B87"/>
    <mergeCell ref="B104:B116"/>
  </mergeCells>
  <phoneticPr fontId="27" type="noConversion"/>
  <conditionalFormatting sqref="E95:E96">
    <cfRule type="cellIs" dxfId="7" priority="4" operator="greaterThan">
      <formula>0</formula>
    </cfRule>
  </conditionalFormatting>
  <conditionalFormatting sqref="D89:AG92">
    <cfRule type="cellIs" dxfId="6" priority="3" operator="lessThan">
      <formula>0</formula>
    </cfRule>
  </conditionalFormatting>
  <conditionalFormatting sqref="E125:E126">
    <cfRule type="cellIs" dxfId="5" priority="2" operator="greaterThan">
      <formula>0</formula>
    </cfRule>
  </conditionalFormatting>
  <conditionalFormatting sqref="D118:AG122">
    <cfRule type="cellIs" dxfId="4" priority="1" operator="lessThan">
      <formula>0</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5431B-0C76-439E-AA08-1FE3882A8F79}">
  <dimension ref="A2:AI74"/>
  <sheetViews>
    <sheetView topLeftCell="A22" zoomScale="70" zoomScaleNormal="70" workbookViewId="0">
      <selection activeCell="C44" sqref="C44"/>
    </sheetView>
  </sheetViews>
  <sheetFormatPr baseColWidth="10" defaultRowHeight="13.8"/>
  <cols>
    <col min="1" max="1" width="11.5546875" style="2"/>
    <col min="2" max="2" width="14.77734375" style="2" customWidth="1"/>
    <col min="3" max="16384" width="11.5546875" style="2"/>
  </cols>
  <sheetData>
    <row r="2" spans="1:33" ht="17.399999999999999">
      <c r="A2" s="283" t="s">
        <v>221</v>
      </c>
      <c r="B2" s="283"/>
      <c r="C2" s="283"/>
      <c r="D2" s="283"/>
      <c r="E2" s="283"/>
      <c r="F2" s="283"/>
    </row>
    <row r="3" spans="1:33" s="75" customFormat="1" ht="17.399999999999999">
      <c r="A3" s="85"/>
      <c r="B3" s="85"/>
      <c r="C3" s="85"/>
      <c r="D3" s="85"/>
      <c r="E3" s="85"/>
      <c r="F3" s="85"/>
    </row>
    <row r="4" spans="1:33" s="75" customFormat="1" ht="17.399999999999999">
      <c r="A4" s="85"/>
      <c r="B4" s="285" t="s">
        <v>156</v>
      </c>
      <c r="C4" s="285"/>
      <c r="D4" s="285"/>
      <c r="E4" s="85"/>
      <c r="F4" s="85"/>
    </row>
    <row r="5" spans="1:33" s="75" customFormat="1" ht="17.399999999999999">
      <c r="A5" s="85"/>
      <c r="C5" s="85"/>
      <c r="D5" s="85"/>
      <c r="E5" s="85"/>
      <c r="F5" s="85"/>
    </row>
    <row r="6" spans="1:33">
      <c r="B6" s="2" t="s">
        <v>3</v>
      </c>
      <c r="C6" s="12">
        <v>2020</v>
      </c>
      <c r="D6" s="12">
        <f>C6+1</f>
        <v>2021</v>
      </c>
      <c r="E6" s="12">
        <f t="shared" ref="E6:S6" si="0">D6+1</f>
        <v>2022</v>
      </c>
      <c r="F6" s="12">
        <f t="shared" si="0"/>
        <v>2023</v>
      </c>
      <c r="G6" s="12">
        <f t="shared" si="0"/>
        <v>2024</v>
      </c>
      <c r="H6" s="12">
        <f t="shared" si="0"/>
        <v>2025</v>
      </c>
      <c r="I6" s="12">
        <f t="shared" si="0"/>
        <v>2026</v>
      </c>
      <c r="J6" s="12">
        <f t="shared" si="0"/>
        <v>2027</v>
      </c>
      <c r="K6" s="12">
        <f t="shared" si="0"/>
        <v>2028</v>
      </c>
      <c r="L6" s="12">
        <f t="shared" si="0"/>
        <v>2029</v>
      </c>
      <c r="M6" s="12">
        <f t="shared" si="0"/>
        <v>2030</v>
      </c>
      <c r="N6" s="12">
        <f t="shared" si="0"/>
        <v>2031</v>
      </c>
      <c r="O6" s="12">
        <f>N6+1</f>
        <v>2032</v>
      </c>
      <c r="P6" s="12">
        <f t="shared" si="0"/>
        <v>2033</v>
      </c>
      <c r="Q6" s="12">
        <f t="shared" si="0"/>
        <v>2034</v>
      </c>
      <c r="R6" s="12">
        <f t="shared" si="0"/>
        <v>2035</v>
      </c>
      <c r="S6" s="12">
        <f t="shared" si="0"/>
        <v>2036</v>
      </c>
      <c r="T6" s="12">
        <f>S6+1</f>
        <v>2037</v>
      </c>
      <c r="U6" s="12">
        <f>T6+1</f>
        <v>2038</v>
      </c>
      <c r="V6" s="12">
        <f t="shared" ref="V6:X6" si="1">U6+1</f>
        <v>2039</v>
      </c>
      <c r="W6" s="12">
        <f t="shared" si="1"/>
        <v>2040</v>
      </c>
      <c r="X6" s="12">
        <f t="shared" si="1"/>
        <v>2041</v>
      </c>
      <c r="Y6" s="12">
        <f>X6+1</f>
        <v>2042</v>
      </c>
      <c r="Z6" s="12">
        <f t="shared" ref="Z6:AE6" si="2">Y6+1</f>
        <v>2043</v>
      </c>
      <c r="AA6" s="12">
        <f t="shared" si="2"/>
        <v>2044</v>
      </c>
      <c r="AB6" s="12">
        <f t="shared" si="2"/>
        <v>2045</v>
      </c>
      <c r="AC6" s="12">
        <f t="shared" si="2"/>
        <v>2046</v>
      </c>
      <c r="AD6" s="12">
        <f t="shared" si="2"/>
        <v>2047</v>
      </c>
      <c r="AE6" s="12">
        <f t="shared" si="2"/>
        <v>2048</v>
      </c>
      <c r="AF6" s="12">
        <f t="shared" ref="AF6" si="3">AE6+1</f>
        <v>2049</v>
      </c>
      <c r="AG6" s="12">
        <f t="shared" ref="AG6" si="4">AF6+1</f>
        <v>2050</v>
      </c>
    </row>
    <row r="7" spans="1:33">
      <c r="A7" s="2">
        <v>1</v>
      </c>
      <c r="B7" s="12" t="s">
        <v>4</v>
      </c>
      <c r="C7" s="2">
        <f ca="1">OFFSET(horas_de_luz_por_provinci!$G$1,_xlfn.XLOOKUP('Datos Instalación'!$C$8,horas_de_luz_por_provinci!$G$2:$G$53,horas_de_luz_por_provinci!$F$2:$F$53),Producción!$A7)*'Datos Instalación'!$F$16*'Rendimiento Paneles'!B$9*_xlfn.XLOOKUP('Datos Instalación'!$C$7,Auxiliares!$B$3:$B$6,Auxiliares!$D$3:$D$6)/1000*'Datos Instalación'!$C$16</f>
        <v>21.667476600000001</v>
      </c>
      <c r="D7" s="2">
        <f ca="1">OFFSET(horas_de_luz_por_provinci!$G$1,_xlfn.XLOOKUP('Datos Instalación'!$C$8,horas_de_luz_por_provinci!$G$2:$G$53,horas_de_luz_por_provinci!$F$2:$F$53),Producción!$A7)*'Datos Instalación'!$F$16*'Rendimiento Paneles'!C$9*_xlfn.XLOOKUP('Datos Instalación'!$C$7,Auxiliares!$B$3:$B$6,Auxiliares!$D$3:$D$6)/1000*'Datos Instalación'!$C$16</f>
        <v>21.55047222636</v>
      </c>
      <c r="E7" s="2">
        <f ca="1">OFFSET(horas_de_luz_por_provinci!$G$1,_xlfn.XLOOKUP('Datos Instalación'!$C$8,horas_de_luz_por_provinci!$G$2:$G$53,horas_de_luz_por_provinci!$F$2:$F$53),Producción!$A7)*'Datos Instalación'!$F$16*'Rendimiento Paneles'!D$9*_xlfn.XLOOKUP('Datos Instalación'!$C$7,Auxiliares!$B$3:$B$6,Auxiliares!$D$3:$D$6)/1000*'Datos Instalación'!$C$16</f>
        <v>21.434099676337659</v>
      </c>
      <c r="F7" s="2">
        <f ca="1">OFFSET(horas_de_luz_por_provinci!$G$1,_xlfn.XLOOKUP('Datos Instalación'!$C$8,horas_de_luz_por_provinci!$G$2:$G$53,horas_de_luz_por_provinci!$F$2:$F$53),Producción!$A7)*'Datos Instalación'!$F$16*'Rendimiento Paneles'!E$9*_xlfn.XLOOKUP('Datos Instalación'!$C$7,Auxiliares!$B$3:$B$6,Auxiliares!$D$3:$D$6)/1000*'Datos Instalación'!$C$16</f>
        <v>21.318355538085434</v>
      </c>
      <c r="G7" s="2">
        <f ca="1">OFFSET(horas_de_luz_por_provinci!$G$1,_xlfn.XLOOKUP('Datos Instalación'!$C$8,horas_de_luz_por_provinci!$G$2:$G$53,horas_de_luz_por_provinci!$F$2:$F$53),Producción!$A7)*'Datos Instalación'!$F$16*'Rendimiento Paneles'!F$9*_xlfn.XLOOKUP('Datos Instalación'!$C$7,Auxiliares!$B$3:$B$6,Auxiliares!$D$3:$D$6)/1000*'Datos Instalación'!$C$16</f>
        <v>21.203236418179774</v>
      </c>
      <c r="H7" s="2">
        <f ca="1">OFFSET(horas_de_luz_por_provinci!$G$1,_xlfn.XLOOKUP('Datos Instalación'!$C$8,horas_de_luz_por_provinci!$G$2:$G$53,horas_de_luz_por_provinci!$F$2:$F$53),Producción!$A7)*'Datos Instalación'!$F$16*'Rendimiento Paneles'!G$9*_xlfn.XLOOKUP('Datos Instalación'!$C$7,Auxiliares!$B$3:$B$6,Auxiliares!$D$3:$D$6)/1000*'Datos Instalación'!$C$16</f>
        <v>21.088738941521601</v>
      </c>
      <c r="I7" s="2">
        <f ca="1">OFFSET(horas_de_luz_por_provinci!$G$1,_xlfn.XLOOKUP('Datos Instalación'!$C$8,horas_de_luz_por_provinci!$G$2:$G$53,horas_de_luz_por_provinci!$F$2:$F$53),Producción!$A7)*'Datos Instalación'!$F$16*'Rendimiento Paneles'!H$9*_xlfn.XLOOKUP('Datos Instalación'!$C$7,Auxiliares!$B$3:$B$6,Auxiliares!$D$3:$D$6)/1000*'Datos Instalación'!$C$16</f>
        <v>20.974859751237389</v>
      </c>
      <c r="J7" s="2">
        <f ca="1">OFFSET(horas_de_luz_por_provinci!$G$1,_xlfn.XLOOKUP('Datos Instalación'!$C$8,horas_de_luz_por_provinci!$G$2:$G$53,horas_de_luz_por_provinci!$F$2:$F$53),Producción!$A7)*'Datos Instalación'!$F$16*'Rendimiento Paneles'!I$9*_xlfn.XLOOKUP('Datos Instalación'!$C$7,Auxiliares!$B$3:$B$6,Auxiliares!$D$3:$D$6)/1000*'Datos Instalación'!$C$16</f>
        <v>20.861595508580706</v>
      </c>
      <c r="K7" s="2">
        <f ca="1">OFFSET(horas_de_luz_por_provinci!$G$1,_xlfn.XLOOKUP('Datos Instalación'!$C$8,horas_de_luz_por_provinci!$G$2:$G$53,horas_de_luz_por_provinci!$F$2:$F$53),Producción!$A7)*'Datos Instalación'!$F$16*'Rendimiento Paneles'!J$9*_xlfn.XLOOKUP('Datos Instalación'!$C$7,Auxiliares!$B$3:$B$6,Auxiliares!$D$3:$D$6)/1000*'Datos Instalación'!$C$16</f>
        <v>20.748942892834368</v>
      </c>
      <c r="L7" s="2">
        <f ca="1">OFFSET(horas_de_luz_por_provinci!$G$1,_xlfn.XLOOKUP('Datos Instalación'!$C$8,horas_de_luz_por_provinci!$G$2:$G$53,horas_de_luz_por_provinci!$F$2:$F$53),Producción!$A7)*'Datos Instalación'!$F$16*'Rendimiento Paneles'!K$9*_xlfn.XLOOKUP('Datos Instalación'!$C$7,Auxiliares!$B$3:$B$6,Auxiliares!$D$3:$D$6)/1000*'Datos Instalación'!$C$16</f>
        <v>20.636898601213062</v>
      </c>
      <c r="M7" s="2">
        <f ca="1">OFFSET(horas_de_luz_por_provinci!$G$1,_xlfn.XLOOKUP('Datos Instalación'!$C$8,horas_de_luz_por_provinci!$G$2:$G$53,horas_de_luz_por_provinci!$F$2:$F$53),Producción!$A7)*'Datos Instalación'!$F$16*'Rendimiento Paneles'!L$9*_xlfn.XLOOKUP('Datos Instalación'!$C$7,Auxiliares!$B$3:$B$6,Auxiliares!$D$3:$D$6)/1000*'Datos Instalación'!$C$16</f>
        <v>20.52545934876651</v>
      </c>
      <c r="N7" s="2">
        <f ca="1">OFFSET(horas_de_luz_por_provinci!$G$1,_xlfn.XLOOKUP('Datos Instalación'!$C$8,horas_de_luz_por_provinci!$G$2:$G$53,horas_de_luz_por_provinci!$F$2:$F$53),Producción!$A7)*'Datos Instalación'!$F$16*'Rendimiento Paneles'!M$9*_xlfn.XLOOKUP('Datos Instalación'!$C$7,Auxiliares!$B$3:$B$6,Auxiliares!$D$3:$D$6)/1000*'Datos Instalación'!$C$16</f>
        <v>20.414621868283177</v>
      </c>
      <c r="O7" s="2">
        <f ca="1">OFFSET(horas_de_luz_por_provinci!$G$1,_xlfn.XLOOKUP('Datos Instalación'!$C$8,horas_de_luz_por_provinci!$G$2:$G$53,horas_de_luz_por_provinci!$F$2:$F$53),Producción!$A7)*'Datos Instalación'!$F$16*'Rendimiento Paneles'!N$9*_xlfn.XLOOKUP('Datos Instalación'!$C$7,Auxiliares!$B$3:$B$6,Auxiliares!$D$3:$D$6)/1000*'Datos Instalación'!$C$16</f>
        <v>20.304382910194445</v>
      </c>
      <c r="P7" s="2">
        <f ca="1">OFFSET(horas_de_luz_por_provinci!$G$1,_xlfn.XLOOKUP('Datos Instalación'!$C$8,horas_de_luz_por_provinci!$G$2:$G$53,horas_de_luz_por_provinci!$F$2:$F$53),Producción!$A7)*'Datos Instalación'!$F$16*'Rendimiento Paneles'!O$9*_xlfn.XLOOKUP('Datos Instalación'!$C$7,Auxiliares!$B$3:$B$6,Auxiliares!$D$3:$D$6)/1000*'Datos Instalación'!$C$16</f>
        <v>20.194739242479393</v>
      </c>
      <c r="Q7" s="2">
        <f ca="1">OFFSET(horas_de_luz_por_provinci!$G$1,_xlfn.XLOOKUP('Datos Instalación'!$C$8,horas_de_luz_por_provinci!$G$2:$G$53,horas_de_luz_por_provinci!$F$2:$F$53),Producción!$A7)*'Datos Instalación'!$F$16*'Rendimiento Paneles'!P$9*_xlfn.XLOOKUP('Datos Instalación'!$C$7,Auxiliares!$B$3:$B$6,Auxiliares!$D$3:$D$6)/1000*'Datos Instalación'!$C$16</f>
        <v>20.085687650570005</v>
      </c>
      <c r="R7" s="2">
        <f ca="1">OFFSET(horas_de_luz_por_provinci!$G$1,_xlfn.XLOOKUP('Datos Instalación'!$C$8,horas_de_luz_por_provinci!$G$2:$G$53,horas_de_luz_por_provinci!$F$2:$F$53),Producción!$A7)*'Datos Instalación'!$F$16*'Rendimiento Paneles'!Q$9*_xlfn.XLOOKUP('Datos Instalación'!$C$7,Auxiliares!$B$3:$B$6,Auxiliares!$D$3:$D$6)/1000*'Datos Instalación'!$C$16</f>
        <v>19.977224937256928</v>
      </c>
      <c r="S7" s="2">
        <f ca="1">OFFSET(horas_de_luz_por_provinci!$G$1,_xlfn.XLOOKUP('Datos Instalación'!$C$8,horas_de_luz_por_provinci!$G$2:$G$53,horas_de_luz_por_provinci!$F$2:$F$53),Producción!$A7)*'Datos Instalación'!$F$16*'Rendimiento Paneles'!R$9*_xlfn.XLOOKUP('Datos Instalación'!$C$7,Auxiliares!$B$3:$B$6,Auxiliares!$D$3:$D$6)/1000*'Datos Instalación'!$C$16</f>
        <v>19.86934792259574</v>
      </c>
      <c r="T7" s="2">
        <f ca="1">OFFSET(horas_de_luz_por_provinci!$G$1,_xlfn.XLOOKUP('Datos Instalación'!$C$8,horas_de_luz_por_provinci!$G$2:$G$53,horas_de_luz_por_provinci!$F$2:$F$53),Producción!$A7)*'Datos Instalación'!$F$16*'Rendimiento Paneles'!S$9*_xlfn.XLOOKUP('Datos Instalación'!$C$7,Auxiliares!$B$3:$B$6,Auxiliares!$D$3:$D$6)/1000*'Datos Instalación'!$C$16</f>
        <v>19.762053443813723</v>
      </c>
      <c r="U7" s="2">
        <f ca="1">OFFSET(horas_de_luz_por_provinci!$G$1,_xlfn.XLOOKUP('Datos Instalación'!$C$8,horas_de_luz_por_provinci!$G$2:$G$53,horas_de_luz_por_provinci!$F$2:$F$53),Producción!$A7)*'Datos Instalación'!$F$16*'Rendimiento Paneles'!T$9*_xlfn.XLOOKUP('Datos Instalación'!$C$7,Auxiliares!$B$3:$B$6,Auxiliares!$D$3:$D$6)/1000*'Datos Instalación'!$C$16</f>
        <v>19.655338355217125</v>
      </c>
      <c r="V7" s="2">
        <f ca="1">OFFSET(horas_de_luz_por_provinci!$G$1,_xlfn.XLOOKUP('Datos Instalación'!$C$8,horas_de_luz_por_provinci!$G$2:$G$53,horas_de_luz_por_provinci!$F$2:$F$53),Producción!$A7)*'Datos Instalación'!$F$16*'Rendimiento Paneles'!U$9*_xlfn.XLOOKUP('Datos Instalación'!$C$7,Auxiliares!$B$3:$B$6,Auxiliares!$D$3:$D$6)/1000*'Datos Instalación'!$C$16</f>
        <v>19.549199528098953</v>
      </c>
      <c r="W7" s="2">
        <f ca="1">OFFSET(horas_de_luz_por_provinci!$G$1,_xlfn.XLOOKUP('Datos Instalación'!$C$8,horas_de_luz_por_provinci!$G$2:$G$53,horas_de_luz_por_provinci!$F$2:$F$53),Producción!$A7)*'Datos Instalación'!$F$16*'Rendimiento Paneles'!V$9*_xlfn.XLOOKUP('Datos Instalación'!$C$7,Auxiliares!$B$3:$B$6,Auxiliares!$D$3:$D$6)/1000*'Datos Instalación'!$C$16</f>
        <v>19.443633850647224</v>
      </c>
      <c r="X7" s="2">
        <f ca="1">OFFSET(horas_de_luz_por_provinci!$G$1,_xlfn.XLOOKUP('Datos Instalación'!$C$8,horas_de_luz_por_provinci!$G$2:$G$53,horas_de_luz_por_provinci!$F$2:$F$53),Producción!$A7)*'Datos Instalación'!$F$16*'Rendimiento Paneles'!W$9*_xlfn.XLOOKUP('Datos Instalación'!$C$7,Auxiliares!$B$3:$B$6,Auxiliares!$D$3:$D$6)/1000*'Datos Instalación'!$C$16</f>
        <v>19.338638227853725</v>
      </c>
      <c r="Y7" s="2">
        <f ca="1">OFFSET(horas_de_luz_por_provinci!$G$1,_xlfn.XLOOKUP('Datos Instalación'!$C$8,horas_de_luz_por_provinci!$G$2:$G$53,horas_de_luz_por_provinci!$F$2:$F$53),Producción!$A7)*'Datos Instalación'!$F$16*'Rendimiento Paneles'!X$9*_xlfn.XLOOKUP('Datos Instalación'!$C$7,Auxiliares!$B$3:$B$6,Auxiliares!$D$3:$D$6)/1000*'Datos Instalación'!$C$16</f>
        <v>19.234209581423318</v>
      </c>
      <c r="Z7" s="2">
        <f ca="1">OFFSET(horas_de_luz_por_provinci!$G$1,_xlfn.XLOOKUP('Datos Instalación'!$C$8,horas_de_luz_por_provinci!$G$2:$G$53,horas_de_luz_por_provinci!$F$2:$F$53),Producción!$A7)*'Datos Instalación'!$F$16*'Rendimiento Paneles'!Y$9*_xlfn.XLOOKUP('Datos Instalación'!$C$7,Auxiliares!$B$3:$B$6,Auxiliares!$D$3:$D$6)/1000*'Datos Instalación'!$C$16</f>
        <v>19.130344849683631</v>
      </c>
      <c r="AA7" s="2">
        <f ca="1">OFFSET(horas_de_luz_por_provinci!$G$1,_xlfn.XLOOKUP('Datos Instalación'!$C$8,horas_de_luz_por_provinci!$G$2:$G$53,horas_de_luz_por_provinci!$F$2:$F$53),Producción!$A7)*'Datos Instalación'!$F$16*'Rendimiento Paneles'!Z$9*_xlfn.XLOOKUP('Datos Instalación'!$C$7,Auxiliares!$B$3:$B$6,Auxiliares!$D$3:$D$6)/1000*'Datos Instalación'!$C$16</f>
        <v>19.02704098749534</v>
      </c>
      <c r="AB7" s="2">
        <f ca="1">OFFSET(horas_de_luz_por_provinci!$G$1,_xlfn.XLOOKUP('Datos Instalación'!$C$8,horas_de_luz_por_provinci!$G$2:$G$53,horas_de_luz_por_provinci!$F$2:$F$53),Producción!$A7)*'Datos Instalación'!$F$16*'Rendimiento Paneles'!AA$9*_xlfn.XLOOKUP('Datos Instalación'!$C$7,Auxiliares!$B$3:$B$6,Auxiliares!$D$3:$D$6)/1000*'Datos Instalación'!$C$16</f>
        <v>18.924294966162865</v>
      </c>
      <c r="AC7" s="2">
        <f ca="1">OFFSET(horas_de_luz_por_provinci!$G$1,_xlfn.XLOOKUP('Datos Instalación'!$C$8,horas_de_luz_por_provinci!$G$2:$G$53,horas_de_luz_por_provinci!$F$2:$F$53),Producción!$A7)*'Datos Instalación'!$F$16*'Rendimiento Paneles'!AB$9*_xlfn.XLOOKUP('Datos Instalación'!$C$7,Auxiliares!$B$3:$B$6,Auxiliares!$D$3:$D$6)/1000*'Datos Instalación'!$C$16</f>
        <v>18.822103773345585</v>
      </c>
      <c r="AD7" s="2">
        <f ca="1">OFFSET(horas_de_luz_por_provinci!$G$1,_xlfn.XLOOKUP('Datos Instalación'!$C$8,horas_de_luz_por_provinci!$G$2:$G$53,horas_de_luz_por_provinci!$F$2:$F$53),Producción!$A7)*'Datos Instalación'!$F$16*'Rendimiento Paneles'!AC$9*_xlfn.XLOOKUP('Datos Instalación'!$C$7,Auxiliares!$B$3:$B$6,Auxiliares!$D$3:$D$6)/1000*'Datos Instalación'!$C$16</f>
        <v>18.720464412969513</v>
      </c>
      <c r="AE7" s="2">
        <f ca="1">OFFSET(horas_de_luz_por_provinci!$G$1,_xlfn.XLOOKUP('Datos Instalación'!$C$8,horas_de_luz_por_provinci!$G$2:$G$53,horas_de_luz_por_provinci!$F$2:$F$53),Producción!$A7)*'Datos Instalación'!$F$16*'Rendimiento Paneles'!AD$9*_xlfn.XLOOKUP('Datos Instalación'!$C$7,Auxiliares!$B$3:$B$6,Auxiliares!$D$3:$D$6)/1000*'Datos Instalación'!$C$16</f>
        <v>18.619373905139483</v>
      </c>
      <c r="AF7" s="2">
        <f ca="1">OFFSET(horas_de_luz_por_provinci!$G$1,_xlfn.XLOOKUP('Datos Instalación'!$C$8,horas_de_luz_por_provinci!$G$2:$G$53,horas_de_luz_por_provinci!$F$2:$F$53),Producción!$A7)*'Datos Instalación'!$F$16*'Rendimiento Paneles'!AE$9*_xlfn.XLOOKUP('Datos Instalación'!$C$7,Auxiliares!$B$3:$B$6,Auxiliares!$D$3:$D$6)/1000*'Datos Instalación'!$C$16</f>
        <v>18.518829286051727</v>
      </c>
      <c r="AG7" s="2">
        <f ca="1">OFFSET(horas_de_luz_por_provinci!$G$1,_xlfn.XLOOKUP('Datos Instalación'!$C$8,horas_de_luz_por_provinci!$G$2:$G$53,horas_de_luz_por_provinci!$F$2:$F$53),Producción!$A7)*'Datos Instalación'!$F$16*'Rendimiento Paneles'!AF$9*_xlfn.XLOOKUP('Datos Instalación'!$C$7,Auxiliares!$B$3:$B$6,Auxiliares!$D$3:$D$6)/1000*'Datos Instalación'!$C$16</f>
        <v>18.418827607907051</v>
      </c>
    </row>
    <row r="8" spans="1:33">
      <c r="A8" s="2">
        <v>2</v>
      </c>
      <c r="B8" s="12" t="s">
        <v>5</v>
      </c>
      <c r="C8" s="2">
        <f ca="1">OFFSET(horas_de_luz_por_provinci!$G$1,_xlfn.XLOOKUP('Datos Instalación'!$C$8,horas_de_luz_por_provinci!$G$2:$G$53,horas_de_luz_por_provinci!$F$2:$F$53),Producción!$A8)*'Datos Instalación'!$F$16*'Rendimiento Paneles'!B$9*_xlfn.XLOOKUP('Datos Instalación'!$C$7,Auxiliares!$B$3:$B$6,Auxiliares!$D$3:$D$6)/1000*'Datos Instalación'!$C$16</f>
        <v>23.876622000000001</v>
      </c>
      <c r="D8" s="2">
        <f ca="1">OFFSET(horas_de_luz_por_provinci!$G$1,_xlfn.XLOOKUP('Datos Instalación'!$C$8,horas_de_luz_por_provinci!$G$2:$G$53,horas_de_luz_por_provinci!$F$2:$F$53),Producción!$A8)*'Datos Instalación'!$F$16*'Rendimiento Paneles'!C$9*_xlfn.XLOOKUP('Datos Instalación'!$C$7,Auxiliares!$B$3:$B$6,Auxiliares!$D$3:$D$6)/1000*'Datos Instalación'!$C$16</f>
        <v>23.747688241200002</v>
      </c>
      <c r="E8" s="2">
        <f ca="1">OFFSET(horas_de_luz_por_provinci!$G$1,_xlfn.XLOOKUP('Datos Instalación'!$C$8,horas_de_luz_por_provinci!$G$2:$G$53,horas_de_luz_por_provinci!$F$2:$F$53),Producción!$A8)*'Datos Instalación'!$F$16*'Rendimiento Paneles'!D$9*_xlfn.XLOOKUP('Datos Instalación'!$C$7,Auxiliares!$B$3:$B$6,Auxiliares!$D$3:$D$6)/1000*'Datos Instalación'!$C$16</f>
        <v>23.619450724697518</v>
      </c>
      <c r="F8" s="2">
        <f ca="1">OFFSET(horas_de_luz_por_provinci!$G$1,_xlfn.XLOOKUP('Datos Instalación'!$C$8,horas_de_luz_por_provinci!$G$2:$G$53,horas_de_luz_por_provinci!$F$2:$F$53),Producción!$A8)*'Datos Instalación'!$F$16*'Rendimiento Paneles'!E$9*_xlfn.XLOOKUP('Datos Instalación'!$C$7,Auxiliares!$B$3:$B$6,Auxiliares!$D$3:$D$6)/1000*'Datos Instalación'!$C$16</f>
        <v>23.491905690784151</v>
      </c>
      <c r="G8" s="2">
        <f ca="1">OFFSET(horas_de_luz_por_provinci!$G$1,_xlfn.XLOOKUP('Datos Instalación'!$C$8,horas_de_luz_por_provinci!$G$2:$G$53,horas_de_luz_por_provinci!$F$2:$F$53),Producción!$A8)*'Datos Instalación'!$F$16*'Rendimiento Paneles'!F$9*_xlfn.XLOOKUP('Datos Instalación'!$C$7,Auxiliares!$B$3:$B$6,Auxiliares!$D$3:$D$6)/1000*'Datos Instalación'!$C$16</f>
        <v>23.365049400053913</v>
      </c>
      <c r="H8" s="2">
        <f ca="1">OFFSET(horas_de_luz_por_provinci!$G$1,_xlfn.XLOOKUP('Datos Instalación'!$C$8,horas_de_luz_por_provinci!$G$2:$G$53,horas_de_luz_por_provinci!$F$2:$F$53),Producción!$A8)*'Datos Instalación'!$F$16*'Rendimiento Paneles'!G$9*_xlfn.XLOOKUP('Datos Instalación'!$C$7,Auxiliares!$B$3:$B$6,Auxiliares!$D$3:$D$6)/1000*'Datos Instalación'!$C$16</f>
        <v>23.238878133293628</v>
      </c>
      <c r="I8" s="2">
        <f ca="1">OFFSET(horas_de_luz_por_provinci!$G$1,_xlfn.XLOOKUP('Datos Instalación'!$C$8,horas_de_luz_por_provinci!$G$2:$G$53,horas_de_luz_por_provinci!$F$2:$F$53),Producción!$A8)*'Datos Instalación'!$F$16*'Rendimiento Paneles'!H$9*_xlfn.XLOOKUP('Datos Instalación'!$C$7,Auxiliares!$B$3:$B$6,Auxiliares!$D$3:$D$6)/1000*'Datos Instalación'!$C$16</f>
        <v>23.113388191373843</v>
      </c>
      <c r="J8" s="2">
        <f ca="1">OFFSET(horas_de_luz_por_provinci!$G$1,_xlfn.XLOOKUP('Datos Instalación'!$C$8,horas_de_luz_por_provinci!$G$2:$G$53,horas_de_luz_por_provinci!$F$2:$F$53),Producción!$A8)*'Datos Instalación'!$F$16*'Rendimiento Paneles'!I$9*_xlfn.XLOOKUP('Datos Instalación'!$C$7,Auxiliares!$B$3:$B$6,Auxiliares!$D$3:$D$6)/1000*'Datos Instalación'!$C$16</f>
        <v>22.988575895140425</v>
      </c>
      <c r="K8" s="2">
        <f ca="1">OFFSET(horas_de_luz_por_provinci!$G$1,_xlfn.XLOOKUP('Datos Instalación'!$C$8,horas_de_luz_por_provinci!$G$2:$G$53,horas_de_luz_por_provinci!$F$2:$F$53),Producción!$A8)*'Datos Instalación'!$F$16*'Rendimiento Paneles'!J$9*_xlfn.XLOOKUP('Datos Instalación'!$C$7,Auxiliares!$B$3:$B$6,Auxiliares!$D$3:$D$6)/1000*'Datos Instalación'!$C$16</f>
        <v>22.864437585306664</v>
      </c>
      <c r="L8" s="2">
        <f ca="1">OFFSET(horas_de_luz_por_provinci!$G$1,_xlfn.XLOOKUP('Datos Instalación'!$C$8,horas_de_luz_por_provinci!$G$2:$G$53,horas_de_luz_por_provinci!$F$2:$F$53),Producción!$A8)*'Datos Instalación'!$F$16*'Rendimiento Paneles'!K$9*_xlfn.XLOOKUP('Datos Instalación'!$C$7,Auxiliares!$B$3:$B$6,Auxiliares!$D$3:$D$6)/1000*'Datos Instalación'!$C$16</f>
        <v>22.740969622346011</v>
      </c>
      <c r="M8" s="2">
        <f ca="1">OFFSET(horas_de_luz_por_provinci!$G$1,_xlfn.XLOOKUP('Datos Instalación'!$C$8,horas_de_luz_por_provinci!$G$2:$G$53,horas_de_luz_por_provinci!$F$2:$F$53),Producción!$A8)*'Datos Instalación'!$F$16*'Rendimiento Paneles'!L$9*_xlfn.XLOOKUP('Datos Instalación'!$C$7,Auxiliares!$B$3:$B$6,Auxiliares!$D$3:$D$6)/1000*'Datos Instalación'!$C$16</f>
        <v>22.618168386385342</v>
      </c>
      <c r="N8" s="2">
        <f ca="1">OFFSET(horas_de_luz_por_provinci!$G$1,_xlfn.XLOOKUP('Datos Instalación'!$C$8,horas_de_luz_por_provinci!$G$2:$G$53,horas_de_luz_por_provinci!$F$2:$F$53),Producción!$A8)*'Datos Instalación'!$F$16*'Rendimiento Paneles'!M$9*_xlfn.XLOOKUP('Datos Instalación'!$C$7,Auxiliares!$B$3:$B$6,Auxiliares!$D$3:$D$6)/1000*'Datos Instalación'!$C$16</f>
        <v>22.49603027709886</v>
      </c>
      <c r="O8" s="2">
        <f ca="1">OFFSET(horas_de_luz_por_provinci!$G$1,_xlfn.XLOOKUP('Datos Instalación'!$C$8,horas_de_luz_por_provinci!$G$2:$G$53,horas_de_luz_por_provinci!$F$2:$F$53),Producción!$A8)*'Datos Instalación'!$F$16*'Rendimiento Paneles'!N$9*_xlfn.XLOOKUP('Datos Instalación'!$C$7,Auxiliares!$B$3:$B$6,Auxiliares!$D$3:$D$6)/1000*'Datos Instalación'!$C$16</f>
        <v>22.374551713602528</v>
      </c>
      <c r="P8" s="2">
        <f ca="1">OFFSET(horas_de_luz_por_provinci!$G$1,_xlfn.XLOOKUP('Datos Instalación'!$C$8,horas_de_luz_por_provinci!$G$2:$G$53,horas_de_luz_por_provinci!$F$2:$F$53),Producción!$A8)*'Datos Instalación'!$F$16*'Rendimiento Paneles'!O$9*_xlfn.XLOOKUP('Datos Instalación'!$C$7,Auxiliares!$B$3:$B$6,Auxiliares!$D$3:$D$6)/1000*'Datos Instalación'!$C$16</f>
        <v>22.253729134349069</v>
      </c>
      <c r="Q8" s="2">
        <f ca="1">OFFSET(horas_de_luz_por_provinci!$G$1,_xlfn.XLOOKUP('Datos Instalación'!$C$8,horas_de_luz_por_provinci!$G$2:$G$53,horas_de_luz_por_provinci!$F$2:$F$53),Producción!$A8)*'Datos Instalación'!$F$16*'Rendimiento Paneles'!P$9*_xlfn.XLOOKUP('Datos Instalación'!$C$7,Auxiliares!$B$3:$B$6,Auxiliares!$D$3:$D$6)/1000*'Datos Instalación'!$C$16</f>
        <v>22.133558997023592</v>
      </c>
      <c r="R8" s="2">
        <f ca="1">OFFSET(horas_de_luz_por_provinci!$G$1,_xlfn.XLOOKUP('Datos Instalación'!$C$8,horas_de_luz_por_provinci!$G$2:$G$53,horas_de_luz_por_provinci!$F$2:$F$53),Producción!$A8)*'Datos Instalación'!$F$16*'Rendimiento Paneles'!Q$9*_xlfn.XLOOKUP('Datos Instalación'!$C$7,Auxiliares!$B$3:$B$6,Auxiliares!$D$3:$D$6)/1000*'Datos Instalación'!$C$16</f>
        <v>22.014037778439658</v>
      </c>
      <c r="S8" s="2">
        <f ca="1">OFFSET(horas_de_luz_por_provinci!$G$1,_xlfn.XLOOKUP('Datos Instalación'!$C$8,horas_de_luz_por_provinci!$G$2:$G$53,horas_de_luz_por_provinci!$F$2:$F$53),Producción!$A8)*'Datos Instalación'!$F$16*'Rendimiento Paneles'!R$9*_xlfn.XLOOKUP('Datos Instalación'!$C$7,Auxiliares!$B$3:$B$6,Auxiliares!$D$3:$D$6)/1000*'Datos Instalación'!$C$16</f>
        <v>21.895161974436085</v>
      </c>
      <c r="T8" s="2">
        <f ca="1">OFFSET(horas_de_luz_por_provinci!$G$1,_xlfn.XLOOKUP('Datos Instalación'!$C$8,horas_de_luz_por_provinci!$G$2:$G$53,horas_de_luz_por_provinci!$F$2:$F$53),Producción!$A8)*'Datos Instalación'!$F$16*'Rendimiento Paneles'!S$9*_xlfn.XLOOKUP('Datos Instalación'!$C$7,Auxiliares!$B$3:$B$6,Auxiliares!$D$3:$D$6)/1000*'Datos Instalación'!$C$16</f>
        <v>21.776928099774135</v>
      </c>
      <c r="U8" s="2">
        <f ca="1">OFFSET(horas_de_luz_por_provinci!$G$1,_xlfn.XLOOKUP('Datos Instalación'!$C$8,horas_de_luz_por_provinci!$G$2:$G$53,horas_de_luz_por_provinci!$F$2:$F$53),Producción!$A8)*'Datos Instalación'!$F$16*'Rendimiento Paneles'!T$9*_xlfn.XLOOKUP('Datos Instalación'!$C$7,Auxiliares!$B$3:$B$6,Auxiliares!$D$3:$D$6)/1000*'Datos Instalación'!$C$16</f>
        <v>21.659332688035349</v>
      </c>
      <c r="V8" s="2">
        <f ca="1">OFFSET(horas_de_luz_por_provinci!$G$1,_xlfn.XLOOKUP('Datos Instalación'!$C$8,horas_de_luz_por_provinci!$G$2:$G$53,horas_de_luz_por_provinci!$F$2:$F$53),Producción!$A8)*'Datos Instalación'!$F$16*'Rendimiento Paneles'!U$9*_xlfn.XLOOKUP('Datos Instalación'!$C$7,Auxiliares!$B$3:$B$6,Auxiliares!$D$3:$D$6)/1000*'Datos Instalación'!$C$16</f>
        <v>21.542372291519957</v>
      </c>
      <c r="W8" s="2">
        <f ca="1">OFFSET(horas_de_luz_por_provinci!$G$1,_xlfn.XLOOKUP('Datos Instalación'!$C$8,horas_de_luz_por_provinci!$G$2:$G$53,horas_de_luz_por_provinci!$F$2:$F$53),Producción!$A8)*'Datos Instalación'!$F$16*'Rendimiento Paneles'!V$9*_xlfn.XLOOKUP('Datos Instalación'!$C$7,Auxiliares!$B$3:$B$6,Auxiliares!$D$3:$D$6)/1000*'Datos Instalación'!$C$16</f>
        <v>21.426043481145751</v>
      </c>
      <c r="X8" s="2">
        <f ca="1">OFFSET(horas_de_luz_por_provinci!$G$1,_xlfn.XLOOKUP('Datos Instalación'!$C$8,horas_de_luz_por_provinci!$G$2:$G$53,horas_de_luz_por_provinci!$F$2:$F$53),Producción!$A8)*'Datos Instalación'!$F$16*'Rendimiento Paneles'!W$9*_xlfn.XLOOKUP('Datos Instalación'!$C$7,Auxiliares!$B$3:$B$6,Auxiliares!$D$3:$D$6)/1000*'Datos Instalación'!$C$16</f>
        <v>21.310342846347567</v>
      </c>
      <c r="Y8" s="2">
        <f ca="1">OFFSET(horas_de_luz_por_provinci!$G$1,_xlfn.XLOOKUP('Datos Instalación'!$C$8,horas_de_luz_por_provinci!$G$2:$G$53,horas_de_luz_por_provinci!$F$2:$F$53),Producción!$A8)*'Datos Instalación'!$F$16*'Rendimiento Paneles'!X$9*_xlfn.XLOOKUP('Datos Instalación'!$C$7,Auxiliares!$B$3:$B$6,Auxiliares!$D$3:$D$6)/1000*'Datos Instalación'!$C$16</f>
        <v>21.195266994977285</v>
      </c>
      <c r="Z8" s="2">
        <f ca="1">OFFSET(horas_de_luz_por_provinci!$G$1,_xlfn.XLOOKUP('Datos Instalación'!$C$8,horas_de_luz_por_provinci!$G$2:$G$53,horas_de_luz_por_provinci!$F$2:$F$53),Producción!$A8)*'Datos Instalación'!$F$16*'Rendimiento Paneles'!Y$9*_xlfn.XLOOKUP('Datos Instalación'!$C$7,Auxiliares!$B$3:$B$6,Auxiliares!$D$3:$D$6)/1000*'Datos Instalación'!$C$16</f>
        <v>21.080812553204414</v>
      </c>
      <c r="AA8" s="2">
        <f ca="1">OFFSET(horas_de_luz_por_provinci!$G$1,_xlfn.XLOOKUP('Datos Instalación'!$C$8,horas_de_luz_por_provinci!$G$2:$G$53,horas_de_luz_por_provinci!$F$2:$F$53),Producción!$A8)*'Datos Instalación'!$F$16*'Rendimiento Paneles'!Z$9*_xlfn.XLOOKUP('Datos Instalación'!$C$7,Auxiliares!$B$3:$B$6,Auxiliares!$D$3:$D$6)/1000*'Datos Instalación'!$C$16</f>
        <v>20.966976165417108</v>
      </c>
      <c r="AB8" s="2">
        <f ca="1">OFFSET(horas_de_luz_por_provinci!$G$1,_xlfn.XLOOKUP('Datos Instalación'!$C$8,horas_de_luz_por_provinci!$G$2:$G$53,horas_de_luz_por_provinci!$F$2:$F$53),Producción!$A8)*'Datos Instalación'!$F$16*'Rendimiento Paneles'!AA$9*_xlfn.XLOOKUP('Datos Instalación'!$C$7,Auxiliares!$B$3:$B$6,Auxiliares!$D$3:$D$6)/1000*'Datos Instalación'!$C$16</f>
        <v>20.853754494123852</v>
      </c>
      <c r="AC8" s="2">
        <f ca="1">OFFSET(horas_de_luz_por_provinci!$G$1,_xlfn.XLOOKUP('Datos Instalación'!$C$8,horas_de_luz_por_provinci!$G$2:$G$53,horas_de_luz_por_provinci!$F$2:$F$53),Producción!$A8)*'Datos Instalación'!$F$16*'Rendimiento Paneles'!AB$9*_xlfn.XLOOKUP('Datos Instalación'!$C$7,Auxiliares!$B$3:$B$6,Auxiliares!$D$3:$D$6)/1000*'Datos Instalación'!$C$16</f>
        <v>20.741144219855588</v>
      </c>
      <c r="AD8" s="2">
        <f ca="1">OFFSET(horas_de_luz_por_provinci!$G$1,_xlfn.XLOOKUP('Datos Instalación'!$C$8,horas_de_luz_por_provinci!$G$2:$G$53,horas_de_luz_por_provinci!$F$2:$F$53),Producción!$A8)*'Datos Instalación'!$F$16*'Rendimiento Paneles'!AC$9*_xlfn.XLOOKUP('Datos Instalación'!$C$7,Auxiliares!$B$3:$B$6,Auxiliares!$D$3:$D$6)/1000*'Datos Instalación'!$C$16</f>
        <v>20.629142041068366</v>
      </c>
      <c r="AE8" s="2">
        <f ca="1">OFFSET(horas_de_luz_por_provinci!$G$1,_xlfn.XLOOKUP('Datos Instalación'!$C$8,horas_de_luz_por_provinci!$G$2:$G$53,horas_de_luz_por_provinci!$F$2:$F$53),Producción!$A8)*'Datos Instalación'!$F$16*'Rendimiento Paneles'!AD$9*_xlfn.XLOOKUP('Datos Instalación'!$C$7,Auxiliares!$B$3:$B$6,Auxiliares!$D$3:$D$6)/1000*'Datos Instalación'!$C$16</f>
        <v>20.517744674046597</v>
      </c>
      <c r="AF8" s="2">
        <f ca="1">OFFSET(horas_de_luz_por_provinci!$G$1,_xlfn.XLOOKUP('Datos Instalación'!$C$8,horas_de_luz_por_provinci!$G$2:$G$53,horas_de_luz_por_provinci!$F$2:$F$53),Producción!$A8)*'Datos Instalación'!$F$16*'Rendimiento Paneles'!AE$9*_xlfn.XLOOKUP('Datos Instalación'!$C$7,Auxiliares!$B$3:$B$6,Auxiliares!$D$3:$D$6)/1000*'Datos Instalación'!$C$16</f>
        <v>20.406948852806746</v>
      </c>
      <c r="AG8" s="2">
        <f ca="1">OFFSET(horas_de_luz_por_provinci!$G$1,_xlfn.XLOOKUP('Datos Instalación'!$C$8,horas_de_luz_por_provinci!$G$2:$G$53,horas_de_luz_por_provinci!$F$2:$F$53),Producción!$A8)*'Datos Instalación'!$F$16*'Rendimiento Paneles'!AF$9*_xlfn.XLOOKUP('Datos Instalación'!$C$7,Auxiliares!$B$3:$B$6,Auxiliares!$D$3:$D$6)/1000*'Datos Instalación'!$C$16</f>
        <v>20.296751329001587</v>
      </c>
    </row>
    <row r="9" spans="1:33">
      <c r="A9" s="2">
        <v>3</v>
      </c>
      <c r="B9" s="12" t="s">
        <v>6</v>
      </c>
      <c r="C9" s="2">
        <f ca="1">OFFSET(horas_de_luz_por_provinci!$G$1,_xlfn.XLOOKUP('Datos Instalación'!$C$8,horas_de_luz_por_provinci!$G$2:$G$53,horas_de_luz_por_provinci!$F$2:$F$53),Producción!$A9)*'Datos Instalación'!$F$16*'Rendimiento Paneles'!B$9*_xlfn.XLOOKUP('Datos Instalación'!$C$7,Auxiliares!$B$3:$B$6,Auxiliares!$D$3:$D$6)/1000*'Datos Instalación'!$C$16</f>
        <v>26.665946999999999</v>
      </c>
      <c r="D9" s="2">
        <f ca="1">OFFSET(horas_de_luz_por_provinci!$G$1,_xlfn.XLOOKUP('Datos Instalación'!$C$8,horas_de_luz_por_provinci!$G$2:$G$53,horas_de_luz_por_provinci!$F$2:$F$53),Producción!$A9)*'Datos Instalación'!$F$16*'Rendimiento Paneles'!C$9*_xlfn.XLOOKUP('Datos Instalación'!$C$7,Auxiliares!$B$3:$B$6,Auxiliares!$D$3:$D$6)/1000*'Datos Instalación'!$C$16</f>
        <v>26.521950886200003</v>
      </c>
      <c r="E9" s="2">
        <f ca="1">OFFSET(horas_de_luz_por_provinci!$G$1,_xlfn.XLOOKUP('Datos Instalación'!$C$8,horas_de_luz_por_provinci!$G$2:$G$53,horas_de_luz_por_provinci!$F$2:$F$53),Producción!$A9)*'Datos Instalación'!$F$16*'Rendimiento Paneles'!D$9*_xlfn.XLOOKUP('Datos Instalación'!$C$7,Auxiliares!$B$3:$B$6,Auxiliares!$D$3:$D$6)/1000*'Datos Instalación'!$C$16</f>
        <v>26.378732351414524</v>
      </c>
      <c r="F9" s="2">
        <f ca="1">OFFSET(horas_de_luz_por_provinci!$G$1,_xlfn.XLOOKUP('Datos Instalación'!$C$8,horas_de_luz_por_provinci!$G$2:$G$53,horas_de_luz_por_provinci!$F$2:$F$53),Producción!$A9)*'Datos Instalación'!$F$16*'Rendimiento Paneles'!E$9*_xlfn.XLOOKUP('Datos Instalación'!$C$7,Auxiliares!$B$3:$B$6,Auxiliares!$D$3:$D$6)/1000*'Datos Instalación'!$C$16</f>
        <v>26.23628719671688</v>
      </c>
      <c r="G9" s="2">
        <f ca="1">OFFSET(horas_de_luz_por_provinci!$G$1,_xlfn.XLOOKUP('Datos Instalación'!$C$8,horas_de_luz_por_provinci!$G$2:$G$53,horas_de_luz_por_provinci!$F$2:$F$53),Producción!$A9)*'Datos Instalación'!$F$16*'Rendimiento Paneles'!F$9*_xlfn.XLOOKUP('Datos Instalación'!$C$7,Auxiliares!$B$3:$B$6,Auxiliares!$D$3:$D$6)/1000*'Datos Instalación'!$C$16</f>
        <v>26.094611245854608</v>
      </c>
      <c r="H9" s="2">
        <f ca="1">OFFSET(horas_de_luz_por_provinci!$G$1,_xlfn.XLOOKUP('Datos Instalación'!$C$8,horas_de_luz_por_provinci!$G$2:$G$53,horas_de_luz_por_provinci!$F$2:$F$53),Producción!$A9)*'Datos Instalación'!$F$16*'Rendimiento Paneles'!G$9*_xlfn.XLOOKUP('Datos Instalación'!$C$7,Auxiliares!$B$3:$B$6,Auxiliares!$D$3:$D$6)/1000*'Datos Instalación'!$C$16</f>
        <v>25.953700345126997</v>
      </c>
      <c r="I9" s="2">
        <f ca="1">OFFSET(horas_de_luz_por_provinci!$G$1,_xlfn.XLOOKUP('Datos Instalación'!$C$8,horas_de_luz_por_provinci!$G$2:$G$53,horas_de_luz_por_provinci!$F$2:$F$53),Producción!$A9)*'Datos Instalación'!$F$16*'Rendimiento Paneles'!H$9*_xlfn.XLOOKUP('Datos Instalación'!$C$7,Auxiliares!$B$3:$B$6,Auxiliares!$D$3:$D$6)/1000*'Datos Instalación'!$C$16</f>
        <v>25.81355036326331</v>
      </c>
      <c r="J9" s="2">
        <f ca="1">OFFSET(horas_de_luz_por_provinci!$G$1,_xlfn.XLOOKUP('Datos Instalación'!$C$8,horas_de_luz_por_provinci!$G$2:$G$53,horas_de_luz_por_provinci!$F$2:$F$53),Producción!$A9)*'Datos Instalación'!$F$16*'Rendimiento Paneles'!I$9*_xlfn.XLOOKUP('Datos Instalación'!$C$7,Auxiliares!$B$3:$B$6,Auxiliares!$D$3:$D$6)/1000*'Datos Instalación'!$C$16</f>
        <v>25.674157191301685</v>
      </c>
      <c r="K9" s="2">
        <f ca="1">OFFSET(horas_de_luz_por_provinci!$G$1,_xlfn.XLOOKUP('Datos Instalación'!$C$8,horas_de_luz_por_provinci!$G$2:$G$53,horas_de_luz_por_provinci!$F$2:$F$53),Producción!$A9)*'Datos Instalación'!$F$16*'Rendimiento Paneles'!J$9*_xlfn.XLOOKUP('Datos Instalación'!$C$7,Auxiliares!$B$3:$B$6,Auxiliares!$D$3:$D$6)/1000*'Datos Instalación'!$C$16</f>
        <v>25.535516742468658</v>
      </c>
      <c r="L9" s="2">
        <f ca="1">OFFSET(horas_de_luz_por_provinci!$G$1,_xlfn.XLOOKUP('Datos Instalación'!$C$8,horas_de_luz_por_provinci!$G$2:$G$53,horas_de_luz_por_provinci!$F$2:$F$53),Producción!$A9)*'Datos Instalación'!$F$16*'Rendimiento Paneles'!K$9*_xlfn.XLOOKUP('Datos Instalación'!$C$7,Auxiliares!$B$3:$B$6,Auxiliares!$D$3:$D$6)/1000*'Datos Instalación'!$C$16</f>
        <v>25.397624952059328</v>
      </c>
      <c r="M9" s="2">
        <f ca="1">OFFSET(horas_de_luz_por_provinci!$G$1,_xlfn.XLOOKUP('Datos Instalación'!$C$8,horas_de_luz_por_provinci!$G$2:$G$53,horas_de_luz_por_provinci!$F$2:$F$53),Producción!$A9)*'Datos Instalación'!$F$16*'Rendimiento Paneles'!L$9*_xlfn.XLOOKUP('Datos Instalación'!$C$7,Auxiliares!$B$3:$B$6,Auxiliares!$D$3:$D$6)/1000*'Datos Instalación'!$C$16</f>
        <v>25.260477777318211</v>
      </c>
      <c r="N9" s="2">
        <f ca="1">OFFSET(horas_de_luz_por_provinci!$G$1,_xlfn.XLOOKUP('Datos Instalación'!$C$8,horas_de_luz_por_provinci!$G$2:$G$53,horas_de_luz_por_provinci!$F$2:$F$53),Producción!$A9)*'Datos Instalación'!$F$16*'Rendimiento Paneles'!M$9*_xlfn.XLOOKUP('Datos Instalación'!$C$7,Auxiliares!$B$3:$B$6,Auxiliares!$D$3:$D$6)/1000*'Datos Instalación'!$C$16</f>
        <v>25.124071197320688</v>
      </c>
      <c r="O9" s="2">
        <f ca="1">OFFSET(horas_de_luz_por_provinci!$G$1,_xlfn.XLOOKUP('Datos Instalación'!$C$8,horas_de_luz_por_provinci!$G$2:$G$53,horas_de_luz_por_provinci!$F$2:$F$53),Producción!$A9)*'Datos Instalación'!$F$16*'Rendimiento Paneles'!N$9*_xlfn.XLOOKUP('Datos Instalación'!$C$7,Auxiliares!$B$3:$B$6,Auxiliares!$D$3:$D$6)/1000*'Datos Instalación'!$C$16</f>
        <v>24.988401212855159</v>
      </c>
      <c r="P9" s="2">
        <f ca="1">OFFSET(horas_de_luz_por_provinci!$G$1,_xlfn.XLOOKUP('Datos Instalación'!$C$8,horas_de_luz_por_provinci!$G$2:$G$53,horas_de_luz_por_provinci!$F$2:$F$53),Producción!$A9)*'Datos Instalación'!$F$16*'Rendimiento Paneles'!O$9*_xlfn.XLOOKUP('Datos Instalación'!$C$7,Auxiliares!$B$3:$B$6,Auxiliares!$D$3:$D$6)/1000*'Datos Instalación'!$C$16</f>
        <v>24.85346384630574</v>
      </c>
      <c r="Q9" s="2">
        <f ca="1">OFFSET(horas_de_luz_por_provinci!$G$1,_xlfn.XLOOKUP('Datos Instalación'!$C$8,horas_de_luz_por_provinci!$G$2:$G$53,horas_de_luz_por_provinci!$F$2:$F$53),Producción!$A9)*'Datos Instalación'!$F$16*'Rendimiento Paneles'!P$9*_xlfn.XLOOKUP('Datos Instalación'!$C$7,Auxiliares!$B$3:$B$6,Auxiliares!$D$3:$D$6)/1000*'Datos Instalación'!$C$16</f>
        <v>24.71925514153569</v>
      </c>
      <c r="R9" s="2">
        <f ca="1">OFFSET(horas_de_luz_por_provinci!$G$1,_xlfn.XLOOKUP('Datos Instalación'!$C$8,horas_de_luz_por_provinci!$G$2:$G$53,horas_de_luz_por_provinci!$F$2:$F$53),Producción!$A9)*'Datos Instalación'!$F$16*'Rendimiento Paneles'!Q$9*_xlfn.XLOOKUP('Datos Instalación'!$C$7,Auxiliares!$B$3:$B$6,Auxiliares!$D$3:$D$6)/1000*'Datos Instalación'!$C$16</f>
        <v>24.585771163771398</v>
      </c>
      <c r="S9" s="2">
        <f ca="1">OFFSET(horas_de_luz_por_provinci!$G$1,_xlfn.XLOOKUP('Datos Instalación'!$C$8,horas_de_luz_por_provinci!$G$2:$G$53,horas_de_luz_por_provinci!$F$2:$F$53),Producción!$A9)*'Datos Instalación'!$F$16*'Rendimiento Paneles'!R$9*_xlfn.XLOOKUP('Datos Instalación'!$C$7,Auxiliares!$B$3:$B$6,Auxiliares!$D$3:$D$6)/1000*'Datos Instalación'!$C$16</f>
        <v>24.453007999487031</v>
      </c>
      <c r="T9" s="2">
        <f ca="1">OFFSET(horas_de_luz_por_provinci!$G$1,_xlfn.XLOOKUP('Datos Instalación'!$C$8,horas_de_luz_por_provinci!$G$2:$G$53,horas_de_luz_por_provinci!$F$2:$F$53),Producción!$A9)*'Datos Instalación'!$F$16*'Rendimiento Paneles'!S$9*_xlfn.XLOOKUP('Datos Instalación'!$C$7,Auxiliares!$B$3:$B$6,Auxiliares!$D$3:$D$6)/1000*'Datos Instalación'!$C$16</f>
        <v>24.320961756289801</v>
      </c>
      <c r="U9" s="2">
        <f ca="1">OFFSET(horas_de_luz_por_provinci!$G$1,_xlfn.XLOOKUP('Datos Instalación'!$C$8,horas_de_luz_por_provinci!$G$2:$G$53,horas_de_luz_por_provinci!$F$2:$F$53),Producción!$A9)*'Datos Instalación'!$F$16*'Rendimiento Paneles'!T$9*_xlfn.XLOOKUP('Datos Instalación'!$C$7,Auxiliares!$B$3:$B$6,Auxiliares!$D$3:$D$6)/1000*'Datos Instalación'!$C$16</f>
        <v>24.189628562805837</v>
      </c>
      <c r="V9" s="2">
        <f ca="1">OFFSET(horas_de_luz_por_provinci!$G$1,_xlfn.XLOOKUP('Datos Instalación'!$C$8,horas_de_luz_por_provinci!$G$2:$G$53,horas_de_luz_por_provinci!$F$2:$F$53),Producción!$A9)*'Datos Instalación'!$F$16*'Rendimiento Paneles'!U$9*_xlfn.XLOOKUP('Datos Instalación'!$C$7,Auxiliares!$B$3:$B$6,Auxiliares!$D$3:$D$6)/1000*'Datos Instalación'!$C$16</f>
        <v>24.059004568566685</v>
      </c>
      <c r="W9" s="2">
        <f ca="1">OFFSET(horas_de_luz_por_provinci!$G$1,_xlfn.XLOOKUP('Datos Instalación'!$C$8,horas_de_luz_por_provinci!$G$2:$G$53,horas_de_luz_por_provinci!$F$2:$F$53),Producción!$A9)*'Datos Instalación'!$F$16*'Rendimiento Paneles'!V$9*_xlfn.XLOOKUP('Datos Instalación'!$C$7,Auxiliares!$B$3:$B$6,Auxiliares!$D$3:$D$6)/1000*'Datos Instalación'!$C$16</f>
        <v>23.929085943896428</v>
      </c>
      <c r="X9" s="2">
        <f ca="1">OFFSET(horas_de_luz_por_provinci!$G$1,_xlfn.XLOOKUP('Datos Instalación'!$C$8,horas_de_luz_por_provinci!$G$2:$G$53,horas_de_luz_por_provinci!$F$2:$F$53),Producción!$A9)*'Datos Instalación'!$F$16*'Rendimiento Paneles'!W$9*_xlfn.XLOOKUP('Datos Instalación'!$C$7,Auxiliares!$B$3:$B$6,Auxiliares!$D$3:$D$6)/1000*'Datos Instalación'!$C$16</f>
        <v>23.799868879799387</v>
      </c>
      <c r="Y9" s="2">
        <f ca="1">OFFSET(horas_de_luz_por_provinci!$G$1,_xlfn.XLOOKUP('Datos Instalación'!$C$8,horas_de_luz_por_provinci!$G$2:$G$53,horas_de_luz_por_provinci!$F$2:$F$53),Producción!$A9)*'Datos Instalación'!$F$16*'Rendimiento Paneles'!X$9*_xlfn.XLOOKUP('Datos Instalación'!$C$7,Auxiliares!$B$3:$B$6,Auxiliares!$D$3:$D$6)/1000*'Datos Instalación'!$C$16</f>
        <v>23.671349587848464</v>
      </c>
      <c r="Z9" s="2">
        <f ca="1">OFFSET(horas_de_luz_por_provinci!$G$1,_xlfn.XLOOKUP('Datos Instalación'!$C$8,horas_de_luz_por_provinci!$G$2:$G$53,horas_de_luz_por_provinci!$F$2:$F$53),Producción!$A9)*'Datos Instalación'!$F$16*'Rendimiento Paneles'!Y$9*_xlfn.XLOOKUP('Datos Instalación'!$C$7,Auxiliares!$B$3:$B$6,Auxiliares!$D$3:$D$6)/1000*'Datos Instalación'!$C$16</f>
        <v>23.543524300074086</v>
      </c>
      <c r="AA9" s="2">
        <f ca="1">OFFSET(horas_de_luz_por_provinci!$G$1,_xlfn.XLOOKUP('Datos Instalación'!$C$8,horas_de_luz_por_provinci!$G$2:$G$53,horas_de_luz_por_provinci!$F$2:$F$53),Producción!$A9)*'Datos Instalación'!$F$16*'Rendimiento Paneles'!Z$9*_xlfn.XLOOKUP('Datos Instalación'!$C$7,Auxiliares!$B$3:$B$6,Auxiliares!$D$3:$D$6)/1000*'Datos Instalación'!$C$16</f>
        <v>23.416389268853688</v>
      </c>
      <c r="AB9" s="2">
        <f ca="1">OFFSET(horas_de_luz_por_provinci!$G$1,_xlfn.XLOOKUP('Datos Instalación'!$C$8,horas_de_luz_por_provinci!$G$2:$G$53,horas_de_luz_por_provinci!$F$2:$F$53),Producción!$A9)*'Datos Instalación'!$F$16*'Rendimiento Paneles'!AA$9*_xlfn.XLOOKUP('Datos Instalación'!$C$7,Auxiliares!$B$3:$B$6,Auxiliares!$D$3:$D$6)/1000*'Datos Instalación'!$C$16</f>
        <v>23.289940766801873</v>
      </c>
      <c r="AC9" s="2">
        <f ca="1">OFFSET(horas_de_luz_por_provinci!$G$1,_xlfn.XLOOKUP('Datos Instalación'!$C$8,horas_de_luz_por_provinci!$G$2:$G$53,horas_de_luz_por_provinci!$F$2:$F$53),Producción!$A9)*'Datos Instalación'!$F$16*'Rendimiento Paneles'!AB$9*_xlfn.XLOOKUP('Datos Instalación'!$C$7,Auxiliares!$B$3:$B$6,Auxiliares!$D$3:$D$6)/1000*'Datos Instalación'!$C$16</f>
        <v>23.164175086661142</v>
      </c>
      <c r="AD9" s="2">
        <f ca="1">OFFSET(horas_de_luz_por_provinci!$G$1,_xlfn.XLOOKUP('Datos Instalación'!$C$8,horas_de_luz_por_provinci!$G$2:$G$53,horas_de_luz_por_provinci!$F$2:$F$53),Producción!$A9)*'Datos Instalación'!$F$16*'Rendimiento Paneles'!AC$9*_xlfn.XLOOKUP('Datos Instalación'!$C$7,Auxiliares!$B$3:$B$6,Auxiliares!$D$3:$D$6)/1000*'Datos Instalación'!$C$16</f>
        <v>23.039088541193173</v>
      </c>
      <c r="AE9" s="2">
        <f ca="1">OFFSET(horas_de_luz_por_provinci!$G$1,_xlfn.XLOOKUP('Datos Instalación'!$C$8,horas_de_luz_por_provinci!$G$2:$G$53,horas_de_luz_por_provinci!$F$2:$F$53),Producción!$A9)*'Datos Instalación'!$F$16*'Rendimiento Paneles'!AD$9*_xlfn.XLOOKUP('Datos Instalación'!$C$7,Auxiliares!$B$3:$B$6,Auxiliares!$D$3:$D$6)/1000*'Datos Instalación'!$C$16</f>
        <v>22.914677463070728</v>
      </c>
      <c r="AF9" s="2">
        <f ca="1">OFFSET(horas_de_luz_por_provinci!$G$1,_xlfn.XLOOKUP('Datos Instalación'!$C$8,horas_de_luz_por_provinci!$G$2:$G$53,horas_de_luz_por_provinci!$F$2:$F$53),Producción!$A9)*'Datos Instalación'!$F$16*'Rendimiento Paneles'!AE$9*_xlfn.XLOOKUP('Datos Instalación'!$C$7,Auxiliares!$B$3:$B$6,Auxiliares!$D$3:$D$6)/1000*'Datos Instalación'!$C$16</f>
        <v>22.79093820477015</v>
      </c>
      <c r="AG9" s="2">
        <f ca="1">OFFSET(horas_de_luz_por_provinci!$G$1,_xlfn.XLOOKUP('Datos Instalación'!$C$8,horas_de_luz_por_provinci!$G$2:$G$53,horas_de_luz_por_provinci!$F$2:$F$53),Producción!$A9)*'Datos Instalación'!$F$16*'Rendimiento Paneles'!AF$9*_xlfn.XLOOKUP('Datos Instalación'!$C$7,Auxiliares!$B$3:$B$6,Auxiliares!$D$3:$D$6)/1000*'Datos Instalación'!$C$16</f>
        <v>22.667867138464388</v>
      </c>
    </row>
    <row r="10" spans="1:33">
      <c r="A10" s="2">
        <v>4</v>
      </c>
      <c r="B10" s="12" t="s">
        <v>7</v>
      </c>
      <c r="C10" s="2">
        <f ca="1">OFFSET(horas_de_luz_por_provinci!$G$1,_xlfn.XLOOKUP('Datos Instalación'!$C$8,horas_de_luz_por_provinci!$G$2:$G$53,horas_de_luz_por_provinci!$F$2:$F$53),Producción!$A10)*'Datos Instalación'!$F$16*'Rendimiento Paneles'!B$9*_xlfn.XLOOKUP('Datos Instalación'!$C$7,Auxiliares!$B$3:$B$6,Auxiliares!$D$3:$D$6)/1000*'Datos Instalación'!$C$16</f>
        <v>29.589159599999995</v>
      </c>
      <c r="D10" s="2">
        <f ca="1">OFFSET(horas_de_luz_por_provinci!$G$1,_xlfn.XLOOKUP('Datos Instalación'!$C$8,horas_de_luz_por_provinci!$G$2:$G$53,horas_de_luz_por_provinci!$F$2:$F$53),Producción!$A10)*'Datos Instalación'!$F$16*'Rendimiento Paneles'!C$9*_xlfn.XLOOKUP('Datos Instalación'!$C$7,Auxiliares!$B$3:$B$6,Auxiliares!$D$3:$D$6)/1000*'Datos Instalación'!$C$16</f>
        <v>29.429378138159993</v>
      </c>
      <c r="E10" s="2">
        <f ca="1">OFFSET(horas_de_luz_por_provinci!$G$1,_xlfn.XLOOKUP('Datos Instalación'!$C$8,horas_de_luz_por_provinci!$G$2:$G$53,horas_de_luz_por_provinci!$F$2:$F$53),Producción!$A10)*'Datos Instalación'!$F$16*'Rendimiento Paneles'!D$9*_xlfn.XLOOKUP('Datos Instalación'!$C$7,Auxiliares!$B$3:$B$6,Auxiliares!$D$3:$D$6)/1000*'Datos Instalación'!$C$16</f>
        <v>29.270459496213935</v>
      </c>
      <c r="F10" s="2">
        <f ca="1">OFFSET(horas_de_luz_por_provinci!$G$1,_xlfn.XLOOKUP('Datos Instalación'!$C$8,horas_de_luz_por_provinci!$G$2:$G$53,horas_de_luz_por_provinci!$F$2:$F$53),Producción!$A10)*'Datos Instalación'!$F$16*'Rendimiento Paneles'!E$9*_xlfn.XLOOKUP('Datos Instalación'!$C$7,Auxiliares!$B$3:$B$6,Auxiliares!$D$3:$D$6)/1000*'Datos Instalación'!$C$16</f>
        <v>29.112399014934383</v>
      </c>
      <c r="G10" s="2">
        <f ca="1">OFFSET(horas_de_luz_por_provinci!$G$1,_xlfn.XLOOKUP('Datos Instalación'!$C$8,horas_de_luz_por_provinci!$G$2:$G$53,horas_de_luz_por_provinci!$F$2:$F$53),Producción!$A10)*'Datos Instalación'!$F$16*'Rendimiento Paneles'!F$9*_xlfn.XLOOKUP('Datos Instalación'!$C$7,Auxiliares!$B$3:$B$6,Auxiliares!$D$3:$D$6)/1000*'Datos Instalación'!$C$16</f>
        <v>28.955192060253733</v>
      </c>
      <c r="H10" s="2">
        <f ca="1">OFFSET(horas_de_luz_por_provinci!$G$1,_xlfn.XLOOKUP('Datos Instalación'!$C$8,horas_de_luz_por_provinci!$G$2:$G$53,horas_de_luz_por_provinci!$F$2:$F$53),Producción!$A10)*'Datos Instalación'!$F$16*'Rendimiento Paneles'!G$9*_xlfn.XLOOKUP('Datos Instalación'!$C$7,Auxiliares!$B$3:$B$6,Auxiliares!$D$3:$D$6)/1000*'Datos Instalación'!$C$16</f>
        <v>28.798834023128361</v>
      </c>
      <c r="I10" s="2">
        <f ca="1">OFFSET(horas_de_luz_por_provinci!$G$1,_xlfn.XLOOKUP('Datos Instalación'!$C$8,horas_de_luz_por_provinci!$G$2:$G$53,horas_de_luz_por_provinci!$F$2:$F$53),Producción!$A10)*'Datos Instalación'!$F$16*'Rendimiento Paneles'!H$9*_xlfn.XLOOKUP('Datos Instalación'!$C$7,Auxiliares!$B$3:$B$6,Auxiliares!$D$3:$D$6)/1000*'Datos Instalación'!$C$16</f>
        <v>28.643320319403468</v>
      </c>
      <c r="J10" s="2">
        <f ca="1">OFFSET(horas_de_luz_por_provinci!$G$1,_xlfn.XLOOKUP('Datos Instalación'!$C$8,horas_de_luz_por_provinci!$G$2:$G$53,horas_de_luz_por_provinci!$F$2:$F$53),Producción!$A10)*'Datos Instalación'!$F$16*'Rendimiento Paneles'!I$9*_xlfn.XLOOKUP('Datos Instalación'!$C$7,Auxiliares!$B$3:$B$6,Auxiliares!$D$3:$D$6)/1000*'Datos Instalación'!$C$16</f>
        <v>28.488646389678696</v>
      </c>
      <c r="K10" s="2">
        <f ca="1">OFFSET(horas_de_luz_por_provinci!$G$1,_xlfn.XLOOKUP('Datos Instalación'!$C$8,horas_de_luz_por_provinci!$G$2:$G$53,horas_de_luz_por_provinci!$F$2:$F$53),Producción!$A10)*'Datos Instalación'!$F$16*'Rendimiento Paneles'!J$9*_xlfn.XLOOKUP('Datos Instalación'!$C$7,Auxiliares!$B$3:$B$6,Auxiliares!$D$3:$D$6)/1000*'Datos Instalación'!$C$16</f>
        <v>28.334807699174434</v>
      </c>
      <c r="L10" s="2">
        <f ca="1">OFFSET(horas_de_luz_por_provinci!$G$1,_xlfn.XLOOKUP('Datos Instalación'!$C$8,horas_de_luz_por_provinci!$G$2:$G$53,horas_de_luz_por_provinci!$F$2:$F$53),Producción!$A10)*'Datos Instalación'!$F$16*'Rendimiento Paneles'!K$9*_xlfn.XLOOKUP('Datos Instalación'!$C$7,Auxiliares!$B$3:$B$6,Auxiliares!$D$3:$D$6)/1000*'Datos Instalación'!$C$16</f>
        <v>28.181799737598887</v>
      </c>
      <c r="M10" s="2">
        <f ca="1">OFFSET(horas_de_luz_por_provinci!$G$1,_xlfn.XLOOKUP('Datos Instalación'!$C$8,horas_de_luz_por_provinci!$G$2:$G$53,horas_de_luz_por_provinci!$F$2:$F$53),Producción!$A10)*'Datos Instalación'!$F$16*'Rendimiento Paneles'!L$9*_xlfn.XLOOKUP('Datos Instalación'!$C$7,Auxiliares!$B$3:$B$6,Auxiliares!$D$3:$D$6)/1000*'Datos Instalación'!$C$16</f>
        <v>28.029618019015849</v>
      </c>
      <c r="N10" s="2">
        <f ca="1">OFFSET(horas_de_luz_por_provinci!$G$1,_xlfn.XLOOKUP('Datos Instalación'!$C$8,horas_de_luz_por_provinci!$G$2:$G$53,horas_de_luz_por_provinci!$F$2:$F$53),Producción!$A10)*'Datos Instalación'!$F$16*'Rendimiento Paneles'!M$9*_xlfn.XLOOKUP('Datos Instalación'!$C$7,Auxiliares!$B$3:$B$6,Auxiliares!$D$3:$D$6)/1000*'Datos Instalación'!$C$16</f>
        <v>27.878258081713163</v>
      </c>
      <c r="O10" s="2">
        <f ca="1">OFFSET(horas_de_luz_por_provinci!$G$1,_xlfn.XLOOKUP('Datos Instalación'!$C$8,horas_de_luz_por_provinci!$G$2:$G$53,horas_de_luz_por_provinci!$F$2:$F$53),Producción!$A10)*'Datos Instalación'!$F$16*'Rendimiento Paneles'!N$9*_xlfn.XLOOKUP('Datos Instalación'!$C$7,Auxiliares!$B$3:$B$6,Auxiliares!$D$3:$D$6)/1000*'Datos Instalación'!$C$16</f>
        <v>27.727715488071915</v>
      </c>
      <c r="P10" s="2">
        <f ca="1">OFFSET(horas_de_luz_por_provinci!$G$1,_xlfn.XLOOKUP('Datos Instalación'!$C$8,horas_de_luz_por_provinci!$G$2:$G$53,horas_de_luz_por_provinci!$F$2:$F$53),Producción!$A10)*'Datos Instalación'!$F$16*'Rendimiento Paneles'!O$9*_xlfn.XLOOKUP('Datos Instalación'!$C$7,Auxiliares!$B$3:$B$6,Auxiliares!$D$3:$D$6)/1000*'Datos Instalación'!$C$16</f>
        <v>27.577985824436325</v>
      </c>
      <c r="Q10" s="2">
        <f ca="1">OFFSET(horas_de_luz_por_provinci!$G$1,_xlfn.XLOOKUP('Datos Instalación'!$C$8,horas_de_luz_por_provinci!$G$2:$G$53,horas_de_luz_por_provinci!$F$2:$F$53),Producción!$A10)*'Datos Instalación'!$F$16*'Rendimiento Paneles'!P$9*_xlfn.XLOOKUP('Datos Instalación'!$C$7,Auxiliares!$B$3:$B$6,Auxiliares!$D$3:$D$6)/1000*'Datos Instalación'!$C$16</f>
        <v>27.42906470098437</v>
      </c>
      <c r="R10" s="2">
        <f ca="1">OFFSET(horas_de_luz_por_provinci!$G$1,_xlfn.XLOOKUP('Datos Instalación'!$C$8,horas_de_luz_por_provinci!$G$2:$G$53,horas_de_luz_por_provinci!$F$2:$F$53),Producción!$A10)*'Datos Instalación'!$F$16*'Rendimiento Paneles'!Q$9*_xlfn.XLOOKUP('Datos Instalación'!$C$7,Auxiliares!$B$3:$B$6,Auxiliares!$D$3:$D$6)/1000*'Datos Instalación'!$C$16</f>
        <v>27.280947751599054</v>
      </c>
      <c r="S10" s="2">
        <f ca="1">OFFSET(horas_de_luz_por_provinci!$G$1,_xlfn.XLOOKUP('Datos Instalación'!$C$8,horas_de_luz_por_provinci!$G$2:$G$53,horas_de_luz_por_provinci!$F$2:$F$53),Producción!$A10)*'Datos Instalación'!$F$16*'Rendimiento Paneles'!R$9*_xlfn.XLOOKUP('Datos Instalación'!$C$7,Auxiliares!$B$3:$B$6,Auxiliares!$D$3:$D$6)/1000*'Datos Instalación'!$C$16</f>
        <v>27.133630633740417</v>
      </c>
      <c r="T10" s="2">
        <f ca="1">OFFSET(horas_de_luz_por_provinci!$G$1,_xlfn.XLOOKUP('Datos Instalación'!$C$8,horas_de_luz_por_provinci!$G$2:$G$53,horas_de_luz_por_provinci!$F$2:$F$53),Producción!$A10)*'Datos Instalación'!$F$16*'Rendimiento Paneles'!S$9*_xlfn.XLOOKUP('Datos Instalación'!$C$7,Auxiliares!$B$3:$B$6,Auxiliares!$D$3:$D$6)/1000*'Datos Instalación'!$C$16</f>
        <v>26.987109028318219</v>
      </c>
      <c r="U10" s="2">
        <f ca="1">OFFSET(horas_de_luz_por_provinci!$G$1,_xlfn.XLOOKUP('Datos Instalación'!$C$8,horas_de_luz_por_provinci!$G$2:$G$53,horas_de_luz_por_provinci!$F$2:$F$53),Producción!$A10)*'Datos Instalación'!$F$16*'Rendimiento Paneles'!T$9*_xlfn.XLOOKUP('Datos Instalación'!$C$7,Auxiliares!$B$3:$B$6,Auxiliares!$D$3:$D$6)/1000*'Datos Instalación'!$C$16</f>
        <v>26.841378639565306</v>
      </c>
      <c r="V10" s="2">
        <f ca="1">OFFSET(horas_de_luz_por_provinci!$G$1,_xlfn.XLOOKUP('Datos Instalación'!$C$8,horas_de_luz_por_provinci!$G$2:$G$53,horas_de_luz_por_provinci!$F$2:$F$53),Producción!$A10)*'Datos Instalación'!$F$16*'Rendimiento Paneles'!U$9*_xlfn.XLOOKUP('Datos Instalación'!$C$7,Auxiliares!$B$3:$B$6,Auxiliares!$D$3:$D$6)/1000*'Datos Instalación'!$C$16</f>
        <v>26.696435194911651</v>
      </c>
      <c r="W10" s="2">
        <f ca="1">OFFSET(horas_de_luz_por_provinci!$G$1,_xlfn.XLOOKUP('Datos Instalación'!$C$8,horas_de_luz_por_provinci!$G$2:$G$53,horas_de_luz_por_provinci!$F$2:$F$53),Producción!$A10)*'Datos Instalación'!$F$16*'Rendimiento Paneles'!V$9*_xlfn.XLOOKUP('Datos Instalación'!$C$7,Auxiliares!$B$3:$B$6,Auxiliares!$D$3:$D$6)/1000*'Datos Instalación'!$C$16</f>
        <v>26.552274444859126</v>
      </c>
      <c r="X10" s="2">
        <f ca="1">OFFSET(horas_de_luz_por_provinci!$G$1,_xlfn.XLOOKUP('Datos Instalación'!$C$8,horas_de_luz_por_provinci!$G$2:$G$53,horas_de_luz_por_provinci!$F$2:$F$53),Producción!$A10)*'Datos Instalación'!$F$16*'Rendimiento Paneles'!W$9*_xlfn.XLOOKUP('Datos Instalación'!$C$7,Auxiliares!$B$3:$B$6,Auxiliares!$D$3:$D$6)/1000*'Datos Instalación'!$C$16</f>
        <v>26.40889216285689</v>
      </c>
      <c r="Y10" s="2">
        <f ca="1">OFFSET(horas_de_luz_por_provinci!$G$1,_xlfn.XLOOKUP('Datos Instalación'!$C$8,horas_de_luz_por_provinci!$G$2:$G$53,horas_de_luz_por_provinci!$F$2:$F$53),Producción!$A10)*'Datos Instalación'!$F$16*'Rendimiento Paneles'!X$9*_xlfn.XLOOKUP('Datos Instalación'!$C$7,Auxiliares!$B$3:$B$6,Auxiliares!$D$3:$D$6)/1000*'Datos Instalación'!$C$16</f>
        <v>26.266284145177465</v>
      </c>
      <c r="Z10" s="2">
        <f ca="1">OFFSET(horas_de_luz_por_provinci!$G$1,_xlfn.XLOOKUP('Datos Instalación'!$C$8,horas_de_luz_por_provinci!$G$2:$G$53,horas_de_luz_por_provinci!$F$2:$F$53),Producción!$A10)*'Datos Instalación'!$F$16*'Rendimiento Paneles'!Y$9*_xlfn.XLOOKUP('Datos Instalación'!$C$7,Auxiliares!$B$3:$B$6,Auxiliares!$D$3:$D$6)/1000*'Datos Instalación'!$C$16</f>
        <v>26.124446210793504</v>
      </c>
      <c r="AA10" s="2">
        <f ca="1">OFFSET(horas_de_luz_por_provinci!$G$1,_xlfn.XLOOKUP('Datos Instalación'!$C$8,horas_de_luz_por_provinci!$G$2:$G$53,horas_de_luz_por_provinci!$F$2:$F$53),Producción!$A10)*'Datos Instalación'!$F$16*'Rendimiento Paneles'!Z$9*_xlfn.XLOOKUP('Datos Instalación'!$C$7,Auxiliares!$B$3:$B$6,Auxiliares!$D$3:$D$6)/1000*'Datos Instalación'!$C$16</f>
        <v>25.983374201255216</v>
      </c>
      <c r="AB10" s="2">
        <f ca="1">OFFSET(horas_de_luz_por_provinci!$G$1,_xlfn.XLOOKUP('Datos Instalación'!$C$8,horas_de_luz_por_provinci!$G$2:$G$53,horas_de_luz_por_provinci!$F$2:$F$53),Producción!$A10)*'Datos Instalación'!$F$16*'Rendimiento Paneles'!AA$9*_xlfn.XLOOKUP('Datos Instalación'!$C$7,Auxiliares!$B$3:$B$6,Auxiliares!$D$3:$D$6)/1000*'Datos Instalación'!$C$16</f>
        <v>25.843063980568438</v>
      </c>
      <c r="AC10" s="2">
        <f ca="1">OFFSET(horas_de_luz_por_provinci!$G$1,_xlfn.XLOOKUP('Datos Instalación'!$C$8,horas_de_luz_por_provinci!$G$2:$G$53,horas_de_luz_por_provinci!$F$2:$F$53),Producción!$A10)*'Datos Instalación'!$F$16*'Rendimiento Paneles'!AB$9*_xlfn.XLOOKUP('Datos Instalación'!$C$7,Auxiliares!$B$3:$B$6,Auxiliares!$D$3:$D$6)/1000*'Datos Instalación'!$C$16</f>
        <v>25.703511435073366</v>
      </c>
      <c r="AD10" s="2">
        <f ca="1">OFFSET(horas_de_luz_por_provinci!$G$1,_xlfn.XLOOKUP('Datos Instalación'!$C$8,horas_de_luz_por_provinci!$G$2:$G$53,horas_de_luz_por_provinci!$F$2:$F$53),Producción!$A10)*'Datos Instalación'!$F$16*'Rendimiento Paneles'!AC$9*_xlfn.XLOOKUP('Datos Instalación'!$C$7,Auxiliares!$B$3:$B$6,Auxiliares!$D$3:$D$6)/1000*'Datos Instalación'!$C$16</f>
        <v>25.564712473323969</v>
      </c>
      <c r="AE10" s="2">
        <f ca="1">OFFSET(horas_de_luz_por_provinci!$G$1,_xlfn.XLOOKUP('Datos Instalación'!$C$8,horas_de_luz_por_provinci!$G$2:$G$53,horas_de_luz_por_provinci!$F$2:$F$53),Producción!$A10)*'Datos Instalación'!$F$16*'Rendimiento Paneles'!AD$9*_xlfn.XLOOKUP('Datos Instalación'!$C$7,Auxiliares!$B$3:$B$6,Auxiliares!$D$3:$D$6)/1000*'Datos Instalación'!$C$16</f>
        <v>25.426663025968022</v>
      </c>
      <c r="AF10" s="2">
        <f ca="1">OFFSET(horas_de_luz_por_provinci!$G$1,_xlfn.XLOOKUP('Datos Instalación'!$C$8,horas_de_luz_por_provinci!$G$2:$G$53,horas_de_luz_por_provinci!$F$2:$F$53),Producción!$A10)*'Datos Instalación'!$F$16*'Rendimiento Paneles'!AE$9*_xlfn.XLOOKUP('Datos Instalación'!$C$7,Auxiliares!$B$3:$B$6,Auxiliares!$D$3:$D$6)/1000*'Datos Instalación'!$C$16</f>
        <v>25.289359045627794</v>
      </c>
      <c r="AG10" s="2">
        <f ca="1">OFFSET(horas_de_luz_por_provinci!$G$1,_xlfn.XLOOKUP('Datos Instalación'!$C$8,horas_de_luz_por_provinci!$G$2:$G$53,horas_de_luz_por_provinci!$F$2:$F$53),Producción!$A10)*'Datos Instalación'!$F$16*'Rendimiento Paneles'!AF$9*_xlfn.XLOOKUP('Datos Instalación'!$C$7,Auxiliares!$B$3:$B$6,Auxiliares!$D$3:$D$6)/1000*'Datos Instalación'!$C$16</f>
        <v>25.152796506781403</v>
      </c>
    </row>
    <row r="11" spans="1:33">
      <c r="A11" s="2">
        <v>5</v>
      </c>
      <c r="B11" s="12" t="s">
        <v>8</v>
      </c>
      <c r="C11" s="2">
        <f ca="1">OFFSET(horas_de_luz_por_provinci!$G$1,_xlfn.XLOOKUP('Datos Instalación'!$C$8,horas_de_luz_por_provinci!$G$2:$G$53,horas_de_luz_por_provinci!$F$2:$F$53),Producción!$A11)*'Datos Instalación'!$F$16*'Rendimiento Paneles'!B$9*_xlfn.XLOOKUP('Datos Instalación'!$C$7,Auxiliares!$B$3:$B$6,Auxiliares!$D$3:$D$6)/1000*'Datos Instalación'!$C$16</f>
        <v>32.088394800000003</v>
      </c>
      <c r="D11" s="2">
        <f ca="1">OFFSET(horas_de_luz_por_provinci!$G$1,_xlfn.XLOOKUP('Datos Instalación'!$C$8,horas_de_luz_por_provinci!$G$2:$G$53,horas_de_luz_por_provinci!$F$2:$F$53),Producción!$A11)*'Datos Instalación'!$F$16*'Rendimiento Paneles'!C$9*_xlfn.XLOOKUP('Datos Instalación'!$C$7,Auxiliares!$B$3:$B$6,Auxiliares!$D$3:$D$6)/1000*'Datos Instalación'!$C$16</f>
        <v>31.915117468080005</v>
      </c>
      <c r="E11" s="2">
        <f ca="1">OFFSET(horas_de_luz_por_provinci!$G$1,_xlfn.XLOOKUP('Datos Instalación'!$C$8,horas_de_luz_por_provinci!$G$2:$G$53,horas_de_luz_por_provinci!$F$2:$F$53),Producción!$A11)*'Datos Instalación'!$F$16*'Rendimiento Paneles'!D$9*_xlfn.XLOOKUP('Datos Instalación'!$C$7,Auxiliares!$B$3:$B$6,Auxiliares!$D$3:$D$6)/1000*'Datos Instalación'!$C$16</f>
        <v>31.742775833752372</v>
      </c>
      <c r="F11" s="2">
        <f ca="1">OFFSET(horas_de_luz_por_provinci!$G$1,_xlfn.XLOOKUP('Datos Instalación'!$C$8,horas_de_luz_por_provinci!$G$2:$G$53,horas_de_luz_por_provinci!$F$2:$F$53),Producción!$A11)*'Datos Instalación'!$F$16*'Rendimiento Paneles'!E$9*_xlfn.XLOOKUP('Datos Instalación'!$C$7,Auxiliares!$B$3:$B$6,Auxiliares!$D$3:$D$6)/1000*'Datos Instalación'!$C$16</f>
        <v>31.571364844250105</v>
      </c>
      <c r="G11" s="2">
        <f ca="1">OFFSET(horas_de_luz_por_provinci!$G$1,_xlfn.XLOOKUP('Datos Instalación'!$C$8,horas_de_luz_por_provinci!$G$2:$G$53,horas_de_luz_por_provinci!$F$2:$F$53),Producción!$A11)*'Datos Instalación'!$F$16*'Rendimiento Paneles'!F$9*_xlfn.XLOOKUP('Datos Instalación'!$C$7,Auxiliares!$B$3:$B$6,Auxiliares!$D$3:$D$6)/1000*'Datos Instalación'!$C$16</f>
        <v>31.400879474091163</v>
      </c>
      <c r="H11" s="2">
        <f ca="1">OFFSET(horas_de_luz_por_provinci!$G$1,_xlfn.XLOOKUP('Datos Instalación'!$C$8,horas_de_luz_por_provinci!$G$2:$G$53,horas_de_luz_por_provinci!$F$2:$F$53),Producción!$A11)*'Datos Instalación'!$F$16*'Rendimiento Paneles'!G$9*_xlfn.XLOOKUP('Datos Instalación'!$C$7,Auxiliares!$B$3:$B$6,Auxiliares!$D$3:$D$6)/1000*'Datos Instalación'!$C$16</f>
        <v>31.231314724931064</v>
      </c>
      <c r="I11" s="2">
        <f ca="1">OFFSET(horas_de_luz_por_provinci!$G$1,_xlfn.XLOOKUP('Datos Instalación'!$C$8,horas_de_luz_por_provinci!$G$2:$G$53,horas_de_luz_por_provinci!$F$2:$F$53),Producción!$A11)*'Datos Instalación'!$F$16*'Rendimiento Paneles'!H$9*_xlfn.XLOOKUP('Datos Instalación'!$C$7,Auxiliares!$B$3:$B$6,Auxiliares!$D$3:$D$6)/1000*'Datos Instalación'!$C$16</f>
        <v>31.062665625416436</v>
      </c>
      <c r="J11" s="2">
        <f ca="1">OFFSET(horas_de_luz_por_provinci!$G$1,_xlfn.XLOOKUP('Datos Instalación'!$C$8,horas_de_luz_por_provinci!$G$2:$G$53,horas_de_luz_por_provinci!$F$2:$F$53),Producción!$A11)*'Datos Instalación'!$F$16*'Rendimiento Paneles'!I$9*_xlfn.XLOOKUP('Datos Instalación'!$C$7,Auxiliares!$B$3:$B$6,Auxiliares!$D$3:$D$6)/1000*'Datos Instalación'!$C$16</f>
        <v>30.894927231039187</v>
      </c>
      <c r="K11" s="2">
        <f ca="1">OFFSET(horas_de_luz_por_provinci!$G$1,_xlfn.XLOOKUP('Datos Instalación'!$C$8,horas_de_luz_por_provinci!$G$2:$G$53,horas_de_luz_por_provinci!$F$2:$F$53),Producción!$A11)*'Datos Instalación'!$F$16*'Rendimiento Paneles'!J$9*_xlfn.XLOOKUP('Datos Instalación'!$C$7,Auxiliares!$B$3:$B$6,Auxiliares!$D$3:$D$6)/1000*'Datos Instalación'!$C$16</f>
        <v>30.728094623991581</v>
      </c>
      <c r="L11" s="2">
        <f ca="1">OFFSET(horas_de_luz_por_provinci!$G$1,_xlfn.XLOOKUP('Datos Instalación'!$C$8,horas_de_luz_por_provinci!$G$2:$G$53,horas_de_luz_por_provinci!$F$2:$F$53),Producción!$A11)*'Datos Instalación'!$F$16*'Rendimiento Paneles'!K$9*_xlfn.XLOOKUP('Datos Instalación'!$C$7,Auxiliares!$B$3:$B$6,Auxiliares!$D$3:$D$6)/1000*'Datos Instalación'!$C$16</f>
        <v>30.562162913022025</v>
      </c>
      <c r="M11" s="2">
        <f ca="1">OFFSET(horas_de_luz_por_provinci!$G$1,_xlfn.XLOOKUP('Datos Instalación'!$C$8,horas_de_luz_por_provinci!$G$2:$G$53,horas_de_luz_por_provinci!$F$2:$F$53),Producción!$A11)*'Datos Instalación'!$F$16*'Rendimiento Paneles'!L$9*_xlfn.XLOOKUP('Datos Instalación'!$C$7,Auxiliares!$B$3:$B$6,Auxiliares!$D$3:$D$6)/1000*'Datos Instalación'!$C$16</f>
        <v>30.397127233291709</v>
      </c>
      <c r="N11" s="2">
        <f ca="1">OFFSET(horas_de_luz_por_provinci!$G$1,_xlfn.XLOOKUP('Datos Instalación'!$C$8,horas_de_luz_por_provinci!$G$2:$G$53,horas_de_luz_por_provinci!$F$2:$F$53),Producción!$A11)*'Datos Instalación'!$F$16*'Rendimiento Paneles'!M$9*_xlfn.XLOOKUP('Datos Instalación'!$C$7,Auxiliares!$B$3:$B$6,Auxiliares!$D$3:$D$6)/1000*'Datos Instalación'!$C$16</f>
        <v>30.232982746231929</v>
      </c>
      <c r="O11" s="2">
        <f ca="1">OFFSET(horas_de_luz_por_provinci!$G$1,_xlfn.XLOOKUP('Datos Instalación'!$C$8,horas_de_luz_por_provinci!$G$2:$G$53,horas_de_luz_por_provinci!$F$2:$F$53),Producción!$A11)*'Datos Instalación'!$F$16*'Rendimiento Paneles'!N$9*_xlfn.XLOOKUP('Datos Instalación'!$C$7,Auxiliares!$B$3:$B$6,Auxiliares!$D$3:$D$6)/1000*'Datos Instalación'!$C$16</f>
        <v>30.069724639402278</v>
      </c>
      <c r="P11" s="2">
        <f ca="1">OFFSET(horas_de_luz_por_provinci!$G$1,_xlfn.XLOOKUP('Datos Instalación'!$C$8,horas_de_luz_por_provinci!$G$2:$G$53,horas_de_luz_por_provinci!$F$2:$F$53),Producción!$A11)*'Datos Instalación'!$F$16*'Rendimiento Paneles'!O$9*_xlfn.XLOOKUP('Datos Instalación'!$C$7,Auxiliares!$B$3:$B$6,Auxiliares!$D$3:$D$6)/1000*'Datos Instalación'!$C$16</f>
        <v>29.907348126349508</v>
      </c>
      <c r="Q11" s="2">
        <f ca="1">OFFSET(horas_de_luz_por_provinci!$G$1,_xlfn.XLOOKUP('Datos Instalación'!$C$8,horas_de_luz_por_provinci!$G$2:$G$53,horas_de_luz_por_provinci!$F$2:$F$53),Producción!$A11)*'Datos Instalación'!$F$16*'Rendimiento Paneles'!P$9*_xlfn.XLOOKUP('Datos Instalación'!$C$7,Auxiliares!$B$3:$B$6,Auxiliares!$D$3:$D$6)/1000*'Datos Instalación'!$C$16</f>
        <v>29.745848446467217</v>
      </c>
      <c r="R11" s="2">
        <f ca="1">OFFSET(horas_de_luz_por_provinci!$G$1,_xlfn.XLOOKUP('Datos Instalación'!$C$8,horas_de_luz_por_provinci!$G$2:$G$53,horas_de_luz_por_provinci!$F$2:$F$53),Producción!$A11)*'Datos Instalación'!$F$16*'Rendimiento Paneles'!Q$9*_xlfn.XLOOKUP('Datos Instalación'!$C$7,Auxiliares!$B$3:$B$6,Auxiliares!$D$3:$D$6)/1000*'Datos Instalación'!$C$16</f>
        <v>29.585220864856293</v>
      </c>
      <c r="S11" s="2">
        <f ca="1">OFFSET(horas_de_luz_por_provinci!$G$1,_xlfn.XLOOKUP('Datos Instalación'!$C$8,horas_de_luz_por_provinci!$G$2:$G$53,horas_de_luz_por_provinci!$F$2:$F$53),Producción!$A11)*'Datos Instalación'!$F$16*'Rendimiento Paneles'!R$9*_xlfn.XLOOKUP('Datos Instalación'!$C$7,Auxiliares!$B$3:$B$6,Auxiliares!$D$3:$D$6)/1000*'Datos Instalación'!$C$16</f>
        <v>29.425460672186063</v>
      </c>
      <c r="T11" s="2">
        <f ca="1">OFFSET(horas_de_luz_por_provinci!$G$1,_xlfn.XLOOKUP('Datos Instalación'!$C$8,horas_de_luz_por_provinci!$G$2:$G$53,horas_de_luz_por_provinci!$F$2:$F$53),Producción!$A11)*'Datos Instalación'!$F$16*'Rendimiento Paneles'!S$9*_xlfn.XLOOKUP('Datos Instalación'!$C$7,Auxiliares!$B$3:$B$6,Auxiliares!$D$3:$D$6)/1000*'Datos Instalación'!$C$16</f>
        <v>29.266563184556261</v>
      </c>
      <c r="U11" s="2">
        <f ca="1">OFFSET(horas_de_luz_por_provinci!$G$1,_xlfn.XLOOKUP('Datos Instalación'!$C$8,horas_de_luz_por_provinci!$G$2:$G$53,horas_de_luz_por_provinci!$F$2:$F$53),Producción!$A11)*'Datos Instalación'!$F$16*'Rendimiento Paneles'!T$9*_xlfn.XLOOKUP('Datos Instalación'!$C$7,Auxiliares!$B$3:$B$6,Auxiliares!$D$3:$D$6)/1000*'Datos Instalación'!$C$16</f>
        <v>29.108523743359662</v>
      </c>
      <c r="V11" s="2">
        <f ca="1">OFFSET(horas_de_luz_por_provinci!$G$1,_xlfn.XLOOKUP('Datos Instalación'!$C$8,horas_de_luz_por_provinci!$G$2:$G$53,horas_de_luz_por_provinci!$F$2:$F$53),Producción!$A11)*'Datos Instalación'!$F$16*'Rendimiento Paneles'!U$9*_xlfn.XLOOKUP('Datos Instalación'!$C$7,Auxiliares!$B$3:$B$6,Auxiliares!$D$3:$D$6)/1000*'Datos Instalación'!$C$16</f>
        <v>28.95133771514552</v>
      </c>
      <c r="W11" s="2">
        <f ca="1">OFFSET(horas_de_luz_por_provinci!$G$1,_xlfn.XLOOKUP('Datos Instalación'!$C$8,horas_de_luz_por_provinci!$G$2:$G$53,horas_de_luz_por_provinci!$F$2:$F$53),Producción!$A11)*'Datos Instalación'!$F$16*'Rendimiento Paneles'!V$9*_xlfn.XLOOKUP('Datos Instalación'!$C$7,Auxiliares!$B$3:$B$6,Auxiliares!$D$3:$D$6)/1000*'Datos Instalación'!$C$16</f>
        <v>28.795000491483734</v>
      </c>
      <c r="X11" s="2">
        <f ca="1">OFFSET(horas_de_luz_por_provinci!$G$1,_xlfn.XLOOKUP('Datos Instalación'!$C$8,horas_de_luz_por_provinci!$G$2:$G$53,horas_de_luz_por_provinci!$F$2:$F$53),Producción!$A11)*'Datos Instalación'!$F$16*'Rendimiento Paneles'!W$9*_xlfn.XLOOKUP('Datos Instalación'!$C$7,Auxiliares!$B$3:$B$6,Auxiliares!$D$3:$D$6)/1000*'Datos Instalación'!$C$16</f>
        <v>28.639507488829722</v>
      </c>
      <c r="Y11" s="2">
        <f ca="1">OFFSET(horas_de_luz_por_provinci!$G$1,_xlfn.XLOOKUP('Datos Instalación'!$C$8,horas_de_luz_por_provinci!$G$2:$G$53,horas_de_luz_por_provinci!$F$2:$F$53),Producción!$A11)*'Datos Instalación'!$F$16*'Rendimiento Paneles'!X$9*_xlfn.XLOOKUP('Datos Instalación'!$C$7,Auxiliares!$B$3:$B$6,Auxiliares!$D$3:$D$6)/1000*'Datos Instalación'!$C$16</f>
        <v>28.484854148390038</v>
      </c>
      <c r="Z11" s="2">
        <f ca="1">OFFSET(horas_de_luz_por_provinci!$G$1,_xlfn.XLOOKUP('Datos Instalación'!$C$8,horas_de_luz_por_provinci!$G$2:$G$53,horas_de_luz_por_provinci!$F$2:$F$53),Producción!$A11)*'Datos Instalación'!$F$16*'Rendimiento Paneles'!Y$9*_xlfn.XLOOKUP('Datos Instalación'!$C$7,Auxiliares!$B$3:$B$6,Auxiliares!$D$3:$D$6)/1000*'Datos Instalación'!$C$16</f>
        <v>28.331035935988734</v>
      </c>
      <c r="AA11" s="2">
        <f ca="1">OFFSET(horas_de_luz_por_provinci!$G$1,_xlfn.XLOOKUP('Datos Instalación'!$C$8,horas_de_luz_por_provinci!$G$2:$G$53,horas_de_luz_por_provinci!$F$2:$F$53),Producción!$A11)*'Datos Instalación'!$F$16*'Rendimiento Paneles'!Z$9*_xlfn.XLOOKUP('Datos Instalación'!$C$7,Auxiliares!$B$3:$B$6,Auxiliares!$D$3:$D$6)/1000*'Datos Instalación'!$C$16</f>
        <v>28.178048341934396</v>
      </c>
      <c r="AB11" s="2">
        <f ca="1">OFFSET(horas_de_luz_por_provinci!$G$1,_xlfn.XLOOKUP('Datos Instalación'!$C$8,horas_de_luz_por_provinci!$G$2:$G$53,horas_de_luz_por_provinci!$F$2:$F$53),Producción!$A11)*'Datos Instalación'!$F$16*'Rendimiento Paneles'!AA$9*_xlfn.XLOOKUP('Datos Instalación'!$C$7,Auxiliares!$B$3:$B$6,Auxiliares!$D$3:$D$6)/1000*'Datos Instalación'!$C$16</f>
        <v>28.025886880887953</v>
      </c>
      <c r="AC11" s="2">
        <f ca="1">OFFSET(horas_de_luz_por_provinci!$G$1,_xlfn.XLOOKUP('Datos Instalación'!$C$8,horas_de_luz_por_provinci!$G$2:$G$53,horas_de_luz_por_provinci!$F$2:$F$53),Producción!$A11)*'Datos Instalación'!$F$16*'Rendimiento Paneles'!AB$9*_xlfn.XLOOKUP('Datos Instalación'!$C$7,Auxiliares!$B$3:$B$6,Auxiliares!$D$3:$D$6)/1000*'Datos Instalación'!$C$16</f>
        <v>27.874547091731152</v>
      </c>
      <c r="AD11" s="2">
        <f ca="1">OFFSET(horas_de_luz_por_provinci!$G$1,_xlfn.XLOOKUP('Datos Instalación'!$C$8,horas_de_luz_por_provinci!$G$2:$G$53,horas_de_luz_por_provinci!$F$2:$F$53),Producción!$A11)*'Datos Instalación'!$F$16*'Rendimiento Paneles'!AC$9*_xlfn.XLOOKUP('Datos Instalación'!$C$7,Auxiliares!$B$3:$B$6,Auxiliares!$D$3:$D$6)/1000*'Datos Instalación'!$C$16</f>
        <v>27.724024537435806</v>
      </c>
      <c r="AE11" s="2">
        <f ca="1">OFFSET(horas_de_luz_por_provinci!$G$1,_xlfn.XLOOKUP('Datos Instalación'!$C$8,horas_de_luz_por_provinci!$G$2:$G$53,horas_de_luz_por_provinci!$F$2:$F$53),Producción!$A11)*'Datos Instalación'!$F$16*'Rendimiento Paneles'!AD$9*_xlfn.XLOOKUP('Datos Instalación'!$C$7,Auxiliares!$B$3:$B$6,Auxiliares!$D$3:$D$6)/1000*'Datos Instalación'!$C$16</f>
        <v>27.57431480493365</v>
      </c>
      <c r="AF11" s="2">
        <f ca="1">OFFSET(horas_de_luz_por_provinci!$G$1,_xlfn.XLOOKUP('Datos Instalación'!$C$8,horas_de_luz_por_provinci!$G$2:$G$53,horas_de_luz_por_provinci!$F$2:$F$53),Producción!$A11)*'Datos Instalación'!$F$16*'Rendimiento Paneles'!AE$9*_xlfn.XLOOKUP('Datos Instalación'!$C$7,Auxiliares!$B$3:$B$6,Auxiliares!$D$3:$D$6)/1000*'Datos Instalación'!$C$16</f>
        <v>27.425413504987006</v>
      </c>
      <c r="AG11" s="2">
        <f ca="1">OFFSET(horas_de_luz_por_provinci!$G$1,_xlfn.XLOOKUP('Datos Instalación'!$C$8,horas_de_luz_por_provinci!$G$2:$G$53,horas_de_luz_por_provinci!$F$2:$F$53),Producción!$A11)*'Datos Instalación'!$F$16*'Rendimiento Paneles'!AF$9*_xlfn.XLOOKUP('Datos Instalación'!$C$7,Auxiliares!$B$3:$B$6,Auxiliares!$D$3:$D$6)/1000*'Datos Instalación'!$C$16</f>
        <v>27.277316272060077</v>
      </c>
    </row>
    <row r="12" spans="1:33">
      <c r="A12" s="2">
        <v>6</v>
      </c>
      <c r="B12" s="12" t="s">
        <v>9</v>
      </c>
      <c r="C12" s="2">
        <f ca="1">OFFSET(horas_de_luz_por_provinci!$G$1,_xlfn.XLOOKUP('Datos Instalación'!$C$8,horas_de_luz_por_provinci!$G$2:$G$53,horas_de_luz_por_provinci!$F$2:$F$53),Producción!$A12)*'Datos Instalación'!$F$16*'Rendimiento Paneles'!B$9*_xlfn.XLOOKUP('Datos Instalación'!$C$7,Auxiliares!$B$3:$B$6,Auxiliares!$D$3:$D$6)/1000*'Datos Instalación'!$C$16</f>
        <v>33.360326999999998</v>
      </c>
      <c r="D12" s="2">
        <f ca="1">OFFSET(horas_de_luz_por_provinci!$G$1,_xlfn.XLOOKUP('Datos Instalación'!$C$8,horas_de_luz_por_provinci!$G$2:$G$53,horas_de_luz_por_provinci!$F$2:$F$53),Producción!$A12)*'Datos Instalación'!$F$16*'Rendimiento Paneles'!C$9*_xlfn.XLOOKUP('Datos Instalación'!$C$7,Auxiliares!$B$3:$B$6,Auxiliares!$D$3:$D$6)/1000*'Datos Instalación'!$C$16</f>
        <v>33.180181234199999</v>
      </c>
      <c r="E12" s="2">
        <f ca="1">OFFSET(horas_de_luz_por_provinci!$G$1,_xlfn.XLOOKUP('Datos Instalación'!$C$8,horas_de_luz_por_provinci!$G$2:$G$53,horas_de_luz_por_provinci!$F$2:$F$53),Producción!$A12)*'Datos Instalación'!$F$16*'Rendimiento Paneles'!D$9*_xlfn.XLOOKUP('Datos Instalación'!$C$7,Auxiliares!$B$3:$B$6,Auxiliares!$D$3:$D$6)/1000*'Datos Instalación'!$C$16</f>
        <v>33.001008255535318</v>
      </c>
      <c r="F12" s="2">
        <f ca="1">OFFSET(horas_de_luz_por_provinci!$G$1,_xlfn.XLOOKUP('Datos Instalación'!$C$8,horas_de_luz_por_provinci!$G$2:$G$53,horas_de_luz_por_provinci!$F$2:$F$53),Producción!$A12)*'Datos Instalación'!$F$16*'Rendimiento Paneles'!E$9*_xlfn.XLOOKUP('Datos Instalación'!$C$7,Auxiliares!$B$3:$B$6,Auxiliares!$D$3:$D$6)/1000*'Datos Instalación'!$C$16</f>
        <v>32.822802810955423</v>
      </c>
      <c r="G12" s="2">
        <f ca="1">OFFSET(horas_de_luz_por_provinci!$G$1,_xlfn.XLOOKUP('Datos Instalación'!$C$8,horas_de_luz_por_provinci!$G$2:$G$53,horas_de_luz_por_provinci!$F$2:$F$53),Producción!$A12)*'Datos Instalación'!$F$16*'Rendimiento Paneles'!F$9*_xlfn.XLOOKUP('Datos Instalación'!$C$7,Auxiliares!$B$3:$B$6,Auxiliares!$D$3:$D$6)/1000*'Datos Instalación'!$C$16</f>
        <v>32.645559675776269</v>
      </c>
      <c r="H12" s="2">
        <f ca="1">OFFSET(horas_de_luz_por_provinci!$G$1,_xlfn.XLOOKUP('Datos Instalación'!$C$8,horas_de_luz_por_provinci!$G$2:$G$53,horas_de_luz_por_provinci!$F$2:$F$53),Producción!$A12)*'Datos Instalación'!$F$16*'Rendimiento Paneles'!G$9*_xlfn.XLOOKUP('Datos Instalación'!$C$7,Auxiliares!$B$3:$B$6,Auxiliares!$D$3:$D$6)/1000*'Datos Instalación'!$C$16</f>
        <v>32.469273653527068</v>
      </c>
      <c r="I12" s="2">
        <f ca="1">OFFSET(horas_de_luz_por_provinci!$G$1,_xlfn.XLOOKUP('Datos Instalación'!$C$8,horas_de_luz_por_provinci!$G$2:$G$53,horas_de_luz_por_provinci!$F$2:$F$53),Producción!$A12)*'Datos Instalación'!$F$16*'Rendimiento Paneles'!H$9*_xlfn.XLOOKUP('Datos Instalación'!$C$7,Auxiliares!$B$3:$B$6,Auxiliares!$D$3:$D$6)/1000*'Datos Instalación'!$C$16</f>
        <v>32.293939575798035</v>
      </c>
      <c r="J12" s="2">
        <f ca="1">OFFSET(horas_de_luz_por_provinci!$G$1,_xlfn.XLOOKUP('Datos Instalación'!$C$8,horas_de_luz_por_provinci!$G$2:$G$53,horas_de_luz_por_provinci!$F$2:$F$53),Producción!$A12)*'Datos Instalación'!$F$16*'Rendimiento Paneles'!I$9*_xlfn.XLOOKUP('Datos Instalación'!$C$7,Auxiliares!$B$3:$B$6,Auxiliares!$D$3:$D$6)/1000*'Datos Instalación'!$C$16</f>
        <v>32.119552302088728</v>
      </c>
      <c r="K12" s="2">
        <f ca="1">OFFSET(horas_de_luz_por_provinci!$G$1,_xlfn.XLOOKUP('Datos Instalación'!$C$8,horas_de_luz_por_provinci!$G$2:$G$53,horas_de_luz_por_provinci!$F$2:$F$53),Producción!$A12)*'Datos Instalación'!$F$16*'Rendimiento Paneles'!J$9*_xlfn.XLOOKUP('Datos Instalación'!$C$7,Auxiliares!$B$3:$B$6,Auxiliares!$D$3:$D$6)/1000*'Datos Instalación'!$C$16</f>
        <v>31.946106719657443</v>
      </c>
      <c r="L12" s="2">
        <f ca="1">OFFSET(horas_de_luz_por_provinci!$G$1,_xlfn.XLOOKUP('Datos Instalación'!$C$8,horas_de_luz_por_provinci!$G$2:$G$53,horas_de_luz_por_provinci!$F$2:$F$53),Producción!$A12)*'Datos Instalación'!$F$16*'Rendimiento Paneles'!K$9*_xlfn.XLOOKUP('Datos Instalación'!$C$7,Auxiliares!$B$3:$B$6,Auxiliares!$D$3:$D$6)/1000*'Datos Instalación'!$C$16</f>
        <v>31.773597743371297</v>
      </c>
      <c r="M12" s="2">
        <f ca="1">OFFSET(horas_de_luz_por_provinci!$G$1,_xlfn.XLOOKUP('Datos Instalación'!$C$8,horas_de_luz_por_provinci!$G$2:$G$53,horas_de_luz_por_provinci!$F$2:$F$53),Producción!$A12)*'Datos Instalación'!$F$16*'Rendimiento Paneles'!L$9*_xlfn.XLOOKUP('Datos Instalación'!$C$7,Auxiliares!$B$3:$B$6,Auxiliares!$D$3:$D$6)/1000*'Datos Instalación'!$C$16</f>
        <v>31.602020315557091</v>
      </c>
      <c r="N12" s="2">
        <f ca="1">OFFSET(horas_de_luz_por_provinci!$G$1,_xlfn.XLOOKUP('Datos Instalación'!$C$8,horas_de_luz_por_provinci!$G$2:$G$53,horas_de_luz_por_provinci!$F$2:$F$53),Producción!$A12)*'Datos Instalación'!$F$16*'Rendimiento Paneles'!M$9*_xlfn.XLOOKUP('Datos Instalación'!$C$7,Auxiliares!$B$3:$B$6,Auxiliares!$D$3:$D$6)/1000*'Datos Instalación'!$C$16</f>
        <v>31.43136940585309</v>
      </c>
      <c r="O12" s="2">
        <f ca="1">OFFSET(horas_de_luz_por_provinci!$G$1,_xlfn.XLOOKUP('Datos Instalación'!$C$8,horas_de_luz_por_provinci!$G$2:$G$53,horas_de_luz_por_provinci!$F$2:$F$53),Producción!$A12)*'Datos Instalación'!$F$16*'Rendimiento Paneles'!N$9*_xlfn.XLOOKUP('Datos Instalación'!$C$7,Auxiliares!$B$3:$B$6,Auxiliares!$D$3:$D$6)/1000*'Datos Instalación'!$C$16</f>
        <v>31.261640011061473</v>
      </c>
      <c r="P12" s="2">
        <f ca="1">OFFSET(horas_de_luz_por_provinci!$G$1,_xlfn.XLOOKUP('Datos Instalación'!$C$8,horas_de_luz_por_provinci!$G$2:$G$53,horas_de_luz_por_provinci!$F$2:$F$53),Producción!$A12)*'Datos Instalación'!$F$16*'Rendimiento Paneles'!O$9*_xlfn.XLOOKUP('Datos Instalación'!$C$7,Auxiliares!$B$3:$B$6,Auxiliares!$D$3:$D$6)/1000*'Datos Instalación'!$C$16</f>
        <v>31.092827155001739</v>
      </c>
      <c r="Q12" s="2">
        <f ca="1">OFFSET(horas_de_luz_por_provinci!$G$1,_xlfn.XLOOKUP('Datos Instalación'!$C$8,horas_de_luz_por_provinci!$G$2:$G$53,horas_de_luz_por_provinci!$F$2:$F$53),Producción!$A12)*'Datos Instalación'!$F$16*'Rendimiento Paneles'!P$9*_xlfn.XLOOKUP('Datos Instalación'!$C$7,Auxiliares!$B$3:$B$6,Auxiliares!$D$3:$D$6)/1000*'Datos Instalación'!$C$16</f>
        <v>30.924925888364729</v>
      </c>
      <c r="R12" s="2">
        <f ca="1">OFFSET(horas_de_luz_por_provinci!$G$1,_xlfn.XLOOKUP('Datos Instalación'!$C$8,horas_de_luz_por_provinci!$G$2:$G$53,horas_de_luz_por_provinci!$F$2:$F$53),Producción!$A12)*'Datos Instalación'!$F$16*'Rendimiento Paneles'!Q$9*_xlfn.XLOOKUP('Datos Instalación'!$C$7,Auxiliares!$B$3:$B$6,Auxiliares!$D$3:$D$6)/1000*'Datos Instalación'!$C$16</f>
        <v>30.757931288567558</v>
      </c>
      <c r="S12" s="2">
        <f ca="1">OFFSET(horas_de_luz_por_provinci!$G$1,_xlfn.XLOOKUP('Datos Instalación'!$C$8,horas_de_luz_por_provinci!$G$2:$G$53,horas_de_luz_por_provinci!$F$2:$F$53),Producción!$A12)*'Datos Instalación'!$F$16*'Rendimiento Paneles'!R$9*_xlfn.XLOOKUP('Datos Instalación'!$C$7,Auxiliares!$B$3:$B$6,Auxiliares!$D$3:$D$6)/1000*'Datos Instalación'!$C$16</f>
        <v>30.591838459609296</v>
      </c>
      <c r="T12" s="2">
        <f ca="1">OFFSET(horas_de_luz_por_provinci!$G$1,_xlfn.XLOOKUP('Datos Instalación'!$C$8,horas_de_luz_por_provinci!$G$2:$G$53,horas_de_luz_por_provinci!$F$2:$F$53),Producción!$A12)*'Datos Instalación'!$F$16*'Rendimiento Paneles'!S$9*_xlfn.XLOOKUP('Datos Instalación'!$C$7,Auxiliares!$B$3:$B$6,Auxiliares!$D$3:$D$6)/1000*'Datos Instalación'!$C$16</f>
        <v>30.426642531927406</v>
      </c>
      <c r="U12" s="2">
        <f ca="1">OFFSET(horas_de_luz_por_provinci!$G$1,_xlfn.XLOOKUP('Datos Instalación'!$C$8,horas_de_luz_por_provinci!$G$2:$G$53,horas_de_luz_por_provinci!$F$2:$F$53),Producción!$A12)*'Datos Instalación'!$F$16*'Rendimiento Paneles'!T$9*_xlfn.XLOOKUP('Datos Instalación'!$C$7,Auxiliares!$B$3:$B$6,Auxiliares!$D$3:$D$6)/1000*'Datos Instalación'!$C$16</f>
        <v>30.262338662254994</v>
      </c>
      <c r="V12" s="2">
        <f ca="1">OFFSET(horas_de_luz_por_provinci!$G$1,_xlfn.XLOOKUP('Datos Instalación'!$C$8,horas_de_luz_por_provinci!$G$2:$G$53,horas_de_luz_por_provinci!$F$2:$F$53),Producción!$A12)*'Datos Instalación'!$F$16*'Rendimiento Paneles'!U$9*_xlfn.XLOOKUP('Datos Instalación'!$C$7,Auxiliares!$B$3:$B$6,Auxiliares!$D$3:$D$6)/1000*'Datos Instalación'!$C$16</f>
        <v>30.098922033478821</v>
      </c>
      <c r="W12" s="2">
        <f ca="1">OFFSET(horas_de_luz_por_provinci!$G$1,_xlfn.XLOOKUP('Datos Instalación'!$C$8,horas_de_luz_por_provinci!$G$2:$G$53,horas_de_luz_por_provinci!$F$2:$F$53),Producción!$A12)*'Datos Instalación'!$F$16*'Rendimiento Paneles'!V$9*_xlfn.XLOOKUP('Datos Instalación'!$C$7,Auxiliares!$B$3:$B$6,Auxiliares!$D$3:$D$6)/1000*'Datos Instalación'!$C$16</f>
        <v>29.936387854498037</v>
      </c>
      <c r="X12" s="2">
        <f ca="1">OFFSET(horas_de_luz_por_provinci!$G$1,_xlfn.XLOOKUP('Datos Instalación'!$C$8,horas_de_luz_por_provinci!$G$2:$G$53,horas_de_luz_por_provinci!$F$2:$F$53),Producción!$A12)*'Datos Instalación'!$F$16*'Rendimiento Paneles'!W$9*_xlfn.XLOOKUP('Datos Instalación'!$C$7,Auxiliares!$B$3:$B$6,Auxiliares!$D$3:$D$6)/1000*'Datos Instalación'!$C$16</f>
        <v>29.774731360083745</v>
      </c>
      <c r="Y12" s="2">
        <f ca="1">OFFSET(horas_de_luz_por_provinci!$G$1,_xlfn.XLOOKUP('Datos Instalación'!$C$8,horas_de_luz_por_provinci!$G$2:$G$53,horas_de_luz_por_provinci!$F$2:$F$53),Producción!$A12)*'Datos Instalación'!$F$16*'Rendimiento Paneles'!X$9*_xlfn.XLOOKUP('Datos Instalación'!$C$7,Auxiliares!$B$3:$B$6,Auxiliares!$D$3:$D$6)/1000*'Datos Instalación'!$C$16</f>
        <v>29.613947810739294</v>
      </c>
      <c r="Z12" s="2">
        <f ca="1">OFFSET(horas_de_luz_por_provinci!$G$1,_xlfn.XLOOKUP('Datos Instalación'!$C$8,horas_de_luz_por_provinci!$G$2:$G$53,horas_de_luz_por_provinci!$F$2:$F$53),Producción!$A12)*'Datos Instalación'!$F$16*'Rendimiento Paneles'!Y$9*_xlfn.XLOOKUP('Datos Instalación'!$C$7,Auxiliares!$B$3:$B$6,Auxiliares!$D$3:$D$6)/1000*'Datos Instalación'!$C$16</f>
        <v>29.454032492561304</v>
      </c>
      <c r="AA12" s="2">
        <f ca="1">OFFSET(horas_de_luz_por_provinci!$G$1,_xlfn.XLOOKUP('Datos Instalación'!$C$8,horas_de_luz_por_provinci!$G$2:$G$53,horas_de_luz_por_provinci!$F$2:$F$53),Producción!$A12)*'Datos Instalación'!$F$16*'Rendimiento Paneles'!Z$9*_xlfn.XLOOKUP('Datos Instalación'!$C$7,Auxiliares!$B$3:$B$6,Auxiliares!$D$3:$D$6)/1000*'Datos Instalación'!$C$16</f>
        <v>29.294980717101467</v>
      </c>
      <c r="AB12" s="2">
        <f ca="1">OFFSET(horas_de_luz_por_provinci!$G$1,_xlfn.XLOOKUP('Datos Instalación'!$C$8,horas_de_luz_por_provinci!$G$2:$G$53,horas_de_luz_por_provinci!$F$2:$F$53),Producción!$A12)*'Datos Instalación'!$F$16*'Rendimiento Paneles'!AA$9*_xlfn.XLOOKUP('Datos Instalación'!$C$7,Auxiliares!$B$3:$B$6,Auxiliares!$D$3:$D$6)/1000*'Datos Instalación'!$C$16</f>
        <v>29.136787821229124</v>
      </c>
      <c r="AC12" s="2">
        <f ca="1">OFFSET(horas_de_luz_por_provinci!$G$1,_xlfn.XLOOKUP('Datos Instalación'!$C$8,horas_de_luz_por_provinci!$G$2:$G$53,horas_de_luz_por_provinci!$F$2:$F$53),Producción!$A12)*'Datos Instalación'!$F$16*'Rendimiento Paneles'!AB$9*_xlfn.XLOOKUP('Datos Instalación'!$C$7,Auxiliares!$B$3:$B$6,Auxiliares!$D$3:$D$6)/1000*'Datos Instalación'!$C$16</f>
        <v>28.979449166994485</v>
      </c>
      <c r="AD12" s="2">
        <f ca="1">OFFSET(horas_de_luz_por_provinci!$G$1,_xlfn.XLOOKUP('Datos Instalación'!$C$8,horas_de_luz_por_provinci!$G$2:$G$53,horas_de_luz_por_provinci!$F$2:$F$53),Producción!$A12)*'Datos Instalación'!$F$16*'Rendimiento Paneles'!AC$9*_xlfn.XLOOKUP('Datos Instalación'!$C$7,Auxiliares!$B$3:$B$6,Auxiliares!$D$3:$D$6)/1000*'Datos Instalación'!$C$16</f>
        <v>28.822960141492715</v>
      </c>
      <c r="AE12" s="2">
        <f ca="1">OFFSET(horas_de_luz_por_provinci!$G$1,_xlfn.XLOOKUP('Datos Instalación'!$C$8,horas_de_luz_por_provinci!$G$2:$G$53,horas_de_luz_por_provinci!$F$2:$F$53),Producción!$A12)*'Datos Instalación'!$F$16*'Rendimiento Paneles'!AD$9*_xlfn.XLOOKUP('Datos Instalación'!$C$7,Auxiliares!$B$3:$B$6,Auxiliares!$D$3:$D$6)/1000*'Datos Instalación'!$C$16</f>
        <v>28.667316156728653</v>
      </c>
      <c r="AF12" s="2">
        <f ca="1">OFFSET(horas_de_luz_por_provinci!$G$1,_xlfn.XLOOKUP('Datos Instalación'!$C$8,horas_de_luz_por_provinci!$G$2:$G$53,horas_de_luz_por_provinci!$F$2:$F$53),Producción!$A12)*'Datos Instalación'!$F$16*'Rendimiento Paneles'!AE$9*_xlfn.XLOOKUP('Datos Instalación'!$C$7,Auxiliares!$B$3:$B$6,Auxiliares!$D$3:$D$6)/1000*'Datos Instalación'!$C$16</f>
        <v>28.512512649482318</v>
      </c>
      <c r="AG12" s="2">
        <f ca="1">OFFSET(horas_de_luz_por_provinci!$G$1,_xlfn.XLOOKUP('Datos Instalación'!$C$8,horas_de_luz_por_provinci!$G$2:$G$53,horas_de_luz_por_provinci!$F$2:$F$53),Producción!$A12)*'Datos Instalación'!$F$16*'Rendimiento Paneles'!AF$9*_xlfn.XLOOKUP('Datos Instalación'!$C$7,Auxiliares!$B$3:$B$6,Auxiliares!$D$3:$D$6)/1000*'Datos Instalación'!$C$16</f>
        <v>28.358545081175112</v>
      </c>
    </row>
    <row r="13" spans="1:33">
      <c r="A13" s="2">
        <v>7</v>
      </c>
      <c r="B13" s="12" t="s">
        <v>10</v>
      </c>
      <c r="C13" s="2">
        <f ca="1">OFFSET(horas_de_luz_por_provinci!$G$1,_xlfn.XLOOKUP('Datos Instalación'!$C$8,horas_de_luz_por_provinci!$G$2:$G$53,horas_de_luz_por_provinci!$F$2:$F$53),Producción!$A13)*'Datos Instalación'!$F$16*'Rendimiento Paneles'!B$9*_xlfn.XLOOKUP('Datos Instalación'!$C$7,Auxiliares!$B$3:$B$6,Auxiliares!$D$3:$D$6)/1000*'Datos Instalación'!$C$16</f>
        <v>32.757832800000003</v>
      </c>
      <c r="D13" s="2">
        <f ca="1">OFFSET(horas_de_luz_por_provinci!$G$1,_xlfn.XLOOKUP('Datos Instalación'!$C$8,horas_de_luz_por_provinci!$G$2:$G$53,horas_de_luz_por_provinci!$F$2:$F$53),Producción!$A13)*'Datos Instalación'!$F$16*'Rendimiento Paneles'!C$9*_xlfn.XLOOKUP('Datos Instalación'!$C$7,Auxiliares!$B$3:$B$6,Auxiliares!$D$3:$D$6)/1000*'Datos Instalación'!$C$16</f>
        <v>32.580940502880004</v>
      </c>
      <c r="E13" s="2">
        <f ca="1">OFFSET(horas_de_luz_por_provinci!$G$1,_xlfn.XLOOKUP('Datos Instalación'!$C$8,horas_de_luz_por_provinci!$G$2:$G$53,horas_de_luz_por_provinci!$F$2:$F$53),Producción!$A13)*'Datos Instalación'!$F$16*'Rendimiento Paneles'!D$9*_xlfn.XLOOKUP('Datos Instalación'!$C$7,Auxiliares!$B$3:$B$6,Auxiliares!$D$3:$D$6)/1000*'Datos Instalación'!$C$16</f>
        <v>32.405003424164455</v>
      </c>
      <c r="F13" s="2">
        <f ca="1">OFFSET(horas_de_luz_por_provinci!$G$1,_xlfn.XLOOKUP('Datos Instalación'!$C$8,horas_de_luz_por_provinci!$G$2:$G$53,horas_de_luz_por_provinci!$F$2:$F$53),Producción!$A13)*'Datos Instalación'!$F$16*'Rendimiento Paneles'!E$9*_xlfn.XLOOKUP('Datos Instalación'!$C$7,Auxiliares!$B$3:$B$6,Auxiliares!$D$3:$D$6)/1000*'Datos Instalación'!$C$16</f>
        <v>32.230016405673965</v>
      </c>
      <c r="G13" s="2">
        <f ca="1">OFFSET(horas_de_luz_por_provinci!$G$1,_xlfn.XLOOKUP('Datos Instalación'!$C$8,horas_de_luz_por_provinci!$G$2:$G$53,horas_de_luz_por_provinci!$F$2:$F$53),Producción!$A13)*'Datos Instalación'!$F$16*'Rendimiento Paneles'!F$9*_xlfn.XLOOKUP('Datos Instalación'!$C$7,Auxiliares!$B$3:$B$6,Auxiliares!$D$3:$D$6)/1000*'Datos Instalación'!$C$16</f>
        <v>32.055974317083326</v>
      </c>
      <c r="H13" s="2">
        <f ca="1">OFFSET(horas_de_luz_por_provinci!$G$1,_xlfn.XLOOKUP('Datos Instalación'!$C$8,horas_de_luz_por_provinci!$G$2:$G$53,horas_de_luz_por_provinci!$F$2:$F$53),Producción!$A13)*'Datos Instalación'!$F$16*'Rendimiento Paneles'!G$9*_xlfn.XLOOKUP('Datos Instalación'!$C$7,Auxiliares!$B$3:$B$6,Auxiliares!$D$3:$D$6)/1000*'Datos Instalación'!$C$16</f>
        <v>31.882872055771074</v>
      </c>
      <c r="I13" s="2">
        <f ca="1">OFFSET(horas_de_luz_por_provinci!$G$1,_xlfn.XLOOKUP('Datos Instalación'!$C$8,horas_de_luz_por_provinci!$G$2:$G$53,horas_de_luz_por_provinci!$F$2:$F$53),Producción!$A13)*'Datos Instalación'!$F$16*'Rendimiento Paneles'!H$9*_xlfn.XLOOKUP('Datos Instalación'!$C$7,Auxiliares!$B$3:$B$6,Auxiliares!$D$3:$D$6)/1000*'Datos Instalación'!$C$16</f>
        <v>31.710704546669916</v>
      </c>
      <c r="J13" s="2">
        <f ca="1">OFFSET(horas_de_luz_por_provinci!$G$1,_xlfn.XLOOKUP('Datos Instalación'!$C$8,horas_de_luz_por_provinci!$G$2:$G$53,horas_de_luz_por_provinci!$F$2:$F$53),Producción!$A13)*'Datos Instalación'!$F$16*'Rendimiento Paneles'!I$9*_xlfn.XLOOKUP('Datos Instalación'!$C$7,Auxiliares!$B$3:$B$6,Auxiliares!$D$3:$D$6)/1000*'Datos Instalación'!$C$16</f>
        <v>31.539466742117899</v>
      </c>
      <c r="K13" s="2">
        <f ca="1">OFFSET(horas_de_luz_por_provinci!$G$1,_xlfn.XLOOKUP('Datos Instalación'!$C$8,horas_de_luz_por_provinci!$G$2:$G$53,horas_de_luz_por_provinci!$F$2:$F$53),Producción!$A13)*'Datos Instalación'!$F$16*'Rendimiento Paneles'!J$9*_xlfn.XLOOKUP('Datos Instalación'!$C$7,Auxiliares!$B$3:$B$6,Auxiliares!$D$3:$D$6)/1000*'Datos Instalación'!$C$16</f>
        <v>31.36915362171046</v>
      </c>
      <c r="L13" s="2">
        <f ca="1">OFFSET(horas_de_luz_por_provinci!$G$1,_xlfn.XLOOKUP('Datos Instalación'!$C$8,horas_de_luz_por_provinci!$G$2:$G$53,horas_de_luz_por_provinci!$F$2:$F$53),Producción!$A13)*'Datos Instalación'!$F$16*'Rendimiento Paneles'!K$9*_xlfn.XLOOKUP('Datos Instalación'!$C$7,Auxiliares!$B$3:$B$6,Auxiliares!$D$3:$D$6)/1000*'Datos Instalación'!$C$16</f>
        <v>31.199760192153224</v>
      </c>
      <c r="M13" s="2">
        <f ca="1">OFFSET(horas_de_luz_por_provinci!$G$1,_xlfn.XLOOKUP('Datos Instalación'!$C$8,horas_de_luz_por_provinci!$G$2:$G$53,horas_de_luz_por_provinci!$F$2:$F$53),Producción!$A13)*'Datos Instalación'!$F$16*'Rendimiento Paneles'!L$9*_xlfn.XLOOKUP('Datos Instalación'!$C$7,Auxiliares!$B$3:$B$6,Auxiliares!$D$3:$D$6)/1000*'Datos Instalación'!$C$16</f>
        <v>31.031281487115589</v>
      </c>
      <c r="N13" s="2">
        <f ca="1">OFFSET(horas_de_luz_por_provinci!$G$1,_xlfn.XLOOKUP('Datos Instalación'!$C$8,horas_de_luz_por_provinci!$G$2:$G$53,horas_de_luz_por_provinci!$F$2:$F$53),Producción!$A13)*'Datos Instalación'!$F$16*'Rendimiento Paneles'!M$9*_xlfn.XLOOKUP('Datos Instalación'!$C$7,Auxiliares!$B$3:$B$6,Auxiliares!$D$3:$D$6)/1000*'Datos Instalación'!$C$16</f>
        <v>30.863712567085166</v>
      </c>
      <c r="O13" s="2">
        <f ca="1">OFFSET(horas_de_luz_por_provinci!$G$1,_xlfn.XLOOKUP('Datos Instalación'!$C$8,horas_de_luz_por_provinci!$G$2:$G$53,horas_de_luz_por_provinci!$F$2:$F$53),Producción!$A13)*'Datos Instalación'!$F$16*'Rendimiento Paneles'!N$9*_xlfn.XLOOKUP('Datos Instalación'!$C$7,Auxiliares!$B$3:$B$6,Auxiliares!$D$3:$D$6)/1000*'Datos Instalación'!$C$16</f>
        <v>30.697048519222911</v>
      </c>
      <c r="P13" s="2">
        <f ca="1">OFFSET(horas_de_luz_por_provinci!$G$1,_xlfn.XLOOKUP('Datos Instalación'!$C$8,horas_de_luz_por_provinci!$G$2:$G$53,horas_de_luz_por_provinci!$F$2:$F$53),Producción!$A13)*'Datos Instalación'!$F$16*'Rendimiento Paneles'!O$9*_xlfn.XLOOKUP('Datos Instalación'!$C$7,Auxiliares!$B$3:$B$6,Auxiliares!$D$3:$D$6)/1000*'Datos Instalación'!$C$16</f>
        <v>30.531284457219101</v>
      </c>
      <c r="Q13" s="2">
        <f ca="1">OFFSET(horas_de_luz_por_provinci!$G$1,_xlfn.XLOOKUP('Datos Instalación'!$C$8,horas_de_luz_por_provinci!$G$2:$G$53,horas_de_luz_por_provinci!$F$2:$F$53),Producción!$A13)*'Datos Instalación'!$F$16*'Rendimiento Paneles'!P$9*_xlfn.XLOOKUP('Datos Instalación'!$C$7,Auxiliares!$B$3:$B$6,Auxiliares!$D$3:$D$6)/1000*'Datos Instalación'!$C$16</f>
        <v>30.36641552115012</v>
      </c>
      <c r="R13" s="2">
        <f ca="1">OFFSET(horas_de_luz_por_provinci!$G$1,_xlfn.XLOOKUP('Datos Instalación'!$C$8,horas_de_luz_por_provinci!$G$2:$G$53,horas_de_luz_por_provinci!$F$2:$F$53),Producción!$A13)*'Datos Instalación'!$F$16*'Rendimiento Paneles'!Q$9*_xlfn.XLOOKUP('Datos Instalación'!$C$7,Auxiliares!$B$3:$B$6,Auxiliares!$D$3:$D$6)/1000*'Datos Instalación'!$C$16</f>
        <v>30.202436877335909</v>
      </c>
      <c r="S13" s="2">
        <f ca="1">OFFSET(horas_de_luz_por_provinci!$G$1,_xlfn.XLOOKUP('Datos Instalación'!$C$8,horas_de_luz_por_provinci!$G$2:$G$53,horas_de_luz_por_provinci!$F$2:$F$53),Producción!$A13)*'Datos Instalación'!$F$16*'Rendimiento Paneles'!R$9*_xlfn.XLOOKUP('Datos Instalación'!$C$7,Auxiliares!$B$3:$B$6,Auxiliares!$D$3:$D$6)/1000*'Datos Instalación'!$C$16</f>
        <v>30.039343718198296</v>
      </c>
      <c r="T13" s="2">
        <f ca="1">OFFSET(horas_de_luz_por_provinci!$G$1,_xlfn.XLOOKUP('Datos Instalación'!$C$8,horas_de_luz_por_provinci!$G$2:$G$53,horas_de_luz_por_provinci!$F$2:$F$53),Producción!$A13)*'Datos Instalación'!$F$16*'Rendimiento Paneles'!S$9*_xlfn.XLOOKUP('Datos Instalación'!$C$7,Auxiliares!$B$3:$B$6,Auxiliares!$D$3:$D$6)/1000*'Datos Instalación'!$C$16</f>
        <v>29.877131262120027</v>
      </c>
      <c r="U13" s="2">
        <f ca="1">OFFSET(horas_de_luz_por_provinci!$G$1,_xlfn.XLOOKUP('Datos Instalación'!$C$8,horas_de_luz_por_provinci!$G$2:$G$53,horas_de_luz_por_provinci!$F$2:$F$53),Producción!$A13)*'Datos Instalación'!$F$16*'Rendimiento Paneles'!T$9*_xlfn.XLOOKUP('Datos Instalación'!$C$7,Auxiliares!$B$3:$B$6,Auxiliares!$D$3:$D$6)/1000*'Datos Instalación'!$C$16</f>
        <v>29.715794753304575</v>
      </c>
      <c r="V13" s="2">
        <f ca="1">OFFSET(horas_de_luz_por_provinci!$G$1,_xlfn.XLOOKUP('Datos Instalación'!$C$8,horas_de_luz_por_provinci!$G$2:$G$53,horas_de_luz_por_provinci!$F$2:$F$53),Producción!$A13)*'Datos Instalación'!$F$16*'Rendimiento Paneles'!U$9*_xlfn.XLOOKUP('Datos Instalación'!$C$7,Auxiliares!$B$3:$B$6,Auxiliares!$D$3:$D$6)/1000*'Datos Instalación'!$C$16</f>
        <v>29.555329461636731</v>
      </c>
      <c r="W13" s="2">
        <f ca="1">OFFSET(horas_de_luz_por_provinci!$G$1,_xlfn.XLOOKUP('Datos Instalación'!$C$8,horas_de_luz_por_provinci!$G$2:$G$53,horas_de_luz_por_provinci!$F$2:$F$53),Producción!$A13)*'Datos Instalación'!$F$16*'Rendimiento Paneles'!V$9*_xlfn.XLOOKUP('Datos Instalación'!$C$7,Auxiliares!$B$3:$B$6,Auxiliares!$D$3:$D$6)/1000*'Datos Instalación'!$C$16</f>
        <v>29.395730682543896</v>
      </c>
      <c r="X13" s="2">
        <f ca="1">OFFSET(horas_de_luz_por_provinci!$G$1,_xlfn.XLOOKUP('Datos Instalación'!$C$8,horas_de_luz_por_provinci!$G$2:$G$53,horas_de_luz_por_provinci!$F$2:$F$53),Producción!$A13)*'Datos Instalación'!$F$16*'Rendimiento Paneles'!W$9*_xlfn.XLOOKUP('Datos Instalación'!$C$7,Auxiliares!$B$3:$B$6,Auxiliares!$D$3:$D$6)/1000*'Datos Instalación'!$C$16</f>
        <v>29.236993736858157</v>
      </c>
      <c r="Y13" s="2">
        <f ca="1">OFFSET(horas_de_luz_por_provinci!$G$1,_xlfn.XLOOKUP('Datos Instalación'!$C$8,horas_de_luz_por_provinci!$G$2:$G$53,horas_de_luz_por_provinci!$F$2:$F$53),Producción!$A13)*'Datos Instalación'!$F$16*'Rendimiento Paneles'!X$9*_xlfn.XLOOKUP('Datos Instalación'!$C$7,Auxiliares!$B$3:$B$6,Auxiliares!$D$3:$D$6)/1000*'Datos Instalación'!$C$16</f>
        <v>29.079113970679121</v>
      </c>
      <c r="Z13" s="2">
        <f ca="1">OFFSET(horas_de_luz_por_provinci!$G$1,_xlfn.XLOOKUP('Datos Instalación'!$C$8,horas_de_luz_por_provinci!$G$2:$G$53,horas_de_luz_por_provinci!$F$2:$F$53),Producción!$A13)*'Datos Instalación'!$F$16*'Rendimiento Paneles'!Y$9*_xlfn.XLOOKUP('Datos Instalación'!$C$7,Auxiliares!$B$3:$B$6,Auxiliares!$D$3:$D$6)/1000*'Datos Instalación'!$C$16</f>
        <v>28.922086755237451</v>
      </c>
      <c r="AA13" s="2">
        <f ca="1">OFFSET(horas_de_luz_por_provinci!$G$1,_xlfn.XLOOKUP('Datos Instalación'!$C$8,horas_de_luz_por_provinci!$G$2:$G$53,horas_de_luz_por_provinci!$F$2:$F$53),Producción!$A13)*'Datos Instalación'!$F$16*'Rendimiento Paneles'!Z$9*_xlfn.XLOOKUP('Datos Instalación'!$C$7,Auxiliares!$B$3:$B$6,Auxiliares!$D$3:$D$6)/1000*'Datos Instalación'!$C$16</f>
        <v>28.765907486759172</v>
      </c>
      <c r="AB13" s="2">
        <f ca="1">OFFSET(horas_de_luz_por_provinci!$G$1,_xlfn.XLOOKUP('Datos Instalación'!$C$8,horas_de_luz_por_provinci!$G$2:$G$53,horas_de_luz_por_provinci!$F$2:$F$53),Producción!$A13)*'Datos Instalación'!$F$16*'Rendimiento Paneles'!AA$9*_xlfn.XLOOKUP('Datos Instalación'!$C$7,Auxiliares!$B$3:$B$6,Auxiliares!$D$3:$D$6)/1000*'Datos Instalación'!$C$16</f>
        <v>28.610571586330675</v>
      </c>
      <c r="AC13" s="2">
        <f ca="1">OFFSET(horas_de_luz_por_provinci!$G$1,_xlfn.XLOOKUP('Datos Instalación'!$C$8,horas_de_luz_por_provinci!$G$2:$G$53,horas_de_luz_por_provinci!$F$2:$F$53),Producción!$A13)*'Datos Instalación'!$F$16*'Rendimiento Paneles'!AB$9*_xlfn.XLOOKUP('Datos Instalación'!$C$7,Auxiliares!$B$3:$B$6,Auxiliares!$D$3:$D$6)/1000*'Datos Instalación'!$C$16</f>
        <v>28.456074499764487</v>
      </c>
      <c r="AD13" s="2">
        <f ca="1">OFFSET(horas_de_luz_por_provinci!$G$1,_xlfn.XLOOKUP('Datos Instalación'!$C$8,horas_de_luz_por_provinci!$G$2:$G$53,horas_de_luz_por_provinci!$F$2:$F$53),Producción!$A13)*'Datos Instalación'!$F$16*'Rendimiento Paneles'!AC$9*_xlfn.XLOOKUP('Datos Instalación'!$C$7,Auxiliares!$B$3:$B$6,Auxiliares!$D$3:$D$6)/1000*'Datos Instalación'!$C$16</f>
        <v>28.302411697465757</v>
      </c>
      <c r="AE13" s="2">
        <f ca="1">OFFSET(horas_de_luz_por_provinci!$G$1,_xlfn.XLOOKUP('Datos Instalación'!$C$8,horas_de_luz_por_provinci!$G$2:$G$53,horas_de_luz_por_provinci!$F$2:$F$53),Producción!$A13)*'Datos Instalación'!$F$16*'Rendimiento Paneles'!AD$9*_xlfn.XLOOKUP('Datos Instalación'!$C$7,Auxiliares!$B$3:$B$6,Auxiliares!$D$3:$D$6)/1000*'Datos Instalación'!$C$16</f>
        <v>28.149578674299441</v>
      </c>
      <c r="AF13" s="2">
        <f ca="1">OFFSET(horas_de_luz_por_provinci!$G$1,_xlfn.XLOOKUP('Datos Instalación'!$C$8,horas_de_luz_por_provinci!$G$2:$G$53,horas_de_luz_por_provinci!$F$2:$F$53),Producción!$A13)*'Datos Instalación'!$F$16*'Rendimiento Paneles'!AE$9*_xlfn.XLOOKUP('Datos Instalación'!$C$7,Auxiliares!$B$3:$B$6,Auxiliares!$D$3:$D$6)/1000*'Datos Instalación'!$C$16</f>
        <v>27.997570949458218</v>
      </c>
      <c r="AG13" s="2">
        <f ca="1">OFFSET(horas_de_luz_por_provinci!$G$1,_xlfn.XLOOKUP('Datos Instalación'!$C$8,horas_de_luz_por_provinci!$G$2:$G$53,horas_de_luz_por_provinci!$F$2:$F$53),Producción!$A13)*'Datos Instalación'!$F$16*'Rendimiento Paneles'!AF$9*_xlfn.XLOOKUP('Datos Instalación'!$C$7,Auxiliares!$B$3:$B$6,Auxiliares!$D$3:$D$6)/1000*'Datos Instalación'!$C$16</f>
        <v>27.846384066331151</v>
      </c>
    </row>
    <row r="14" spans="1:33">
      <c r="A14" s="2">
        <v>8</v>
      </c>
      <c r="B14" s="12" t="s">
        <v>11</v>
      </c>
      <c r="C14" s="2">
        <f ca="1">OFFSET(horas_de_luz_por_provinci!$G$1,_xlfn.XLOOKUP('Datos Instalación'!$C$8,horas_de_luz_por_provinci!$G$2:$G$53,horas_de_luz_por_provinci!$F$2:$F$53),Producción!$A14)*'Datos Instalación'!$F$16*'Rendimiento Paneles'!B$9*_xlfn.XLOOKUP('Datos Instalación'!$C$7,Auxiliares!$B$3:$B$6,Auxiliares!$D$3:$D$6)/1000*'Datos Instalación'!$C$16</f>
        <v>30.593316600000005</v>
      </c>
      <c r="D14" s="2">
        <f ca="1">OFFSET(horas_de_luz_por_provinci!$G$1,_xlfn.XLOOKUP('Datos Instalación'!$C$8,horas_de_luz_por_provinci!$G$2:$G$53,horas_de_luz_por_provinci!$F$2:$F$53),Producción!$A14)*'Datos Instalación'!$F$16*'Rendimiento Paneles'!C$9*_xlfn.XLOOKUP('Datos Instalación'!$C$7,Auxiliares!$B$3:$B$6,Auxiliares!$D$3:$D$6)/1000*'Datos Instalación'!$C$16</f>
        <v>30.42811269036001</v>
      </c>
      <c r="E14" s="2">
        <f ca="1">OFFSET(horas_de_luz_por_provinci!$G$1,_xlfn.XLOOKUP('Datos Instalación'!$C$8,horas_de_luz_por_provinci!$G$2:$G$53,horas_de_luz_por_provinci!$F$2:$F$53),Producción!$A14)*'Datos Instalación'!$F$16*'Rendimiento Paneles'!D$9*_xlfn.XLOOKUP('Datos Instalación'!$C$7,Auxiliares!$B$3:$B$6,Auxiliares!$D$3:$D$6)/1000*'Datos Instalación'!$C$16</f>
        <v>30.263800881832065</v>
      </c>
      <c r="F14" s="2">
        <f ca="1">OFFSET(horas_de_luz_por_provinci!$G$1,_xlfn.XLOOKUP('Datos Instalación'!$C$8,horas_de_luz_por_provinci!$G$2:$G$53,horas_de_luz_por_provinci!$F$2:$F$53),Producción!$A14)*'Datos Instalación'!$F$16*'Rendimiento Paneles'!E$9*_xlfn.XLOOKUP('Datos Instalación'!$C$7,Auxiliares!$B$3:$B$6,Auxiliares!$D$3:$D$6)/1000*'Datos Instalación'!$C$16</f>
        <v>30.100376357070168</v>
      </c>
      <c r="G14" s="2">
        <f ca="1">OFFSET(horas_de_luz_por_provinci!$G$1,_xlfn.XLOOKUP('Datos Instalación'!$C$8,horas_de_luz_por_provinci!$G$2:$G$53,horas_de_luz_por_provinci!$F$2:$F$53),Producción!$A14)*'Datos Instalación'!$F$16*'Rendimiento Paneles'!F$9*_xlfn.XLOOKUP('Datos Instalación'!$C$7,Auxiliares!$B$3:$B$6,Auxiliares!$D$3:$D$6)/1000*'Datos Instalación'!$C$16</f>
        <v>29.937834324741985</v>
      </c>
      <c r="H14" s="2">
        <f ca="1">OFFSET(horas_de_luz_por_provinci!$G$1,_xlfn.XLOOKUP('Datos Instalación'!$C$8,horas_de_luz_por_provinci!$G$2:$G$53,horas_de_luz_por_provinci!$F$2:$F$53),Producción!$A14)*'Datos Instalación'!$F$16*'Rendimiento Paneles'!G$9*_xlfn.XLOOKUP('Datos Instalación'!$C$7,Auxiliares!$B$3:$B$6,Auxiliares!$D$3:$D$6)/1000*'Datos Instalación'!$C$16</f>
        <v>29.776170019388385</v>
      </c>
      <c r="I14" s="2">
        <f ca="1">OFFSET(horas_de_luz_por_provinci!$G$1,_xlfn.XLOOKUP('Datos Instalación'!$C$8,horas_de_luz_por_provinci!$G$2:$G$53,horas_de_luz_por_provinci!$F$2:$F$53),Producción!$A14)*'Datos Instalación'!$F$16*'Rendimiento Paneles'!H$9*_xlfn.XLOOKUP('Datos Instalación'!$C$7,Auxiliares!$B$3:$B$6,Auxiliares!$D$3:$D$6)/1000*'Datos Instalación'!$C$16</f>
        <v>29.615378701283682</v>
      </c>
      <c r="J14" s="2">
        <f ca="1">OFFSET(horas_de_luz_por_provinci!$G$1,_xlfn.XLOOKUP('Datos Instalación'!$C$8,horas_de_luz_por_provinci!$G$2:$G$53,horas_de_luz_por_provinci!$F$2:$F$53),Producción!$A14)*'Datos Instalación'!$F$16*'Rendimiento Paneles'!I$9*_xlfn.XLOOKUP('Datos Instalación'!$C$7,Auxiliares!$B$3:$B$6,Auxiliares!$D$3:$D$6)/1000*'Datos Instalación'!$C$16</f>
        <v>29.455455656296753</v>
      </c>
      <c r="K14" s="2">
        <f ca="1">OFFSET(horas_de_luz_por_provinci!$G$1,_xlfn.XLOOKUP('Datos Instalación'!$C$8,horas_de_luz_por_provinci!$G$2:$G$53,horas_de_luz_por_provinci!$F$2:$F$53),Producción!$A14)*'Datos Instalación'!$F$16*'Rendimiento Paneles'!J$9*_xlfn.XLOOKUP('Datos Instalación'!$C$7,Auxiliares!$B$3:$B$6,Auxiliares!$D$3:$D$6)/1000*'Datos Instalación'!$C$16</f>
        <v>29.296396195752756</v>
      </c>
      <c r="L14" s="2">
        <f ca="1">OFFSET(horas_de_luz_por_provinci!$G$1,_xlfn.XLOOKUP('Datos Instalación'!$C$8,horas_de_luz_por_provinci!$G$2:$G$53,horas_de_luz_por_provinci!$F$2:$F$53),Producción!$A14)*'Datos Instalación'!$F$16*'Rendimiento Paneles'!K$9*_xlfn.XLOOKUP('Datos Instalación'!$C$7,Auxiliares!$B$3:$B$6,Auxiliares!$D$3:$D$6)/1000*'Datos Instalación'!$C$16</f>
        <v>29.138195656295686</v>
      </c>
      <c r="M14" s="2">
        <f ca="1">OFFSET(horas_de_luz_por_provinci!$G$1,_xlfn.XLOOKUP('Datos Instalación'!$C$8,horas_de_luz_por_provinci!$G$2:$G$53,horas_de_luz_por_provinci!$F$2:$F$53),Producción!$A14)*'Datos Instalación'!$F$16*'Rendimiento Paneles'!L$9*_xlfn.XLOOKUP('Datos Instalación'!$C$7,Auxiliares!$B$3:$B$6,Auxiliares!$D$3:$D$6)/1000*'Datos Instalación'!$C$16</f>
        <v>28.980849399751687</v>
      </c>
      <c r="N14" s="2">
        <f ca="1">OFFSET(horas_de_luz_por_provinci!$G$1,_xlfn.XLOOKUP('Datos Instalación'!$C$8,horas_de_luz_por_provinci!$G$2:$G$53,horas_de_luz_por_provinci!$F$2:$F$53),Producción!$A14)*'Datos Instalación'!$F$16*'Rendimiento Paneles'!M$9*_xlfn.XLOOKUP('Datos Instalación'!$C$7,Auxiliares!$B$3:$B$6,Auxiliares!$D$3:$D$6)/1000*'Datos Instalación'!$C$16</f>
        <v>28.824352812993034</v>
      </c>
      <c r="O14" s="2">
        <f ca="1">OFFSET(horas_de_luz_por_provinci!$G$1,_xlfn.XLOOKUP('Datos Instalación'!$C$8,horas_de_luz_por_provinci!$G$2:$G$53,horas_de_luz_por_provinci!$F$2:$F$53),Producción!$A14)*'Datos Instalación'!$F$16*'Rendimiento Paneles'!N$9*_xlfn.XLOOKUP('Datos Instalación'!$C$7,Auxiliares!$B$3:$B$6,Auxiliares!$D$3:$D$6)/1000*'Datos Instalación'!$C$16</f>
        <v>28.668701307802873</v>
      </c>
      <c r="P14" s="2">
        <f ca="1">OFFSET(horas_de_luz_por_provinci!$G$1,_xlfn.XLOOKUP('Datos Instalación'!$C$8,horas_de_luz_por_provinci!$G$2:$G$53,horas_de_luz_por_provinci!$F$2:$F$53),Producción!$A14)*'Datos Instalación'!$F$16*'Rendimiento Paneles'!O$9*_xlfn.XLOOKUP('Datos Instalación'!$C$7,Auxiliares!$B$3:$B$6,Auxiliares!$D$3:$D$6)/1000*'Datos Instalación'!$C$16</f>
        <v>28.513890320740735</v>
      </c>
      <c r="Q14" s="2">
        <f ca="1">OFFSET(horas_de_luz_por_provinci!$G$1,_xlfn.XLOOKUP('Datos Instalación'!$C$8,horas_de_luz_por_provinci!$G$2:$G$53,horas_de_luz_por_provinci!$F$2:$F$53),Producción!$A14)*'Datos Instalación'!$F$16*'Rendimiento Paneles'!P$9*_xlfn.XLOOKUP('Datos Instalación'!$C$7,Auxiliares!$B$3:$B$6,Auxiliares!$D$3:$D$6)/1000*'Datos Instalación'!$C$16</f>
        <v>28.359915313008734</v>
      </c>
      <c r="R14" s="2">
        <f ca="1">OFFSET(horas_de_luz_por_provinci!$G$1,_xlfn.XLOOKUP('Datos Instalación'!$C$8,horas_de_luz_por_provinci!$G$2:$G$53,horas_de_luz_por_provinci!$F$2:$F$53),Producción!$A14)*'Datos Instalación'!$F$16*'Rendimiento Paneles'!Q$9*_xlfn.XLOOKUP('Datos Instalación'!$C$7,Auxiliares!$B$3:$B$6,Auxiliares!$D$3:$D$6)/1000*'Datos Instalación'!$C$16</f>
        <v>28.206771770318486</v>
      </c>
      <c r="S14" s="2">
        <f ca="1">OFFSET(horas_de_luz_por_provinci!$G$1,_xlfn.XLOOKUP('Datos Instalación'!$C$8,horas_de_luz_por_provinci!$G$2:$G$53,horas_de_luz_por_provinci!$F$2:$F$53),Producción!$A14)*'Datos Instalación'!$F$16*'Rendimiento Paneles'!R$9*_xlfn.XLOOKUP('Datos Instalación'!$C$7,Auxiliares!$B$3:$B$6,Auxiliares!$D$3:$D$6)/1000*'Datos Instalación'!$C$16</f>
        <v>28.054455202758767</v>
      </c>
      <c r="T14" s="2">
        <f ca="1">OFFSET(horas_de_luz_por_provinci!$G$1,_xlfn.XLOOKUP('Datos Instalación'!$C$8,horas_de_luz_por_provinci!$G$2:$G$53,horas_de_luz_por_provinci!$F$2:$F$53),Producción!$A14)*'Datos Instalación'!$F$16*'Rendimiento Paneles'!S$9*_xlfn.XLOOKUP('Datos Instalación'!$C$7,Auxiliares!$B$3:$B$6,Auxiliares!$D$3:$D$6)/1000*'Datos Instalación'!$C$16</f>
        <v>27.90296114466387</v>
      </c>
      <c r="U14" s="2">
        <f ca="1">OFFSET(horas_de_luz_por_provinci!$G$1,_xlfn.XLOOKUP('Datos Instalación'!$C$8,horas_de_luz_por_provinci!$G$2:$G$53,horas_de_luz_por_provinci!$F$2:$F$53),Producción!$A14)*'Datos Instalación'!$F$16*'Rendimiento Paneles'!T$9*_xlfn.XLOOKUP('Datos Instalación'!$C$7,Auxiliares!$B$3:$B$6,Auxiliares!$D$3:$D$6)/1000*'Datos Instalación'!$C$16</f>
        <v>27.752285154482681</v>
      </c>
      <c r="V14" s="2">
        <f ca="1">OFFSET(horas_de_luz_por_provinci!$G$1,_xlfn.XLOOKUP('Datos Instalación'!$C$8,horas_de_luz_por_provinci!$G$2:$G$53,horas_de_luz_por_provinci!$F$2:$F$53),Producción!$A14)*'Datos Instalación'!$F$16*'Rendimiento Paneles'!U$9*_xlfn.XLOOKUP('Datos Instalación'!$C$7,Auxiliares!$B$3:$B$6,Auxiliares!$D$3:$D$6)/1000*'Datos Instalación'!$C$16</f>
        <v>27.602422814648474</v>
      </c>
      <c r="W14" s="2">
        <f ca="1">OFFSET(horas_de_luz_por_provinci!$G$1,_xlfn.XLOOKUP('Datos Instalación'!$C$8,horas_de_luz_por_provinci!$G$2:$G$53,horas_de_luz_por_provinci!$F$2:$F$53),Producción!$A14)*'Datos Instalación'!$F$16*'Rendimiento Paneles'!V$9*_xlfn.XLOOKUP('Datos Instalación'!$C$7,Auxiliares!$B$3:$B$6,Auxiliares!$D$3:$D$6)/1000*'Datos Instalación'!$C$16</f>
        <v>27.453369731449374</v>
      </c>
      <c r="X14" s="2">
        <f ca="1">OFFSET(horas_de_luz_por_provinci!$G$1,_xlfn.XLOOKUP('Datos Instalación'!$C$8,horas_de_luz_por_provinci!$G$2:$G$53,horas_de_luz_por_provinci!$F$2:$F$53),Producción!$A14)*'Datos Instalación'!$F$16*'Rendimiento Paneles'!W$9*_xlfn.XLOOKUP('Datos Instalación'!$C$7,Auxiliares!$B$3:$B$6,Auxiliares!$D$3:$D$6)/1000*'Datos Instalación'!$C$16</f>
        <v>27.305121534899552</v>
      </c>
      <c r="Y14" s="2">
        <f ca="1">OFFSET(horas_de_luz_por_provinci!$G$1,_xlfn.XLOOKUP('Datos Instalación'!$C$8,horas_de_luz_por_provinci!$G$2:$G$53,horas_de_luz_por_provinci!$F$2:$F$53),Producción!$A14)*'Datos Instalación'!$F$16*'Rendimiento Paneles'!X$9*_xlfn.XLOOKUP('Datos Instalación'!$C$7,Auxiliares!$B$3:$B$6,Auxiliares!$D$3:$D$6)/1000*'Datos Instalación'!$C$16</f>
        <v>27.157673878611092</v>
      </c>
      <c r="Z14" s="2">
        <f ca="1">OFFSET(horas_de_luz_por_provinci!$G$1,_xlfn.XLOOKUP('Datos Instalación'!$C$8,horas_de_luz_por_provinci!$G$2:$G$53,horas_de_luz_por_provinci!$F$2:$F$53),Producción!$A14)*'Datos Instalación'!$F$16*'Rendimiento Paneles'!Y$9*_xlfn.XLOOKUP('Datos Instalación'!$C$7,Auxiliares!$B$3:$B$6,Auxiliares!$D$3:$D$6)/1000*'Datos Instalación'!$C$16</f>
        <v>27.01102243966659</v>
      </c>
      <c r="AA14" s="2">
        <f ca="1">OFFSET(horas_de_luz_por_provinci!$G$1,_xlfn.XLOOKUP('Datos Instalación'!$C$8,horas_de_luz_por_provinci!$G$2:$G$53,horas_de_luz_por_provinci!$F$2:$F$53),Producción!$A14)*'Datos Instalación'!$F$16*'Rendimiento Paneles'!Z$9*_xlfn.XLOOKUP('Datos Instalación'!$C$7,Auxiliares!$B$3:$B$6,Auxiliares!$D$3:$D$6)/1000*'Datos Instalación'!$C$16</f>
        <v>26.865162918492391</v>
      </c>
      <c r="AB14" s="2">
        <f ca="1">OFFSET(horas_de_luz_por_provinci!$G$1,_xlfn.XLOOKUP('Datos Instalación'!$C$8,horas_de_luz_por_provinci!$G$2:$G$53,horas_de_luz_por_provinci!$F$2:$F$53),Producción!$A14)*'Datos Instalación'!$F$16*'Rendimiento Paneles'!AA$9*_xlfn.XLOOKUP('Datos Instalación'!$C$7,Auxiliares!$B$3:$B$6,Auxiliares!$D$3:$D$6)/1000*'Datos Instalación'!$C$16</f>
        <v>26.720091038732534</v>
      </c>
      <c r="AC14" s="2">
        <f ca="1">OFFSET(horas_de_luz_por_provinci!$G$1,_xlfn.XLOOKUP('Datos Instalación'!$C$8,horas_de_luz_por_provinci!$G$2:$G$53,horas_de_luz_por_provinci!$F$2:$F$53),Producción!$A14)*'Datos Instalación'!$F$16*'Rendimiento Paneles'!AB$9*_xlfn.XLOOKUP('Datos Instalación'!$C$7,Auxiliares!$B$3:$B$6,Auxiliares!$D$3:$D$6)/1000*'Datos Instalación'!$C$16</f>
        <v>26.575802547123374</v>
      </c>
      <c r="AD14" s="2">
        <f ca="1">OFFSET(horas_de_luz_por_provinci!$G$1,_xlfn.XLOOKUP('Datos Instalación'!$C$8,horas_de_luz_por_provinci!$G$2:$G$53,horas_de_luz_por_provinci!$F$2:$F$53),Producción!$A14)*'Datos Instalación'!$F$16*'Rendimiento Paneles'!AC$9*_xlfn.XLOOKUP('Datos Instalación'!$C$7,Auxiliares!$B$3:$B$6,Auxiliares!$D$3:$D$6)/1000*'Datos Instalación'!$C$16</f>
        <v>26.432293213368908</v>
      </c>
      <c r="AE14" s="2">
        <f ca="1">OFFSET(horas_de_luz_por_provinci!$G$1,_xlfn.XLOOKUP('Datos Instalación'!$C$8,horas_de_luz_por_provinci!$G$2:$G$53,horas_de_luz_por_provinci!$F$2:$F$53),Producción!$A14)*'Datos Instalación'!$F$16*'Rendimiento Paneles'!AD$9*_xlfn.XLOOKUP('Datos Instalación'!$C$7,Auxiliares!$B$3:$B$6,Auxiliares!$D$3:$D$6)/1000*'Datos Instalación'!$C$16</f>
        <v>26.28955883001672</v>
      </c>
      <c r="AF14" s="2">
        <f ca="1">OFFSET(horas_de_luz_por_provinci!$G$1,_xlfn.XLOOKUP('Datos Instalación'!$C$8,horas_de_luz_por_provinci!$G$2:$G$53,horas_de_luz_por_provinci!$F$2:$F$53),Producción!$A14)*'Datos Instalación'!$F$16*'Rendimiento Paneles'!AE$9*_xlfn.XLOOKUP('Datos Instalación'!$C$7,Auxiliares!$B$3:$B$6,Auxiliares!$D$3:$D$6)/1000*'Datos Instalación'!$C$16</f>
        <v>26.147595212334622</v>
      </c>
      <c r="AG14" s="2">
        <f ca="1">OFFSET(horas_de_luz_por_provinci!$G$1,_xlfn.XLOOKUP('Datos Instalación'!$C$8,horas_de_luz_por_provinci!$G$2:$G$53,horas_de_luz_por_provinci!$F$2:$F$53),Producción!$A14)*'Datos Instalación'!$F$16*'Rendimiento Paneles'!AF$9*_xlfn.XLOOKUP('Datos Instalación'!$C$7,Auxiliares!$B$3:$B$6,Auxiliares!$D$3:$D$6)/1000*'Datos Instalación'!$C$16</f>
        <v>26.00639819818802</v>
      </c>
    </row>
    <row r="15" spans="1:33">
      <c r="A15" s="2">
        <v>9</v>
      </c>
      <c r="B15" s="12" t="s">
        <v>12</v>
      </c>
      <c r="C15" s="2">
        <f ca="1">OFFSET(horas_de_luz_por_provinci!$G$1,_xlfn.XLOOKUP('Datos Instalación'!$C$8,horas_de_luz_por_provinci!$G$2:$G$53,horas_de_luz_por_provinci!$F$2:$F$53),Producción!$A15)*'Datos Instalación'!$F$16*'Rendimiento Paneles'!B$9*_xlfn.XLOOKUP('Datos Instalación'!$C$7,Auxiliares!$B$3:$B$6,Auxiliares!$D$3:$D$6)/1000*'Datos Instalación'!$C$16</f>
        <v>27.8039916</v>
      </c>
      <c r="D15" s="2">
        <f ca="1">OFFSET(horas_de_luz_por_provinci!$G$1,_xlfn.XLOOKUP('Datos Instalación'!$C$8,horas_de_luz_por_provinci!$G$2:$G$53,horas_de_luz_por_provinci!$F$2:$F$53),Producción!$A15)*'Datos Instalación'!$F$16*'Rendimiento Paneles'!C$9*_xlfn.XLOOKUP('Datos Instalación'!$C$7,Auxiliares!$B$3:$B$6,Auxiliares!$D$3:$D$6)/1000*'Datos Instalación'!$C$16</f>
        <v>27.653850045360002</v>
      </c>
      <c r="E15" s="2">
        <f ca="1">OFFSET(horas_de_luz_por_provinci!$G$1,_xlfn.XLOOKUP('Datos Instalación'!$C$8,horas_de_luz_por_provinci!$G$2:$G$53,horas_de_luz_por_provinci!$F$2:$F$53),Producción!$A15)*'Datos Instalación'!$F$16*'Rendimiento Paneles'!D$9*_xlfn.XLOOKUP('Datos Instalación'!$C$7,Auxiliares!$B$3:$B$6,Auxiliares!$D$3:$D$6)/1000*'Datos Instalación'!$C$16</f>
        <v>27.50451925511506</v>
      </c>
      <c r="F15" s="2">
        <f ca="1">OFFSET(horas_de_luz_por_provinci!$G$1,_xlfn.XLOOKUP('Datos Instalación'!$C$8,horas_de_luz_por_provinci!$G$2:$G$53,horas_de_luz_por_provinci!$F$2:$F$53),Producción!$A15)*'Datos Instalación'!$F$16*'Rendimiento Paneles'!E$9*_xlfn.XLOOKUP('Datos Instalación'!$C$7,Auxiliares!$B$3:$B$6,Auxiliares!$D$3:$D$6)/1000*'Datos Instalación'!$C$16</f>
        <v>27.355994851137435</v>
      </c>
      <c r="G15" s="2">
        <f ca="1">OFFSET(horas_de_luz_por_provinci!$G$1,_xlfn.XLOOKUP('Datos Instalación'!$C$8,horas_de_luz_por_provinci!$G$2:$G$53,horas_de_luz_por_provinci!$F$2:$F$53),Producción!$A15)*'Datos Instalación'!$F$16*'Rendimiento Paneles'!F$9*_xlfn.XLOOKUP('Datos Instalación'!$C$7,Auxiliares!$B$3:$B$6,Auxiliares!$D$3:$D$6)/1000*'Datos Instalación'!$C$16</f>
        <v>27.208272478941293</v>
      </c>
      <c r="H15" s="2">
        <f ca="1">OFFSET(horas_de_luz_por_provinci!$G$1,_xlfn.XLOOKUP('Datos Instalación'!$C$8,horas_de_luz_por_provinci!$G$2:$G$53,horas_de_luz_por_provinci!$F$2:$F$53),Producción!$A15)*'Datos Instalación'!$F$16*'Rendimiento Paneles'!G$9*_xlfn.XLOOKUP('Datos Instalación'!$C$7,Auxiliares!$B$3:$B$6,Auxiliares!$D$3:$D$6)/1000*'Datos Instalación'!$C$16</f>
        <v>27.061347807555013</v>
      </c>
      <c r="I15" s="2">
        <f ca="1">OFFSET(horas_de_luz_por_provinci!$G$1,_xlfn.XLOOKUP('Datos Instalación'!$C$8,horas_de_luz_por_provinci!$G$2:$G$53,horas_de_luz_por_provinci!$F$2:$F$53),Producción!$A15)*'Datos Instalación'!$F$16*'Rendimiento Paneles'!H$9*_xlfn.XLOOKUP('Datos Instalación'!$C$7,Auxiliares!$B$3:$B$6,Auxiliares!$D$3:$D$6)/1000*'Datos Instalación'!$C$16</f>
        <v>26.915216529394211</v>
      </c>
      <c r="J15" s="2">
        <f ca="1">OFFSET(horas_de_luz_por_provinci!$G$1,_xlfn.XLOOKUP('Datos Instalación'!$C$8,horas_de_luz_por_provinci!$G$2:$G$53,horas_de_luz_por_provinci!$F$2:$F$53),Producción!$A15)*'Datos Instalación'!$F$16*'Rendimiento Paneles'!I$9*_xlfn.XLOOKUP('Datos Instalación'!$C$7,Auxiliares!$B$3:$B$6,Auxiliares!$D$3:$D$6)/1000*'Datos Instalación'!$C$16</f>
        <v>26.769874360135486</v>
      </c>
      <c r="K15" s="2">
        <f ca="1">OFFSET(horas_de_luz_por_provinci!$G$1,_xlfn.XLOOKUP('Datos Instalación'!$C$8,horas_de_luz_por_provinci!$G$2:$G$53,horas_de_luz_por_provinci!$F$2:$F$53),Producción!$A15)*'Datos Instalación'!$F$16*'Rendimiento Paneles'!J$9*_xlfn.XLOOKUP('Datos Instalación'!$C$7,Auxiliares!$B$3:$B$6,Auxiliares!$D$3:$D$6)/1000*'Datos Instalación'!$C$16</f>
        <v>26.625317038590754</v>
      </c>
      <c r="L15" s="2">
        <f ca="1">OFFSET(horas_de_luz_por_provinci!$G$1,_xlfn.XLOOKUP('Datos Instalación'!$C$8,horas_de_luz_por_provinci!$G$2:$G$53,horas_de_luz_por_provinci!$F$2:$F$53),Producción!$A15)*'Datos Instalación'!$F$16*'Rendimiento Paneles'!K$9*_xlfn.XLOOKUP('Datos Instalación'!$C$7,Auxiliares!$B$3:$B$6,Auxiliares!$D$3:$D$6)/1000*'Datos Instalación'!$C$16</f>
        <v>26.481540326582365</v>
      </c>
      <c r="M15" s="2">
        <f ca="1">OFFSET(horas_de_luz_por_provinci!$G$1,_xlfn.XLOOKUP('Datos Instalación'!$C$8,horas_de_luz_por_provinci!$G$2:$G$53,horas_de_luz_por_provinci!$F$2:$F$53),Producción!$A15)*'Datos Instalación'!$F$16*'Rendimiento Paneles'!L$9*_xlfn.XLOOKUP('Datos Instalación'!$C$7,Auxiliares!$B$3:$B$6,Auxiliares!$D$3:$D$6)/1000*'Datos Instalación'!$C$16</f>
        <v>26.338540008818821</v>
      </c>
      <c r="N15" s="2">
        <f ca="1">OFFSET(horas_de_luz_por_provinci!$G$1,_xlfn.XLOOKUP('Datos Instalación'!$C$8,horas_de_luz_por_provinci!$G$2:$G$53,horas_de_luz_por_provinci!$F$2:$F$53),Producción!$A15)*'Datos Instalación'!$F$16*'Rendimiento Paneles'!M$9*_xlfn.XLOOKUP('Datos Instalación'!$C$7,Auxiliares!$B$3:$B$6,Auxiliares!$D$3:$D$6)/1000*'Datos Instalación'!$C$16</f>
        <v>26.196311892771199</v>
      </c>
      <c r="O15" s="2">
        <f ca="1">OFFSET(horas_de_luz_por_provinci!$G$1,_xlfn.XLOOKUP('Datos Instalación'!$C$8,horas_de_luz_por_provinci!$G$2:$G$53,horas_de_luz_por_provinci!$F$2:$F$53),Producción!$A15)*'Datos Instalación'!$F$16*'Rendimiento Paneles'!N$9*_xlfn.XLOOKUP('Datos Instalación'!$C$7,Auxiliares!$B$3:$B$6,Auxiliares!$D$3:$D$6)/1000*'Datos Instalación'!$C$16</f>
        <v>26.054851808550232</v>
      </c>
      <c r="P15" s="2">
        <f ca="1">OFFSET(horas_de_luz_por_provinci!$G$1,_xlfn.XLOOKUP('Datos Instalación'!$C$8,horas_de_luz_por_provinci!$G$2:$G$53,horas_de_luz_por_provinci!$F$2:$F$53),Producción!$A15)*'Datos Instalación'!$F$16*'Rendimiento Paneles'!O$9*_xlfn.XLOOKUP('Datos Instalación'!$C$7,Auxiliares!$B$3:$B$6,Auxiliares!$D$3:$D$6)/1000*'Datos Instalación'!$C$16</f>
        <v>25.914155608784064</v>
      </c>
      <c r="Q15" s="2">
        <f ca="1">OFFSET(horas_de_luz_por_provinci!$G$1,_xlfn.XLOOKUP('Datos Instalación'!$C$8,horas_de_luz_por_provinci!$G$2:$G$53,horas_de_luz_por_provinci!$F$2:$F$53),Producción!$A15)*'Datos Instalación'!$F$16*'Rendimiento Paneles'!P$9*_xlfn.XLOOKUP('Datos Instalación'!$C$7,Auxiliares!$B$3:$B$6,Auxiliares!$D$3:$D$6)/1000*'Datos Instalación'!$C$16</f>
        <v>25.774219168496625</v>
      </c>
      <c r="R15" s="2">
        <f ca="1">OFFSET(horas_de_luz_por_provinci!$G$1,_xlfn.XLOOKUP('Datos Instalación'!$C$8,horas_de_luz_por_provinci!$G$2:$G$53,horas_de_luz_por_provinci!$F$2:$F$53),Producción!$A15)*'Datos Instalación'!$F$16*'Rendimiento Paneles'!Q$9*_xlfn.XLOOKUP('Datos Instalación'!$C$7,Auxiliares!$B$3:$B$6,Auxiliares!$D$3:$D$6)/1000*'Datos Instalación'!$C$16</f>
        <v>25.635038384986743</v>
      </c>
      <c r="S15" s="2">
        <f ca="1">OFFSET(horas_de_luz_por_provinci!$G$1,_xlfn.XLOOKUP('Datos Instalación'!$C$8,horas_de_luz_por_provinci!$G$2:$G$53,horas_de_luz_por_provinci!$F$2:$F$53),Producción!$A15)*'Datos Instalación'!$F$16*'Rendimiento Paneles'!R$9*_xlfn.XLOOKUP('Datos Instalación'!$C$7,Auxiliares!$B$3:$B$6,Auxiliares!$D$3:$D$6)/1000*'Datos Instalación'!$C$16</f>
        <v>25.496609177707818</v>
      </c>
      <c r="T15" s="2">
        <f ca="1">OFFSET(horas_de_luz_por_provinci!$G$1,_xlfn.XLOOKUP('Datos Instalación'!$C$8,horas_de_luz_por_provinci!$G$2:$G$53,horas_de_luz_por_provinci!$F$2:$F$53),Producción!$A15)*'Datos Instalación'!$F$16*'Rendimiento Paneles'!S$9*_xlfn.XLOOKUP('Datos Instalación'!$C$7,Auxiliares!$B$3:$B$6,Auxiliares!$D$3:$D$6)/1000*'Datos Instalación'!$C$16</f>
        <v>25.358927488148201</v>
      </c>
      <c r="U15" s="2">
        <f ca="1">OFFSET(horas_de_luz_por_provinci!$G$1,_xlfn.XLOOKUP('Datos Instalación'!$C$8,horas_de_luz_por_provinci!$G$2:$G$53,horas_de_luz_por_provinci!$F$2:$F$53),Producción!$A15)*'Datos Instalación'!$F$16*'Rendimiento Paneles'!T$9*_xlfn.XLOOKUP('Datos Instalación'!$C$7,Auxiliares!$B$3:$B$6,Auxiliares!$D$3:$D$6)/1000*'Datos Instalación'!$C$16</f>
        <v>25.221989279712194</v>
      </c>
      <c r="V15" s="2">
        <f ca="1">OFFSET(horas_de_luz_por_provinci!$G$1,_xlfn.XLOOKUP('Datos Instalación'!$C$8,horas_de_luz_por_provinci!$G$2:$G$53,horas_de_luz_por_provinci!$F$2:$F$53),Producción!$A15)*'Datos Instalación'!$F$16*'Rendimiento Paneles'!U$9*_xlfn.XLOOKUP('Datos Instalación'!$C$7,Auxiliares!$B$3:$B$6,Auxiliares!$D$3:$D$6)/1000*'Datos Instalación'!$C$16</f>
        <v>25.085790537601746</v>
      </c>
      <c r="W15" s="2">
        <f ca="1">OFFSET(horas_de_luz_por_provinci!$G$1,_xlfn.XLOOKUP('Datos Instalación'!$C$8,horas_de_luz_por_provinci!$G$2:$G$53,horas_de_luz_por_provinci!$F$2:$F$53),Producción!$A15)*'Datos Instalación'!$F$16*'Rendimiento Paneles'!V$9*_xlfn.XLOOKUP('Datos Instalación'!$C$7,Auxiliares!$B$3:$B$6,Auxiliares!$D$3:$D$6)/1000*'Datos Instalación'!$C$16</f>
        <v>24.950327268698693</v>
      </c>
      <c r="X15" s="2">
        <f ca="1">OFFSET(horas_de_luz_por_provinci!$G$1,_xlfn.XLOOKUP('Datos Instalación'!$C$8,horas_de_luz_por_provinci!$G$2:$G$53,horas_de_luz_por_provinci!$F$2:$F$53),Producción!$A15)*'Datos Instalación'!$F$16*'Rendimiento Paneles'!W$9*_xlfn.XLOOKUP('Datos Instalación'!$C$7,Auxiliares!$B$3:$B$6,Auxiliares!$D$3:$D$6)/1000*'Datos Instalación'!$C$16</f>
        <v>24.815595501447731</v>
      </c>
      <c r="Y15" s="2">
        <f ca="1">OFFSET(horas_de_luz_por_provinci!$G$1,_xlfn.XLOOKUP('Datos Instalación'!$C$8,horas_de_luz_por_provinci!$G$2:$G$53,horas_de_luz_por_provinci!$F$2:$F$53),Producción!$A15)*'Datos Instalación'!$F$16*'Rendimiento Paneles'!X$9*_xlfn.XLOOKUP('Datos Instalación'!$C$7,Auxiliares!$B$3:$B$6,Auxiliares!$D$3:$D$6)/1000*'Datos Instalación'!$C$16</f>
        <v>24.681591285739909</v>
      </c>
      <c r="Z15" s="2">
        <f ca="1">OFFSET(horas_de_luz_por_provinci!$G$1,_xlfn.XLOOKUP('Datos Instalación'!$C$8,horas_de_luz_por_provinci!$G$2:$G$53,horas_de_luz_por_provinci!$F$2:$F$53),Producción!$A15)*'Datos Instalación'!$F$16*'Rendimiento Paneles'!Y$9*_xlfn.XLOOKUP('Datos Instalación'!$C$7,Auxiliares!$B$3:$B$6,Auxiliares!$D$3:$D$6)/1000*'Datos Instalación'!$C$16</f>
        <v>24.54831069279691</v>
      </c>
      <c r="AA15" s="2">
        <f ca="1">OFFSET(horas_de_luz_por_provinci!$G$1,_xlfn.XLOOKUP('Datos Instalación'!$C$8,horas_de_luz_por_provinci!$G$2:$G$53,horas_de_luz_por_provinci!$F$2:$F$53),Producción!$A15)*'Datos Instalación'!$F$16*'Rendimiento Paneles'!Z$9*_xlfn.XLOOKUP('Datos Instalación'!$C$7,Auxiliares!$B$3:$B$6,Auxiliares!$D$3:$D$6)/1000*'Datos Instalación'!$C$16</f>
        <v>24.415749815055808</v>
      </c>
      <c r="AB15" s="2">
        <f ca="1">OFFSET(horas_de_luz_por_provinci!$G$1,_xlfn.XLOOKUP('Datos Instalación'!$C$8,horas_de_luz_por_provinci!$G$2:$G$53,horas_de_luz_por_provinci!$F$2:$F$53),Producción!$A15)*'Datos Instalación'!$F$16*'Rendimiento Paneles'!AA$9*_xlfn.XLOOKUP('Datos Instalación'!$C$7,Auxiliares!$B$3:$B$6,Auxiliares!$D$3:$D$6)/1000*'Datos Instalación'!$C$16</f>
        <v>24.283904766054512</v>
      </c>
      <c r="AC15" s="2">
        <f ca="1">OFFSET(horas_de_luz_por_provinci!$G$1,_xlfn.XLOOKUP('Datos Instalación'!$C$8,horas_de_luz_por_provinci!$G$2:$G$53,horas_de_luz_por_provinci!$F$2:$F$53),Producción!$A15)*'Datos Instalación'!$F$16*'Rendimiento Paneles'!AB$9*_xlfn.XLOOKUP('Datos Instalación'!$C$7,Auxiliares!$B$3:$B$6,Auxiliares!$D$3:$D$6)/1000*'Datos Instalación'!$C$16</f>
        <v>24.152771680317816</v>
      </c>
      <c r="AD15" s="2">
        <f ca="1">OFFSET(horas_de_luz_por_provinci!$G$1,_xlfn.XLOOKUP('Datos Instalación'!$C$8,horas_de_luz_por_provinci!$G$2:$G$53,horas_de_luz_por_provinci!$F$2:$F$53),Producción!$A15)*'Datos Instalación'!$F$16*'Rendimiento Paneles'!AC$9*_xlfn.XLOOKUP('Datos Instalación'!$C$7,Auxiliares!$B$3:$B$6,Auxiliares!$D$3:$D$6)/1000*'Datos Instalación'!$C$16</f>
        <v>24.022346713244094</v>
      </c>
      <c r="AE15" s="2">
        <f ca="1">OFFSET(horas_de_luz_por_provinci!$G$1,_xlfn.XLOOKUP('Datos Instalación'!$C$8,horas_de_luz_por_provinci!$G$2:$G$53,horas_de_luz_por_provinci!$F$2:$F$53),Producción!$A15)*'Datos Instalación'!$F$16*'Rendimiento Paneles'!AD$9*_xlfn.XLOOKUP('Datos Instalación'!$C$7,Auxiliares!$B$3:$B$6,Auxiliares!$D$3:$D$6)/1000*'Datos Instalación'!$C$16</f>
        <v>23.892626040992578</v>
      </c>
      <c r="AF15" s="2">
        <f ca="1">OFFSET(horas_de_luz_por_provinci!$G$1,_xlfn.XLOOKUP('Datos Instalación'!$C$8,horas_de_luz_por_provinci!$G$2:$G$53,horas_de_luz_por_provinci!$F$2:$F$53),Producción!$A15)*'Datos Instalación'!$F$16*'Rendimiento Paneles'!AE$9*_xlfn.XLOOKUP('Datos Instalación'!$C$7,Auxiliares!$B$3:$B$6,Auxiliares!$D$3:$D$6)/1000*'Datos Instalación'!$C$16</f>
        <v>23.763605860371218</v>
      </c>
      <c r="AG15" s="2">
        <f ca="1">OFFSET(horas_de_luz_por_provinci!$G$1,_xlfn.XLOOKUP('Datos Instalación'!$C$8,horas_de_luz_por_provinci!$G$2:$G$53,horas_de_luz_por_provinci!$F$2:$F$53),Producción!$A15)*'Datos Instalación'!$F$16*'Rendimiento Paneles'!AF$9*_xlfn.XLOOKUP('Datos Instalación'!$C$7,Auxiliares!$B$3:$B$6,Auxiliares!$D$3:$D$6)/1000*'Datos Instalación'!$C$16</f>
        <v>23.635282388725212</v>
      </c>
    </row>
    <row r="16" spans="1:33">
      <c r="A16" s="2">
        <v>10</v>
      </c>
      <c r="B16" s="12" t="s">
        <v>13</v>
      </c>
      <c r="C16" s="2">
        <f ca="1">OFFSET(horas_de_luz_por_provinci!$G$1,_xlfn.XLOOKUP('Datos Instalación'!$C$8,horas_de_luz_por_provinci!$G$2:$G$53,horas_de_luz_por_provinci!$F$2:$F$53),Producción!$A16)*'Datos Instalación'!$F$16*'Rendimiento Paneles'!B$9*_xlfn.XLOOKUP('Datos Instalación'!$C$7,Auxiliares!$B$3:$B$6,Auxiliares!$D$3:$D$6)/1000*'Datos Instalación'!$C$16</f>
        <v>24.880779</v>
      </c>
      <c r="D16" s="2">
        <f ca="1">OFFSET(horas_de_luz_por_provinci!$G$1,_xlfn.XLOOKUP('Datos Instalación'!$C$8,horas_de_luz_por_provinci!$G$2:$G$53,horas_de_luz_por_provinci!$F$2:$F$53),Producción!$A16)*'Datos Instalación'!$F$16*'Rendimiento Paneles'!C$9*_xlfn.XLOOKUP('Datos Instalación'!$C$7,Auxiliares!$B$3:$B$6,Auxiliares!$D$3:$D$6)/1000*'Datos Instalación'!$C$16</f>
        <v>24.746422793400001</v>
      </c>
      <c r="E16" s="2">
        <f ca="1">OFFSET(horas_de_luz_por_provinci!$G$1,_xlfn.XLOOKUP('Datos Instalación'!$C$8,horas_de_luz_por_provinci!$G$2:$G$53,horas_de_luz_por_provinci!$F$2:$F$53),Producción!$A16)*'Datos Instalación'!$F$16*'Rendimiento Paneles'!D$9*_xlfn.XLOOKUP('Datos Instalación'!$C$7,Auxiliares!$B$3:$B$6,Auxiliares!$D$3:$D$6)/1000*'Datos Instalación'!$C$16</f>
        <v>24.612792110315638</v>
      </c>
      <c r="F16" s="2">
        <f ca="1">OFFSET(horas_de_luz_por_provinci!$G$1,_xlfn.XLOOKUP('Datos Instalación'!$C$8,horas_de_luz_por_provinci!$G$2:$G$53,horas_de_luz_por_provinci!$F$2:$F$53),Producción!$A16)*'Datos Instalación'!$F$16*'Rendimiento Paneles'!E$9*_xlfn.XLOOKUP('Datos Instalación'!$C$7,Auxiliares!$B$3:$B$6,Auxiliares!$D$3:$D$6)/1000*'Datos Instalación'!$C$16</f>
        <v>24.479883032919936</v>
      </c>
      <c r="G16" s="2">
        <f ca="1">OFFSET(horas_de_luz_por_provinci!$G$1,_xlfn.XLOOKUP('Datos Instalación'!$C$8,horas_de_luz_por_provinci!$G$2:$G$53,horas_de_luz_por_provinci!$F$2:$F$53),Producción!$A16)*'Datos Instalación'!$F$16*'Rendimiento Paneles'!F$9*_xlfn.XLOOKUP('Datos Instalación'!$C$7,Auxiliares!$B$3:$B$6,Auxiliares!$D$3:$D$6)/1000*'Datos Instalación'!$C$16</f>
        <v>24.347691664542168</v>
      </c>
      <c r="H16" s="2">
        <f ca="1">OFFSET(horas_de_luz_por_provinci!$G$1,_xlfn.XLOOKUP('Datos Instalación'!$C$8,horas_de_luz_por_provinci!$G$2:$G$53,horas_de_luz_por_provinci!$F$2:$F$53),Producción!$A16)*'Datos Instalación'!$F$16*'Rendimiento Paneles'!G$9*_xlfn.XLOOKUP('Datos Instalación'!$C$7,Auxiliares!$B$3:$B$6,Auxiliares!$D$3:$D$6)/1000*'Datos Instalación'!$C$16</f>
        <v>24.216214129553641</v>
      </c>
      <c r="I16" s="2">
        <f ca="1">OFFSET(horas_de_luz_por_provinci!$G$1,_xlfn.XLOOKUP('Datos Instalación'!$C$8,horas_de_luz_por_provinci!$G$2:$G$53,horas_de_luz_por_provinci!$F$2:$F$53),Producción!$A16)*'Datos Instalación'!$F$16*'Rendimiento Paneles'!H$9*_xlfn.XLOOKUP('Datos Instalación'!$C$7,Auxiliares!$B$3:$B$6,Auxiliares!$D$3:$D$6)/1000*'Datos Instalación'!$C$16</f>
        <v>24.08544657325405</v>
      </c>
      <c r="J16" s="2">
        <f ca="1">OFFSET(horas_de_luz_por_provinci!$G$1,_xlfn.XLOOKUP('Datos Instalación'!$C$8,horas_de_luz_por_provinci!$G$2:$G$53,horas_de_luz_por_provinci!$F$2:$F$53),Producción!$A16)*'Datos Instalación'!$F$16*'Rendimiento Paneles'!I$9*_xlfn.XLOOKUP('Datos Instalación'!$C$7,Auxiliares!$B$3:$B$6,Auxiliares!$D$3:$D$6)/1000*'Datos Instalación'!$C$16</f>
        <v>23.955385161758482</v>
      </c>
      <c r="K16" s="2">
        <f ca="1">OFFSET(horas_de_luz_por_provinci!$G$1,_xlfn.XLOOKUP('Datos Instalación'!$C$8,horas_de_luz_por_provinci!$G$2:$G$53,horas_de_luz_por_provinci!$F$2:$F$53),Producción!$A16)*'Datos Instalación'!$F$16*'Rendimiento Paneles'!J$9*_xlfn.XLOOKUP('Datos Instalación'!$C$7,Auxiliares!$B$3:$B$6,Auxiliares!$D$3:$D$6)/1000*'Datos Instalación'!$C$16</f>
        <v>23.826026081884979</v>
      </c>
      <c r="L16" s="2">
        <f ca="1">OFFSET(horas_de_luz_por_provinci!$G$1,_xlfn.XLOOKUP('Datos Instalación'!$C$8,horas_de_luz_por_provinci!$G$2:$G$53,horas_de_luz_por_provinci!$F$2:$F$53),Producción!$A16)*'Datos Instalación'!$F$16*'Rendimiento Paneles'!K$9*_xlfn.XLOOKUP('Datos Instalación'!$C$7,Auxiliares!$B$3:$B$6,Auxiliares!$D$3:$D$6)/1000*'Datos Instalación'!$C$16</f>
        <v>23.697365541042807</v>
      </c>
      <c r="M16" s="2">
        <f ca="1">OFFSET(horas_de_luz_por_provinci!$G$1,_xlfn.XLOOKUP('Datos Instalación'!$C$8,horas_de_luz_por_provinci!$G$2:$G$53,horas_de_luz_por_provinci!$F$2:$F$53),Producción!$A16)*'Datos Instalación'!$F$16*'Rendimiento Paneles'!L$9*_xlfn.XLOOKUP('Datos Instalación'!$C$7,Auxiliares!$B$3:$B$6,Auxiliares!$D$3:$D$6)/1000*'Datos Instalación'!$C$16</f>
        <v>23.569399767121176</v>
      </c>
      <c r="N16" s="2">
        <f ca="1">OFFSET(horas_de_luz_por_provinci!$G$1,_xlfn.XLOOKUP('Datos Instalación'!$C$8,horas_de_luz_por_provinci!$G$2:$G$53,horas_de_luz_por_provinci!$F$2:$F$53),Producción!$A16)*'Datos Instalación'!$F$16*'Rendimiento Paneles'!M$9*_xlfn.XLOOKUP('Datos Instalación'!$C$7,Auxiliares!$B$3:$B$6,Auxiliares!$D$3:$D$6)/1000*'Datos Instalación'!$C$16</f>
        <v>23.442125008378721</v>
      </c>
      <c r="O16" s="2">
        <f ca="1">OFFSET(horas_de_luz_por_provinci!$G$1,_xlfn.XLOOKUP('Datos Instalación'!$C$8,horas_de_luz_por_provinci!$G$2:$G$53,horas_de_luz_por_provinci!$F$2:$F$53),Producción!$A16)*'Datos Instalación'!$F$16*'Rendimiento Paneles'!N$9*_xlfn.XLOOKUP('Datos Instalación'!$C$7,Auxiliares!$B$3:$B$6,Auxiliares!$D$3:$D$6)/1000*'Datos Instalación'!$C$16</f>
        <v>23.315537533333476</v>
      </c>
      <c r="P16" s="2">
        <f ca="1">OFFSET(horas_de_luz_por_provinci!$G$1,_xlfn.XLOOKUP('Datos Instalación'!$C$8,horas_de_luz_por_provinci!$G$2:$G$53,horas_de_luz_por_provinci!$F$2:$F$53),Producción!$A16)*'Datos Instalación'!$F$16*'Rendimiento Paneles'!O$9*_xlfn.XLOOKUP('Datos Instalación'!$C$7,Auxiliares!$B$3:$B$6,Auxiliares!$D$3:$D$6)/1000*'Datos Instalación'!$C$16</f>
        <v>23.189633630653475</v>
      </c>
      <c r="Q16" s="2">
        <f ca="1">OFFSET(horas_de_luz_por_provinci!$G$1,_xlfn.XLOOKUP('Datos Instalación'!$C$8,horas_de_luz_por_provinci!$G$2:$G$53,horas_de_luz_por_provinci!$F$2:$F$53),Producción!$A16)*'Datos Instalación'!$F$16*'Rendimiento Paneles'!P$9*_xlfn.XLOOKUP('Datos Instalación'!$C$7,Auxiliares!$B$3:$B$6,Auxiliares!$D$3:$D$6)/1000*'Datos Instalación'!$C$16</f>
        <v>23.064409609047946</v>
      </c>
      <c r="R16" s="2">
        <f ca="1">OFFSET(horas_de_luz_por_provinci!$G$1,_xlfn.XLOOKUP('Datos Instalación'!$C$8,horas_de_luz_por_provinci!$G$2:$G$53,horas_de_luz_por_provinci!$F$2:$F$53),Producción!$A16)*'Datos Instalación'!$F$16*'Rendimiento Paneles'!Q$9*_xlfn.XLOOKUP('Datos Instalación'!$C$7,Auxiliares!$B$3:$B$6,Auxiliares!$D$3:$D$6)/1000*'Datos Instalación'!$C$16</f>
        <v>22.939861797159082</v>
      </c>
      <c r="S16" s="2">
        <f ca="1">OFFSET(horas_de_luz_por_provinci!$G$1,_xlfn.XLOOKUP('Datos Instalación'!$C$8,horas_de_luz_por_provinci!$G$2:$G$53,horas_de_luz_por_provinci!$F$2:$F$53),Producción!$A16)*'Datos Instalación'!$F$16*'Rendimiento Paneles'!R$9*_xlfn.XLOOKUP('Datos Instalación'!$C$7,Auxiliares!$B$3:$B$6,Auxiliares!$D$3:$D$6)/1000*'Datos Instalación'!$C$16</f>
        <v>22.815986543454425</v>
      </c>
      <c r="T16" s="2">
        <f ca="1">OFFSET(horas_de_luz_por_provinci!$G$1,_xlfn.XLOOKUP('Datos Instalación'!$C$8,horas_de_luz_por_provinci!$G$2:$G$53,horas_de_luz_por_provinci!$F$2:$F$53),Producción!$A16)*'Datos Instalación'!$F$16*'Rendimiento Paneles'!S$9*_xlfn.XLOOKUP('Datos Instalación'!$C$7,Auxiliares!$B$3:$B$6,Auxiliares!$D$3:$D$6)/1000*'Datos Instalación'!$C$16</f>
        <v>22.692780216119775</v>
      </c>
      <c r="U16" s="2">
        <f ca="1">OFFSET(horas_de_luz_por_provinci!$G$1,_xlfn.XLOOKUP('Datos Instalación'!$C$8,horas_de_luz_por_provinci!$G$2:$G$53,horas_de_luz_por_provinci!$F$2:$F$53),Producción!$A16)*'Datos Instalación'!$F$16*'Rendimiento Paneles'!T$9*_xlfn.XLOOKUP('Datos Instalación'!$C$7,Auxiliares!$B$3:$B$6,Auxiliares!$D$3:$D$6)/1000*'Datos Instalación'!$C$16</f>
        <v>22.570239202952724</v>
      </c>
      <c r="V16" s="2">
        <f ca="1">OFFSET(horas_de_luz_por_provinci!$G$1,_xlfn.XLOOKUP('Datos Instalación'!$C$8,horas_de_luz_por_provinci!$G$2:$G$53,horas_de_luz_por_provinci!$F$2:$F$53),Producción!$A16)*'Datos Instalación'!$F$16*'Rendimiento Paneles'!U$9*_xlfn.XLOOKUP('Datos Instalación'!$C$7,Auxiliares!$B$3:$B$6,Auxiliares!$D$3:$D$6)/1000*'Datos Instalación'!$C$16</f>
        <v>22.44835991125678</v>
      </c>
      <c r="W16" s="2">
        <f ca="1">OFFSET(horas_de_luz_por_provinci!$G$1,_xlfn.XLOOKUP('Datos Instalación'!$C$8,horas_de_luz_por_provinci!$G$2:$G$53,horas_de_luz_por_provinci!$F$2:$F$53),Producción!$A16)*'Datos Instalación'!$F$16*'Rendimiento Paneles'!V$9*_xlfn.XLOOKUP('Datos Instalación'!$C$7,Auxiliares!$B$3:$B$6,Auxiliares!$D$3:$D$6)/1000*'Datos Instalación'!$C$16</f>
        <v>22.327138767735992</v>
      </c>
      <c r="X16" s="2">
        <f ca="1">OFFSET(horas_de_luz_por_provinci!$G$1,_xlfn.XLOOKUP('Datos Instalación'!$C$8,horas_de_luz_por_provinci!$G$2:$G$53,horas_de_luz_por_provinci!$F$2:$F$53),Producción!$A16)*'Datos Instalación'!$F$16*'Rendimiento Paneles'!W$9*_xlfn.XLOOKUP('Datos Instalación'!$C$7,Auxiliares!$B$3:$B$6,Auxiliares!$D$3:$D$6)/1000*'Datos Instalación'!$C$16</f>
        <v>22.206572218390221</v>
      </c>
      <c r="Y16" s="2">
        <f ca="1">OFFSET(horas_de_luz_por_provinci!$G$1,_xlfn.XLOOKUP('Datos Instalación'!$C$8,horas_de_luz_por_provinci!$G$2:$G$53,horas_de_luz_por_provinci!$F$2:$F$53),Producción!$A16)*'Datos Instalación'!$F$16*'Rendimiento Paneles'!X$9*_xlfn.XLOOKUP('Datos Instalación'!$C$7,Auxiliares!$B$3:$B$6,Auxiliares!$D$3:$D$6)/1000*'Datos Instalación'!$C$16</f>
        <v>22.086656728410908</v>
      </c>
      <c r="Z16" s="2">
        <f ca="1">OFFSET(horas_de_luz_por_provinci!$G$1,_xlfn.XLOOKUP('Datos Instalación'!$C$8,horas_de_luz_por_provinci!$G$2:$G$53,horas_de_luz_por_provinci!$F$2:$F$53),Producción!$A16)*'Datos Instalación'!$F$16*'Rendimiento Paneles'!Y$9*_xlfn.XLOOKUP('Datos Instalación'!$C$7,Auxiliares!$B$3:$B$6,Auxiliares!$D$3:$D$6)/1000*'Datos Instalación'!$C$16</f>
        <v>21.967388782077496</v>
      </c>
      <c r="AA16" s="2">
        <f ca="1">OFFSET(horas_de_luz_por_provinci!$G$1,_xlfn.XLOOKUP('Datos Instalación'!$C$8,horas_de_luz_por_provinci!$G$2:$G$53,horas_de_luz_por_provinci!$F$2:$F$53),Producción!$A16)*'Datos Instalación'!$F$16*'Rendimiento Paneles'!Z$9*_xlfn.XLOOKUP('Datos Instalación'!$C$7,Auxiliares!$B$3:$B$6,Auxiliares!$D$3:$D$6)/1000*'Datos Instalación'!$C$16</f>
        <v>21.848764882654272</v>
      </c>
      <c r="AB16" s="2">
        <f ca="1">OFFSET(horas_de_luz_por_provinci!$G$1,_xlfn.XLOOKUP('Datos Instalación'!$C$8,horas_de_luz_por_provinci!$G$2:$G$53,horas_de_luz_por_provinci!$F$2:$F$53),Producción!$A16)*'Datos Instalación'!$F$16*'Rendimiento Paneles'!AA$9*_xlfn.XLOOKUP('Datos Instalación'!$C$7,Auxiliares!$B$3:$B$6,Auxiliares!$D$3:$D$6)/1000*'Datos Instalación'!$C$16</f>
        <v>21.73078155228794</v>
      </c>
      <c r="AC16" s="2">
        <f ca="1">OFFSET(horas_de_luz_por_provinci!$G$1,_xlfn.XLOOKUP('Datos Instalación'!$C$8,horas_de_luz_por_provinci!$G$2:$G$53,horas_de_luz_por_provinci!$F$2:$F$53),Producción!$A16)*'Datos Instalación'!$F$16*'Rendimiento Paneles'!AB$9*_xlfn.XLOOKUP('Datos Instalación'!$C$7,Auxiliares!$B$3:$B$6,Auxiliares!$D$3:$D$6)/1000*'Datos Instalación'!$C$16</f>
        <v>21.613435331905588</v>
      </c>
      <c r="AD16" s="2">
        <f ca="1">OFFSET(horas_de_luz_por_provinci!$G$1,_xlfn.XLOOKUP('Datos Instalación'!$C$8,horas_de_luz_por_provinci!$G$2:$G$53,horas_de_luz_por_provinci!$F$2:$F$53),Producción!$A16)*'Datos Instalación'!$F$16*'Rendimiento Paneles'!AC$9*_xlfn.XLOOKUP('Datos Instalación'!$C$7,Auxiliares!$B$3:$B$6,Auxiliares!$D$3:$D$6)/1000*'Datos Instalación'!$C$16</f>
        <v>21.496722781113299</v>
      </c>
      <c r="AE16" s="2">
        <f ca="1">OFFSET(horas_de_luz_por_provinci!$G$1,_xlfn.XLOOKUP('Datos Instalación'!$C$8,horas_de_luz_por_provinci!$G$2:$G$53,horas_de_luz_por_provinci!$F$2:$F$53),Producción!$A16)*'Datos Instalación'!$F$16*'Rendimiento Paneles'!AD$9*_xlfn.XLOOKUP('Datos Instalación'!$C$7,Auxiliares!$B$3:$B$6,Auxiliares!$D$3:$D$6)/1000*'Datos Instalación'!$C$16</f>
        <v>21.380640478095284</v>
      </c>
      <c r="AF16" s="2">
        <f ca="1">OFFSET(horas_de_luz_por_provinci!$G$1,_xlfn.XLOOKUP('Datos Instalación'!$C$8,horas_de_luz_por_provinci!$G$2:$G$53,horas_de_luz_por_provinci!$F$2:$F$53),Producción!$A16)*'Datos Instalación'!$F$16*'Rendimiento Paneles'!AE$9*_xlfn.XLOOKUP('Datos Instalación'!$C$7,Auxiliares!$B$3:$B$6,Auxiliares!$D$3:$D$6)/1000*'Datos Instalación'!$C$16</f>
        <v>21.265185019513567</v>
      </c>
      <c r="AG16" s="2">
        <f ca="1">OFFSET(horas_de_luz_por_provinci!$G$1,_xlfn.XLOOKUP('Datos Instalación'!$C$8,horas_de_luz_por_provinci!$G$2:$G$53,horas_de_luz_por_provinci!$F$2:$F$53),Producción!$A16)*'Datos Instalación'!$F$16*'Rendimiento Paneles'!AF$9*_xlfn.XLOOKUP('Datos Instalación'!$C$7,Auxiliares!$B$3:$B$6,Auxiliares!$D$3:$D$6)/1000*'Datos Instalación'!$C$16</f>
        <v>21.150353020408193</v>
      </c>
    </row>
    <row r="17" spans="1:35">
      <c r="A17" s="2">
        <v>11</v>
      </c>
      <c r="B17" s="12" t="s">
        <v>14</v>
      </c>
      <c r="C17" s="2">
        <f ca="1">OFFSET(horas_de_luz_por_provinci!$G$1,_xlfn.XLOOKUP('Datos Instalación'!$C$8,horas_de_luz_por_provinci!$G$2:$G$53,horas_de_luz_por_provinci!$F$2:$F$53),Producción!$A17)*'Datos Instalación'!$F$16*'Rendimiento Paneles'!B$9*_xlfn.XLOOKUP('Datos Instalación'!$C$7,Auxiliares!$B$3:$B$6,Auxiliares!$D$3:$D$6)/1000*'Datos Instalación'!$C$16</f>
        <v>22.336914599999997</v>
      </c>
      <c r="D17" s="2">
        <f ca="1">OFFSET(horas_de_luz_por_provinci!$G$1,_xlfn.XLOOKUP('Datos Instalación'!$C$8,horas_de_luz_por_provinci!$G$2:$G$53,horas_de_luz_por_provinci!$F$2:$F$53),Producción!$A17)*'Datos Instalación'!$F$16*'Rendimiento Paneles'!C$9*_xlfn.XLOOKUP('Datos Instalación'!$C$7,Auxiliares!$B$3:$B$6,Auxiliares!$D$3:$D$6)/1000*'Datos Instalación'!$C$16</f>
        <v>22.216295261159996</v>
      </c>
      <c r="E17" s="2">
        <f ca="1">OFFSET(horas_de_luz_por_provinci!$G$1,_xlfn.XLOOKUP('Datos Instalación'!$C$8,horas_de_luz_por_provinci!$G$2:$G$53,horas_de_luz_por_provinci!$F$2:$F$53),Producción!$A17)*'Datos Instalación'!$F$16*'Rendimiento Paneles'!D$9*_xlfn.XLOOKUP('Datos Instalación'!$C$7,Auxiliares!$B$3:$B$6,Auxiliares!$D$3:$D$6)/1000*'Datos Instalación'!$C$16</f>
        <v>22.096327266749732</v>
      </c>
      <c r="F17" s="2">
        <f ca="1">OFFSET(horas_de_luz_por_provinci!$G$1,_xlfn.XLOOKUP('Datos Instalación'!$C$8,horas_de_luz_por_provinci!$G$2:$G$53,horas_de_luz_por_provinci!$F$2:$F$53),Producción!$A17)*'Datos Instalación'!$F$16*'Rendimiento Paneles'!E$9*_xlfn.XLOOKUP('Datos Instalación'!$C$7,Auxiliares!$B$3:$B$6,Auxiliares!$D$3:$D$6)/1000*'Datos Instalación'!$C$16</f>
        <v>21.977007099509287</v>
      </c>
      <c r="G17" s="2">
        <f ca="1">OFFSET(horas_de_luz_por_provinci!$G$1,_xlfn.XLOOKUP('Datos Instalación'!$C$8,horas_de_luz_por_provinci!$G$2:$G$53,horas_de_luz_por_provinci!$F$2:$F$53),Producción!$A17)*'Datos Instalación'!$F$16*'Rendimiento Paneles'!F$9*_xlfn.XLOOKUP('Datos Instalación'!$C$7,Auxiliares!$B$3:$B$6,Auxiliares!$D$3:$D$6)/1000*'Datos Instalación'!$C$16</f>
        <v>21.858331261171937</v>
      </c>
      <c r="H17" s="2">
        <f ca="1">OFFSET(horas_de_luz_por_provinci!$G$1,_xlfn.XLOOKUP('Datos Instalación'!$C$8,horas_de_luz_por_provinci!$G$2:$G$53,horas_de_luz_por_provinci!$F$2:$F$53),Producción!$A17)*'Datos Instalación'!$F$16*'Rendimiento Paneles'!G$9*_xlfn.XLOOKUP('Datos Instalación'!$C$7,Auxiliares!$B$3:$B$6,Auxiliares!$D$3:$D$6)/1000*'Datos Instalación'!$C$16</f>
        <v>21.740296272361604</v>
      </c>
      <c r="I17" s="2">
        <f ca="1">OFFSET(horas_de_luz_por_provinci!$G$1,_xlfn.XLOOKUP('Datos Instalación'!$C$8,horas_de_luz_por_provinci!$G$2:$G$53,horas_de_luz_por_provinci!$F$2:$F$53),Producción!$A17)*'Datos Instalación'!$F$16*'Rendimiento Paneles'!H$9*_xlfn.XLOOKUP('Datos Instalación'!$C$7,Auxiliares!$B$3:$B$6,Auxiliares!$D$3:$D$6)/1000*'Datos Instalación'!$C$16</f>
        <v>21.622898672490855</v>
      </c>
      <c r="J17" s="2">
        <f ca="1">OFFSET(horas_de_luz_por_provinci!$G$1,_xlfn.XLOOKUP('Datos Instalación'!$C$8,horas_de_luz_por_provinci!$G$2:$G$53,horas_de_luz_por_provinci!$F$2:$F$53),Producción!$A17)*'Datos Instalación'!$F$16*'Rendimiento Paneles'!I$9*_xlfn.XLOOKUP('Datos Instalación'!$C$7,Auxiliares!$B$3:$B$6,Auxiliares!$D$3:$D$6)/1000*'Datos Instalación'!$C$16</f>
        <v>21.506135019659403</v>
      </c>
      <c r="K17" s="2">
        <f ca="1">OFFSET(horas_de_luz_por_provinci!$G$1,_xlfn.XLOOKUP('Datos Instalación'!$C$8,horas_de_luz_por_provinci!$G$2:$G$53,horas_de_luz_por_provinci!$F$2:$F$53),Producción!$A17)*'Datos Instalación'!$F$16*'Rendimiento Paneles'!J$9*_xlfn.XLOOKUP('Datos Instalación'!$C$7,Auxiliares!$B$3:$B$6,Auxiliares!$D$3:$D$6)/1000*'Datos Instalación'!$C$16</f>
        <v>21.39000189055324</v>
      </c>
      <c r="L17" s="2">
        <f ca="1">OFFSET(horas_de_luz_por_provinci!$G$1,_xlfn.XLOOKUP('Datos Instalación'!$C$8,horas_de_luz_por_provinci!$G$2:$G$53,horas_de_luz_por_provinci!$F$2:$F$53),Producción!$A17)*'Datos Instalación'!$F$16*'Rendimiento Paneles'!K$9*_xlfn.XLOOKUP('Datos Instalación'!$C$7,Auxiliares!$B$3:$B$6,Auxiliares!$D$3:$D$6)/1000*'Datos Instalación'!$C$16</f>
        <v>21.274495880344261</v>
      </c>
      <c r="M17" s="2">
        <f ca="1">OFFSET(horas_de_luz_por_provinci!$G$1,_xlfn.XLOOKUP('Datos Instalación'!$C$8,horas_de_luz_por_provinci!$G$2:$G$53,horas_de_luz_por_provinci!$F$2:$F$53),Producción!$A17)*'Datos Instalación'!$F$16*'Rendimiento Paneles'!L$9*_xlfn.XLOOKUP('Datos Instalación'!$C$7,Auxiliares!$B$3:$B$6,Auxiliares!$D$3:$D$6)/1000*'Datos Instalación'!$C$16</f>
        <v>21.159613602590397</v>
      </c>
      <c r="N17" s="2">
        <f ca="1">OFFSET(horas_de_luz_por_provinci!$G$1,_xlfn.XLOOKUP('Datos Instalación'!$C$8,horas_de_luz_por_provinci!$G$2:$G$53,horas_de_luz_por_provinci!$F$2:$F$53),Producción!$A17)*'Datos Instalación'!$F$16*'Rendimiento Paneles'!M$9*_xlfn.XLOOKUP('Datos Instalación'!$C$7,Auxiliares!$B$3:$B$6,Auxiliares!$D$3:$D$6)/1000*'Datos Instalación'!$C$16</f>
        <v>21.04535168913641</v>
      </c>
      <c r="O17" s="2">
        <f ca="1">OFFSET(horas_de_luz_por_provinci!$G$1,_xlfn.XLOOKUP('Datos Instalación'!$C$8,horas_de_luz_por_provinci!$G$2:$G$53,horas_de_luz_por_provinci!$F$2:$F$53),Producción!$A17)*'Datos Instalación'!$F$16*'Rendimiento Paneles'!N$9*_xlfn.XLOOKUP('Datos Instalación'!$C$7,Auxiliares!$B$3:$B$6,Auxiliares!$D$3:$D$6)/1000*'Datos Instalación'!$C$16</f>
        <v>20.931706790015074</v>
      </c>
      <c r="P17" s="2">
        <f ca="1">OFFSET(horas_de_luz_por_provinci!$G$1,_xlfn.XLOOKUP('Datos Instalación'!$C$8,horas_de_luz_por_provinci!$G$2:$G$53,horas_de_luz_por_provinci!$F$2:$F$53),Producción!$A17)*'Datos Instalación'!$F$16*'Rendimiento Paneles'!O$9*_xlfn.XLOOKUP('Datos Instalación'!$C$7,Auxiliares!$B$3:$B$6,Auxiliares!$D$3:$D$6)/1000*'Datos Instalación'!$C$16</f>
        <v>20.81867557334899</v>
      </c>
      <c r="Q17" s="2">
        <f ca="1">OFFSET(horas_de_luz_por_provinci!$G$1,_xlfn.XLOOKUP('Datos Instalación'!$C$8,horas_de_luz_por_provinci!$G$2:$G$53,horas_de_luz_por_provinci!$F$2:$F$53),Producción!$A17)*'Datos Instalación'!$F$16*'Rendimiento Paneles'!P$9*_xlfn.XLOOKUP('Datos Instalación'!$C$7,Auxiliares!$B$3:$B$6,Auxiliares!$D$3:$D$6)/1000*'Datos Instalación'!$C$16</f>
        <v>20.706254725252908</v>
      </c>
      <c r="R17" s="2">
        <f ca="1">OFFSET(horas_de_luz_por_provinci!$G$1,_xlfn.XLOOKUP('Datos Instalación'!$C$8,horas_de_luz_por_provinci!$G$2:$G$53,horas_de_luz_por_provinci!$F$2:$F$53),Producción!$A17)*'Datos Instalación'!$F$16*'Rendimiento Paneles'!Q$9*_xlfn.XLOOKUP('Datos Instalación'!$C$7,Auxiliares!$B$3:$B$6,Auxiliares!$D$3:$D$6)/1000*'Datos Instalación'!$C$16</f>
        <v>20.594440949736541</v>
      </c>
      <c r="S17" s="2">
        <f ca="1">OFFSET(horas_de_luz_por_provinci!$G$1,_xlfn.XLOOKUP('Datos Instalación'!$C$8,horas_de_luz_por_provinci!$G$2:$G$53,horas_de_luz_por_provinci!$F$2:$F$53),Producción!$A17)*'Datos Instalación'!$F$16*'Rendimiento Paneles'!R$9*_xlfn.XLOOKUP('Datos Instalación'!$C$7,Auxiliares!$B$3:$B$6,Auxiliares!$D$3:$D$6)/1000*'Datos Instalación'!$C$16</f>
        <v>20.483230968607963</v>
      </c>
      <c r="T17" s="2">
        <f ca="1">OFFSET(horas_de_luz_por_provinci!$G$1,_xlfn.XLOOKUP('Datos Instalación'!$C$8,horas_de_luz_por_provinci!$G$2:$G$53,horas_de_luz_por_provinci!$F$2:$F$53),Producción!$A17)*'Datos Instalación'!$F$16*'Rendimiento Paneles'!S$9*_xlfn.XLOOKUP('Datos Instalación'!$C$7,Auxiliares!$B$3:$B$6,Auxiliares!$D$3:$D$6)/1000*'Datos Instalación'!$C$16</f>
        <v>20.372621521377482</v>
      </c>
      <c r="U17" s="2">
        <f ca="1">OFFSET(horas_de_luz_por_provinci!$G$1,_xlfn.XLOOKUP('Datos Instalación'!$C$8,horas_de_luz_por_provinci!$G$2:$G$53,horas_de_luz_por_provinci!$F$2:$F$53),Producción!$A17)*'Datos Instalación'!$F$16*'Rendimiento Paneles'!T$9*_xlfn.XLOOKUP('Datos Instalación'!$C$7,Auxiliares!$B$3:$B$6,Auxiliares!$D$3:$D$6)/1000*'Datos Instalación'!$C$16</f>
        <v>20.262609365162042</v>
      </c>
      <c r="V17" s="2">
        <f ca="1">OFFSET(horas_de_luz_por_provinci!$G$1,_xlfn.XLOOKUP('Datos Instalación'!$C$8,horas_de_luz_por_provinci!$G$2:$G$53,horas_de_luz_por_provinci!$F$2:$F$53),Producción!$A17)*'Datos Instalación'!$F$16*'Rendimiento Paneles'!U$9*_xlfn.XLOOKUP('Datos Instalación'!$C$7,Auxiliares!$B$3:$B$6,Auxiliares!$D$3:$D$6)/1000*'Datos Instalación'!$C$16</f>
        <v>20.153191274590167</v>
      </c>
      <c r="W17" s="2">
        <f ca="1">OFFSET(horas_de_luz_por_provinci!$G$1,_xlfn.XLOOKUP('Datos Instalación'!$C$8,horas_de_luz_por_provinci!$G$2:$G$53,horas_de_luz_por_provinci!$F$2:$F$53),Producción!$A17)*'Datos Instalación'!$F$16*'Rendimiento Paneles'!V$9*_xlfn.XLOOKUP('Datos Instalación'!$C$7,Auxiliares!$B$3:$B$6,Auxiliares!$D$3:$D$6)/1000*'Datos Instalación'!$C$16</f>
        <v>20.044364041707375</v>
      </c>
      <c r="X17" s="2">
        <f ca="1">OFFSET(horas_de_luz_por_provinci!$G$1,_xlfn.XLOOKUP('Datos Instalación'!$C$8,horas_de_luz_por_provinci!$G$2:$G$53,horas_de_luz_por_provinci!$F$2:$F$53),Producción!$A17)*'Datos Instalación'!$F$16*'Rendimiento Paneles'!W$9*_xlfn.XLOOKUP('Datos Instalación'!$C$7,Auxiliares!$B$3:$B$6,Auxiliares!$D$3:$D$6)/1000*'Datos Instalación'!$C$16</f>
        <v>19.93612447588216</v>
      </c>
      <c r="Y17" s="2">
        <f ca="1">OFFSET(horas_de_luz_por_provinci!$G$1,_xlfn.XLOOKUP('Datos Instalación'!$C$8,horas_de_luz_por_provinci!$G$2:$G$53,horas_de_luz_por_provinci!$F$2:$F$53),Producción!$A17)*'Datos Instalación'!$F$16*'Rendimiento Paneles'!X$9*_xlfn.XLOOKUP('Datos Instalación'!$C$7,Auxiliares!$B$3:$B$6,Auxiliares!$D$3:$D$6)/1000*'Datos Instalación'!$C$16</f>
        <v>19.828469403712397</v>
      </c>
      <c r="Z17" s="2">
        <f ca="1">OFFSET(horas_de_luz_por_provinci!$G$1,_xlfn.XLOOKUP('Datos Instalación'!$C$8,horas_de_luz_por_provinci!$G$2:$G$53,horas_de_luz_por_provinci!$F$2:$F$53),Producción!$A17)*'Datos Instalación'!$F$16*'Rendimiento Paneles'!Y$9*_xlfn.XLOOKUP('Datos Instalación'!$C$7,Auxiliares!$B$3:$B$6,Auxiliares!$D$3:$D$6)/1000*'Datos Instalación'!$C$16</f>
        <v>19.721395668932345</v>
      </c>
      <c r="AA17" s="2">
        <f ca="1">OFFSET(horas_de_luz_por_provinci!$G$1,_xlfn.XLOOKUP('Datos Instalación'!$C$8,horas_de_luz_por_provinci!$G$2:$G$53,horas_de_luz_por_provinci!$F$2:$F$53),Producción!$A17)*'Datos Instalación'!$F$16*'Rendimiento Paneles'!Z$9*_xlfn.XLOOKUP('Datos Instalación'!$C$7,Auxiliares!$B$3:$B$6,Auxiliares!$D$3:$D$6)/1000*'Datos Instalación'!$C$16</f>
        <v>19.614900132320116</v>
      </c>
      <c r="AB17" s="2">
        <f ca="1">OFFSET(horas_de_luz_por_provinci!$G$1,_xlfn.XLOOKUP('Datos Instalación'!$C$8,horas_de_luz_por_provinci!$G$2:$G$53,horas_de_luz_por_provinci!$F$2:$F$53),Producción!$A17)*'Datos Instalación'!$F$16*'Rendimiento Paneles'!AA$9*_xlfn.XLOOKUP('Datos Instalación'!$C$7,Auxiliares!$B$3:$B$6,Auxiliares!$D$3:$D$6)/1000*'Datos Instalación'!$C$16</f>
        <v>19.508979671605587</v>
      </c>
      <c r="AC17" s="2">
        <f ca="1">OFFSET(horas_de_luz_por_provinci!$G$1,_xlfn.XLOOKUP('Datos Instalación'!$C$8,horas_de_luz_por_provinci!$G$2:$G$53,horas_de_luz_por_provinci!$F$2:$F$53),Producción!$A17)*'Datos Instalación'!$F$16*'Rendimiento Paneles'!AB$9*_xlfn.XLOOKUP('Datos Instalación'!$C$7,Auxiliares!$B$3:$B$6,Auxiliares!$D$3:$D$6)/1000*'Datos Instalación'!$C$16</f>
        <v>19.403631181378916</v>
      </c>
      <c r="AD17" s="2">
        <f ca="1">OFFSET(horas_de_luz_por_provinci!$G$1,_xlfn.XLOOKUP('Datos Instalación'!$C$8,horas_de_luz_por_provinci!$G$2:$G$53,horas_de_luz_por_provinci!$F$2:$F$53),Producción!$A17)*'Datos Instalación'!$F$16*'Rendimiento Paneles'!AC$9*_xlfn.XLOOKUP('Datos Instalación'!$C$7,Auxiliares!$B$3:$B$6,Auxiliares!$D$3:$D$6)/1000*'Datos Instalación'!$C$16</f>
        <v>19.298851572999467</v>
      </c>
      <c r="AE17" s="2">
        <f ca="1">OFFSET(horas_de_luz_por_provinci!$G$1,_xlfn.XLOOKUP('Datos Instalación'!$C$8,horas_de_luz_por_provinci!$G$2:$G$53,horas_de_luz_por_provinci!$F$2:$F$53),Producción!$A17)*'Datos Instalación'!$F$16*'Rendimiento Paneles'!AD$9*_xlfn.XLOOKUP('Datos Instalación'!$C$7,Auxiliares!$B$3:$B$6,Auxiliares!$D$3:$D$6)/1000*'Datos Instalación'!$C$16</f>
        <v>19.194637774505271</v>
      </c>
      <c r="AF17" s="2">
        <f ca="1">OFFSET(horas_de_luz_por_provinci!$G$1,_xlfn.XLOOKUP('Datos Instalación'!$C$8,horas_de_luz_por_provinci!$G$2:$G$53,horas_de_luz_por_provinci!$F$2:$F$53),Producción!$A17)*'Datos Instalación'!$F$16*'Rendimiento Paneles'!AE$9*_xlfn.XLOOKUP('Datos Instalación'!$C$7,Auxiliares!$B$3:$B$6,Auxiliares!$D$3:$D$6)/1000*'Datos Instalación'!$C$16</f>
        <v>19.090986730522943</v>
      </c>
      <c r="AG17" s="2">
        <f ca="1">OFFSET(horas_de_luz_por_provinci!$G$1,_xlfn.XLOOKUP('Datos Instalación'!$C$8,horas_de_luz_por_provinci!$G$2:$G$53,horas_de_luz_por_provinci!$F$2:$F$53),Producción!$A17)*'Datos Instalación'!$F$16*'Rendimiento Paneles'!AF$9*_xlfn.XLOOKUP('Datos Instalación'!$C$7,Auxiliares!$B$3:$B$6,Auxiliares!$D$3:$D$6)/1000*'Datos Instalación'!$C$16</f>
        <v>18.987895402178115</v>
      </c>
    </row>
    <row r="18" spans="1:35">
      <c r="A18" s="2">
        <v>12</v>
      </c>
      <c r="B18" s="12" t="s">
        <v>15</v>
      </c>
      <c r="C18" s="2">
        <f ca="1">OFFSET(horas_de_luz_por_provinci!$G$1,_xlfn.XLOOKUP('Datos Instalación'!$C$8,horas_de_luz_por_provinci!$G$2:$G$53,horas_de_luz_por_provinci!$F$2:$F$53),Producción!$A18)*'Datos Instalación'!$F$16*'Rendimiento Paneles'!B$9*_xlfn.XLOOKUP('Datos Instalación'!$C$7,Auxiliares!$B$3:$B$6,Auxiliares!$D$3:$D$6)/1000*'Datos Instalación'!$C$16</f>
        <v>20.975724</v>
      </c>
      <c r="D18" s="2">
        <f ca="1">OFFSET(horas_de_luz_por_provinci!$G$1,_xlfn.XLOOKUP('Datos Instalación'!$C$8,horas_de_luz_por_provinci!$G$2:$G$53,horas_de_luz_por_provinci!$F$2:$F$53),Producción!$A18)*'Datos Instalación'!$F$16*'Rendimiento Paneles'!C$9*_xlfn.XLOOKUP('Datos Instalación'!$C$7,Auxiliares!$B$3:$B$6,Auxiliares!$D$3:$D$6)/1000*'Datos Instalación'!$C$16</f>
        <v>20.862455090399997</v>
      </c>
      <c r="E18" s="2">
        <f ca="1">OFFSET(horas_de_luz_por_provinci!$G$1,_xlfn.XLOOKUP('Datos Instalación'!$C$8,horas_de_luz_por_provinci!$G$2:$G$53,horas_de_luz_por_provinci!$F$2:$F$53),Producción!$A18)*'Datos Instalación'!$F$16*'Rendimiento Paneles'!D$9*_xlfn.XLOOKUP('Datos Instalación'!$C$7,Auxiliares!$B$3:$B$6,Auxiliares!$D$3:$D$6)/1000*'Datos Instalación'!$C$16</f>
        <v>20.749797832911842</v>
      </c>
      <c r="F18" s="2">
        <f ca="1">OFFSET(horas_de_luz_por_provinci!$G$1,_xlfn.XLOOKUP('Datos Instalación'!$C$8,horas_de_luz_por_provinci!$G$2:$G$53,horas_de_luz_por_provinci!$F$2:$F$53),Producción!$A18)*'Datos Instalación'!$F$16*'Rendimiento Paneles'!E$9*_xlfn.XLOOKUP('Datos Instalación'!$C$7,Auxiliares!$B$3:$B$6,Auxiliares!$D$3:$D$6)/1000*'Datos Instalación'!$C$16</f>
        <v>20.637748924614115</v>
      </c>
      <c r="G18" s="2">
        <f ca="1">OFFSET(horas_de_luz_por_provinci!$G$1,_xlfn.XLOOKUP('Datos Instalación'!$C$8,horas_de_luz_por_provinci!$G$2:$G$53,horas_de_luz_por_provinci!$F$2:$F$53),Producción!$A18)*'Datos Instalación'!$F$16*'Rendimiento Paneles'!F$9*_xlfn.XLOOKUP('Datos Instalación'!$C$7,Auxiliares!$B$3:$B$6,Auxiliares!$D$3:$D$6)/1000*'Datos Instalación'!$C$16</f>
        <v>20.526305080421199</v>
      </c>
      <c r="H18" s="2">
        <f ca="1">OFFSET(horas_de_luz_por_provinci!$G$1,_xlfn.XLOOKUP('Datos Instalación'!$C$8,horas_de_luz_por_provinci!$G$2:$G$53,horas_de_luz_por_provinci!$F$2:$F$53),Producción!$A18)*'Datos Instalación'!$F$16*'Rendimiento Paneles'!G$9*_xlfn.XLOOKUP('Datos Instalación'!$C$7,Auxiliares!$B$3:$B$6,Auxiliares!$D$3:$D$6)/1000*'Datos Instalación'!$C$16</f>
        <v>20.415463032986924</v>
      </c>
      <c r="I18" s="2">
        <f ca="1">OFFSET(horas_de_luz_por_provinci!$G$1,_xlfn.XLOOKUP('Datos Instalación'!$C$8,horas_de_luz_por_provinci!$G$2:$G$53,horas_de_luz_por_provinci!$F$2:$F$53),Producción!$A18)*'Datos Instalación'!$F$16*'Rendimiento Paneles'!H$9*_xlfn.XLOOKUP('Datos Instalación'!$C$7,Auxiliares!$B$3:$B$6,Auxiliares!$D$3:$D$6)/1000*'Datos Instalación'!$C$16</f>
        <v>20.305219532608795</v>
      </c>
      <c r="J18" s="2">
        <f ca="1">OFFSET(horas_de_luz_por_provinci!$G$1,_xlfn.XLOOKUP('Datos Instalación'!$C$8,horas_de_luz_por_provinci!$G$2:$G$53,horas_de_luz_por_provinci!$F$2:$F$53),Producción!$A18)*'Datos Instalación'!$F$16*'Rendimiento Paneles'!I$9*_xlfn.XLOOKUP('Datos Instalación'!$C$7,Auxiliares!$B$3:$B$6,Auxiliares!$D$3:$D$6)/1000*'Datos Instalación'!$C$16</f>
        <v>20.195571347132709</v>
      </c>
      <c r="K18" s="2">
        <f ca="1">OFFSET(horas_de_luz_por_provinci!$G$1,_xlfn.XLOOKUP('Datos Instalación'!$C$8,horas_de_luz_por_provinci!$G$2:$G$53,horas_de_luz_por_provinci!$F$2:$F$53),Producción!$A18)*'Datos Instalación'!$F$16*'Rendimiento Paneles'!J$9*_xlfn.XLOOKUP('Datos Instalación'!$C$7,Auxiliares!$B$3:$B$6,Auxiliares!$D$3:$D$6)/1000*'Datos Instalación'!$C$16</f>
        <v>20.086515261858192</v>
      </c>
      <c r="L18" s="2">
        <f ca="1">OFFSET(horas_de_luz_por_provinci!$G$1,_xlfn.XLOOKUP('Datos Instalación'!$C$8,horas_de_luz_por_provinci!$G$2:$G$53,horas_de_luz_por_provinci!$F$2:$F$53),Producción!$A18)*'Datos Instalación'!$F$16*'Rendimiento Paneles'!K$9*_xlfn.XLOOKUP('Datos Instalación'!$C$7,Auxiliares!$B$3:$B$6,Auxiliares!$D$3:$D$6)/1000*'Datos Instalación'!$C$16</f>
        <v>19.978048079444161</v>
      </c>
      <c r="M18" s="2">
        <f ca="1">OFFSET(horas_de_luz_por_provinci!$G$1,_xlfn.XLOOKUP('Datos Instalación'!$C$8,horas_de_luz_por_provinci!$G$2:$G$53,horas_de_luz_por_provinci!$F$2:$F$53),Producción!$A18)*'Datos Instalación'!$F$16*'Rendimiento Paneles'!L$9*_xlfn.XLOOKUP('Datos Instalación'!$C$7,Auxiliares!$B$3:$B$6,Auxiliares!$D$3:$D$6)/1000*'Datos Instalación'!$C$16</f>
        <v>19.870166619815159</v>
      </c>
      <c r="N18" s="2">
        <f ca="1">OFFSET(horas_de_luz_por_provinci!$G$1,_xlfn.XLOOKUP('Datos Instalación'!$C$8,horas_de_luz_por_provinci!$G$2:$G$53,horas_de_luz_por_provinci!$F$2:$F$53),Producción!$A18)*'Datos Instalación'!$F$16*'Rendimiento Paneles'!M$9*_xlfn.XLOOKUP('Datos Instalación'!$C$7,Auxiliares!$B$3:$B$6,Auxiliares!$D$3:$D$6)/1000*'Datos Instalación'!$C$16</f>
        <v>19.762867720068158</v>
      </c>
      <c r="O18" s="2">
        <f ca="1">OFFSET(horas_de_luz_por_provinci!$G$1,_xlfn.XLOOKUP('Datos Instalación'!$C$8,horas_de_luz_por_provinci!$G$2:$G$53,horas_de_luz_por_provinci!$F$2:$F$53),Producción!$A18)*'Datos Instalación'!$F$16*'Rendimiento Paneles'!N$9*_xlfn.XLOOKUP('Datos Instalación'!$C$7,Auxiliares!$B$3:$B$6,Auxiliares!$D$3:$D$6)/1000*'Datos Instalación'!$C$16</f>
        <v>19.656148234379792</v>
      </c>
      <c r="P18" s="2">
        <f ca="1">OFFSET(horas_de_luz_por_provinci!$G$1,_xlfn.XLOOKUP('Datos Instalación'!$C$8,horas_de_luz_por_provinci!$G$2:$G$53,horas_de_luz_por_provinci!$F$2:$F$53),Producción!$A18)*'Datos Instalación'!$F$16*'Rendimiento Paneles'!O$9*_xlfn.XLOOKUP('Datos Instalación'!$C$7,Auxiliares!$B$3:$B$6,Auxiliares!$D$3:$D$6)/1000*'Datos Instalación'!$C$16</f>
        <v>19.550005033914136</v>
      </c>
      <c r="Q18" s="2">
        <f ca="1">OFFSET(horas_de_luz_por_provinci!$G$1,_xlfn.XLOOKUP('Datos Instalación'!$C$8,horas_de_luz_por_provinci!$G$2:$G$53,horas_de_luz_por_provinci!$F$2:$F$53),Producción!$A18)*'Datos Instalación'!$F$16*'Rendimiento Paneles'!P$9*_xlfn.XLOOKUP('Datos Instalación'!$C$7,Auxiliares!$B$3:$B$6,Auxiliares!$D$3:$D$6)/1000*'Datos Instalación'!$C$16</f>
        <v>19.444435006731002</v>
      </c>
      <c r="R18" s="2">
        <f ca="1">OFFSET(horas_de_luz_por_provinci!$G$1,_xlfn.XLOOKUP('Datos Instalación'!$C$8,horas_de_luz_por_provinci!$G$2:$G$53,horas_de_luz_por_provinci!$F$2:$F$53),Producción!$A18)*'Datos Instalación'!$F$16*'Rendimiento Paneles'!Q$9*_xlfn.XLOOKUP('Datos Instalación'!$C$7,Auxiliares!$B$3:$B$6,Auxiliares!$D$3:$D$6)/1000*'Datos Instalación'!$C$16</f>
        <v>19.339435057694654</v>
      </c>
      <c r="S18" s="2">
        <f ca="1">OFFSET(horas_de_luz_por_provinci!$G$1,_xlfn.XLOOKUP('Datos Instalación'!$C$8,horas_de_luz_por_provinci!$G$2:$G$53,horas_de_luz_por_provinci!$F$2:$F$53),Producción!$A18)*'Datos Instalación'!$F$16*'Rendimiento Paneles'!R$9*_xlfn.XLOOKUP('Datos Instalación'!$C$7,Auxiliares!$B$3:$B$6,Auxiliares!$D$3:$D$6)/1000*'Datos Instalación'!$C$16</f>
        <v>19.235002108383103</v>
      </c>
      <c r="T18" s="2">
        <f ca="1">OFFSET(horas_de_luz_por_provinci!$G$1,_xlfn.XLOOKUP('Datos Instalación'!$C$8,horas_de_luz_por_provinci!$G$2:$G$53,horas_de_luz_por_provinci!$F$2:$F$53),Producción!$A18)*'Datos Instalación'!$F$16*'Rendimiento Paneles'!S$9*_xlfn.XLOOKUP('Datos Instalación'!$C$7,Auxiliares!$B$3:$B$6,Auxiliares!$D$3:$D$6)/1000*'Datos Instalación'!$C$16</f>
        <v>19.131133096997836</v>
      </c>
      <c r="U18" s="2">
        <f ca="1">OFFSET(horas_de_luz_por_provinci!$G$1,_xlfn.XLOOKUP('Datos Instalación'!$C$8,horas_de_luz_por_provinci!$G$2:$G$53,horas_de_luz_por_provinci!$F$2:$F$53),Producción!$A18)*'Datos Instalación'!$F$16*'Rendimiento Paneles'!T$9*_xlfn.XLOOKUP('Datos Instalación'!$C$7,Auxiliares!$B$3:$B$6,Auxiliares!$D$3:$D$6)/1000*'Datos Instalación'!$C$16</f>
        <v>19.027824978274047</v>
      </c>
      <c r="V18" s="2">
        <f ca="1">OFFSET(horas_de_luz_por_provinci!$G$1,_xlfn.XLOOKUP('Datos Instalación'!$C$8,horas_de_luz_por_provinci!$G$2:$G$53,horas_de_luz_por_provinci!$F$2:$F$53),Producción!$A18)*'Datos Instalación'!$F$16*'Rendimiento Paneles'!U$9*_xlfn.XLOOKUP('Datos Instalación'!$C$7,Auxiliares!$B$3:$B$6,Auxiliares!$D$3:$D$6)/1000*'Datos Instalación'!$C$16</f>
        <v>18.925074723391369</v>
      </c>
      <c r="W18" s="2">
        <f ca="1">OFFSET(horas_de_luz_por_provinci!$G$1,_xlfn.XLOOKUP('Datos Instalación'!$C$8,horas_de_luz_por_provinci!$G$2:$G$53,horas_de_luz_por_provinci!$F$2:$F$53),Producción!$A18)*'Datos Instalación'!$F$16*'Rendimiento Paneles'!V$9*_xlfn.XLOOKUP('Datos Instalación'!$C$7,Auxiliares!$B$3:$B$6,Auxiliares!$D$3:$D$6)/1000*'Datos Instalación'!$C$16</f>
        <v>18.822879319885054</v>
      </c>
      <c r="X18" s="2">
        <f ca="1">OFFSET(horas_de_luz_por_provinci!$G$1,_xlfn.XLOOKUP('Datos Instalación'!$C$8,horas_de_luz_por_provinci!$G$2:$G$53,horas_de_luz_por_provinci!$F$2:$F$53),Producción!$A18)*'Datos Instalación'!$F$16*'Rendimiento Paneles'!W$9*_xlfn.XLOOKUP('Datos Instalación'!$C$7,Auxiliares!$B$3:$B$6,Auxiliares!$D$3:$D$6)/1000*'Datos Instalación'!$C$16</f>
        <v>18.721235771557673</v>
      </c>
      <c r="Y18" s="2">
        <f ca="1">OFFSET(horas_de_luz_por_provinci!$G$1,_xlfn.XLOOKUP('Datos Instalación'!$C$8,horas_de_luz_por_provinci!$G$2:$G$53,horas_de_luz_por_provinci!$F$2:$F$53),Producción!$A18)*'Datos Instalación'!$F$16*'Rendimiento Paneles'!X$9*_xlfn.XLOOKUP('Datos Instalación'!$C$7,Auxiliares!$B$3:$B$6,Auxiliares!$D$3:$D$6)/1000*'Datos Instalación'!$C$16</f>
        <v>18.620141098391262</v>
      </c>
      <c r="Z18" s="2">
        <f ca="1">OFFSET(horas_de_luz_por_provinci!$G$1,_xlfn.XLOOKUP('Datos Instalación'!$C$8,horas_de_luz_por_provinci!$G$2:$G$53,horas_de_luz_por_provinci!$F$2:$F$53),Producción!$A18)*'Datos Instalación'!$F$16*'Rendimiento Paneles'!Y$9*_xlfn.XLOOKUP('Datos Instalación'!$C$7,Auxiliares!$B$3:$B$6,Auxiliares!$D$3:$D$6)/1000*'Datos Instalación'!$C$16</f>
        <v>18.519592336459951</v>
      </c>
      <c r="AA18" s="2">
        <f ca="1">OFFSET(horas_de_luz_por_provinci!$G$1,_xlfn.XLOOKUP('Datos Instalación'!$C$8,horas_de_luz_por_provinci!$G$2:$G$53,horas_de_luz_por_provinci!$F$2:$F$53),Producción!$A18)*'Datos Instalación'!$F$16*'Rendimiento Paneles'!Z$9*_xlfn.XLOOKUP('Datos Instalación'!$C$7,Auxiliares!$B$3:$B$6,Auxiliares!$D$3:$D$6)/1000*'Datos Instalación'!$C$16</f>
        <v>18.419586537843067</v>
      </c>
      <c r="AB18" s="2">
        <f ca="1">OFFSET(horas_de_luz_por_provinci!$G$1,_xlfn.XLOOKUP('Datos Instalación'!$C$8,horas_de_luz_por_provinci!$G$2:$G$53,horas_de_luz_por_provinci!$F$2:$F$53),Producción!$A18)*'Datos Instalación'!$F$16*'Rendimiento Paneles'!AA$9*_xlfn.XLOOKUP('Datos Instalación'!$C$7,Auxiliares!$B$3:$B$6,Auxiliares!$D$3:$D$6)/1000*'Datos Instalación'!$C$16</f>
        <v>18.320120770538715</v>
      </c>
      <c r="AC18" s="2">
        <f ca="1">OFFSET(horas_de_luz_por_provinci!$G$1,_xlfn.XLOOKUP('Datos Instalación'!$C$8,horas_de_luz_por_provinci!$G$2:$G$53,horas_de_luz_por_provinci!$F$2:$F$53),Producción!$A18)*'Datos Instalación'!$F$16*'Rendimiento Paneles'!AB$9*_xlfn.XLOOKUP('Datos Instalación'!$C$7,Auxiliares!$B$3:$B$6,Auxiliares!$D$3:$D$6)/1000*'Datos Instalación'!$C$16</f>
        <v>18.221192118377804</v>
      </c>
      <c r="AD18" s="2">
        <f ca="1">OFFSET(horas_de_luz_por_provinci!$G$1,_xlfn.XLOOKUP('Datos Instalación'!$C$8,horas_de_luz_por_provinci!$G$2:$G$53,horas_de_luz_por_provinci!$F$2:$F$53),Producción!$A18)*'Datos Instalación'!$F$16*'Rendimiento Paneles'!AC$9*_xlfn.XLOOKUP('Datos Instalación'!$C$7,Auxiliares!$B$3:$B$6,Auxiliares!$D$3:$D$6)/1000*'Datos Instalación'!$C$16</f>
        <v>18.122797680938561</v>
      </c>
      <c r="AE18" s="2">
        <f ca="1">OFFSET(horas_de_luz_por_provinci!$G$1,_xlfn.XLOOKUP('Datos Instalación'!$C$8,horas_de_luz_por_provinci!$G$2:$G$53,horas_de_luz_por_provinci!$F$2:$F$53),Producción!$A18)*'Datos Instalación'!$F$16*'Rendimiento Paneles'!AD$9*_xlfn.XLOOKUP('Datos Instalación'!$C$7,Auxiliares!$B$3:$B$6,Auxiliares!$D$3:$D$6)/1000*'Datos Instalación'!$C$16</f>
        <v>18.024934573461497</v>
      </c>
      <c r="AF18" s="2">
        <f ca="1">OFFSET(horas_de_luz_por_provinci!$G$1,_xlfn.XLOOKUP('Datos Instalación'!$C$8,horas_de_luz_por_provinci!$G$2:$G$53,horas_de_luz_por_provinci!$F$2:$F$53),Producción!$A18)*'Datos Instalación'!$F$16*'Rendimiento Paneles'!AE$9*_xlfn.XLOOKUP('Datos Instalación'!$C$7,Auxiliares!$B$3:$B$6,Auxiliares!$D$3:$D$6)/1000*'Datos Instalación'!$C$16</f>
        <v>17.927599926764803</v>
      </c>
      <c r="AG18" s="2">
        <f ca="1">OFFSET(horas_de_luz_por_provinci!$G$1,_xlfn.XLOOKUP('Datos Instalación'!$C$8,horas_de_luz_por_provinci!$G$2:$G$53,horas_de_luz_por_provinci!$F$2:$F$53),Producción!$A18)*'Datos Instalación'!$F$16*'Rendimiento Paneles'!AF$9*_xlfn.XLOOKUP('Datos Instalación'!$C$7,Auxiliares!$B$3:$B$6,Auxiliares!$D$3:$D$6)/1000*'Datos Instalación'!$C$16</f>
        <v>17.830790887160273</v>
      </c>
    </row>
    <row r="19" spans="1:35">
      <c r="B19" s="2" t="s">
        <v>16</v>
      </c>
      <c r="C19" s="23">
        <f ca="1">SUM(C7:C18)</f>
        <v>326.59648560000005</v>
      </c>
      <c r="D19" s="23">
        <f t="shared" ref="D19:AE19" ca="1" si="5">SUM(D7:D18)</f>
        <v>324.83286457776001</v>
      </c>
      <c r="E19" s="23">
        <f t="shared" ca="1" si="5"/>
        <v>323.07876710904009</v>
      </c>
      <c r="F19" s="23">
        <f t="shared" ca="1" si="5"/>
        <v>321.33414176665127</v>
      </c>
      <c r="G19" s="23">
        <f t="shared" ca="1" si="5"/>
        <v>319.59893740111136</v>
      </c>
      <c r="H19" s="23">
        <f t="shared" ca="1" si="5"/>
        <v>317.87310313914537</v>
      </c>
      <c r="I19" s="23">
        <f t="shared" ca="1" si="5"/>
        <v>316.156588382194</v>
      </c>
      <c r="J19" s="23">
        <f t="shared" ca="1" si="5"/>
        <v>314.44934280493015</v>
      </c>
      <c r="K19" s="23">
        <f t="shared" ca="1" si="5"/>
        <v>312.75131635378358</v>
      </c>
      <c r="L19" s="23">
        <f t="shared" ca="1" si="5"/>
        <v>311.06245924547312</v>
      </c>
      <c r="M19" s="23">
        <f t="shared" ca="1" si="5"/>
        <v>309.3827219655476</v>
      </c>
      <c r="N19" s="23">
        <f t="shared" ca="1" si="5"/>
        <v>307.71205526693359</v>
      </c>
      <c r="O19" s="23">
        <f t="shared" ca="1" si="5"/>
        <v>306.05041016849219</v>
      </c>
      <c r="P19" s="23">
        <f t="shared" ca="1" si="5"/>
        <v>304.39773795358224</v>
      </c>
      <c r="Q19" s="23">
        <f t="shared" ca="1" si="5"/>
        <v>302.75399016863292</v>
      </c>
      <c r="R19" s="23">
        <f t="shared" ca="1" si="5"/>
        <v>301.11911862172235</v>
      </c>
      <c r="S19" s="23">
        <f t="shared" ca="1" si="5"/>
        <v>299.49307538116506</v>
      </c>
      <c r="T19" s="23">
        <f t="shared" ca="1" si="5"/>
        <v>297.87581277410669</v>
      </c>
      <c r="U19" s="23">
        <f t="shared" ca="1" si="5"/>
        <v>296.26728338512658</v>
      </c>
      <c r="V19" s="23">
        <f t="shared" ca="1" si="5"/>
        <v>294.66744005484685</v>
      </c>
      <c r="W19" s="23">
        <f t="shared" ca="1" si="5"/>
        <v>293.07623587855062</v>
      </c>
      <c r="X19" s="23">
        <f t="shared" ca="1" si="5"/>
        <v>291.49362420480657</v>
      </c>
      <c r="Y19" s="23">
        <f t="shared" ca="1" si="5"/>
        <v>289.91955863410055</v>
      </c>
      <c r="Z19" s="23">
        <f t="shared" ca="1" si="5"/>
        <v>288.3539930174764</v>
      </c>
      <c r="AA19" s="23">
        <f t="shared" ca="1" si="5"/>
        <v>286.79688145518207</v>
      </c>
      <c r="AB19" s="23">
        <f t="shared" ca="1" si="5"/>
        <v>285.24817829532407</v>
      </c>
      <c r="AC19" s="23">
        <f t="shared" ca="1" si="5"/>
        <v>283.70783813252928</v>
      </c>
      <c r="AD19" s="23">
        <f t="shared" ca="1" si="5"/>
        <v>282.17581580661363</v>
      </c>
      <c r="AE19" s="23">
        <f t="shared" ca="1" si="5"/>
        <v>280.65206640125791</v>
      </c>
    </row>
    <row r="20" spans="1:35">
      <c r="C20" s="13" t="s">
        <v>162</v>
      </c>
    </row>
    <row r="22" spans="1:35" ht="17.399999999999999">
      <c r="A22" s="284"/>
      <c r="B22" s="284"/>
      <c r="C22" s="284"/>
      <c r="D22" s="284"/>
      <c r="E22" s="284"/>
      <c r="F22" s="284"/>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row>
    <row r="23" spans="1:35" ht="17.399999999999999">
      <c r="A23" s="85"/>
      <c r="B23" s="285" t="s">
        <v>157</v>
      </c>
      <c r="C23" s="285"/>
      <c r="D23" s="285"/>
      <c r="E23" s="85"/>
      <c r="F23" s="8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row>
    <row r="24" spans="1:35" ht="17.399999999999999">
      <c r="A24" s="85"/>
      <c r="B24" s="75"/>
      <c r="C24" s="85"/>
      <c r="D24" s="85"/>
      <c r="E24" s="85"/>
      <c r="F24" s="8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row>
    <row r="25" spans="1:35">
      <c r="B25" s="2" t="s">
        <v>3</v>
      </c>
      <c r="C25" s="12">
        <v>2020</v>
      </c>
      <c r="D25" s="12">
        <f>C25+1</f>
        <v>2021</v>
      </c>
      <c r="E25" s="12">
        <f t="shared" ref="E25" si="6">D25+1</f>
        <v>2022</v>
      </c>
      <c r="F25" s="12">
        <f t="shared" ref="F25" si="7">E25+1</f>
        <v>2023</v>
      </c>
      <c r="G25" s="12">
        <f t="shared" ref="G25" si="8">F25+1</f>
        <v>2024</v>
      </c>
      <c r="H25" s="12">
        <f t="shared" ref="H25" si="9">G25+1</f>
        <v>2025</v>
      </c>
      <c r="I25" s="12">
        <f t="shared" ref="I25" si="10">H25+1</f>
        <v>2026</v>
      </c>
      <c r="J25" s="12">
        <f t="shared" ref="J25" si="11">I25+1</f>
        <v>2027</v>
      </c>
      <c r="K25" s="12">
        <f t="shared" ref="K25" si="12">J25+1</f>
        <v>2028</v>
      </c>
      <c r="L25" s="12">
        <f t="shared" ref="L25" si="13">K25+1</f>
        <v>2029</v>
      </c>
      <c r="M25" s="12">
        <f t="shared" ref="M25" si="14">L25+1</f>
        <v>2030</v>
      </c>
      <c r="N25" s="12">
        <f t="shared" ref="N25" si="15">M25+1</f>
        <v>2031</v>
      </c>
      <c r="O25" s="12">
        <f>N25+1</f>
        <v>2032</v>
      </c>
      <c r="P25" s="12">
        <f t="shared" ref="P25" si="16">O25+1</f>
        <v>2033</v>
      </c>
      <c r="Q25" s="12">
        <f t="shared" ref="Q25" si="17">P25+1</f>
        <v>2034</v>
      </c>
      <c r="R25" s="12">
        <f t="shared" ref="R25" si="18">Q25+1</f>
        <v>2035</v>
      </c>
      <c r="S25" s="12">
        <f t="shared" ref="S25" si="19">R25+1</f>
        <v>2036</v>
      </c>
      <c r="T25" s="12">
        <f>S25+1</f>
        <v>2037</v>
      </c>
      <c r="U25" s="12">
        <f>T25+1</f>
        <v>2038</v>
      </c>
      <c r="V25" s="12">
        <f t="shared" ref="V25" si="20">U25+1</f>
        <v>2039</v>
      </c>
      <c r="W25" s="12">
        <f t="shared" ref="W25" si="21">V25+1</f>
        <v>2040</v>
      </c>
      <c r="X25" s="12">
        <f t="shared" ref="X25" si="22">W25+1</f>
        <v>2041</v>
      </c>
      <c r="Y25" s="12">
        <f>X25+1</f>
        <v>2042</v>
      </c>
      <c r="Z25" s="12">
        <f t="shared" ref="Z25" si="23">Y25+1</f>
        <v>2043</v>
      </c>
      <c r="AA25" s="12">
        <f t="shared" ref="AA25" si="24">Z25+1</f>
        <v>2044</v>
      </c>
      <c r="AB25" s="12">
        <f t="shared" ref="AB25" si="25">AA25+1</f>
        <v>2045</v>
      </c>
      <c r="AC25" s="12">
        <f t="shared" ref="AC25" si="26">AB25+1</f>
        <v>2046</v>
      </c>
      <c r="AD25" s="12">
        <f t="shared" ref="AD25" si="27">AC25+1</f>
        <v>2047</v>
      </c>
      <c r="AE25" s="12">
        <f t="shared" ref="AE25" si="28">AD25+1</f>
        <v>2048</v>
      </c>
      <c r="AF25" s="12">
        <f t="shared" ref="AF25" si="29">AE25+1</f>
        <v>2049</v>
      </c>
      <c r="AG25" s="12">
        <f t="shared" ref="AG25" si="30">AF25+1</f>
        <v>2050</v>
      </c>
    </row>
    <row r="26" spans="1:35">
      <c r="A26" s="2">
        <v>1</v>
      </c>
      <c r="B26" s="12" t="s">
        <v>4</v>
      </c>
      <c r="C26" s="2">
        <f ca="1">OFFSET(horas_de_luz_por_provinci!$G$1,_xlfn.XLOOKUP('Datos Instalación'!$C$8,horas_de_luz_por_provinci!$G$2:$G$53,horas_de_luz_por_provinci!$F$2:$F$53),$A26)*'Datos Instalación'!$C$14*_xlfn.XLOOKUP('Datos Instalación'!$C$7,Auxiliares!$B$3:$B$6,Auxiliares!$D$3:$D$6)*('Rendimiento Paneles'!B$19*'Rendimiento Paneles'!B$20+'Rendimiento Paneles'!B$22*'Rendimiento Paneles'!B$21)/1000</f>
        <v>20.293997100000002</v>
      </c>
      <c r="D26" s="2">
        <f ca="1">OFFSET(horas_de_luz_por_provinci!$G$1,_xlfn.XLOOKUP('Datos Instalación'!$C$8,horas_de_luz_por_provinci!$G$2:$G$53,horas_de_luz_por_provinci!$F$2:$F$53),$A26)*'Datos Instalación'!$C$14*_xlfn.XLOOKUP('Datos Instalación'!$C$7,Auxiliares!$B$3:$B$6,Auxiliares!$D$3:$D$6)*('Rendimiento Paneles'!C$19*'Rendimiento Paneles'!C$20+'Rendimiento Paneles'!C$22*'Rendimiento Paneles'!C$21)/1000</f>
        <v>20.184409515660001</v>
      </c>
      <c r="E26" s="2">
        <f ca="1">OFFSET(horas_de_luz_por_provinci!$G$1,_xlfn.XLOOKUP('Datos Instalación'!$C$8,horas_de_luz_por_provinci!$G$2:$G$53,horas_de_luz_por_provinci!$F$2:$F$53),$A26)*'Datos Instalación'!$C$14*_xlfn.XLOOKUP('Datos Instalación'!$C$7,Auxiliares!$B$3:$B$6,Auxiliares!$D$3:$D$6)*('Rendimiento Paneles'!D$19*'Rendimiento Paneles'!D$20+'Rendimiento Paneles'!D$22*'Rendimiento Paneles'!D$21)/1000</f>
        <v>20.075413704275437</v>
      </c>
      <c r="F26" s="2">
        <f ca="1">OFFSET(horas_de_luz_por_provinci!$G$1,_xlfn.XLOOKUP('Datos Instalación'!$C$8,horas_de_luz_por_provinci!$G$2:$G$53,horas_de_luz_por_provinci!$F$2:$F$53),$A26)*'Datos Instalación'!$C$14*_xlfn.XLOOKUP('Datos Instalación'!$C$7,Auxiliares!$B$3:$B$6,Auxiliares!$D$3:$D$6)*('Rendimiento Paneles'!E$19*'Rendimiento Paneles'!E$20+'Rendimiento Paneles'!E$22*'Rendimiento Paneles'!E$21)/1000</f>
        <v>19.967006470272349</v>
      </c>
      <c r="G26" s="2">
        <f ca="1">OFFSET(horas_de_luz_por_provinci!$G$1,_xlfn.XLOOKUP('Datos Instalación'!$C$8,horas_de_luz_por_provinci!$G$2:$G$53,horas_de_luz_por_provinci!$F$2:$F$53),$A26)*'Datos Instalación'!$C$14*_xlfn.XLOOKUP('Datos Instalación'!$C$7,Auxiliares!$B$3:$B$6,Auxiliares!$D$3:$D$6)*('Rendimiento Paneles'!F$19*'Rendimiento Paneles'!F$20+'Rendimiento Paneles'!F$22*'Rendimiento Paneles'!F$21)/1000</f>
        <v>19.85918463533288</v>
      </c>
      <c r="H26" s="2">
        <f ca="1">OFFSET(horas_de_luz_por_provinci!$G$1,_xlfn.XLOOKUP('Datos Instalación'!$C$8,horas_de_luz_por_provinci!$G$2:$G$53,horas_de_luz_por_provinci!$F$2:$F$53),$A26)*'Datos Instalación'!$C$14*_xlfn.XLOOKUP('Datos Instalación'!$C$7,Auxiliares!$B$3:$B$6,Auxiliares!$D$3:$D$6)*('Rendimiento Paneles'!G$19*'Rendimiento Paneles'!G$20+'Rendimiento Paneles'!G$22*'Rendimiento Paneles'!G$21)/1000</f>
        <v>19.751945038302082</v>
      </c>
      <c r="I26" s="2">
        <f ca="1">OFFSET(horas_de_luz_por_provinci!$G$1,_xlfn.XLOOKUP('Datos Instalación'!$C$8,horas_de_luz_por_provinci!$G$2:$G$53,horas_de_luz_por_provinci!$F$2:$F$53),$A26)*'Datos Instalación'!$C$14*_xlfn.XLOOKUP('Datos Instalación'!$C$7,Auxiliares!$B$3:$B$6,Auxiliares!$D$3:$D$6)*('Rendimiento Paneles'!H$19*'Rendimiento Paneles'!H$20+'Rendimiento Paneles'!H$22*'Rendimiento Paneles'!H$21)/1000</f>
        <v>19.645284535095254</v>
      </c>
      <c r="J26" s="2">
        <f ca="1">OFFSET(horas_de_luz_por_provinci!$G$1,_xlfn.XLOOKUP('Datos Instalación'!$C$8,horas_de_luz_por_provinci!$G$2:$G$53,horas_de_luz_por_provinci!$F$2:$F$53),$A26)*'Datos Instalación'!$C$14*_xlfn.XLOOKUP('Datos Instalación'!$C$7,Auxiliares!$B$3:$B$6,Auxiliares!$D$3:$D$6)*('Rendimiento Paneles'!I$19*'Rendimiento Paneles'!I$20+'Rendimiento Paneles'!I$22*'Rendimiento Paneles'!I$21)/1000</f>
        <v>19.539199998605739</v>
      </c>
      <c r="K26" s="2">
        <f ca="1">OFFSET(horas_de_luz_por_provinci!$G$1,_xlfn.XLOOKUP('Datos Instalación'!$C$8,horas_de_luz_por_provinci!$G$2:$G$53,horas_de_luz_por_provinci!$F$2:$F$53),$A26)*'Datos Instalación'!$C$14*_xlfn.XLOOKUP('Datos Instalación'!$C$7,Auxiliares!$B$3:$B$6,Auxiliares!$D$3:$D$6)*('Rendimiento Paneles'!J$19*'Rendimiento Paneles'!J$20+'Rendimiento Paneles'!J$22*'Rendimiento Paneles'!J$21)/1000</f>
        <v>19.433688318613264</v>
      </c>
      <c r="L26" s="2">
        <f ca="1">OFFSET(horas_de_luz_por_provinci!$G$1,_xlfn.XLOOKUP('Datos Instalación'!$C$8,horas_de_luz_por_provinci!$G$2:$G$53,horas_de_luz_por_provinci!$F$2:$F$53),$A26)*'Datos Instalación'!$C$14*_xlfn.XLOOKUP('Datos Instalación'!$C$7,Auxiliares!$B$3:$B$6,Auxiliares!$D$3:$D$6)*('Rendimiento Paneles'!K$19*'Rendimiento Paneles'!K$20+'Rendimiento Paneles'!K$22*'Rendimiento Paneles'!K$21)/1000</f>
        <v>19.328746401692754</v>
      </c>
      <c r="M26" s="2">
        <f ca="1">OFFSET(horas_de_luz_por_provinci!$G$1,_xlfn.XLOOKUP('Datos Instalación'!$C$8,horas_de_luz_por_provinci!$G$2:$G$53,horas_de_luz_por_provinci!$F$2:$F$53),$A26)*'Datos Instalación'!$C$14*_xlfn.XLOOKUP('Datos Instalación'!$C$7,Auxiliares!$B$3:$B$6,Auxiliares!$D$3:$D$6)*('Rendimiento Paneles'!L$19*'Rendimiento Paneles'!L$20+'Rendimiento Paneles'!L$22*'Rendimiento Paneles'!L$21)/1000</f>
        <v>19.224371171123614</v>
      </c>
      <c r="N26" s="2">
        <f ca="1">OFFSET(horas_de_luz_por_provinci!$G$1,_xlfn.XLOOKUP('Datos Instalación'!$C$8,horas_de_luz_por_provinci!$G$2:$G$53,horas_de_luz_por_provinci!$F$2:$F$53),$A26)*'Datos Instalación'!$C$14*_xlfn.XLOOKUP('Datos Instalación'!$C$7,Auxiliares!$B$3:$B$6,Auxiliares!$D$3:$D$6)*('Rendimiento Paneles'!M$19*'Rendimiento Paneles'!M$20+'Rendimiento Paneles'!M$22*'Rendimiento Paneles'!M$21)/1000</f>
        <v>19.120559566799542</v>
      </c>
      <c r="O26" s="2">
        <f ca="1">OFFSET(horas_de_luz_por_provinci!$G$1,_xlfn.XLOOKUP('Datos Instalación'!$C$8,horas_de_luz_por_provinci!$G$2:$G$53,horas_de_luz_por_provinci!$F$2:$F$53),$A26)*'Datos Instalación'!$C$14*_xlfn.XLOOKUP('Datos Instalación'!$C$7,Auxiliares!$B$3:$B$6,Auxiliares!$D$3:$D$6)*('Rendimiento Paneles'!N$19*'Rendimiento Paneles'!N$20+'Rendimiento Paneles'!N$22*'Rendimiento Paneles'!N$21)/1000</f>
        <v>19.600859030399416</v>
      </c>
      <c r="P26" s="2">
        <f ca="1">OFFSET(horas_de_luz_por_provinci!$G$1,_xlfn.XLOOKUP('Datos Instalación'!$C$8,horas_de_luz_por_provinci!$G$2:$G$53,horas_de_luz_por_provinci!$F$2:$F$53),$A26)*'Datos Instalación'!$C$14*_xlfn.XLOOKUP('Datos Instalación'!$C$7,Auxiliares!$B$3:$B$6,Auxiliares!$D$3:$D$6)*('Rendimiento Paneles'!O$19*'Rendimiento Paneles'!O$20+'Rendimiento Paneles'!O$22*'Rendimiento Paneles'!O$21)/1000</f>
        <v>19.495014391635262</v>
      </c>
      <c r="Q26" s="2">
        <f ca="1">OFFSET(horas_de_luz_por_provinci!$G$1,_xlfn.XLOOKUP('Datos Instalación'!$C$8,horas_de_luz_por_provinci!$G$2:$G$53,horas_de_luz_por_provinci!$F$2:$F$53),$A26)*'Datos Instalación'!$C$14*_xlfn.XLOOKUP('Datos Instalación'!$C$7,Auxiliares!$B$3:$B$6,Auxiliares!$D$3:$D$6)*('Rendimiento Paneles'!P$19*'Rendimiento Paneles'!P$20+'Rendimiento Paneles'!P$22*'Rendimiento Paneles'!P$21)/1000</f>
        <v>19.389741313920425</v>
      </c>
      <c r="R26" s="2">
        <f ca="1">OFFSET(horas_de_luz_por_provinci!$G$1,_xlfn.XLOOKUP('Datos Instalación'!$C$8,horas_de_luz_por_provinci!$G$2:$G$53,horas_de_luz_por_provinci!$F$2:$F$53),$A26)*'Datos Instalación'!$C$14*_xlfn.XLOOKUP('Datos Instalación'!$C$7,Auxiliares!$B$3:$B$6,Auxiliares!$D$3:$D$6)*('Rendimiento Paneles'!Q$19*'Rendimiento Paneles'!Q$20+'Rendimiento Paneles'!Q$22*'Rendimiento Paneles'!Q$21)/1000</f>
        <v>19.285036710825256</v>
      </c>
      <c r="S26" s="2">
        <f ca="1">OFFSET(horas_de_luz_por_provinci!$G$1,_xlfn.XLOOKUP('Datos Instalación'!$C$8,horas_de_luz_por_provinci!$G$2:$G$53,horas_de_luz_por_provinci!$F$2:$F$53),$A26)*'Datos Instalación'!$C$14*_xlfn.XLOOKUP('Datos Instalación'!$C$7,Auxiliares!$B$3:$B$6,Auxiliares!$D$3:$D$6)*('Rendimiento Paneles'!R$19*'Rendimiento Paneles'!R$20+'Rendimiento Paneles'!R$22*'Rendimiento Paneles'!R$21)/1000</f>
        <v>19.1808975125868</v>
      </c>
      <c r="T26" s="2">
        <f ca="1">OFFSET(horas_de_luz_por_provinci!$G$1,_xlfn.XLOOKUP('Datos Instalación'!$C$8,horas_de_luz_por_provinci!$G$2:$G$53,horas_de_luz_por_provinci!$F$2:$F$53),$A26)*'Datos Instalación'!$C$14*_xlfn.XLOOKUP('Datos Instalación'!$C$7,Auxiliares!$B$3:$B$6,Auxiliares!$D$3:$D$6)*('Rendimiento Paneles'!S$19*'Rendimiento Paneles'!S$20+'Rendimiento Paneles'!S$22*'Rendimiento Paneles'!S$21)/1000</f>
        <v>19.077320666018831</v>
      </c>
      <c r="U26" s="2">
        <f ca="1">OFFSET(horas_de_luz_por_provinci!$G$1,_xlfn.XLOOKUP('Datos Instalación'!$C$8,horas_de_luz_por_provinci!$G$2:$G$53,horas_de_luz_por_provinci!$F$2:$F$53),$A26)*'Datos Instalación'!$C$14*_xlfn.XLOOKUP('Datos Instalación'!$C$7,Auxiliares!$B$3:$B$6,Auxiliares!$D$3:$D$6)*('Rendimiento Paneles'!T$19*'Rendimiento Paneles'!T$20+'Rendimiento Paneles'!T$22*'Rendimiento Paneles'!T$21)/1000</f>
        <v>18.974303134422332</v>
      </c>
      <c r="V26" s="2">
        <f ca="1">OFFSET(horas_de_luz_por_provinci!$G$1,_xlfn.XLOOKUP('Datos Instalación'!$C$8,horas_de_luz_por_provinci!$G$2:$G$53,horas_de_luz_por_provinci!$F$2:$F$53),$A26)*'Datos Instalación'!$C$14*_xlfn.XLOOKUP('Datos Instalación'!$C$7,Auxiliares!$B$3:$B$6,Auxiliares!$D$3:$D$6)*('Rendimiento Paneles'!U$19*'Rendimiento Paneles'!U$20+'Rendimiento Paneles'!U$22*'Rendimiento Paneles'!U$21)/1000</f>
        <v>18.871841897496452</v>
      </c>
      <c r="W26" s="2">
        <f ca="1">OFFSET(horas_de_luz_por_provinci!$G$1,_xlfn.XLOOKUP('Datos Instalación'!$C$8,horas_de_luz_por_provinci!$G$2:$G$53,horas_de_luz_por_provinci!$F$2:$F$53),$A26)*'Datos Instalación'!$C$14*_xlfn.XLOOKUP('Datos Instalación'!$C$7,Auxiliares!$B$3:$B$6,Auxiliares!$D$3:$D$6)*('Rendimiento Paneles'!V$19*'Rendimiento Paneles'!V$20+'Rendimiento Paneles'!V$22*'Rendimiento Paneles'!V$21)/1000</f>
        <v>18.769933951249971</v>
      </c>
      <c r="X26" s="2">
        <f ca="1">OFFSET(horas_de_luz_por_provinci!$G$1,_xlfn.XLOOKUP('Datos Instalación'!$C$8,horas_de_luz_por_provinci!$G$2:$G$53,horas_de_luz_por_provinci!$F$2:$F$53),$A26)*'Datos Instalación'!$C$14*_xlfn.XLOOKUP('Datos Instalación'!$C$7,Auxiliares!$B$3:$B$6,Auxiliares!$D$3:$D$6)*('Rendimiento Paneles'!W$19*'Rendimiento Paneles'!W$20+'Rendimiento Paneles'!W$22*'Rendimiento Paneles'!W$21)/1000</f>
        <v>18.66857630791322</v>
      </c>
      <c r="Y26" s="2">
        <f ca="1">OFFSET(horas_de_luz_por_provinci!$G$1,_xlfn.XLOOKUP('Datos Instalación'!$C$8,horas_de_luz_por_provinci!$G$2:$G$53,horas_de_luz_por_provinci!$F$2:$F$53),$A26)*'Datos Instalación'!$C$14*_xlfn.XLOOKUP('Datos Instalación'!$C$7,Auxiliares!$B$3:$B$6,Auxiliares!$D$3:$D$6)*('Rendimiento Paneles'!X$19*'Rendimiento Paneles'!X$20+'Rendimiento Paneles'!X$22*'Rendimiento Paneles'!X$21)/1000</f>
        <v>18.56776599585049</v>
      </c>
      <c r="Z26" s="2">
        <f ca="1">OFFSET(horas_de_luz_por_provinci!$G$1,_xlfn.XLOOKUP('Datos Instalación'!$C$8,horas_de_luz_por_provinci!$G$2:$G$53,horas_de_luz_por_provinci!$F$2:$F$53),$A26)*'Datos Instalación'!$C$14*_xlfn.XLOOKUP('Datos Instalación'!$C$7,Auxiliares!$B$3:$B$6,Auxiliares!$D$3:$D$6)*('Rendimiento Paneles'!Y$19*'Rendimiento Paneles'!Y$20+'Rendimiento Paneles'!Y$22*'Rendimiento Paneles'!Y$21)/1000</f>
        <v>18.46750005947289</v>
      </c>
      <c r="AA26" s="2">
        <f ca="1">OFFSET(horas_de_luz_por_provinci!$G$1,_xlfn.XLOOKUP('Datos Instalación'!$C$8,horas_de_luz_por_provinci!$G$2:$G$53,horas_de_luz_por_provinci!$F$2:$F$53),$A26)*'Datos Instalación'!$C$14*_xlfn.XLOOKUP('Datos Instalación'!$C$7,Auxiliares!$B$3:$B$6,Auxiliares!$D$3:$D$6)*('Rendimiento Paneles'!Z$19*'Rendimiento Paneles'!Z$20+'Rendimiento Paneles'!Z$22*'Rendimiento Paneles'!Z$21)/1000</f>
        <v>18.367775559151742</v>
      </c>
      <c r="AB26" s="2">
        <f ca="1">OFFSET(horas_de_luz_por_provinci!$G$1,_xlfn.XLOOKUP('Datos Instalación'!$C$8,horas_de_luz_por_provinci!$G$2:$G$53,horas_de_luz_por_provinci!$F$2:$F$53),$A26)*'Datos Instalación'!$C$14*_xlfn.XLOOKUP('Datos Instalación'!$C$7,Auxiliares!$B$3:$B$6,Auxiliares!$D$3:$D$6)*('Rendimiento Paneles'!AA$19*'Rendimiento Paneles'!AA$20+'Rendimiento Paneles'!AA$22*'Rendimiento Paneles'!AA$21)/1000</f>
        <v>18.268589571132321</v>
      </c>
      <c r="AC26" s="2">
        <f ca="1">OFFSET(horas_de_luz_por_provinci!$G$1,_xlfn.XLOOKUP('Datos Instalación'!$C$8,horas_de_luz_por_provinci!$G$2:$G$53,horas_de_luz_por_provinci!$F$2:$F$53),$A26)*'Datos Instalación'!$C$14*_xlfn.XLOOKUP('Datos Instalación'!$C$7,Auxiliares!$B$3:$B$6,Auxiliares!$D$3:$D$6)*('Rendimiento Paneles'!AB$19*'Rendimiento Paneles'!AB$20+'Rendimiento Paneles'!AB$22*'Rendimiento Paneles'!AB$21)/1000</f>
        <v>18.169939187448207</v>
      </c>
      <c r="AD26" s="2">
        <f ca="1">OFFSET(horas_de_luz_por_provinci!$G$1,_xlfn.XLOOKUP('Datos Instalación'!$C$8,horas_de_luz_por_provinci!$G$2:$G$53,horas_de_luz_por_provinci!$F$2:$F$53),$A26)*'Datos Instalación'!$C$14*_xlfn.XLOOKUP('Datos Instalación'!$C$7,Auxiliares!$B$3:$B$6,Auxiliares!$D$3:$D$6)*('Rendimiento Paneles'!AC$19*'Rendimiento Paneles'!AC$20+'Rendimiento Paneles'!AC$22*'Rendimiento Paneles'!AC$21)/1000</f>
        <v>18.071821515835985</v>
      </c>
      <c r="AE26" s="2">
        <f ca="1">OFFSET(horas_de_luz_por_provinci!$G$1,_xlfn.XLOOKUP('Datos Instalación'!$C$8,horas_de_luz_por_provinci!$G$2:$G$53,horas_de_luz_por_provinci!$F$2:$F$53),$A26)*'Datos Instalación'!$C$14*_xlfn.XLOOKUP('Datos Instalación'!$C$7,Auxiliares!$B$3:$B$6,Auxiliares!$D$3:$D$6)*('Rendimiento Paneles'!AD$19*'Rendimiento Paneles'!AD$20+'Rendimiento Paneles'!AD$22*'Rendimiento Paneles'!AD$21)/1000</f>
        <v>17.974233679650471</v>
      </c>
      <c r="AF26" s="2">
        <f ca="1">OFFSET(horas_de_luz_por_provinci!$G$1,_xlfn.XLOOKUP('Datos Instalación'!$C$8,horas_de_luz_por_provinci!$G$2:$G$53,horas_de_luz_por_provinci!$F$2:$F$53),$A26)*'Datos Instalación'!$C$14*_xlfn.XLOOKUP('Datos Instalación'!$C$7,Auxiliares!$B$3:$B$6,Auxiliares!$D$3:$D$6)*('Rendimiento Paneles'!AE$19*'Rendimiento Paneles'!AE$20+'Rendimiento Paneles'!AE$22*'Rendimiento Paneles'!AE$21)/1000</f>
        <v>17.877172817780359</v>
      </c>
      <c r="AG26" s="2">
        <f ca="1">OFFSET(horas_de_luz_por_provinci!$G$1,_xlfn.XLOOKUP('Datos Instalación'!$C$8,horas_de_luz_por_provinci!$G$2:$G$53,horas_de_luz_por_provinci!$F$2:$F$53),$A26)*'Datos Instalación'!$C$14*_xlfn.XLOOKUP('Datos Instalación'!$C$7,Auxiliares!$B$3:$B$6,Auxiliares!$D$3:$D$6)*('Rendimiento Paneles'!AF$19*'Rendimiento Paneles'!AF$20+'Rendimiento Paneles'!AF$22*'Rendimiento Paneles'!AF$21)/1000</f>
        <v>17.780636084564346</v>
      </c>
    </row>
    <row r="27" spans="1:35">
      <c r="A27" s="2">
        <v>2</v>
      </c>
      <c r="B27" s="12" t="s">
        <v>5</v>
      </c>
      <c r="C27" s="2">
        <f ca="1">OFFSET(horas_de_luz_por_provinci!$G$1,_xlfn.XLOOKUP('Datos Instalación'!$C$8,horas_de_luz_por_provinci!$G$2:$G$53,horas_de_luz_por_provinci!$F$2:$F$53),$A27)*'Datos Instalación'!$C$14*_xlfn.XLOOKUP('Datos Instalación'!$C$7,Auxiliares!$B$3:$B$6,Auxiliares!$D$3:$D$6)*('Rendimiento Paneles'!B$19*'Rendimiento Paneles'!B$20+'Rendimiento Paneles'!B$22*'Rendimiento Paneles'!B$21)/1000</f>
        <v>22.363106999999996</v>
      </c>
      <c r="D27" s="2">
        <f ca="1">OFFSET(horas_de_luz_por_provinci!$G$1,_xlfn.XLOOKUP('Datos Instalación'!$C$8,horas_de_luz_por_provinci!$G$2:$G$53,horas_de_luz_por_provinci!$F$2:$F$53),$A27)*'Datos Instalación'!$C$14*_xlfn.XLOOKUP('Datos Instalación'!$C$7,Auxiliares!$B$3:$B$6,Auxiliares!$D$3:$D$6)*('Rendimiento Paneles'!C$19*'Rendimiento Paneles'!C$20+'Rendimiento Paneles'!C$22*'Rendimiento Paneles'!C$21)/1000</f>
        <v>22.242346222199998</v>
      </c>
      <c r="E27" s="2">
        <f ca="1">OFFSET(horas_de_luz_por_provinci!$G$1,_xlfn.XLOOKUP('Datos Instalación'!$C$8,horas_de_luz_por_provinci!$G$2:$G$53,horas_de_luz_por_provinci!$F$2:$F$53),$A27)*'Datos Instalación'!$C$14*_xlfn.XLOOKUP('Datos Instalación'!$C$7,Auxiliares!$B$3:$B$6,Auxiliares!$D$3:$D$6)*('Rendimiento Paneles'!D$19*'Rendimiento Paneles'!D$20+'Rendimiento Paneles'!D$22*'Rendimiento Paneles'!D$21)/1000</f>
        <v>22.122237552600119</v>
      </c>
      <c r="F27" s="2">
        <f ca="1">OFFSET(horas_de_luz_por_provinci!$G$1,_xlfn.XLOOKUP('Datos Instalación'!$C$8,horas_de_luz_por_provinci!$G$2:$G$53,horas_de_luz_por_provinci!$F$2:$F$53),$A27)*'Datos Instalación'!$C$14*_xlfn.XLOOKUP('Datos Instalación'!$C$7,Auxiliares!$B$3:$B$6,Auxiliares!$D$3:$D$6)*('Rendimiento Paneles'!E$19*'Rendimiento Paneles'!E$20+'Rendimiento Paneles'!E$22*'Rendimiento Paneles'!E$21)/1000</f>
        <v>22.002777469816078</v>
      </c>
      <c r="G27" s="2">
        <f ca="1">OFFSET(horas_de_luz_por_provinci!$G$1,_xlfn.XLOOKUP('Datos Instalación'!$C$8,horas_de_luz_por_provinci!$G$2:$G$53,horas_de_luz_por_provinci!$F$2:$F$53),$A27)*'Datos Instalación'!$C$14*_xlfn.XLOOKUP('Datos Instalación'!$C$7,Auxiliares!$B$3:$B$6,Auxiliares!$D$3:$D$6)*('Rendimiento Paneles'!F$19*'Rendimiento Paneles'!F$20+'Rendimiento Paneles'!F$22*'Rendimiento Paneles'!F$21)/1000</f>
        <v>21.883962471479069</v>
      </c>
      <c r="H27" s="2">
        <f ca="1">OFFSET(horas_de_luz_por_provinci!$G$1,_xlfn.XLOOKUP('Datos Instalación'!$C$8,horas_de_luz_por_provinci!$G$2:$G$53,horas_de_luz_por_provinci!$F$2:$F$53),$A27)*'Datos Instalación'!$C$14*_xlfn.XLOOKUP('Datos Instalación'!$C$7,Auxiliares!$B$3:$B$6,Auxiliares!$D$3:$D$6)*('Rendimiento Paneles'!G$19*'Rendimiento Paneles'!G$20+'Rendimiento Paneles'!G$22*'Rendimiento Paneles'!G$21)/1000</f>
        <v>21.765789074133085</v>
      </c>
      <c r="I27" s="2">
        <f ca="1">OFFSET(horas_de_luz_por_provinci!$G$1,_xlfn.XLOOKUP('Datos Instalación'!$C$8,horas_de_luz_por_provinci!$G$2:$G$53,horas_de_luz_por_provinci!$F$2:$F$53),$A27)*'Datos Instalación'!$C$14*_xlfn.XLOOKUP('Datos Instalación'!$C$7,Auxiliares!$B$3:$B$6,Auxiliares!$D$3:$D$6)*('Rendimiento Paneles'!H$19*'Rendimiento Paneles'!H$20+'Rendimiento Paneles'!H$22*'Rendimiento Paneles'!H$21)/1000</f>
        <v>21.648253813132769</v>
      </c>
      <c r="J27" s="2">
        <f ca="1">OFFSET(horas_de_luz_por_provinci!$G$1,_xlfn.XLOOKUP('Datos Instalación'!$C$8,horas_de_luz_por_provinci!$G$2:$G$53,horas_de_luz_por_provinci!$F$2:$F$53),$A27)*'Datos Instalación'!$C$14*_xlfn.XLOOKUP('Datos Instalación'!$C$7,Auxiliares!$B$3:$B$6,Auxiliares!$D$3:$D$6)*('Rendimiento Paneles'!I$19*'Rendimiento Paneles'!I$20+'Rendimiento Paneles'!I$22*'Rendimiento Paneles'!I$21)/1000</f>
        <v>21.531353242541851</v>
      </c>
      <c r="K27" s="2">
        <f ca="1">OFFSET(horas_de_luz_por_provinci!$G$1,_xlfn.XLOOKUP('Datos Instalación'!$C$8,horas_de_luz_por_provinci!$G$2:$G$53,horas_de_luz_por_provinci!$F$2:$F$53),$A27)*'Datos Instalación'!$C$14*_xlfn.XLOOKUP('Datos Instalación'!$C$7,Auxiliares!$B$3:$B$6,Auxiliares!$D$3:$D$6)*('Rendimiento Paneles'!J$19*'Rendimiento Paneles'!J$20+'Rendimiento Paneles'!J$22*'Rendimiento Paneles'!J$21)/1000</f>
        <v>21.415083935032126</v>
      </c>
      <c r="L27" s="2">
        <f ca="1">OFFSET(horas_de_luz_por_provinci!$G$1,_xlfn.XLOOKUP('Datos Instalación'!$C$8,horas_de_luz_por_provinci!$G$2:$G$53,horas_de_luz_por_provinci!$F$2:$F$53),$A27)*'Datos Instalación'!$C$14*_xlfn.XLOOKUP('Datos Instalación'!$C$7,Auxiliares!$B$3:$B$6,Auxiliares!$D$3:$D$6)*('Rendimiento Paneles'!K$19*'Rendimiento Paneles'!K$20+'Rendimiento Paneles'!K$22*'Rendimiento Paneles'!K$21)/1000</f>
        <v>21.299442481782954</v>
      </c>
      <c r="M27" s="2">
        <f ca="1">OFFSET(horas_de_luz_por_provinci!$G$1,_xlfn.XLOOKUP('Datos Instalación'!$C$8,horas_de_luz_por_provinci!$G$2:$G$53,horas_de_luz_por_provinci!$F$2:$F$53),$A27)*'Datos Instalación'!$C$14*_xlfn.XLOOKUP('Datos Instalación'!$C$7,Auxiliares!$B$3:$B$6,Auxiliares!$D$3:$D$6)*('Rendimiento Paneles'!L$19*'Rendimiento Paneles'!L$20+'Rendimiento Paneles'!L$22*'Rendimiento Paneles'!L$21)/1000</f>
        <v>21.184425492381319</v>
      </c>
      <c r="N27" s="2">
        <f ca="1">OFFSET(horas_de_luz_por_provinci!$G$1,_xlfn.XLOOKUP('Datos Instalación'!$C$8,horas_de_luz_por_provinci!$G$2:$G$53,horas_de_luz_por_provinci!$F$2:$F$53),$A27)*'Datos Instalación'!$C$14*_xlfn.XLOOKUP('Datos Instalación'!$C$7,Auxiliares!$B$3:$B$6,Auxiliares!$D$3:$D$6)*('Rendimiento Paneles'!M$19*'Rendimiento Paneles'!M$20+'Rendimiento Paneles'!M$22*'Rendimiento Paneles'!M$21)/1000</f>
        <v>21.070029594722463</v>
      </c>
      <c r="O27" s="2">
        <f ca="1">OFFSET(horas_de_luz_por_provinci!$G$1,_xlfn.XLOOKUP('Datos Instalación'!$C$8,horas_de_luz_por_provinci!$G$2:$G$53,horas_de_luz_por_provinci!$F$2:$F$53),$A27)*'Datos Instalación'!$C$14*_xlfn.XLOOKUP('Datos Instalación'!$C$7,Auxiliares!$B$3:$B$6,Auxiliares!$D$3:$D$6)*('Rendimiento Paneles'!N$19*'Rendimiento Paneles'!N$20+'Rendimiento Paneles'!N$22*'Rendimiento Paneles'!N$21)/1000</f>
        <v>21.599298828555483</v>
      </c>
      <c r="P27" s="2">
        <f ca="1">OFFSET(horas_de_luz_por_provinci!$G$1,_xlfn.XLOOKUP('Datos Instalación'!$C$8,horas_de_luz_por_provinci!$G$2:$G$53,horas_de_luz_por_provinci!$F$2:$F$53),$A27)*'Datos Instalación'!$C$14*_xlfn.XLOOKUP('Datos Instalación'!$C$7,Auxiliares!$B$3:$B$6,Auxiliares!$D$3:$D$6)*('Rendimiento Paneles'!O$19*'Rendimiento Paneles'!O$20+'Rendimiento Paneles'!O$22*'Rendimiento Paneles'!O$21)/1000</f>
        <v>21.482662614881278</v>
      </c>
      <c r="Q27" s="2">
        <f ca="1">OFFSET(horas_de_luz_por_provinci!$G$1,_xlfn.XLOOKUP('Datos Instalación'!$C$8,horas_de_luz_por_provinci!$G$2:$G$53,horas_de_luz_por_provinci!$F$2:$F$53),$A27)*'Datos Instalación'!$C$14*_xlfn.XLOOKUP('Datos Instalación'!$C$7,Auxiliares!$B$3:$B$6,Auxiliares!$D$3:$D$6)*('Rendimiento Paneles'!P$19*'Rendimiento Paneles'!P$20+'Rendimiento Paneles'!P$22*'Rendimiento Paneles'!P$21)/1000</f>
        <v>21.366656236760917</v>
      </c>
      <c r="R27" s="2">
        <f ca="1">OFFSET(horas_de_luz_por_provinci!$G$1,_xlfn.XLOOKUP('Datos Instalación'!$C$8,horas_de_luz_por_provinci!$G$2:$G$53,horas_de_luz_por_provinci!$F$2:$F$53),$A27)*'Datos Instalación'!$C$14*_xlfn.XLOOKUP('Datos Instalación'!$C$7,Auxiliares!$B$3:$B$6,Auxiliares!$D$3:$D$6)*('Rendimiento Paneles'!Q$19*'Rendimiento Paneles'!Q$20+'Rendimiento Paneles'!Q$22*'Rendimiento Paneles'!Q$21)/1000</f>
        <v>21.251276293082412</v>
      </c>
      <c r="S27" s="2">
        <f ca="1">OFFSET(horas_de_luz_por_provinci!$G$1,_xlfn.XLOOKUP('Datos Instalación'!$C$8,horas_de_luz_por_provinci!$G$2:$G$53,horas_de_luz_por_provinci!$F$2:$F$53),$A27)*'Datos Instalación'!$C$14*_xlfn.XLOOKUP('Datos Instalación'!$C$7,Auxiliares!$B$3:$B$6,Auxiliares!$D$3:$D$6)*('Rendimiento Paneles'!R$19*'Rendimiento Paneles'!R$20+'Rendimiento Paneles'!R$22*'Rendimiento Paneles'!R$21)/1000</f>
        <v>21.136519401099765</v>
      </c>
      <c r="T27" s="2">
        <f ca="1">OFFSET(horas_de_luz_por_provinci!$G$1,_xlfn.XLOOKUP('Datos Instalación'!$C$8,horas_de_luz_por_provinci!$G$2:$G$53,horas_de_luz_por_provinci!$F$2:$F$53),$A27)*'Datos Instalación'!$C$14*_xlfn.XLOOKUP('Datos Instalación'!$C$7,Auxiliares!$B$3:$B$6,Auxiliares!$D$3:$D$6)*('Rendimiento Paneles'!S$19*'Rendimiento Paneles'!S$20+'Rendimiento Paneles'!S$22*'Rendimiento Paneles'!S$21)/1000</f>
        <v>21.022382196333826</v>
      </c>
      <c r="U27" s="2">
        <f ca="1">OFFSET(horas_de_luz_por_provinci!$G$1,_xlfn.XLOOKUP('Datos Instalación'!$C$8,horas_de_luz_por_provinci!$G$2:$G$53,horas_de_luz_por_provinci!$F$2:$F$53),$A27)*'Datos Instalación'!$C$14*_xlfn.XLOOKUP('Datos Instalación'!$C$7,Auxiliares!$B$3:$B$6,Auxiliares!$D$3:$D$6)*('Rendimiento Paneles'!T$19*'Rendimiento Paneles'!T$20+'Rendimiento Paneles'!T$22*'Rendimiento Paneles'!T$21)/1000</f>
        <v>20.908861332473624</v>
      </c>
      <c r="V27" s="2">
        <f ca="1">OFFSET(horas_de_luz_por_provinci!$G$1,_xlfn.XLOOKUP('Datos Instalación'!$C$8,horas_de_luz_por_provinci!$G$2:$G$53,horas_de_luz_por_provinci!$F$2:$F$53),$A27)*'Datos Instalación'!$C$14*_xlfn.XLOOKUP('Datos Instalación'!$C$7,Auxiliares!$B$3:$B$6,Auxiliares!$D$3:$D$6)*('Rendimiento Paneles'!U$19*'Rendimiento Paneles'!U$20+'Rendimiento Paneles'!U$22*'Rendimiento Paneles'!U$21)/1000</f>
        <v>20.795953481278268</v>
      </c>
      <c r="W27" s="2">
        <f ca="1">OFFSET(horas_de_luz_por_provinci!$G$1,_xlfn.XLOOKUP('Datos Instalación'!$C$8,horas_de_luz_por_provinci!$G$2:$G$53,horas_de_luz_por_provinci!$F$2:$F$53),$A27)*'Datos Instalación'!$C$14*_xlfn.XLOOKUP('Datos Instalación'!$C$7,Auxiliares!$B$3:$B$6,Auxiliares!$D$3:$D$6)*('Rendimiento Paneles'!V$19*'Rendimiento Paneles'!V$20+'Rendimiento Paneles'!V$22*'Rendimiento Paneles'!V$21)/1000</f>
        <v>20.683655332479368</v>
      </c>
      <c r="X27" s="2">
        <f ca="1">OFFSET(horas_de_luz_por_provinci!$G$1,_xlfn.XLOOKUP('Datos Instalación'!$C$8,horas_de_luz_por_provinci!$G$2:$G$53,horas_de_luz_por_provinci!$F$2:$F$53),$A27)*'Datos Instalación'!$C$14*_xlfn.XLOOKUP('Datos Instalación'!$C$7,Auxiliares!$B$3:$B$6,Auxiliares!$D$3:$D$6)*('Rendimiento Paneles'!W$19*'Rendimiento Paneles'!W$20+'Rendimiento Paneles'!W$22*'Rendimiento Paneles'!W$21)/1000</f>
        <v>20.571963593683975</v>
      </c>
      <c r="Y27" s="2">
        <f ca="1">OFFSET(horas_de_luz_por_provinci!$G$1,_xlfn.XLOOKUP('Datos Instalación'!$C$8,horas_de_luz_por_provinci!$G$2:$G$53,horas_de_luz_por_provinci!$F$2:$F$53),$A27)*'Datos Instalación'!$C$14*_xlfn.XLOOKUP('Datos Instalación'!$C$7,Auxiliares!$B$3:$B$6,Auxiliares!$D$3:$D$6)*('Rendimiento Paneles'!X$19*'Rendimiento Paneles'!X$20+'Rendimiento Paneles'!X$22*'Rendimiento Paneles'!X$21)/1000</f>
        <v>20.460874990278079</v>
      </c>
      <c r="Z27" s="2">
        <f ca="1">OFFSET(horas_de_luz_por_provinci!$G$1,_xlfn.XLOOKUP('Datos Instalación'!$C$8,horas_de_luz_por_provinci!$G$2:$G$53,horas_de_luz_por_provinci!$F$2:$F$53),$A27)*'Datos Instalación'!$C$14*_xlfn.XLOOKUP('Datos Instalación'!$C$7,Auxiliares!$B$3:$B$6,Auxiliares!$D$3:$D$6)*('Rendimiento Paneles'!Y$19*'Rendimiento Paneles'!Y$20+'Rendimiento Paneles'!Y$22*'Rendimiento Paneles'!Y$21)/1000</f>
        <v>20.350386265330581</v>
      </c>
      <c r="AA27" s="2">
        <f ca="1">OFFSET(horas_de_luz_por_provinci!$G$1,_xlfn.XLOOKUP('Datos Instalación'!$C$8,horas_de_luz_por_provinci!$G$2:$G$53,horas_de_luz_por_provinci!$F$2:$F$53),$A27)*'Datos Instalación'!$C$14*_xlfn.XLOOKUP('Datos Instalación'!$C$7,Auxiliares!$B$3:$B$6,Auxiliares!$D$3:$D$6)*('Rendimiento Paneles'!Z$19*'Rendimiento Paneles'!Z$20+'Rendimiento Paneles'!Z$22*'Rendimiento Paneles'!Z$21)/1000</f>
        <v>20.240494179497794</v>
      </c>
      <c r="AB27" s="2">
        <f ca="1">OFFSET(horas_de_luz_por_provinci!$G$1,_xlfn.XLOOKUP('Datos Instalación'!$C$8,horas_de_luz_por_provinci!$G$2:$G$53,horas_de_luz_por_provinci!$F$2:$F$53),$A27)*'Datos Instalación'!$C$14*_xlfn.XLOOKUP('Datos Instalación'!$C$7,Auxiliares!$B$3:$B$6,Auxiliares!$D$3:$D$6)*('Rendimiento Paneles'!AA$19*'Rendimiento Paneles'!AA$20+'Rendimiento Paneles'!AA$22*'Rendimiento Paneles'!AA$21)/1000</f>
        <v>20.131195510928507</v>
      </c>
      <c r="AC27" s="2">
        <f ca="1">OFFSET(horas_de_luz_por_provinci!$G$1,_xlfn.XLOOKUP('Datos Instalación'!$C$8,horas_de_luz_por_provinci!$G$2:$G$53,horas_de_luz_por_provinci!$F$2:$F$53),$A27)*'Datos Instalación'!$C$14*_xlfn.XLOOKUP('Datos Instalación'!$C$7,Auxiliares!$B$3:$B$6,Auxiliares!$D$3:$D$6)*('Rendimiento Paneles'!AB$19*'Rendimiento Paneles'!AB$20+'Rendimiento Paneles'!AB$22*'Rendimiento Paneles'!AB$21)/1000</f>
        <v>20.022487055169492</v>
      </c>
      <c r="AD27" s="2">
        <f ca="1">OFFSET(horas_de_luz_por_provinci!$G$1,_xlfn.XLOOKUP('Datos Instalación'!$C$8,horas_de_luz_por_provinci!$G$2:$G$53,horas_de_luz_por_provinci!$F$2:$F$53),$A27)*'Datos Instalación'!$C$14*_xlfn.XLOOKUP('Datos Instalación'!$C$7,Auxiliares!$B$3:$B$6,Auxiliares!$D$3:$D$6)*('Rendimiento Paneles'!AC$19*'Rendimiento Paneles'!AC$20+'Rendimiento Paneles'!AC$22*'Rendimiento Paneles'!AC$21)/1000</f>
        <v>19.914365625071575</v>
      </c>
      <c r="AE27" s="2">
        <f ca="1">OFFSET(horas_de_luz_por_provinci!$G$1,_xlfn.XLOOKUP('Datos Instalación'!$C$8,horas_de_luz_por_provinci!$G$2:$G$53,horas_de_luz_por_provinci!$F$2:$F$53),$A27)*'Datos Instalación'!$C$14*_xlfn.XLOOKUP('Datos Instalación'!$C$7,Auxiliares!$B$3:$B$6,Auxiliares!$D$3:$D$6)*('Rendimiento Paneles'!AD$19*'Rendimiento Paneles'!AD$20+'Rendimiento Paneles'!AD$22*'Rendimiento Paneles'!AD$21)/1000</f>
        <v>19.80682805069619</v>
      </c>
      <c r="AF27" s="2">
        <f ca="1">OFFSET(horas_de_luz_por_provinci!$G$1,_xlfn.XLOOKUP('Datos Instalación'!$C$8,horas_de_luz_por_provinci!$G$2:$G$53,horas_de_luz_por_provinci!$F$2:$F$53),$A27)*'Datos Instalación'!$C$14*_xlfn.XLOOKUP('Datos Instalación'!$C$7,Auxiliares!$B$3:$B$6,Auxiliares!$D$3:$D$6)*('Rendimiento Paneles'!AE$19*'Rendimiento Paneles'!AE$20+'Rendimiento Paneles'!AE$22*'Rendimiento Paneles'!AE$21)/1000</f>
        <v>19.699871179222431</v>
      </c>
      <c r="AG27" s="2">
        <f ca="1">OFFSET(horas_de_luz_por_provinci!$G$1,_xlfn.XLOOKUP('Datos Instalación'!$C$8,horas_de_luz_por_provinci!$G$2:$G$53,horas_de_luz_por_provinci!$F$2:$F$53),$A27)*'Datos Instalación'!$C$14*_xlfn.XLOOKUP('Datos Instalación'!$C$7,Auxiliares!$B$3:$B$6,Auxiliares!$D$3:$D$6)*('Rendimiento Paneles'!AF$19*'Rendimiento Paneles'!AF$20+'Rendimiento Paneles'!AF$22*'Rendimiento Paneles'!AF$21)/1000</f>
        <v>19.593491874854628</v>
      </c>
    </row>
    <row r="28" spans="1:35">
      <c r="A28" s="2">
        <v>3</v>
      </c>
      <c r="B28" s="12" t="s">
        <v>6</v>
      </c>
      <c r="C28" s="2">
        <f ca="1">OFFSET(horas_de_luz_por_provinci!$G$1,_xlfn.XLOOKUP('Datos Instalación'!$C$8,horas_de_luz_por_provinci!$G$2:$G$53,horas_de_luz_por_provinci!$F$2:$F$53),$A28)*'Datos Instalación'!$C$14*_xlfn.XLOOKUP('Datos Instalación'!$C$7,Auxiliares!$B$3:$B$6,Auxiliares!$D$3:$D$6)*('Rendimiento Paneles'!B$19*'Rendimiento Paneles'!B$20+'Rendimiento Paneles'!B$22*'Rendimiento Paneles'!B$21)/1000</f>
        <v>24.975619499999997</v>
      </c>
      <c r="D28" s="2">
        <f ca="1">OFFSET(horas_de_luz_por_provinci!$G$1,_xlfn.XLOOKUP('Datos Instalación'!$C$8,horas_de_luz_por_provinci!$G$2:$G$53,horas_de_luz_por_provinci!$F$2:$F$53),$A28)*'Datos Instalación'!$C$14*_xlfn.XLOOKUP('Datos Instalación'!$C$7,Auxiliares!$B$3:$B$6,Auxiliares!$D$3:$D$6)*('Rendimiento Paneles'!C$19*'Rendimiento Paneles'!C$20+'Rendimiento Paneles'!C$22*'Rendimiento Paneles'!C$21)/1000</f>
        <v>24.840751154699998</v>
      </c>
      <c r="E28" s="2">
        <f ca="1">OFFSET(horas_de_luz_por_provinci!$G$1,_xlfn.XLOOKUP('Datos Instalación'!$C$8,horas_de_luz_por_provinci!$G$2:$G$53,horas_de_luz_por_provinci!$F$2:$F$53),$A28)*'Datos Instalación'!$C$14*_xlfn.XLOOKUP('Datos Instalación'!$C$7,Auxiliares!$B$3:$B$6,Auxiliares!$D$3:$D$6)*('Rendimiento Paneles'!D$19*'Rendimiento Paneles'!D$20+'Rendimiento Paneles'!D$22*'Rendimiento Paneles'!D$21)/1000</f>
        <v>24.70661109846462</v>
      </c>
      <c r="F28" s="2">
        <f ca="1">OFFSET(horas_de_luz_por_provinci!$G$1,_xlfn.XLOOKUP('Datos Instalación'!$C$8,horas_de_luz_por_provinci!$G$2:$G$53,horas_de_luz_por_provinci!$F$2:$F$53),$A28)*'Datos Instalación'!$C$14*_xlfn.XLOOKUP('Datos Instalación'!$C$7,Auxiliares!$B$3:$B$6,Auxiliares!$D$3:$D$6)*('Rendimiento Paneles'!E$19*'Rendimiento Paneles'!E$20+'Rendimiento Paneles'!E$22*'Rendimiento Paneles'!E$21)/1000</f>
        <v>24.573195398532913</v>
      </c>
      <c r="G28" s="2">
        <f ca="1">OFFSET(horas_de_luz_por_provinci!$G$1,_xlfn.XLOOKUP('Datos Instalación'!$C$8,horas_de_luz_por_provinci!$G$2:$G$53,horas_de_luz_por_provinci!$F$2:$F$53),$A28)*'Datos Instalación'!$C$14*_xlfn.XLOOKUP('Datos Instalación'!$C$7,Auxiliares!$B$3:$B$6,Auxiliares!$D$3:$D$6)*('Rendimiento Paneles'!F$19*'Rendimiento Paneles'!F$20+'Rendimiento Paneles'!F$22*'Rendimiento Paneles'!F$21)/1000</f>
        <v>24.440500143380831</v>
      </c>
      <c r="H28" s="2">
        <f ca="1">OFFSET(horas_de_luz_por_provinci!$G$1,_xlfn.XLOOKUP('Datos Instalación'!$C$8,horas_de_luz_por_provinci!$G$2:$G$53,horas_de_luz_por_provinci!$F$2:$F$53),$A28)*'Datos Instalación'!$C$14*_xlfn.XLOOKUP('Datos Instalación'!$C$7,Auxiliares!$B$3:$B$6,Auxiliares!$D$3:$D$6)*('Rendimiento Paneles'!G$19*'Rendimiento Paneles'!G$20+'Rendimiento Paneles'!G$22*'Rendimiento Paneles'!G$21)/1000</f>
        <v>24.308521442606576</v>
      </c>
      <c r="I28" s="2">
        <f ca="1">OFFSET(horas_de_luz_por_provinci!$G$1,_xlfn.XLOOKUP('Datos Instalación'!$C$8,horas_de_luz_por_provinci!$G$2:$G$53,horas_de_luz_por_provinci!$F$2:$F$53),$A28)*'Datos Instalación'!$C$14*_xlfn.XLOOKUP('Datos Instalación'!$C$7,Auxiliares!$B$3:$B$6,Auxiliares!$D$3:$D$6)*('Rendimiento Paneles'!H$19*'Rendimiento Paneles'!H$20+'Rendimiento Paneles'!H$22*'Rendimiento Paneles'!H$21)/1000</f>
        <v>24.177255426816501</v>
      </c>
      <c r="J28" s="2">
        <f ca="1">OFFSET(horas_de_luz_por_provinci!$G$1,_xlfn.XLOOKUP('Datos Instalación'!$C$8,horas_de_luz_por_provinci!$G$2:$G$53,horas_de_luz_por_provinci!$F$2:$F$53),$A28)*'Datos Instalación'!$C$14*_xlfn.XLOOKUP('Datos Instalación'!$C$7,Auxiliares!$B$3:$B$6,Auxiliares!$D$3:$D$6)*('Rendimiento Paneles'!I$19*'Rendimiento Paneles'!I$20+'Rendimiento Paneles'!I$22*'Rendimiento Paneles'!I$21)/1000</f>
        <v>24.046698247511692</v>
      </c>
      <c r="K28" s="2">
        <f ca="1">OFFSET(horas_de_luz_por_provinci!$G$1,_xlfn.XLOOKUP('Datos Instalación'!$C$8,horas_de_luz_por_provinci!$G$2:$G$53,horas_de_luz_por_provinci!$F$2:$F$53),$A28)*'Datos Instalación'!$C$14*_xlfn.XLOOKUP('Datos Instalación'!$C$7,Auxiliares!$B$3:$B$6,Auxiliares!$D$3:$D$6)*('Rendimiento Paneles'!J$19*'Rendimiento Paneles'!J$20+'Rendimiento Paneles'!J$22*'Rendimiento Paneles'!J$21)/1000</f>
        <v>23.91684607697513</v>
      </c>
      <c r="L28" s="2">
        <f ca="1">OFFSET(horas_de_luz_por_provinci!$G$1,_xlfn.XLOOKUP('Datos Instalación'!$C$8,horas_de_luz_por_provinci!$G$2:$G$53,horas_de_luz_por_provinci!$F$2:$F$53),$A28)*'Datos Instalación'!$C$14*_xlfn.XLOOKUP('Datos Instalación'!$C$7,Auxiliares!$B$3:$B$6,Auxiliares!$D$3:$D$6)*('Rendimiento Paneles'!K$19*'Rendimiento Paneles'!K$20+'Rendimiento Paneles'!K$22*'Rendimiento Paneles'!K$21)/1000</f>
        <v>23.787695108159468</v>
      </c>
      <c r="M28" s="2">
        <f ca="1">OFFSET(horas_de_luz_por_provinci!$G$1,_xlfn.XLOOKUP('Datos Instalación'!$C$8,horas_de_luz_por_provinci!$G$2:$G$53,horas_de_luz_por_provinci!$F$2:$F$53),$A28)*'Datos Instalación'!$C$14*_xlfn.XLOOKUP('Datos Instalación'!$C$7,Auxiliares!$B$3:$B$6,Auxiliares!$D$3:$D$6)*('Rendimiento Paneles'!L$19*'Rendimiento Paneles'!L$20+'Rendimiento Paneles'!L$22*'Rendimiento Paneles'!L$21)/1000</f>
        <v>23.659241554575402</v>
      </c>
      <c r="N28" s="2">
        <f ca="1">OFFSET(horas_de_luz_por_provinci!$G$1,_xlfn.XLOOKUP('Datos Instalación'!$C$8,horas_de_luz_por_provinci!$G$2:$G$53,horas_de_luz_por_provinci!$F$2:$F$53),$A28)*'Datos Instalación'!$C$14*_xlfn.XLOOKUP('Datos Instalación'!$C$7,Auxiliares!$B$3:$B$6,Auxiliares!$D$3:$D$6)*('Rendimiento Paneles'!M$19*'Rendimiento Paneles'!M$20+'Rendimiento Paneles'!M$22*'Rendimiento Paneles'!M$21)/1000</f>
        <v>23.531481650180698</v>
      </c>
      <c r="O28" s="2">
        <f ca="1">OFFSET(horas_de_luz_por_provinci!$G$1,_xlfn.XLOOKUP('Datos Instalación'!$C$8,horas_de_luz_por_provinci!$G$2:$G$53,horas_de_luz_por_provinci!$F$2:$F$53),$A28)*'Datos Instalación'!$C$14*_xlfn.XLOOKUP('Datos Instalación'!$C$7,Auxiliares!$B$3:$B$6,Auxiliares!$D$3:$D$6)*('Rendimiento Paneles'!N$19*'Rendimiento Paneles'!N$20+'Rendimiento Paneles'!N$22*'Rendimiento Paneles'!N$21)/1000</f>
        <v>24.122581401984863</v>
      </c>
      <c r="P28" s="2">
        <f ca="1">OFFSET(horas_de_luz_por_provinci!$G$1,_xlfn.XLOOKUP('Datos Instalación'!$C$8,horas_de_luz_por_provinci!$G$2:$G$53,horas_de_luz_por_provinci!$F$2:$F$53),$A28)*'Datos Instalación'!$C$14*_xlfn.XLOOKUP('Datos Instalación'!$C$7,Auxiliares!$B$3:$B$6,Auxiliares!$D$3:$D$6)*('Rendimiento Paneles'!O$19*'Rendimiento Paneles'!O$20+'Rendimiento Paneles'!O$22*'Rendimiento Paneles'!O$21)/1000</f>
        <v>23.992319462414144</v>
      </c>
      <c r="Q28" s="2">
        <f ca="1">OFFSET(horas_de_luz_por_provinci!$G$1,_xlfn.XLOOKUP('Datos Instalación'!$C$8,horas_de_luz_por_provinci!$G$2:$G$53,horas_de_luz_por_provinci!$F$2:$F$53),$A28)*'Datos Instalación'!$C$14*_xlfn.XLOOKUP('Datos Instalación'!$C$7,Auxiliares!$B$3:$B$6,Auxiliares!$D$3:$D$6)*('Rendimiento Paneles'!P$19*'Rendimiento Paneles'!P$20+'Rendimiento Paneles'!P$22*'Rendimiento Paneles'!P$21)/1000</f>
        <v>23.862760937317102</v>
      </c>
      <c r="R28" s="2">
        <f ca="1">OFFSET(horas_de_luz_por_provinci!$G$1,_xlfn.XLOOKUP('Datos Instalación'!$C$8,horas_de_luz_por_provinci!$G$2:$G$53,horas_de_luz_por_provinci!$F$2:$F$53),$A28)*'Datos Instalación'!$C$14*_xlfn.XLOOKUP('Datos Instalación'!$C$7,Auxiliares!$B$3:$B$6,Auxiliares!$D$3:$D$6)*('Rendimiento Paneles'!Q$19*'Rendimiento Paneles'!Q$20+'Rendimiento Paneles'!Q$22*'Rendimiento Paneles'!Q$21)/1000</f>
        <v>23.733902028255592</v>
      </c>
      <c r="S28" s="2">
        <f ca="1">OFFSET(horas_de_luz_por_provinci!$G$1,_xlfn.XLOOKUP('Datos Instalación'!$C$8,horas_de_luz_por_provinci!$G$2:$G$53,horas_de_luz_por_provinci!$F$2:$F$53),$A28)*'Datos Instalación'!$C$14*_xlfn.XLOOKUP('Datos Instalación'!$C$7,Auxiliares!$B$3:$B$6,Auxiliares!$D$3:$D$6)*('Rendimiento Paneles'!R$19*'Rendimiento Paneles'!R$20+'Rendimiento Paneles'!R$22*'Rendimiento Paneles'!R$21)/1000</f>
        <v>23.605738957303007</v>
      </c>
      <c r="T28" s="2">
        <f ca="1">OFFSET(horas_de_luz_por_provinci!$G$1,_xlfn.XLOOKUP('Datos Instalación'!$C$8,horas_de_luz_por_provinci!$G$2:$G$53,horas_de_luz_por_provinci!$F$2:$F$53),$A28)*'Datos Instalación'!$C$14*_xlfn.XLOOKUP('Datos Instalación'!$C$7,Auxiliares!$B$3:$B$6,Auxiliares!$D$3:$D$6)*('Rendimiento Paneles'!S$19*'Rendimiento Paneles'!S$20+'Rendimiento Paneles'!S$22*'Rendimiento Paneles'!S$21)/1000</f>
        <v>23.478267966933576</v>
      </c>
      <c r="U28" s="2">
        <f ca="1">OFFSET(horas_de_luz_por_provinci!$G$1,_xlfn.XLOOKUP('Datos Instalación'!$C$8,horas_de_luz_por_provinci!$G$2:$G$53,horas_de_luz_por_provinci!$F$2:$F$53),$A28)*'Datos Instalación'!$C$14*_xlfn.XLOOKUP('Datos Instalación'!$C$7,Auxiliares!$B$3:$B$6,Auxiliares!$D$3:$D$6)*('Rendimiento Paneles'!T$19*'Rendimiento Paneles'!T$20+'Rendimiento Paneles'!T$22*'Rendimiento Paneles'!T$21)/1000</f>
        <v>23.351485319912136</v>
      </c>
      <c r="V28" s="2">
        <f ca="1">OFFSET(horas_de_luz_por_provinci!$G$1,_xlfn.XLOOKUP('Datos Instalación'!$C$8,horas_de_luz_por_provinci!$G$2:$G$53,horas_de_luz_por_provinci!$F$2:$F$53),$A28)*'Datos Instalación'!$C$14*_xlfn.XLOOKUP('Datos Instalación'!$C$7,Auxiliares!$B$3:$B$6,Auxiliares!$D$3:$D$6)*('Rendimiento Paneles'!U$19*'Rendimiento Paneles'!U$20+'Rendimiento Paneles'!U$22*'Rendimiento Paneles'!U$21)/1000</f>
        <v>23.225387299184611</v>
      </c>
      <c r="W28" s="2">
        <f ca="1">OFFSET(horas_de_luz_por_provinci!$G$1,_xlfn.XLOOKUP('Datos Instalación'!$C$8,horas_de_luz_por_provinci!$G$2:$G$53,horas_de_luz_por_provinci!$F$2:$F$53),$A28)*'Datos Instalación'!$C$14*_xlfn.XLOOKUP('Datos Instalación'!$C$7,Auxiliares!$B$3:$B$6,Auxiliares!$D$3:$D$6)*('Rendimiento Paneles'!V$19*'Rendimiento Paneles'!V$20+'Rendimiento Paneles'!V$22*'Rendimiento Paneles'!V$21)/1000</f>
        <v>23.099970207769015</v>
      </c>
      <c r="X28" s="2">
        <f ca="1">OFFSET(horas_de_luz_por_provinci!$G$1,_xlfn.XLOOKUP('Datos Instalación'!$C$8,horas_de_luz_por_provinci!$G$2:$G$53,horas_de_luz_por_provinci!$F$2:$F$53),$A28)*'Datos Instalación'!$C$14*_xlfn.XLOOKUP('Datos Instalación'!$C$7,Auxiliares!$B$3:$B$6,Auxiliares!$D$3:$D$6)*('Rendimiento Paneles'!W$19*'Rendimiento Paneles'!W$20+'Rendimiento Paneles'!W$22*'Rendimiento Paneles'!W$21)/1000</f>
        <v>22.975230368647061</v>
      </c>
      <c r="Y28" s="2">
        <f ca="1">OFFSET(horas_de_luz_por_provinci!$G$1,_xlfn.XLOOKUP('Datos Instalación'!$C$8,horas_de_luz_por_provinci!$G$2:$G$53,horas_de_luz_por_provinci!$F$2:$F$53),$A28)*'Datos Instalación'!$C$14*_xlfn.XLOOKUP('Datos Instalación'!$C$7,Auxiliares!$B$3:$B$6,Auxiliares!$D$3:$D$6)*('Rendimiento Paneles'!X$19*'Rendimiento Paneles'!X$20+'Rendimiento Paneles'!X$22*'Rendimiento Paneles'!X$21)/1000</f>
        <v>22.851164124656364</v>
      </c>
      <c r="Z28" s="2">
        <f ca="1">OFFSET(horas_de_luz_por_provinci!$G$1,_xlfn.XLOOKUP('Datos Instalación'!$C$8,horas_de_luz_por_provinci!$G$2:$G$53,horas_de_luz_por_provinci!$F$2:$F$53),$A28)*'Datos Instalación'!$C$14*_xlfn.XLOOKUP('Datos Instalación'!$C$7,Auxiliares!$B$3:$B$6,Auxiliares!$D$3:$D$6)*('Rendimiento Paneles'!Y$19*'Rendimiento Paneles'!Y$20+'Rendimiento Paneles'!Y$22*'Rendimiento Paneles'!Y$21)/1000</f>
        <v>22.727767838383219</v>
      </c>
      <c r="AA28" s="2">
        <f ca="1">OFFSET(horas_de_luz_por_provinci!$G$1,_xlfn.XLOOKUP('Datos Instalación'!$C$8,horas_de_luz_por_provinci!$G$2:$G$53,horas_de_luz_por_provinci!$F$2:$F$53),$A28)*'Datos Instalación'!$C$14*_xlfn.XLOOKUP('Datos Instalación'!$C$7,Auxiliares!$B$3:$B$6,Auxiliares!$D$3:$D$6)*('Rendimiento Paneles'!Z$19*'Rendimiento Paneles'!Z$20+'Rendimiento Paneles'!Z$22*'Rendimiento Paneles'!Z$21)/1000</f>
        <v>22.60503789205595</v>
      </c>
      <c r="AB28" s="2">
        <f ca="1">OFFSET(horas_de_luz_por_provinci!$G$1,_xlfn.XLOOKUP('Datos Instalación'!$C$8,horas_de_luz_por_provinci!$G$2:$G$53,horas_de_luz_por_provinci!$F$2:$F$53),$A28)*'Datos Instalación'!$C$14*_xlfn.XLOOKUP('Datos Instalación'!$C$7,Auxiliares!$B$3:$B$6,Auxiliares!$D$3:$D$6)*('Rendimiento Paneles'!AA$19*'Rendimiento Paneles'!AA$20+'Rendimiento Paneles'!AA$22*'Rendimiento Paneles'!AA$21)/1000</f>
        <v>22.482970687438847</v>
      </c>
      <c r="AC28" s="2">
        <f ca="1">OFFSET(horas_de_luz_por_provinci!$G$1,_xlfn.XLOOKUP('Datos Instalación'!$C$8,horas_de_luz_por_provinci!$G$2:$G$53,horas_de_luz_por_provinci!$F$2:$F$53),$A28)*'Datos Instalación'!$C$14*_xlfn.XLOOKUP('Datos Instalación'!$C$7,Auxiliares!$B$3:$B$6,Auxiliares!$D$3:$D$6)*('Rendimiento Paneles'!AB$19*'Rendimiento Paneles'!AB$20+'Rendimiento Paneles'!AB$22*'Rendimiento Paneles'!AB$21)/1000</f>
        <v>22.361562645726679</v>
      </c>
      <c r="AD28" s="2">
        <f ca="1">OFFSET(horas_de_luz_por_provinci!$G$1,_xlfn.XLOOKUP('Datos Instalación'!$C$8,horas_de_luz_por_provinci!$G$2:$G$53,horas_de_luz_por_provinci!$F$2:$F$53),$A28)*'Datos Instalación'!$C$14*_xlfn.XLOOKUP('Datos Instalación'!$C$7,Auxiliares!$B$3:$B$6,Auxiliares!$D$3:$D$6)*('Rendimiento Paneles'!AC$19*'Rendimiento Paneles'!AC$20+'Rendimiento Paneles'!AC$22*'Rendimiento Paneles'!AC$21)/1000</f>
        <v>22.240810207439754</v>
      </c>
      <c r="AE28" s="2">
        <f ca="1">OFFSET(horas_de_luz_por_provinci!$G$1,_xlfn.XLOOKUP('Datos Instalación'!$C$8,horas_de_luz_por_provinci!$G$2:$G$53,horas_de_luz_por_provinci!$F$2:$F$53),$A28)*'Datos Instalación'!$C$14*_xlfn.XLOOKUP('Datos Instalación'!$C$7,Auxiliares!$B$3:$B$6,Auxiliares!$D$3:$D$6)*('Rendimiento Paneles'!AD$19*'Rendimiento Paneles'!AD$20+'Rendimiento Paneles'!AD$22*'Rendimiento Paneles'!AD$21)/1000</f>
        <v>22.12070983231958</v>
      </c>
      <c r="AF28" s="2">
        <f ca="1">OFFSET(horas_de_luz_por_provinci!$G$1,_xlfn.XLOOKUP('Datos Instalación'!$C$8,horas_de_luz_por_provinci!$G$2:$G$53,horas_de_luz_por_provinci!$F$2:$F$53),$A28)*'Datos Instalación'!$C$14*_xlfn.XLOOKUP('Datos Instalación'!$C$7,Auxiliares!$B$3:$B$6,Auxiliares!$D$3:$D$6)*('Rendimiento Paneles'!AE$19*'Rendimiento Paneles'!AE$20+'Rendimiento Paneles'!AE$22*'Rendimiento Paneles'!AE$21)/1000</f>
        <v>22.001257999225054</v>
      </c>
      <c r="AG28" s="2">
        <f ca="1">OFFSET(horas_de_luz_por_provinci!$G$1,_xlfn.XLOOKUP('Datos Instalación'!$C$8,horas_de_luz_por_provinci!$G$2:$G$53,horas_de_luz_por_provinci!$F$2:$F$53),$A28)*'Datos Instalación'!$C$14*_xlfn.XLOOKUP('Datos Instalación'!$C$7,Auxiliares!$B$3:$B$6,Auxiliares!$D$3:$D$6)*('Rendimiento Paneles'!AF$19*'Rendimiento Paneles'!AF$20+'Rendimiento Paneles'!AF$22*'Rendimiento Paneles'!AF$21)/1000</f>
        <v>21.882451206029241</v>
      </c>
    </row>
    <row r="29" spans="1:35">
      <c r="A29" s="2">
        <v>4</v>
      </c>
      <c r="B29" s="12" t="s">
        <v>7</v>
      </c>
      <c r="C29" s="2">
        <f ca="1">OFFSET(horas_de_luz_por_provinci!$G$1,_xlfn.XLOOKUP('Datos Instalación'!$C$8,horas_de_luz_por_provinci!$G$2:$G$53,horas_de_luz_por_provinci!$F$2:$F$53),$A29)*'Datos Instalación'!$C$14*_xlfn.XLOOKUP('Datos Instalación'!$C$7,Auxiliares!$B$3:$B$6,Auxiliares!$D$3:$D$6)*('Rendimiento Paneles'!B$19*'Rendimiento Paneles'!B$20+'Rendimiento Paneles'!B$22*'Rendimiento Paneles'!B$21)/1000</f>
        <v>27.713532599999997</v>
      </c>
      <c r="D29" s="2">
        <f ca="1">OFFSET(horas_de_luz_por_provinci!$G$1,_xlfn.XLOOKUP('Datos Instalación'!$C$8,horas_de_luz_por_provinci!$G$2:$G$53,horas_de_luz_por_provinci!$F$2:$F$53),$A29)*'Datos Instalación'!$C$14*_xlfn.XLOOKUP('Datos Instalación'!$C$7,Auxiliares!$B$3:$B$6,Auxiliares!$D$3:$D$6)*('Rendimiento Paneles'!C$19*'Rendimiento Paneles'!C$20+'Rendimiento Paneles'!C$22*'Rendimiento Paneles'!C$21)/1000</f>
        <v>27.563879523960001</v>
      </c>
      <c r="E29" s="2">
        <f ca="1">OFFSET(horas_de_luz_por_provinci!$G$1,_xlfn.XLOOKUP('Datos Instalación'!$C$8,horas_de_luz_por_provinci!$G$2:$G$53,horas_de_luz_por_provinci!$F$2:$F$53),$A29)*'Datos Instalación'!$C$14*_xlfn.XLOOKUP('Datos Instalación'!$C$7,Auxiliares!$B$3:$B$6,Auxiliares!$D$3:$D$6)*('Rendimiento Paneles'!D$19*'Rendimiento Paneles'!D$20+'Rendimiento Paneles'!D$22*'Rendimiento Paneles'!D$21)/1000</f>
        <v>27.415034574530615</v>
      </c>
      <c r="F29" s="2">
        <f ca="1">OFFSET(horas_de_luz_por_provinci!$G$1,_xlfn.XLOOKUP('Datos Instalación'!$C$8,horas_de_luz_por_provinci!$G$2:$G$53,horas_de_luz_por_provinci!$F$2:$F$53),$A29)*'Datos Instalación'!$C$14*_xlfn.XLOOKUP('Datos Instalación'!$C$7,Auxiliares!$B$3:$B$6,Auxiliares!$D$3:$D$6)*('Rendimiento Paneles'!E$19*'Rendimiento Paneles'!E$20+'Rendimiento Paneles'!E$22*'Rendimiento Paneles'!E$21)/1000</f>
        <v>27.266993387828151</v>
      </c>
      <c r="G29" s="2">
        <f ca="1">OFFSET(horas_de_luz_por_provinci!$G$1,_xlfn.XLOOKUP('Datos Instalación'!$C$8,horas_de_luz_por_provinci!$G$2:$G$53,horas_de_luz_por_provinci!$F$2:$F$53),$A29)*'Datos Instalación'!$C$14*_xlfn.XLOOKUP('Datos Instalación'!$C$7,Auxiliares!$B$3:$B$6,Auxiliares!$D$3:$D$6)*('Rendimiento Paneles'!F$19*'Rendimiento Paneles'!F$20+'Rendimiento Paneles'!F$22*'Rendimiento Paneles'!F$21)/1000</f>
        <v>27.11975162353388</v>
      </c>
      <c r="H29" s="2">
        <f ca="1">OFFSET(horas_de_luz_por_provinci!$G$1,_xlfn.XLOOKUP('Datos Instalación'!$C$8,horas_de_luz_por_provinci!$G$2:$G$53,horas_de_luz_por_provinci!$F$2:$F$53),$A29)*'Datos Instalación'!$C$14*_xlfn.XLOOKUP('Datos Instalación'!$C$7,Auxiliares!$B$3:$B$6,Auxiliares!$D$3:$D$6)*('Rendimiento Paneles'!G$19*'Rendimiento Paneles'!G$20+'Rendimiento Paneles'!G$22*'Rendimiento Paneles'!G$21)/1000</f>
        <v>26.973304964766797</v>
      </c>
      <c r="I29" s="2">
        <f ca="1">OFFSET(horas_de_luz_por_provinci!$G$1,_xlfn.XLOOKUP('Datos Instalación'!$C$8,horas_de_luz_por_provinci!$G$2:$G$53,horas_de_luz_por_provinci!$F$2:$F$53),$A29)*'Datos Instalación'!$C$14*_xlfn.XLOOKUP('Datos Instalación'!$C$7,Auxiliares!$B$3:$B$6,Auxiliares!$D$3:$D$6)*('Rendimiento Paneles'!H$19*'Rendimiento Paneles'!H$20+'Rendimiento Paneles'!H$22*'Rendimiento Paneles'!H$21)/1000</f>
        <v>26.827649117957055</v>
      </c>
      <c r="J29" s="2">
        <f ca="1">OFFSET(horas_de_luz_por_provinci!$G$1,_xlfn.XLOOKUP('Datos Instalación'!$C$8,horas_de_luz_por_provinci!$G$2:$G$53,horas_de_luz_por_provinci!$F$2:$F$53),$A29)*'Datos Instalación'!$C$14*_xlfn.XLOOKUP('Datos Instalación'!$C$7,Auxiliares!$B$3:$B$6,Auxiliares!$D$3:$D$6)*('Rendimiento Paneles'!I$19*'Rendimiento Paneles'!I$20+'Rendimiento Paneles'!I$22*'Rendimiento Paneles'!I$21)/1000</f>
        <v>26.682779812720092</v>
      </c>
      <c r="K29" s="2">
        <f ca="1">OFFSET(horas_de_luz_por_provinci!$G$1,_xlfn.XLOOKUP('Datos Instalación'!$C$8,horas_de_luz_por_provinci!$G$2:$G$53,horas_de_luz_por_provinci!$F$2:$F$53),$A29)*'Datos Instalación'!$C$14*_xlfn.XLOOKUP('Datos Instalación'!$C$7,Auxiliares!$B$3:$B$6,Auxiliares!$D$3:$D$6)*('Rendimiento Paneles'!J$19*'Rendimiento Paneles'!J$20+'Rendimiento Paneles'!J$22*'Rendimiento Paneles'!J$21)/1000</f>
        <v>26.538692801731401</v>
      </c>
      <c r="L29" s="2">
        <f ca="1">OFFSET(horas_de_luz_por_provinci!$G$1,_xlfn.XLOOKUP('Datos Instalación'!$C$8,horas_de_luz_por_provinci!$G$2:$G$53,horas_de_luz_por_provinci!$F$2:$F$53),$A29)*'Datos Instalación'!$C$14*_xlfn.XLOOKUP('Datos Instalación'!$C$7,Auxiliares!$B$3:$B$6,Auxiliares!$D$3:$D$6)*('Rendimiento Paneles'!K$19*'Rendimiento Paneles'!K$20+'Rendimiento Paneles'!K$22*'Rendimiento Paneles'!K$21)/1000</f>
        <v>26.395383860602053</v>
      </c>
      <c r="M29" s="2">
        <f ca="1">OFFSET(horas_de_luz_por_provinci!$G$1,_xlfn.XLOOKUP('Datos Instalación'!$C$8,horas_de_luz_por_provinci!$G$2:$G$53,horas_de_luz_por_provinci!$F$2:$F$53),$A29)*'Datos Instalación'!$C$14*_xlfn.XLOOKUP('Datos Instalación'!$C$7,Auxiliares!$B$3:$B$6,Auxiliares!$D$3:$D$6)*('Rendimiento Paneles'!L$19*'Rendimiento Paneles'!L$20+'Rendimiento Paneles'!L$22*'Rendimiento Paneles'!L$21)/1000</f>
        <v>26.252848787754797</v>
      </c>
      <c r="N29" s="2">
        <f ca="1">OFFSET(horas_de_luz_por_provinci!$G$1,_xlfn.XLOOKUP('Datos Instalación'!$C$8,horas_de_luz_por_provinci!$G$2:$G$53,horas_de_luz_por_provinci!$F$2:$F$53),$A29)*'Datos Instalación'!$C$14*_xlfn.XLOOKUP('Datos Instalación'!$C$7,Auxiliares!$B$3:$B$6,Auxiliares!$D$3:$D$6)*('Rendimiento Paneles'!M$19*'Rendimiento Paneles'!M$20+'Rendimiento Paneles'!M$22*'Rendimiento Paneles'!M$21)/1000</f>
        <v>26.111083404300921</v>
      </c>
      <c r="O29" s="2">
        <f ca="1">OFFSET(horas_de_luz_por_provinci!$G$1,_xlfn.XLOOKUP('Datos Instalación'!$C$8,horas_de_luz_por_provinci!$G$2:$G$53,horas_de_luz_por_provinci!$F$2:$F$53),$A29)*'Datos Instalación'!$C$14*_xlfn.XLOOKUP('Datos Instalación'!$C$7,Auxiliares!$B$3:$B$6,Auxiliares!$D$3:$D$6)*('Rendimiento Paneles'!N$19*'Rendimiento Paneles'!N$20+'Rendimiento Paneles'!N$22*'Rendimiento Paneles'!N$21)/1000</f>
        <v>26.76698153893885</v>
      </c>
      <c r="P29" s="2">
        <f ca="1">OFFSET(horas_de_luz_por_provinci!$G$1,_xlfn.XLOOKUP('Datos Instalación'!$C$8,horas_de_luz_por_provinci!$G$2:$G$53,horas_de_luz_por_provinci!$F$2:$F$53),$A29)*'Datos Instalación'!$C$14*_xlfn.XLOOKUP('Datos Instalación'!$C$7,Auxiliares!$B$3:$B$6,Auxiliares!$D$3:$D$6)*('Rendimiento Paneles'!O$19*'Rendimiento Paneles'!O$20+'Rendimiento Paneles'!O$22*'Rendimiento Paneles'!O$21)/1000</f>
        <v>26.62243983862858</v>
      </c>
      <c r="Q29" s="2">
        <f ca="1">OFFSET(horas_de_luz_por_provinci!$G$1,_xlfn.XLOOKUP('Datos Instalación'!$C$8,horas_de_luz_por_provinci!$G$2:$G$53,horas_de_luz_por_provinci!$F$2:$F$53),$A29)*'Datos Instalación'!$C$14*_xlfn.XLOOKUP('Datos Instalación'!$C$7,Auxiliares!$B$3:$B$6,Auxiliares!$D$3:$D$6)*('Rendimiento Paneles'!P$19*'Rendimiento Paneles'!P$20+'Rendimiento Paneles'!P$22*'Rendimiento Paneles'!P$21)/1000</f>
        <v>26.478678663499981</v>
      </c>
      <c r="R29" s="2">
        <f ca="1">OFFSET(horas_de_luz_por_provinci!$G$1,_xlfn.XLOOKUP('Datos Instalación'!$C$8,horas_de_luz_por_provinci!$G$2:$G$53,horas_de_luz_por_provinci!$F$2:$F$53),$A29)*'Datos Instalación'!$C$14*_xlfn.XLOOKUP('Datos Instalación'!$C$7,Auxiliares!$B$3:$B$6,Auxiliares!$D$3:$D$6)*('Rendimiento Paneles'!Q$19*'Rendimiento Paneles'!Q$20+'Rendimiento Paneles'!Q$22*'Rendimiento Paneles'!Q$21)/1000</f>
        <v>26.335693798717084</v>
      </c>
      <c r="S29" s="2">
        <f ca="1">OFFSET(horas_de_luz_por_provinci!$G$1,_xlfn.XLOOKUP('Datos Instalación'!$C$8,horas_de_luz_por_provinci!$G$2:$G$53,horas_de_luz_por_provinci!$F$2:$F$53),$A29)*'Datos Instalación'!$C$14*_xlfn.XLOOKUP('Datos Instalación'!$C$7,Auxiliares!$B$3:$B$6,Auxiliares!$D$3:$D$6)*('Rendimiento Paneles'!R$19*'Rendimiento Paneles'!R$20+'Rendimiento Paneles'!R$22*'Rendimiento Paneles'!R$21)/1000</f>
        <v>26.19348105220401</v>
      </c>
      <c r="T29" s="2">
        <f ca="1">OFFSET(horas_de_luz_por_provinci!$G$1,_xlfn.XLOOKUP('Datos Instalación'!$C$8,horas_de_luz_por_provinci!$G$2:$G$53,horas_de_luz_por_provinci!$F$2:$F$53),$A29)*'Datos Instalación'!$C$14*_xlfn.XLOOKUP('Datos Instalación'!$C$7,Auxiliares!$B$3:$B$6,Auxiliares!$D$3:$D$6)*('Rendimiento Paneles'!S$19*'Rendimiento Paneles'!S$20+'Rendimiento Paneles'!S$22*'Rendimiento Paneles'!S$21)/1000</f>
        <v>26.052036254522108</v>
      </c>
      <c r="U29" s="2">
        <f ca="1">OFFSET(horas_de_luz_por_provinci!$G$1,_xlfn.XLOOKUP('Datos Instalación'!$C$8,horas_de_luz_por_provinci!$G$2:$G$53,horas_de_luz_por_provinci!$F$2:$F$53),$A29)*'Datos Instalación'!$C$14*_xlfn.XLOOKUP('Datos Instalación'!$C$7,Auxiliares!$B$3:$B$6,Auxiliares!$D$3:$D$6)*('Rendimiento Paneles'!T$19*'Rendimiento Paneles'!T$20+'Rendimiento Paneles'!T$22*'Rendimiento Paneles'!T$21)/1000</f>
        <v>25.91135525874769</v>
      </c>
      <c r="V29" s="2">
        <f ca="1">OFFSET(horas_de_luz_por_provinci!$G$1,_xlfn.XLOOKUP('Datos Instalación'!$C$8,horas_de_luz_por_provinci!$G$2:$G$53,horas_de_luz_por_provinci!$F$2:$F$53),$A29)*'Datos Instalación'!$C$14*_xlfn.XLOOKUP('Datos Instalación'!$C$7,Auxiliares!$B$3:$B$6,Auxiliares!$D$3:$D$6)*('Rendimiento Paneles'!U$19*'Rendimiento Paneles'!U$20+'Rendimiento Paneles'!U$22*'Rendimiento Paneles'!U$21)/1000</f>
        <v>25.771433940350455</v>
      </c>
      <c r="W29" s="2">
        <f ca="1">OFFSET(horas_de_luz_por_provinci!$G$1,_xlfn.XLOOKUP('Datos Instalación'!$C$8,horas_de_luz_por_provinci!$G$2:$G$53,horas_de_luz_por_provinci!$F$2:$F$53),$A29)*'Datos Instalación'!$C$14*_xlfn.XLOOKUP('Datos Instalación'!$C$7,Auxiliares!$B$3:$B$6,Auxiliares!$D$3:$D$6)*('Rendimiento Paneles'!V$19*'Rendimiento Paneles'!V$20+'Rendimiento Paneles'!V$22*'Rendimiento Paneles'!V$21)/1000</f>
        <v>25.632268197072566</v>
      </c>
      <c r="X29" s="2">
        <f ca="1">OFFSET(horas_de_luz_por_provinci!$G$1,_xlfn.XLOOKUP('Datos Instalación'!$C$8,horas_de_luz_por_provinci!$G$2:$G$53,horas_de_luz_por_provinci!$F$2:$F$53),$A29)*'Datos Instalación'!$C$14*_xlfn.XLOOKUP('Datos Instalación'!$C$7,Auxiliares!$B$3:$B$6,Auxiliares!$D$3:$D$6)*('Rendimiento Paneles'!W$19*'Rendimiento Paneles'!W$20+'Rendimiento Paneles'!W$22*'Rendimiento Paneles'!W$21)/1000</f>
        <v>25.493853948808368</v>
      </c>
      <c r="Y29" s="2">
        <f ca="1">OFFSET(horas_de_luz_por_provinci!$G$1,_xlfn.XLOOKUP('Datos Instalación'!$C$8,horas_de_luz_por_provinci!$G$2:$G$53,horas_de_luz_por_provinci!$F$2:$F$53),$A29)*'Datos Instalación'!$C$14*_xlfn.XLOOKUP('Datos Instalación'!$C$7,Auxiliares!$B$3:$B$6,Auxiliares!$D$3:$D$6)*('Rendimiento Paneles'!X$19*'Rendimiento Paneles'!X$20+'Rendimiento Paneles'!X$22*'Rendimiento Paneles'!X$21)/1000</f>
        <v>25.356187137484802</v>
      </c>
      <c r="Z29" s="2">
        <f ca="1">OFFSET(horas_de_luz_por_provinci!$G$1,_xlfn.XLOOKUP('Datos Instalación'!$C$8,horas_de_luz_por_provinci!$G$2:$G$53,horas_de_luz_por_provinci!$F$2:$F$53),$A29)*'Datos Instalación'!$C$14*_xlfn.XLOOKUP('Datos Instalación'!$C$7,Auxiliares!$B$3:$B$6,Auxiliares!$D$3:$D$6)*('Rendimiento Paneles'!Y$19*'Rendimiento Paneles'!Y$20+'Rendimiento Paneles'!Y$22*'Rendimiento Paneles'!Y$21)/1000</f>
        <v>25.219263726942383</v>
      </c>
      <c r="AA29" s="2">
        <f ca="1">OFFSET(horas_de_luz_por_provinci!$G$1,_xlfn.XLOOKUP('Datos Instalación'!$C$8,horas_de_luz_por_provinci!$G$2:$G$53,horas_de_luz_por_provinci!$F$2:$F$53),$A29)*'Datos Instalación'!$C$14*_xlfn.XLOOKUP('Datos Instalación'!$C$7,Auxiliares!$B$3:$B$6,Auxiliares!$D$3:$D$6)*('Rendimiento Paneles'!Z$19*'Rendimiento Paneles'!Z$20+'Rendimiento Paneles'!Z$22*'Rendimiento Paneles'!Z$21)/1000</f>
        <v>25.083079702816896</v>
      </c>
      <c r="AB29" s="2">
        <f ca="1">OFFSET(horas_de_luz_por_provinci!$G$1,_xlfn.XLOOKUP('Datos Instalación'!$C$8,horas_de_luz_por_provinci!$G$2:$G$53,horas_de_luz_por_provinci!$F$2:$F$53),$A29)*'Datos Instalación'!$C$14*_xlfn.XLOOKUP('Datos Instalación'!$C$7,Auxiliares!$B$3:$B$6,Auxiliares!$D$3:$D$6)*('Rendimiento Paneles'!AA$19*'Rendimiento Paneles'!AA$20+'Rendimiento Paneles'!AA$22*'Rendimiento Paneles'!AA$21)/1000</f>
        <v>24.947631072421686</v>
      </c>
      <c r="AC29" s="2">
        <f ca="1">OFFSET(horas_de_luz_por_provinci!$G$1,_xlfn.XLOOKUP('Datos Instalación'!$C$8,horas_de_luz_por_provinci!$G$2:$G$53,horas_de_luz_por_provinci!$F$2:$F$53),$A29)*'Datos Instalación'!$C$14*_xlfn.XLOOKUP('Datos Instalación'!$C$7,Auxiliares!$B$3:$B$6,Auxiliares!$D$3:$D$6)*('Rendimiento Paneles'!AB$19*'Rendimiento Paneles'!AB$20+'Rendimiento Paneles'!AB$22*'Rendimiento Paneles'!AB$21)/1000</f>
        <v>24.812913864630605</v>
      </c>
      <c r="AD29" s="2">
        <f ca="1">OFFSET(horas_de_luz_por_provinci!$G$1,_xlfn.XLOOKUP('Datos Instalación'!$C$8,horas_de_luz_por_provinci!$G$2:$G$53,horas_de_luz_por_provinci!$F$2:$F$53),$A29)*'Datos Instalación'!$C$14*_xlfn.XLOOKUP('Datos Instalación'!$C$7,Auxiliares!$B$3:$B$6,Auxiliares!$D$3:$D$6)*('Rendimiento Paneles'!AC$19*'Rendimiento Paneles'!AC$20+'Rendimiento Paneles'!AC$22*'Rendimiento Paneles'!AC$21)/1000</f>
        <v>24.678924129761597</v>
      </c>
      <c r="AE29" s="2">
        <f ca="1">OFFSET(horas_de_luz_por_provinci!$G$1,_xlfn.XLOOKUP('Datos Instalación'!$C$8,horas_de_luz_por_provinci!$G$2:$G$53,horas_de_luz_por_provinci!$F$2:$F$53),$A29)*'Datos Instalación'!$C$14*_xlfn.XLOOKUP('Datos Instalación'!$C$7,Auxiliares!$B$3:$B$6,Auxiliares!$D$3:$D$6)*('Rendimiento Paneles'!AD$19*'Rendimiento Paneles'!AD$20+'Rendimiento Paneles'!AD$22*'Rendimiento Paneles'!AD$21)/1000</f>
        <v>24.545657939460888</v>
      </c>
      <c r="AF29" s="2">
        <f ca="1">OFFSET(horas_de_luz_por_provinci!$G$1,_xlfn.XLOOKUP('Datos Instalación'!$C$8,horas_de_luz_por_provinci!$G$2:$G$53,horas_de_luz_por_provinci!$F$2:$F$53),$A29)*'Datos Instalación'!$C$14*_xlfn.XLOOKUP('Datos Instalación'!$C$7,Auxiliares!$B$3:$B$6,Auxiliares!$D$3:$D$6)*('Rendimiento Paneles'!AE$19*'Rendimiento Paneles'!AE$20+'Rendimiento Paneles'!AE$22*'Rendimiento Paneles'!AE$21)/1000</f>
        <v>24.413111386587801</v>
      </c>
      <c r="AG29" s="2">
        <f ca="1">OFFSET(horas_de_luz_por_provinci!$G$1,_xlfn.XLOOKUP('Datos Instalación'!$C$8,horas_de_luz_por_provinci!$G$2:$G$53,horas_de_luz_por_provinci!$F$2:$F$53),$A29)*'Datos Instalación'!$C$14*_xlfn.XLOOKUP('Datos Instalación'!$C$7,Auxiliares!$B$3:$B$6,Auxiliares!$D$3:$D$6)*('Rendimiento Paneles'!AF$19*'Rendimiento Paneles'!AF$20+'Rendimiento Paneles'!AF$22*'Rendimiento Paneles'!AF$21)/1000</f>
        <v>24.281280585100227</v>
      </c>
    </row>
    <row r="30" spans="1:35">
      <c r="A30" s="2">
        <v>5</v>
      </c>
      <c r="B30" s="12" t="s">
        <v>8</v>
      </c>
      <c r="C30" s="2">
        <f ca="1">OFFSET(horas_de_luz_por_provinci!$G$1,_xlfn.XLOOKUP('Datos Instalación'!$C$8,horas_de_luz_por_provinci!$G$2:$G$53,horas_de_luz_por_provinci!$F$2:$F$53),$A30)*'Datos Instalación'!$C$14*_xlfn.XLOOKUP('Datos Instalación'!$C$7,Auxiliares!$B$3:$B$6,Auxiliares!$D$3:$D$6)*('Rendimiento Paneles'!B$19*'Rendimiento Paneles'!B$20+'Rendimiento Paneles'!B$22*'Rendimiento Paneles'!B$21)/1000</f>
        <v>30.054343799999995</v>
      </c>
      <c r="D30" s="2">
        <f ca="1">OFFSET(horas_de_luz_por_provinci!$G$1,_xlfn.XLOOKUP('Datos Instalación'!$C$8,horas_de_luz_por_provinci!$G$2:$G$53,horas_de_luz_por_provinci!$F$2:$F$53),$A30)*'Datos Instalación'!$C$14*_xlfn.XLOOKUP('Datos Instalación'!$C$7,Auxiliares!$B$3:$B$6,Auxiliares!$D$3:$D$6)*('Rendimiento Paneles'!C$19*'Rendimiento Paneles'!C$20+'Rendimiento Paneles'!C$22*'Rendimiento Paneles'!C$21)/1000</f>
        <v>29.892050343479998</v>
      </c>
      <c r="E30" s="2">
        <f ca="1">OFFSET(horas_de_luz_por_provinci!$G$1,_xlfn.XLOOKUP('Datos Instalación'!$C$8,horas_de_luz_por_provinci!$G$2:$G$53,horas_de_luz_por_provinci!$F$2:$F$53),$A30)*'Datos Instalación'!$C$14*_xlfn.XLOOKUP('Datos Instalación'!$C$7,Auxiliares!$B$3:$B$6,Auxiliares!$D$3:$D$6)*('Rendimiento Paneles'!D$19*'Rendimiento Paneles'!D$20+'Rendimiento Paneles'!D$22*'Rendimiento Paneles'!D$21)/1000</f>
        <v>29.730633271625205</v>
      </c>
      <c r="F30" s="2">
        <f ca="1">OFFSET(horas_de_luz_por_provinci!$G$1,_xlfn.XLOOKUP('Datos Instalación'!$C$8,horas_de_luz_por_provinci!$G$2:$G$53,horas_de_luz_por_provinci!$F$2:$F$53),$A30)*'Datos Instalación'!$C$14*_xlfn.XLOOKUP('Datos Instalación'!$C$7,Auxiliares!$B$3:$B$6,Auxiliares!$D$3:$D$6)*('Rendimiento Paneles'!E$19*'Rendimiento Paneles'!E$20+'Rendimiento Paneles'!E$22*'Rendimiento Paneles'!E$21)/1000</f>
        <v>29.57008785195843</v>
      </c>
      <c r="G30" s="2">
        <f ca="1">OFFSET(horas_de_luz_por_provinci!$G$1,_xlfn.XLOOKUP('Datos Instalación'!$C$8,horas_de_luz_por_provinci!$G$2:$G$53,horas_de_luz_por_provinci!$F$2:$F$53),$A30)*'Datos Instalación'!$C$14*_xlfn.XLOOKUP('Datos Instalación'!$C$7,Auxiliares!$B$3:$B$6,Auxiliares!$D$3:$D$6)*('Rendimiento Paneles'!F$19*'Rendimiento Paneles'!F$20+'Rendimiento Paneles'!F$22*'Rendimiento Paneles'!F$21)/1000</f>
        <v>29.410409377557855</v>
      </c>
      <c r="H30" s="2">
        <f ca="1">OFFSET(horas_de_luz_por_provinci!$G$1,_xlfn.XLOOKUP('Datos Instalación'!$C$8,horas_de_luz_por_provinci!$G$2:$G$53,horas_de_luz_por_provinci!$F$2:$F$53),$A30)*'Datos Instalación'!$C$14*_xlfn.XLOOKUP('Datos Instalación'!$C$7,Auxiliares!$B$3:$B$6,Auxiliares!$D$3:$D$6)*('Rendimiento Paneles'!G$19*'Rendimiento Paneles'!G$20+'Rendimiento Paneles'!G$22*'Rendimiento Paneles'!G$21)/1000</f>
        <v>29.251593166919044</v>
      </c>
      <c r="I30" s="2">
        <f ca="1">OFFSET(horas_de_luz_por_provinci!$G$1,_xlfn.XLOOKUP('Datos Instalación'!$C$8,horas_de_luz_por_provinci!$G$2:$G$53,horas_de_luz_por_provinci!$F$2:$F$53),$A30)*'Datos Instalación'!$C$14*_xlfn.XLOOKUP('Datos Instalación'!$C$7,Auxiliares!$B$3:$B$6,Auxiliares!$D$3:$D$6)*('Rendimiento Paneles'!H$19*'Rendimiento Paneles'!H$20+'Rendimiento Paneles'!H$22*'Rendimiento Paneles'!H$21)/1000</f>
        <v>29.09363456381768</v>
      </c>
      <c r="J30" s="2">
        <f ca="1">OFFSET(horas_de_luz_por_provinci!$G$1,_xlfn.XLOOKUP('Datos Instalación'!$C$8,horas_de_luz_por_provinci!$G$2:$G$53,horas_de_luz_por_provinci!$F$2:$F$53),$A30)*'Datos Instalación'!$C$14*_xlfn.XLOOKUP('Datos Instalación'!$C$7,Auxiliares!$B$3:$B$6,Auxiliares!$D$3:$D$6)*('Rendimiento Paneles'!I$19*'Rendimiento Paneles'!I$20+'Rendimiento Paneles'!I$22*'Rendimiento Paneles'!I$21)/1000</f>
        <v>28.936528937173065</v>
      </c>
      <c r="K30" s="2">
        <f ca="1">OFFSET(horas_de_luz_por_provinci!$G$1,_xlfn.XLOOKUP('Datos Instalación'!$C$8,horas_de_luz_por_provinci!$G$2:$G$53,horas_de_luz_por_provinci!$F$2:$F$53),$A30)*'Datos Instalación'!$C$14*_xlfn.XLOOKUP('Datos Instalación'!$C$7,Auxiliares!$B$3:$B$6,Auxiliares!$D$3:$D$6)*('Rendimiento Paneles'!J$19*'Rendimiento Paneles'!J$20+'Rendimiento Paneles'!J$22*'Rendimiento Paneles'!J$21)/1000</f>
        <v>28.780271680912332</v>
      </c>
      <c r="L30" s="2">
        <f ca="1">OFFSET(horas_de_luz_por_provinci!$G$1,_xlfn.XLOOKUP('Datos Instalación'!$C$8,horas_de_luz_por_provinci!$G$2:$G$53,horas_de_luz_por_provinci!$F$2:$F$53),$A30)*'Datos Instalación'!$C$14*_xlfn.XLOOKUP('Datos Instalación'!$C$7,Auxiliares!$B$3:$B$6,Auxiliares!$D$3:$D$6)*('Rendimiento Paneles'!K$19*'Rendimiento Paneles'!K$20+'Rendimiento Paneles'!K$22*'Rendimiento Paneles'!K$21)/1000</f>
        <v>28.624858213835406</v>
      </c>
      <c r="M30" s="2">
        <f ca="1">OFFSET(horas_de_luz_por_provinci!$G$1,_xlfn.XLOOKUP('Datos Instalación'!$C$8,horas_de_luz_por_provinci!$G$2:$G$53,horas_de_luz_por_provinci!$F$2:$F$53),$A30)*'Datos Instalación'!$C$14*_xlfn.XLOOKUP('Datos Instalación'!$C$7,Auxiliares!$B$3:$B$6,Auxiliares!$D$3:$D$6)*('Rendimiento Paneles'!L$19*'Rendimiento Paneles'!L$20+'Rendimiento Paneles'!L$22*'Rendimiento Paneles'!L$21)/1000</f>
        <v>28.470283979480691</v>
      </c>
      <c r="N30" s="2">
        <f ca="1">OFFSET(horas_de_luz_por_provinci!$G$1,_xlfn.XLOOKUP('Datos Instalación'!$C$8,horas_de_luz_por_provinci!$G$2:$G$53,horas_de_luz_por_provinci!$F$2:$F$53),$A30)*'Datos Instalación'!$C$14*_xlfn.XLOOKUP('Datos Instalación'!$C$7,Auxiliares!$B$3:$B$6,Auxiliares!$D$3:$D$6)*('Rendimiento Paneles'!M$19*'Rendimiento Paneles'!M$20+'Rendimiento Paneles'!M$22*'Rendimiento Paneles'!M$21)/1000</f>
        <v>28.316544445991493</v>
      </c>
      <c r="O30" s="2">
        <f ca="1">OFFSET(horas_de_luz_por_provinci!$G$1,_xlfn.XLOOKUP('Datos Instalación'!$C$8,horas_de_luz_por_provinci!$G$2:$G$53,horas_de_luz_por_provinci!$F$2:$F$53),$A30)*'Datos Instalación'!$C$14*_xlfn.XLOOKUP('Datos Instalación'!$C$7,Auxiliares!$B$3:$B$6,Auxiliares!$D$3:$D$6)*('Rendimiento Paneles'!N$19*'Rendimiento Paneles'!N$20+'Rendimiento Paneles'!N$22*'Rendimiento Paneles'!N$21)/1000</f>
        <v>29.02784272473157</v>
      </c>
      <c r="P30" s="2">
        <f ca="1">OFFSET(horas_de_luz_por_provinci!$G$1,_xlfn.XLOOKUP('Datos Instalación'!$C$8,horas_de_luz_por_provinci!$G$2:$G$53,horas_de_luz_por_provinci!$F$2:$F$53),$A30)*'Datos Instalación'!$C$14*_xlfn.XLOOKUP('Datos Instalación'!$C$7,Auxiliares!$B$3:$B$6,Auxiliares!$D$3:$D$6)*('Rendimiento Paneles'!O$19*'Rendimiento Paneles'!O$20+'Rendimiento Paneles'!O$22*'Rendimiento Paneles'!O$21)/1000</f>
        <v>28.871092374018019</v>
      </c>
      <c r="Q30" s="2">
        <f ca="1">OFFSET(horas_de_luz_por_provinci!$G$1,_xlfn.XLOOKUP('Datos Instalación'!$C$8,horas_de_luz_por_provinci!$G$2:$G$53,horas_de_luz_por_provinci!$F$2:$F$53),$A30)*'Datos Instalación'!$C$14*_xlfn.XLOOKUP('Datos Instalación'!$C$7,Auxiliares!$B$3:$B$6,Auxiliares!$D$3:$D$6)*('Rendimiento Paneles'!P$19*'Rendimiento Paneles'!P$20+'Rendimiento Paneles'!P$22*'Rendimiento Paneles'!P$21)/1000</f>
        <v>28.715188475198321</v>
      </c>
      <c r="R30" s="2">
        <f ca="1">OFFSET(horas_de_luz_por_provinci!$G$1,_xlfn.XLOOKUP('Datos Instalación'!$C$8,horas_de_luz_por_provinci!$G$2:$G$53,horas_de_luz_por_provinci!$F$2:$F$53),$A30)*'Datos Instalación'!$C$14*_xlfn.XLOOKUP('Datos Instalación'!$C$7,Auxiliares!$B$3:$B$6,Auxiliares!$D$3:$D$6)*('Rendimiento Paneles'!Q$19*'Rendimiento Paneles'!Q$20+'Rendimiento Paneles'!Q$22*'Rendimiento Paneles'!Q$21)/1000</f>
        <v>28.560126457432251</v>
      </c>
      <c r="S30" s="2">
        <f ca="1">OFFSET(horas_de_luz_por_provinci!$G$1,_xlfn.XLOOKUP('Datos Instalación'!$C$8,horas_de_luz_por_provinci!$G$2:$G$53,horas_de_luz_por_provinci!$F$2:$F$53),$A30)*'Datos Instalación'!$C$14*_xlfn.XLOOKUP('Datos Instalación'!$C$7,Auxiliares!$B$3:$B$6,Auxiliares!$D$3:$D$6)*('Rendimiento Paneles'!R$19*'Rendimiento Paneles'!R$20+'Rendimiento Paneles'!R$22*'Rendimiento Paneles'!R$21)/1000</f>
        <v>28.405901774562114</v>
      </c>
      <c r="T30" s="2">
        <f ca="1">OFFSET(horas_de_luz_por_provinci!$G$1,_xlfn.XLOOKUP('Datos Instalación'!$C$8,horas_de_luz_por_provinci!$G$2:$G$53,horas_de_luz_por_provinci!$F$2:$F$53),$A30)*'Datos Instalación'!$C$14*_xlfn.XLOOKUP('Datos Instalación'!$C$7,Auxiliares!$B$3:$B$6,Auxiliares!$D$3:$D$6)*('Rendimiento Paneles'!S$19*'Rendimiento Paneles'!S$20+'Rendimiento Paneles'!S$22*'Rendimiento Paneles'!S$21)/1000</f>
        <v>28.252509904979476</v>
      </c>
      <c r="U30" s="2">
        <f ca="1">OFFSET(horas_de_luz_por_provinci!$G$1,_xlfn.XLOOKUP('Datos Instalación'!$C$8,horas_de_luz_por_provinci!$G$2:$G$53,horas_de_luz_por_provinci!$F$2:$F$53),$A30)*'Datos Instalación'!$C$14*_xlfn.XLOOKUP('Datos Instalación'!$C$7,Auxiliares!$B$3:$B$6,Auxiliares!$D$3:$D$6)*('Rendimiento Paneles'!T$19*'Rendimiento Paneles'!T$20+'Rendimiento Paneles'!T$22*'Rendimiento Paneles'!T$21)/1000</f>
        <v>28.099946351492591</v>
      </c>
      <c r="V30" s="2">
        <f ca="1">OFFSET(horas_de_luz_por_provinci!$G$1,_xlfn.XLOOKUP('Datos Instalación'!$C$8,horas_de_luz_por_provinci!$G$2:$G$53,horas_de_luz_por_provinci!$F$2:$F$53),$A30)*'Datos Instalación'!$C$14*_xlfn.XLOOKUP('Datos Instalación'!$C$7,Auxiliares!$B$3:$B$6,Auxiliares!$D$3:$D$6)*('Rendimiento Paneles'!U$19*'Rendimiento Paneles'!U$20+'Rendimiento Paneles'!U$22*'Rendimiento Paneles'!U$21)/1000</f>
        <v>27.948206641194535</v>
      </c>
      <c r="W30" s="2">
        <f ca="1">OFFSET(horas_de_luz_por_provinci!$G$1,_xlfn.XLOOKUP('Datos Instalación'!$C$8,horas_de_luz_por_provinci!$G$2:$G$53,horas_de_luz_por_provinci!$F$2:$F$53),$A30)*'Datos Instalación'!$C$14*_xlfn.XLOOKUP('Datos Instalación'!$C$7,Auxiliares!$B$3:$B$6,Auxiliares!$D$3:$D$6)*('Rendimiento Paneles'!V$19*'Rendimiento Paneles'!V$20+'Rendimiento Paneles'!V$22*'Rendimiento Paneles'!V$21)/1000</f>
        <v>27.797286325332085</v>
      </c>
      <c r="X30" s="2">
        <f ca="1">OFFSET(horas_de_luz_por_provinci!$G$1,_xlfn.XLOOKUP('Datos Instalación'!$C$8,horas_de_luz_por_provinci!$G$2:$G$53,horas_de_luz_por_provinci!$F$2:$F$53),$A30)*'Datos Instalación'!$C$14*_xlfn.XLOOKUP('Datos Instalación'!$C$7,Auxiliares!$B$3:$B$6,Auxiliares!$D$3:$D$6)*('Rendimiento Paneles'!W$19*'Rendimiento Paneles'!W$20+'Rendimiento Paneles'!W$22*'Rendimiento Paneles'!W$21)/1000</f>
        <v>27.647180979175289</v>
      </c>
      <c r="Y30" s="2">
        <f ca="1">OFFSET(horas_de_luz_por_provinci!$G$1,_xlfn.XLOOKUP('Datos Instalación'!$C$8,horas_de_luz_por_provinci!$G$2:$G$53,horas_de_luz_por_provinci!$F$2:$F$53),$A30)*'Datos Instalación'!$C$14*_xlfn.XLOOKUP('Datos Instalación'!$C$7,Auxiliares!$B$3:$B$6,Auxiliares!$D$3:$D$6)*('Rendimiento Paneles'!X$19*'Rendimiento Paneles'!X$20+'Rendimiento Paneles'!X$22*'Rendimiento Paneles'!X$21)/1000</f>
        <v>27.497886201887741</v>
      </c>
      <c r="Z30" s="2">
        <f ca="1">OFFSET(horas_de_luz_por_provinci!$G$1,_xlfn.XLOOKUP('Datos Instalación'!$C$8,horas_de_luz_por_provinci!$G$2:$G$53,horas_de_luz_por_provinci!$F$2:$F$53),$A30)*'Datos Instalación'!$C$14*_xlfn.XLOOKUP('Datos Instalación'!$C$7,Auxiliares!$B$3:$B$6,Auxiliares!$D$3:$D$6)*('Rendimiento Paneles'!Y$19*'Rendimiento Paneles'!Y$20+'Rendimiento Paneles'!Y$22*'Rendimiento Paneles'!Y$21)/1000</f>
        <v>27.349397616397546</v>
      </c>
      <c r="AA30" s="2">
        <f ca="1">OFFSET(horas_de_luz_por_provinci!$G$1,_xlfn.XLOOKUP('Datos Instalación'!$C$8,horas_de_luz_por_provinci!$G$2:$G$53,horas_de_luz_por_provinci!$F$2:$F$53),$A30)*'Datos Instalación'!$C$14*_xlfn.XLOOKUP('Datos Instalación'!$C$7,Auxiliares!$B$3:$B$6,Auxiliares!$D$3:$D$6)*('Rendimiento Paneles'!Z$19*'Rendimiento Paneles'!Z$20+'Rendimiento Paneles'!Z$22*'Rendimiento Paneles'!Z$21)/1000</f>
        <v>27.201710869268997</v>
      </c>
      <c r="AB30" s="2">
        <f ca="1">OFFSET(horas_de_luz_por_provinci!$G$1,_xlfn.XLOOKUP('Datos Instalación'!$C$8,horas_de_luz_por_provinci!$G$2:$G$53,horas_de_luz_por_provinci!$F$2:$F$53),$A30)*'Datos Instalación'!$C$14*_xlfn.XLOOKUP('Datos Instalación'!$C$7,Auxiliares!$B$3:$B$6,Auxiliares!$D$3:$D$6)*('Rendimiento Paneles'!AA$19*'Rendimiento Paneles'!AA$20+'Rendimiento Paneles'!AA$22*'Rendimiento Paneles'!AA$21)/1000</f>
        <v>27.054821630574946</v>
      </c>
      <c r="AC30" s="2">
        <f ca="1">OFFSET(horas_de_luz_por_provinci!$G$1,_xlfn.XLOOKUP('Datos Instalación'!$C$8,horas_de_luz_por_provinci!$G$2:$G$53,horas_de_luz_por_provinci!$F$2:$F$53),$A30)*'Datos Instalación'!$C$14*_xlfn.XLOOKUP('Datos Instalación'!$C$7,Auxiliares!$B$3:$B$6,Auxiliares!$D$3:$D$6)*('Rendimiento Paneles'!AB$19*'Rendimiento Paneles'!AB$20+'Rendimiento Paneles'!AB$22*'Rendimiento Paneles'!AB$21)/1000</f>
        <v>26.908725593769841</v>
      </c>
      <c r="AD30" s="2">
        <f ca="1">OFFSET(horas_de_luz_por_provinci!$G$1,_xlfn.XLOOKUP('Datos Instalación'!$C$8,horas_de_luz_por_provinci!$G$2:$G$53,horas_de_luz_por_provinci!$F$2:$F$53),$A30)*'Datos Instalación'!$C$14*_xlfn.XLOOKUP('Datos Instalación'!$C$7,Auxiliares!$B$3:$B$6,Auxiliares!$D$3:$D$6)*('Rendimiento Paneles'!AC$19*'Rendimiento Paneles'!AC$20+'Rendimiento Paneles'!AC$22*'Rendimiento Paneles'!AC$21)/1000</f>
        <v>26.76341847556348</v>
      </c>
      <c r="AE30" s="2">
        <f ca="1">OFFSET(horas_de_luz_por_provinci!$G$1,_xlfn.XLOOKUP('Datos Instalación'!$C$8,horas_de_luz_por_provinci!$G$2:$G$53,horas_de_luz_por_provinci!$F$2:$F$53),$A30)*'Datos Instalación'!$C$14*_xlfn.XLOOKUP('Datos Instalación'!$C$7,Auxiliares!$B$3:$B$6,Auxiliares!$D$3:$D$6)*('Rendimiento Paneles'!AD$19*'Rendimiento Paneles'!AD$20+'Rendimiento Paneles'!AD$22*'Rendimiento Paneles'!AD$21)/1000</f>
        <v>26.618896015795439</v>
      </c>
      <c r="AF30" s="2">
        <f ca="1">OFFSET(horas_de_luz_por_provinci!$G$1,_xlfn.XLOOKUP('Datos Instalación'!$C$8,horas_de_luz_por_provinci!$G$2:$G$53,horas_de_luz_por_provinci!$F$2:$F$53),$A30)*'Datos Instalación'!$C$14*_xlfn.XLOOKUP('Datos Instalación'!$C$7,Auxiliares!$B$3:$B$6,Auxiliares!$D$3:$D$6)*('Rendimiento Paneles'!AE$19*'Rendimiento Paneles'!AE$20+'Rendimiento Paneles'!AE$22*'Rendimiento Paneles'!AE$21)/1000</f>
        <v>26.475153977310146</v>
      </c>
      <c r="AG30" s="2">
        <f ca="1">OFFSET(horas_de_luz_por_provinci!$G$1,_xlfn.XLOOKUP('Datos Instalación'!$C$8,horas_de_luz_por_provinci!$G$2:$G$53,horas_de_luz_por_provinci!$F$2:$F$53),$A30)*'Datos Instalación'!$C$14*_xlfn.XLOOKUP('Datos Instalación'!$C$7,Auxiliares!$B$3:$B$6,Auxiliares!$D$3:$D$6)*('Rendimiento Paneles'!AF$19*'Rendimiento Paneles'!AF$20+'Rendimiento Paneles'!AF$22*'Rendimiento Paneles'!AF$21)/1000</f>
        <v>26.332188145832671</v>
      </c>
    </row>
    <row r="31" spans="1:35">
      <c r="A31" s="2">
        <v>6</v>
      </c>
      <c r="B31" s="12" t="s">
        <v>9</v>
      </c>
      <c r="C31" s="2">
        <f ca="1">OFFSET(horas_de_luz_por_provinci!$G$1,_xlfn.XLOOKUP('Datos Instalación'!$C$8,horas_de_luz_por_provinci!$G$2:$G$53,horas_de_luz_por_provinci!$F$2:$F$53),$A31)*'Datos Instalación'!$C$14*_xlfn.XLOOKUP('Datos Instalación'!$C$7,Auxiliares!$B$3:$B$6,Auxiliares!$D$3:$D$6)*('Rendimiento Paneles'!B$19*'Rendimiento Paneles'!B$20+'Rendimiento Paneles'!B$22*'Rendimiento Paneles'!B$21)/1000</f>
        <v>31.245649499999995</v>
      </c>
      <c r="D31" s="2">
        <f ca="1">OFFSET(horas_de_luz_por_provinci!$G$1,_xlfn.XLOOKUP('Datos Instalación'!$C$8,horas_de_luz_por_provinci!$G$2:$G$53,horas_de_luz_por_provinci!$F$2:$F$53),$A31)*'Datos Instalación'!$C$14*_xlfn.XLOOKUP('Datos Instalación'!$C$7,Auxiliares!$B$3:$B$6,Auxiliares!$D$3:$D$6)*('Rendimiento Paneles'!C$19*'Rendimiento Paneles'!C$20+'Rendimiento Paneles'!C$22*'Rendimiento Paneles'!C$21)/1000</f>
        <v>31.076922992699995</v>
      </c>
      <c r="E31" s="2">
        <f ca="1">OFFSET(horas_de_luz_por_provinci!$G$1,_xlfn.XLOOKUP('Datos Instalación'!$C$8,horas_de_luz_por_provinci!$G$2:$G$53,horas_de_luz_por_provinci!$F$2:$F$53),$A31)*'Datos Instalación'!$C$14*_xlfn.XLOOKUP('Datos Instalación'!$C$7,Auxiliares!$B$3:$B$6,Auxiliares!$D$3:$D$6)*('Rendimiento Paneles'!D$19*'Rendimiento Paneles'!D$20+'Rendimiento Paneles'!D$22*'Rendimiento Paneles'!D$21)/1000</f>
        <v>30.909107608539415</v>
      </c>
      <c r="F31" s="2">
        <f ca="1">OFFSET(horas_de_luz_por_provinci!$G$1,_xlfn.XLOOKUP('Datos Instalación'!$C$8,horas_de_luz_por_provinci!$G$2:$G$53,horas_de_luz_por_provinci!$F$2:$F$53),$A31)*'Datos Instalación'!$C$14*_xlfn.XLOOKUP('Datos Instalación'!$C$7,Auxiliares!$B$3:$B$6,Auxiliares!$D$3:$D$6)*('Rendimiento Paneles'!E$19*'Rendimiento Paneles'!E$20+'Rendimiento Paneles'!E$22*'Rendimiento Paneles'!E$21)/1000</f>
        <v>30.742198427453307</v>
      </c>
      <c r="G31" s="2">
        <f ca="1">OFFSET(horas_de_luz_por_provinci!$G$1,_xlfn.XLOOKUP('Datos Instalación'!$C$8,horas_de_luz_por_provinci!$G$2:$G$53,horas_de_luz_por_provinci!$F$2:$F$53),$A31)*'Datos Instalación'!$C$14*_xlfn.XLOOKUP('Datos Instalación'!$C$7,Auxiliares!$B$3:$B$6,Auxiliares!$D$3:$D$6)*('Rendimiento Paneles'!F$19*'Rendimiento Paneles'!F$20+'Rendimiento Paneles'!F$22*'Rendimiento Paneles'!F$21)/1000</f>
        <v>30.576190555945058</v>
      </c>
      <c r="H31" s="2">
        <f ca="1">OFFSET(horas_de_luz_por_provinci!$G$1,_xlfn.XLOOKUP('Datos Instalación'!$C$8,horas_de_luz_por_provinci!$G$2:$G$53,horas_de_luz_por_provinci!$F$2:$F$53),$A31)*'Datos Instalación'!$C$14*_xlfn.XLOOKUP('Datos Instalación'!$C$7,Auxiliares!$B$3:$B$6,Auxiliares!$D$3:$D$6)*('Rendimiento Paneles'!G$19*'Rendimiento Paneles'!G$20+'Rendimiento Paneles'!G$22*'Rendimiento Paneles'!G$21)/1000</f>
        <v>30.411079126942955</v>
      </c>
      <c r="I31" s="2">
        <f ca="1">OFFSET(horas_de_luz_por_provinci!$G$1,_xlfn.XLOOKUP('Datos Instalación'!$C$8,horas_de_luz_por_provinci!$G$2:$G$53,horas_de_luz_por_provinci!$F$2:$F$53),$A31)*'Datos Instalación'!$C$14*_xlfn.XLOOKUP('Datos Instalación'!$C$7,Auxiliares!$B$3:$B$6,Auxiliares!$D$3:$D$6)*('Rendimiento Paneles'!H$19*'Rendimiento Paneles'!H$20+'Rendimiento Paneles'!H$22*'Rendimiento Paneles'!H$21)/1000</f>
        <v>30.246859299657462</v>
      </c>
      <c r="J31" s="2">
        <f ca="1">OFFSET(horas_de_luz_por_provinci!$G$1,_xlfn.XLOOKUP('Datos Instalación'!$C$8,horas_de_luz_por_provinci!$G$2:$G$53,horas_de_luz_por_provinci!$F$2:$F$53),$A31)*'Datos Instalación'!$C$14*_xlfn.XLOOKUP('Datos Instalación'!$C$7,Auxiliares!$B$3:$B$6,Auxiliares!$D$3:$D$6)*('Rendimiento Paneles'!I$19*'Rendimiento Paneles'!I$20+'Rendimiento Paneles'!I$22*'Rendimiento Paneles'!I$21)/1000</f>
        <v>30.083526259439314</v>
      </c>
      <c r="K31" s="2">
        <f ca="1">OFFSET(horas_de_luz_por_provinci!$G$1,_xlfn.XLOOKUP('Datos Instalación'!$C$8,horas_de_luz_por_provinci!$G$2:$G$53,horas_de_luz_por_provinci!$F$2:$F$53),$A31)*'Datos Instalación'!$C$14*_xlfn.XLOOKUP('Datos Instalación'!$C$7,Auxiliares!$B$3:$B$6,Auxiliares!$D$3:$D$6)*('Rendimiento Paneles'!J$19*'Rendimiento Paneles'!J$20+'Rendimiento Paneles'!J$22*'Rendimiento Paneles'!J$21)/1000</f>
        <v>29.921075217638339</v>
      </c>
      <c r="L31" s="2">
        <f ca="1">OFFSET(horas_de_luz_por_provinci!$G$1,_xlfn.XLOOKUP('Datos Instalación'!$C$8,horas_de_luz_por_provinci!$G$2:$G$53,horas_de_luz_por_provinci!$F$2:$F$53),$A31)*'Datos Instalación'!$C$14*_xlfn.XLOOKUP('Datos Instalación'!$C$7,Auxiliares!$B$3:$B$6,Auxiliares!$D$3:$D$6)*('Rendimiento Paneles'!K$19*'Rendimiento Paneles'!K$20+'Rendimiento Paneles'!K$22*'Rendimiento Paneles'!K$21)/1000</f>
        <v>29.759501411463095</v>
      </c>
      <c r="M31" s="2">
        <f ca="1">OFFSET(horas_de_luz_por_provinci!$G$1,_xlfn.XLOOKUP('Datos Instalación'!$C$8,horas_de_luz_por_provinci!$G$2:$G$53,horas_de_luz_por_provinci!$F$2:$F$53),$A31)*'Datos Instalación'!$C$14*_xlfn.XLOOKUP('Datos Instalación'!$C$7,Auxiliares!$B$3:$B$6,Auxiliares!$D$3:$D$6)*('Rendimiento Paneles'!L$19*'Rendimiento Paneles'!L$20+'Rendimiento Paneles'!L$22*'Rendimiento Paneles'!L$21)/1000</f>
        <v>29.598800103841189</v>
      </c>
      <c r="N31" s="2">
        <f ca="1">OFFSET(horas_de_luz_por_provinci!$G$1,_xlfn.XLOOKUP('Datos Instalación'!$C$8,horas_de_luz_por_provinci!$G$2:$G$53,horas_de_luz_por_provinci!$F$2:$F$53),$A31)*'Datos Instalación'!$C$14*_xlfn.XLOOKUP('Datos Instalación'!$C$7,Auxiliares!$B$3:$B$6,Auxiliares!$D$3:$D$6)*('Rendimiento Paneles'!M$19*'Rendimiento Paneles'!M$20+'Rendimiento Paneles'!M$22*'Rendimiento Paneles'!M$21)/1000</f>
        <v>29.438966583280447</v>
      </c>
      <c r="O31" s="2">
        <f ca="1">OFFSET(horas_de_luz_por_provinci!$G$1,_xlfn.XLOOKUP('Datos Instalación'!$C$8,horas_de_luz_por_provinci!$G$2:$G$53,horas_de_luz_por_provinci!$F$2:$F$53),$A31)*'Datos Instalación'!$C$14*_xlfn.XLOOKUP('Datos Instalación'!$C$7,Auxiliares!$B$3:$B$6,Auxiliares!$D$3:$D$6)*('Rendimiento Paneles'!N$19*'Rendimiento Paneles'!N$20+'Rendimiento Paneles'!N$22*'Rendimiento Paneles'!N$21)/1000</f>
        <v>30.178459578215367</v>
      </c>
      <c r="P31" s="2">
        <f ca="1">OFFSET(horas_de_luz_por_provinci!$G$1,_xlfn.XLOOKUP('Datos Instalación'!$C$8,horas_de_luz_por_provinci!$G$2:$G$53,horas_de_luz_por_provinci!$F$2:$F$53),$A31)*'Datos Instalación'!$C$14*_xlfn.XLOOKUP('Datos Instalación'!$C$7,Auxiliares!$B$3:$B$6,Auxiliares!$D$3:$D$6)*('Rendimiento Paneles'!O$19*'Rendimiento Paneles'!O$20+'Rendimiento Paneles'!O$22*'Rendimiento Paneles'!O$21)/1000</f>
        <v>30.015495896493004</v>
      </c>
      <c r="Q31" s="2">
        <f ca="1">OFFSET(horas_de_luz_por_provinci!$G$1,_xlfn.XLOOKUP('Datos Instalación'!$C$8,horas_de_luz_por_provinci!$G$2:$G$53,horas_de_luz_por_provinci!$F$2:$F$53),$A31)*'Datos Instalación'!$C$14*_xlfn.XLOOKUP('Datos Instalación'!$C$7,Auxiliares!$B$3:$B$6,Auxiliares!$D$3:$D$6)*('Rendimiento Paneles'!P$19*'Rendimiento Paneles'!P$20+'Rendimiento Paneles'!P$22*'Rendimiento Paneles'!P$21)/1000</f>
        <v>29.85341221865194</v>
      </c>
      <c r="R31" s="2">
        <f ca="1">OFFSET(horas_de_luz_por_provinci!$G$1,_xlfn.XLOOKUP('Datos Instalación'!$C$8,horas_de_luz_por_provinci!$G$2:$G$53,horas_de_luz_por_provinci!$F$2:$F$53),$A31)*'Datos Instalación'!$C$14*_xlfn.XLOOKUP('Datos Instalación'!$C$7,Auxiliares!$B$3:$B$6,Auxiliares!$D$3:$D$6)*('Rendimiento Paneles'!Q$19*'Rendimiento Paneles'!Q$20+'Rendimiento Paneles'!Q$22*'Rendimiento Paneles'!Q$21)/1000</f>
        <v>29.692203792671219</v>
      </c>
      <c r="S31" s="2">
        <f ca="1">OFFSET(horas_de_luz_por_provinci!$G$1,_xlfn.XLOOKUP('Datos Instalación'!$C$8,horas_de_luz_por_provinci!$G$2:$G$53,horas_de_luz_por_provinci!$F$2:$F$53),$A31)*'Datos Instalación'!$C$14*_xlfn.XLOOKUP('Datos Instalación'!$C$7,Auxiliares!$B$3:$B$6,Auxiliares!$D$3:$D$6)*('Rendimiento Paneles'!R$19*'Rendimiento Paneles'!R$20+'Rendimiento Paneles'!R$22*'Rendimiento Paneles'!R$21)/1000</f>
        <v>29.53186589219079</v>
      </c>
      <c r="T31" s="2">
        <f ca="1">OFFSET(horas_de_luz_por_provinci!$G$1,_xlfn.XLOOKUP('Datos Instalación'!$C$8,horas_de_luz_por_provinci!$G$2:$G$53,horas_de_luz_por_provinci!$F$2:$F$53),$A31)*'Datos Instalación'!$C$14*_xlfn.XLOOKUP('Datos Instalación'!$C$7,Auxiliares!$B$3:$B$6,Auxiliares!$D$3:$D$6)*('Rendimiento Paneles'!S$19*'Rendimiento Paneles'!S$20+'Rendimiento Paneles'!S$22*'Rendimiento Paneles'!S$21)/1000</f>
        <v>29.372393816372963</v>
      </c>
      <c r="U31" s="2">
        <f ca="1">OFFSET(horas_de_luz_por_provinci!$G$1,_xlfn.XLOOKUP('Datos Instalación'!$C$8,horas_de_luz_por_provinci!$G$2:$G$53,horas_de_luz_por_provinci!$F$2:$F$53),$A31)*'Datos Instalación'!$C$14*_xlfn.XLOOKUP('Datos Instalación'!$C$7,Auxiliares!$B$3:$B$6,Auxiliares!$D$3:$D$6)*('Rendimiento Paneles'!T$19*'Rendimiento Paneles'!T$20+'Rendimiento Paneles'!T$22*'Rendimiento Paneles'!T$21)/1000</f>
        <v>29.213782889764552</v>
      </c>
      <c r="V31" s="2">
        <f ca="1">OFFSET(horas_de_luz_por_provinci!$G$1,_xlfn.XLOOKUP('Datos Instalación'!$C$8,horas_de_luz_por_provinci!$G$2:$G$53,horas_de_luz_por_provinci!$F$2:$F$53),$A31)*'Datos Instalación'!$C$14*_xlfn.XLOOKUP('Datos Instalación'!$C$7,Auxiliares!$B$3:$B$6,Auxiliares!$D$3:$D$6)*('Rendimiento Paneles'!U$19*'Rendimiento Paneles'!U$20+'Rendimiento Paneles'!U$22*'Rendimiento Paneles'!U$21)/1000</f>
        <v>29.056028462159826</v>
      </c>
      <c r="W31" s="2">
        <f ca="1">OFFSET(horas_de_luz_por_provinci!$G$1,_xlfn.XLOOKUP('Datos Instalación'!$C$8,horas_de_luz_por_provinci!$G$2:$G$53,horas_de_luz_por_provinci!$F$2:$F$53),$A31)*'Datos Instalación'!$C$14*_xlfn.XLOOKUP('Datos Instalación'!$C$7,Auxiliares!$B$3:$B$6,Auxiliares!$D$3:$D$6)*('Rendimiento Paneles'!V$19*'Rendimiento Paneles'!V$20+'Rendimiento Paneles'!V$22*'Rendimiento Paneles'!V$21)/1000</f>
        <v>28.899125908464161</v>
      </c>
      <c r="X31" s="2">
        <f ca="1">OFFSET(horas_de_luz_por_provinci!$G$1,_xlfn.XLOOKUP('Datos Instalación'!$C$8,horas_de_luz_por_provinci!$G$2:$G$53,horas_de_luz_por_provinci!$F$2:$F$53),$A31)*'Datos Instalación'!$C$14*_xlfn.XLOOKUP('Datos Instalación'!$C$7,Auxiliares!$B$3:$B$6,Auxiliares!$D$3:$D$6)*('Rendimiento Paneles'!W$19*'Rendimiento Paneles'!W$20+'Rendimiento Paneles'!W$22*'Rendimiento Paneles'!W$21)/1000</f>
        <v>28.743070628558453</v>
      </c>
      <c r="Y31" s="2">
        <f ca="1">OFFSET(horas_de_luz_por_provinci!$G$1,_xlfn.XLOOKUP('Datos Instalación'!$C$8,horas_de_luz_por_provinci!$G$2:$G$53,horas_de_luz_por_provinci!$F$2:$F$53),$A31)*'Datos Instalación'!$C$14*_xlfn.XLOOKUP('Datos Instalación'!$C$7,Auxiliares!$B$3:$B$6,Auxiliares!$D$3:$D$6)*('Rendimiento Paneles'!X$19*'Rendimiento Paneles'!X$20+'Rendimiento Paneles'!X$22*'Rendimiento Paneles'!X$21)/1000</f>
        <v>28.587858047164236</v>
      </c>
      <c r="Z31" s="2">
        <f ca="1">OFFSET(horas_de_luz_por_provinci!$G$1,_xlfn.XLOOKUP('Datos Instalación'!$C$8,horas_de_luz_por_provinci!$G$2:$G$53,horas_de_luz_por_provinci!$F$2:$F$53),$A31)*'Datos Instalación'!$C$14*_xlfn.XLOOKUP('Datos Instalación'!$C$7,Auxiliares!$B$3:$B$6,Auxiliares!$D$3:$D$6)*('Rendimiento Paneles'!Y$19*'Rendimiento Paneles'!Y$20+'Rendimiento Paneles'!Y$22*'Rendimiento Paneles'!Y$21)/1000</f>
        <v>28.433483613709548</v>
      </c>
      <c r="AA31" s="2">
        <f ca="1">OFFSET(horas_de_luz_por_provinci!$G$1,_xlfn.XLOOKUP('Datos Instalación'!$C$8,horas_de_luz_por_provinci!$G$2:$G$53,horas_de_luz_por_provinci!$F$2:$F$53),$A31)*'Datos Instalación'!$C$14*_xlfn.XLOOKUP('Datos Instalación'!$C$7,Auxiliares!$B$3:$B$6,Auxiliares!$D$3:$D$6)*('Rendimiento Paneles'!Z$19*'Rendimiento Paneles'!Z$20+'Rendimiento Paneles'!Z$22*'Rendimiento Paneles'!Z$21)/1000</f>
        <v>28.279942802195517</v>
      </c>
      <c r="AB31" s="2">
        <f ca="1">OFFSET(horas_de_luz_por_provinci!$G$1,_xlfn.XLOOKUP('Datos Instalación'!$C$8,horas_de_luz_por_provinci!$G$2:$G$53,horas_de_luz_por_provinci!$F$2:$F$53),$A31)*'Datos Instalación'!$C$14*_xlfn.XLOOKUP('Datos Instalación'!$C$7,Auxiliares!$B$3:$B$6,Auxiliares!$D$3:$D$6)*('Rendimiento Paneles'!AA$19*'Rendimiento Paneles'!AA$20+'Rendimiento Paneles'!AA$22*'Rendimiento Paneles'!AA$21)/1000</f>
        <v>28.127231111063658</v>
      </c>
      <c r="AC31" s="2">
        <f ca="1">OFFSET(horas_de_luz_por_provinci!$G$1,_xlfn.XLOOKUP('Datos Instalación'!$C$8,horas_de_luz_por_provinci!$G$2:$G$53,horas_de_luz_por_provinci!$F$2:$F$53),$A31)*'Datos Instalación'!$C$14*_xlfn.XLOOKUP('Datos Instalación'!$C$7,Auxiliares!$B$3:$B$6,Auxiliares!$D$3:$D$6)*('Rendimiento Paneles'!AB$19*'Rendimiento Paneles'!AB$20+'Rendimiento Paneles'!AB$22*'Rendimiento Paneles'!AB$21)/1000</f>
        <v>27.975344063063915</v>
      </c>
      <c r="AD31" s="2">
        <f ca="1">OFFSET(horas_de_luz_por_provinci!$G$1,_xlfn.XLOOKUP('Datos Instalación'!$C$8,horas_de_luz_por_provinci!$G$2:$G$53,horas_de_luz_por_provinci!$F$2:$F$53),$A31)*'Datos Instalación'!$C$14*_xlfn.XLOOKUP('Datos Instalación'!$C$7,Auxiliares!$B$3:$B$6,Auxiliares!$D$3:$D$6)*('Rendimiento Paneles'!AC$19*'Rendimiento Paneles'!AC$20+'Rendimiento Paneles'!AC$22*'Rendimiento Paneles'!AC$21)/1000</f>
        <v>27.824277205123369</v>
      </c>
      <c r="AE31" s="2">
        <f ca="1">OFFSET(horas_de_luz_por_provinci!$G$1,_xlfn.XLOOKUP('Datos Instalación'!$C$8,horas_de_luz_por_provinci!$G$2:$G$53,horas_de_luz_por_provinci!$F$2:$F$53),$A31)*'Datos Instalación'!$C$14*_xlfn.XLOOKUP('Datos Instalación'!$C$7,Auxiliares!$B$3:$B$6,Auxiliares!$D$3:$D$6)*('Rendimiento Paneles'!AD$19*'Rendimiento Paneles'!AD$20+'Rendimiento Paneles'!AD$22*'Rendimiento Paneles'!AD$21)/1000</f>
        <v>27.674026108215706</v>
      </c>
      <c r="AF31" s="2">
        <f ca="1">OFFSET(horas_de_luz_por_provinci!$G$1,_xlfn.XLOOKUP('Datos Instalación'!$C$8,horas_de_luz_por_provinci!$G$2:$G$53,horas_de_luz_por_provinci!$F$2:$F$53),$A31)*'Datos Instalación'!$C$14*_xlfn.XLOOKUP('Datos Instalación'!$C$7,Auxiliares!$B$3:$B$6,Auxiliares!$D$3:$D$6)*('Rendimiento Paneles'!AE$19*'Rendimiento Paneles'!AE$20+'Rendimiento Paneles'!AE$22*'Rendimiento Paneles'!AE$21)/1000</f>
        <v>27.52458636723134</v>
      </c>
      <c r="AG31" s="2">
        <f ca="1">OFFSET(horas_de_luz_por_provinci!$G$1,_xlfn.XLOOKUP('Datos Instalación'!$C$8,horas_de_luz_por_provinci!$G$2:$G$53,horas_de_luz_por_provinci!$F$2:$F$53),$A31)*'Datos Instalación'!$C$14*_xlfn.XLOOKUP('Datos Instalación'!$C$7,Auxiliares!$B$3:$B$6,Auxiliares!$D$3:$D$6)*('Rendimiento Paneles'!AF$19*'Rendimiento Paneles'!AF$20+'Rendimiento Paneles'!AF$22*'Rendimiento Paneles'!AF$21)/1000</f>
        <v>27.375953600848291</v>
      </c>
    </row>
    <row r="32" spans="1:35">
      <c r="A32" s="2">
        <v>7</v>
      </c>
      <c r="B32" s="12" t="s">
        <v>10</v>
      </c>
      <c r="C32" s="2">
        <f ca="1">OFFSET(horas_de_luz_por_provinci!$G$1,_xlfn.XLOOKUP('Datos Instalación'!$C$8,horas_de_luz_por_provinci!$G$2:$G$53,horas_de_luz_por_provinci!$F$2:$F$53),$A32)*'Datos Instalación'!$C$14*_xlfn.XLOOKUP('Datos Instalación'!$C$7,Auxiliares!$B$3:$B$6,Auxiliares!$D$3:$D$6)*('Rendimiento Paneles'!B$19*'Rendimiento Paneles'!B$20+'Rendimiento Paneles'!B$22*'Rendimiento Paneles'!B$21)/1000</f>
        <v>30.6813468</v>
      </c>
      <c r="D32" s="2">
        <f ca="1">OFFSET(horas_de_luz_por_provinci!$G$1,_xlfn.XLOOKUP('Datos Instalación'!$C$8,horas_de_luz_por_provinci!$G$2:$G$53,horas_de_luz_por_provinci!$F$2:$F$53),$A32)*'Datos Instalación'!$C$14*_xlfn.XLOOKUP('Datos Instalación'!$C$7,Auxiliares!$B$3:$B$6,Auxiliares!$D$3:$D$6)*('Rendimiento Paneles'!C$19*'Rendimiento Paneles'!C$20+'Rendimiento Paneles'!C$22*'Rendimiento Paneles'!C$21)/1000</f>
        <v>30.515667527279998</v>
      </c>
      <c r="E32" s="2">
        <f ca="1">OFFSET(horas_de_luz_por_provinci!$G$1,_xlfn.XLOOKUP('Datos Instalación'!$C$8,horas_de_luz_por_provinci!$G$2:$G$53,horas_de_luz_por_provinci!$F$2:$F$53),$A32)*'Datos Instalación'!$C$14*_xlfn.XLOOKUP('Datos Instalación'!$C$7,Auxiliares!$B$3:$B$6,Auxiliares!$D$3:$D$6)*('Rendimiento Paneles'!D$19*'Rendimiento Paneles'!D$20+'Rendimiento Paneles'!D$22*'Rendimiento Paneles'!D$21)/1000</f>
        <v>30.350882922632689</v>
      </c>
      <c r="F32" s="2">
        <f ca="1">OFFSET(horas_de_luz_por_provinci!$G$1,_xlfn.XLOOKUP('Datos Instalación'!$C$8,horas_de_luz_por_provinci!$G$2:$G$53,horas_de_luz_por_provinci!$F$2:$F$53),$A32)*'Datos Instalación'!$C$14*_xlfn.XLOOKUP('Datos Instalación'!$C$7,Auxiliares!$B$3:$B$6,Auxiliares!$D$3:$D$6)*('Rendimiento Paneles'!E$19*'Rendimiento Paneles'!E$20+'Rendimiento Paneles'!E$22*'Rendimiento Paneles'!E$21)/1000</f>
        <v>30.186988154850471</v>
      </c>
      <c r="G32" s="2">
        <f ca="1">OFFSET(horas_de_luz_por_provinci!$G$1,_xlfn.XLOOKUP('Datos Instalación'!$C$8,horas_de_luz_por_provinci!$G$2:$G$53,horas_de_luz_por_provinci!$F$2:$F$53),$A32)*'Datos Instalación'!$C$14*_xlfn.XLOOKUP('Datos Instalación'!$C$7,Auxiliares!$B$3:$B$6,Auxiliares!$D$3:$D$6)*('Rendimiento Paneles'!F$19*'Rendimiento Paneles'!F$20+'Rendimiento Paneles'!F$22*'Rendimiento Paneles'!F$21)/1000</f>
        <v>30.023978418814281</v>
      </c>
      <c r="H32" s="2">
        <f ca="1">OFFSET(horas_de_luz_por_provinci!$G$1,_xlfn.XLOOKUP('Datos Instalación'!$C$8,horas_de_luz_por_provinci!$G$2:$G$53,horas_de_luz_por_provinci!$F$2:$F$53),$A32)*'Datos Instalación'!$C$14*_xlfn.XLOOKUP('Datos Instalación'!$C$7,Auxiliares!$B$3:$B$6,Auxiliares!$D$3:$D$6)*('Rendimiento Paneles'!G$19*'Rendimiento Paneles'!G$20+'Rendimiento Paneles'!G$22*'Rendimiento Paneles'!G$21)/1000</f>
        <v>29.861848935352683</v>
      </c>
      <c r="I32" s="2">
        <f ca="1">OFFSET(horas_de_luz_por_provinci!$G$1,_xlfn.XLOOKUP('Datos Instalación'!$C$8,horas_de_luz_por_provinci!$G$2:$G$53,horas_de_luz_por_provinci!$F$2:$F$53),$A32)*'Datos Instalación'!$C$14*_xlfn.XLOOKUP('Datos Instalación'!$C$7,Auxiliares!$B$3:$B$6,Auxiliares!$D$3:$D$6)*('Rendimiento Paneles'!H$19*'Rendimiento Paneles'!H$20+'Rendimiento Paneles'!H$22*'Rendimiento Paneles'!H$21)/1000</f>
        <v>29.700594951101777</v>
      </c>
      <c r="J32" s="2">
        <f ca="1">OFFSET(horas_de_luz_por_provinci!$G$1,_xlfn.XLOOKUP('Datos Instalación'!$C$8,horas_de_luz_por_provinci!$G$2:$G$53,horas_de_luz_por_provinci!$F$2:$F$53),$A32)*'Datos Instalación'!$C$14*_xlfn.XLOOKUP('Datos Instalación'!$C$7,Auxiliares!$B$3:$B$6,Auxiliares!$D$3:$D$6)*('Rendimiento Paneles'!I$19*'Rendimiento Paneles'!I$20+'Rendimiento Paneles'!I$22*'Rendimiento Paneles'!I$21)/1000</f>
        <v>29.54021173836583</v>
      </c>
      <c r="K32" s="2">
        <f ca="1">OFFSET(horas_de_luz_por_provinci!$G$1,_xlfn.XLOOKUP('Datos Instalación'!$C$8,horas_de_luz_por_provinci!$G$2:$G$53,horas_de_luz_por_provinci!$F$2:$F$53),$A32)*'Datos Instalación'!$C$14*_xlfn.XLOOKUP('Datos Instalación'!$C$7,Auxiliares!$B$3:$B$6,Auxiliares!$D$3:$D$6)*('Rendimiento Paneles'!J$19*'Rendimiento Paneles'!J$20+'Rendimiento Paneles'!J$22*'Rendimiento Paneles'!J$21)/1000</f>
        <v>29.380694594978653</v>
      </c>
      <c r="L32" s="2">
        <f ca="1">OFFSET(horas_de_luz_por_provinci!$G$1,_xlfn.XLOOKUP('Datos Instalación'!$C$8,horas_de_luz_por_provinci!$G$2:$G$53,horas_de_luz_por_provinci!$F$2:$F$53),$A32)*'Datos Instalación'!$C$14*_xlfn.XLOOKUP('Datos Instalación'!$C$7,Auxiliares!$B$3:$B$6,Auxiliares!$D$3:$D$6)*('Rendimiento Paneles'!K$19*'Rendimiento Paneles'!K$20+'Rendimiento Paneles'!K$22*'Rendimiento Paneles'!K$21)/1000</f>
        <v>29.22203884416577</v>
      </c>
      <c r="M32" s="2">
        <f ca="1">OFFSET(horas_de_luz_por_provinci!$G$1,_xlfn.XLOOKUP('Datos Instalación'!$C$8,horas_de_luz_por_provinci!$G$2:$G$53,horas_de_luz_por_provinci!$F$2:$F$53),$A32)*'Datos Instalación'!$C$14*_xlfn.XLOOKUP('Datos Instalación'!$C$7,Auxiliares!$B$3:$B$6,Auxiliares!$D$3:$D$6)*('Rendimiento Paneles'!L$19*'Rendimiento Paneles'!L$20+'Rendimiento Paneles'!L$22*'Rendimiento Paneles'!L$21)/1000</f>
        <v>29.064239834407271</v>
      </c>
      <c r="N32" s="2">
        <f ca="1">OFFSET(horas_de_luz_por_provinci!$G$1,_xlfn.XLOOKUP('Datos Instalación'!$C$8,horas_de_luz_por_provinci!$G$2:$G$53,horas_de_luz_por_provinci!$F$2:$F$53),$A32)*'Datos Instalación'!$C$14*_xlfn.XLOOKUP('Datos Instalación'!$C$7,Auxiliares!$B$3:$B$6,Auxiliares!$D$3:$D$6)*('Rendimiento Paneles'!M$19*'Rendimiento Paneles'!M$20+'Rendimiento Paneles'!M$22*'Rendimiento Paneles'!M$21)/1000</f>
        <v>28.907292939301474</v>
      </c>
      <c r="O32" s="2">
        <f ca="1">OFFSET(horas_de_luz_por_provinci!$G$1,_xlfn.XLOOKUP('Datos Instalación'!$C$8,horas_de_luz_por_provinci!$G$2:$G$53,horas_de_luz_por_provinci!$F$2:$F$53),$A32)*'Datos Instalación'!$C$14*_xlfn.XLOOKUP('Datos Instalación'!$C$7,Auxiliares!$B$3:$B$6,Auxiliares!$D$3:$D$6)*('Rendimiento Paneles'!N$19*'Rendimiento Paneles'!N$20+'Rendimiento Paneles'!N$22*'Rendimiento Paneles'!N$21)/1000</f>
        <v>29.633430542354624</v>
      </c>
      <c r="P32" s="2">
        <f ca="1">OFFSET(horas_de_luz_por_provinci!$G$1,_xlfn.XLOOKUP('Datos Instalación'!$C$8,horas_de_luz_por_provinci!$G$2:$G$53,horas_de_luz_por_provinci!$F$2:$F$53),$A32)*'Datos Instalación'!$C$14*_xlfn.XLOOKUP('Datos Instalación'!$C$7,Auxiliares!$B$3:$B$6,Auxiliares!$D$3:$D$6)*('Rendimiento Paneles'!O$19*'Rendimiento Paneles'!O$20+'Rendimiento Paneles'!O$22*'Rendimiento Paneles'!O$21)/1000</f>
        <v>29.473410017425909</v>
      </c>
      <c r="Q32" s="2">
        <f ca="1">OFFSET(horas_de_luz_por_provinci!$G$1,_xlfn.XLOOKUP('Datos Instalación'!$C$8,horas_de_luz_por_provinci!$G$2:$G$53,horas_de_luz_por_provinci!$F$2:$F$53),$A32)*'Datos Instalación'!$C$14*_xlfn.XLOOKUP('Datos Instalación'!$C$7,Auxiliares!$B$3:$B$6,Auxiliares!$D$3:$D$6)*('Rendimiento Paneles'!P$19*'Rendimiento Paneles'!P$20+'Rendimiento Paneles'!P$22*'Rendimiento Paneles'!P$21)/1000</f>
        <v>29.314253603331807</v>
      </c>
      <c r="R32" s="2">
        <f ca="1">OFFSET(horas_de_luz_por_provinci!$G$1,_xlfn.XLOOKUP('Datos Instalación'!$C$8,horas_de_luz_por_provinci!$G$2:$G$53,horas_de_luz_por_provinci!$F$2:$F$53),$A32)*'Datos Instalación'!$C$14*_xlfn.XLOOKUP('Datos Instalación'!$C$7,Auxiliares!$B$3:$B$6,Auxiliares!$D$3:$D$6)*('Rendimiento Paneles'!Q$19*'Rendimiento Paneles'!Q$20+'Rendimiento Paneles'!Q$22*'Rendimiento Paneles'!Q$21)/1000</f>
        <v>29.155956633873814</v>
      </c>
      <c r="S32" s="2">
        <f ca="1">OFFSET(horas_de_luz_por_provinci!$G$1,_xlfn.XLOOKUP('Datos Instalación'!$C$8,horas_de_luz_por_provinci!$G$2:$G$53,horas_de_luz_por_provinci!$F$2:$F$53),$A32)*'Datos Instalación'!$C$14*_xlfn.XLOOKUP('Datos Instalación'!$C$7,Auxiliares!$B$3:$B$6,Auxiliares!$D$3:$D$6)*('Rendimiento Paneles'!R$19*'Rendimiento Paneles'!R$20+'Rendimiento Paneles'!R$22*'Rendimiento Paneles'!R$21)/1000</f>
        <v>28.998514468050892</v>
      </c>
      <c r="T32" s="2">
        <f ca="1">OFFSET(horas_de_luz_por_provinci!$G$1,_xlfn.XLOOKUP('Datos Instalación'!$C$8,horas_de_luz_por_provinci!$G$2:$G$53,horas_de_luz_por_provinci!$F$2:$F$53),$A32)*'Datos Instalación'!$C$14*_xlfn.XLOOKUP('Datos Instalación'!$C$7,Auxiliares!$B$3:$B$6,Auxiliares!$D$3:$D$6)*('Rendimiento Paneles'!S$19*'Rendimiento Paneles'!S$20+'Rendimiento Paneles'!S$22*'Rendimiento Paneles'!S$21)/1000</f>
        <v>28.841922489923423</v>
      </c>
      <c r="U32" s="2">
        <f ca="1">OFFSET(horas_de_luz_por_provinci!$G$1,_xlfn.XLOOKUP('Datos Instalación'!$C$8,horas_de_luz_por_provinci!$G$2:$G$53,horas_de_luz_por_provinci!$F$2:$F$53),$A32)*'Datos Instalación'!$C$14*_xlfn.XLOOKUP('Datos Instalación'!$C$7,Auxiliares!$B$3:$B$6,Auxiliares!$D$3:$D$6)*('Rendimiento Paneles'!T$19*'Rendimiento Paneles'!T$20+'Rendimiento Paneles'!T$22*'Rendimiento Paneles'!T$21)/1000</f>
        <v>28.686176108477838</v>
      </c>
      <c r="V32" s="2">
        <f ca="1">OFFSET(horas_de_luz_por_provinci!$G$1,_xlfn.XLOOKUP('Datos Instalación'!$C$8,horas_de_luz_por_provinci!$G$2:$G$53,horas_de_luz_por_provinci!$F$2:$F$53),$A32)*'Datos Instalación'!$C$14*_xlfn.XLOOKUP('Datos Instalación'!$C$7,Auxiliares!$B$3:$B$6,Auxiliares!$D$3:$D$6)*('Rendimiento Paneles'!U$19*'Rendimiento Paneles'!U$20+'Rendimiento Paneles'!U$22*'Rendimiento Paneles'!U$21)/1000</f>
        <v>28.531270757492056</v>
      </c>
      <c r="W32" s="2">
        <f ca="1">OFFSET(horas_de_luz_por_provinci!$G$1,_xlfn.XLOOKUP('Datos Instalación'!$C$8,horas_de_luz_por_provinci!$G$2:$G$53,horas_de_luz_por_provinci!$F$2:$F$53),$A32)*'Datos Instalación'!$C$14*_xlfn.XLOOKUP('Datos Instalación'!$C$7,Auxiliares!$B$3:$B$6,Auxiliares!$D$3:$D$6)*('Rendimiento Paneles'!V$19*'Rendimiento Paneles'!V$20+'Rendimiento Paneles'!V$22*'Rendimiento Paneles'!V$21)/1000</f>
        <v>28.377201895401601</v>
      </c>
      <c r="X32" s="2">
        <f ca="1">OFFSET(horas_de_luz_por_provinci!$G$1,_xlfn.XLOOKUP('Datos Instalación'!$C$8,horas_de_luz_por_provinci!$G$2:$G$53,horas_de_luz_por_provinci!$F$2:$F$53),$A32)*'Datos Instalación'!$C$14*_xlfn.XLOOKUP('Datos Instalación'!$C$7,Auxiliares!$B$3:$B$6,Auxiliares!$D$3:$D$6)*('Rendimiento Paneles'!W$19*'Rendimiento Paneles'!W$20+'Rendimiento Paneles'!W$22*'Rendimiento Paneles'!W$21)/1000</f>
        <v>28.223965005166431</v>
      </c>
      <c r="Y32" s="2">
        <f ca="1">OFFSET(horas_de_luz_por_provinci!$G$1,_xlfn.XLOOKUP('Datos Instalación'!$C$8,horas_de_luz_por_provinci!$G$2:$G$53,horas_de_luz_por_provinci!$F$2:$F$53),$A32)*'Datos Instalación'!$C$14*_xlfn.XLOOKUP('Datos Instalación'!$C$7,Auxiliares!$B$3:$B$6,Auxiliares!$D$3:$D$6)*('Rendimiento Paneles'!X$19*'Rendimiento Paneles'!X$20+'Rendimiento Paneles'!X$22*'Rendimiento Paneles'!X$21)/1000</f>
        <v>28.071555594138527</v>
      </c>
      <c r="Z32" s="2">
        <f ca="1">OFFSET(horas_de_luz_por_provinci!$G$1,_xlfn.XLOOKUP('Datos Instalación'!$C$8,horas_de_luz_por_provinci!$G$2:$G$53,horas_de_luz_por_provinci!$F$2:$F$53),$A32)*'Datos Instalación'!$C$14*_xlfn.XLOOKUP('Datos Instalación'!$C$7,Auxiliares!$B$3:$B$6,Auxiliares!$D$3:$D$6)*('Rendimiento Paneles'!Y$19*'Rendimiento Paneles'!Y$20+'Rendimiento Paneles'!Y$22*'Rendimiento Paneles'!Y$21)/1000</f>
        <v>27.919969193930182</v>
      </c>
      <c r="AA32" s="2">
        <f ca="1">OFFSET(horas_de_luz_por_provinci!$G$1,_xlfn.XLOOKUP('Datos Instalación'!$C$8,horas_de_luz_por_provinci!$G$2:$G$53,horas_de_luz_por_provinci!$F$2:$F$53),$A32)*'Datos Instalación'!$C$14*_xlfn.XLOOKUP('Datos Instalación'!$C$7,Auxiliares!$B$3:$B$6,Auxiliares!$D$3:$D$6)*('Rendimiento Paneles'!Z$19*'Rendimiento Paneles'!Z$20+'Rendimiento Paneles'!Z$22*'Rendimiento Paneles'!Z$21)/1000</f>
        <v>27.769201360282956</v>
      </c>
      <c r="AB32" s="2">
        <f ca="1">OFFSET(horas_de_luz_por_provinci!$G$1,_xlfn.XLOOKUP('Datos Instalación'!$C$8,horas_de_luz_por_provinci!$G$2:$G$53,horas_de_luz_por_provinci!$F$2:$F$53),$A32)*'Datos Instalación'!$C$14*_xlfn.XLOOKUP('Datos Instalación'!$C$7,Auxiliares!$B$3:$B$6,Auxiliares!$D$3:$D$6)*('Rendimiento Paneles'!AA$19*'Rendimiento Paneles'!AA$20+'Rendimiento Paneles'!AA$22*'Rendimiento Paneles'!AA$21)/1000</f>
        <v>27.61924767293743</v>
      </c>
      <c r="AC32" s="2">
        <f ca="1">OFFSET(horas_de_luz_por_provinci!$G$1,_xlfn.XLOOKUP('Datos Instalación'!$C$8,horas_de_luz_por_provinci!$G$2:$G$53,horas_de_luz_por_provinci!$F$2:$F$53),$A32)*'Datos Instalación'!$C$14*_xlfn.XLOOKUP('Datos Instalación'!$C$7,Auxiliares!$B$3:$B$6,Auxiliares!$D$3:$D$6)*('Rendimiento Paneles'!AB$19*'Rendimiento Paneles'!AB$20+'Rendimiento Paneles'!AB$22*'Rendimiento Paneles'!AB$21)/1000</f>
        <v>27.470103735503567</v>
      </c>
      <c r="AD32" s="2">
        <f ca="1">OFFSET(horas_de_luz_por_provinci!$G$1,_xlfn.XLOOKUP('Datos Instalación'!$C$8,horas_de_luz_por_provinci!$G$2:$G$53,horas_de_luz_por_provinci!$F$2:$F$53),$A32)*'Datos Instalación'!$C$14*_xlfn.XLOOKUP('Datos Instalación'!$C$7,Auxiliares!$B$3:$B$6,Auxiliares!$D$3:$D$6)*('Rendimiento Paneles'!AC$19*'Rendimiento Paneles'!AC$20+'Rendimiento Paneles'!AC$22*'Rendimiento Paneles'!AC$21)/1000</f>
        <v>27.321765175331844</v>
      </c>
      <c r="AE32" s="2">
        <f ca="1">OFFSET(horas_de_luz_por_provinci!$G$1,_xlfn.XLOOKUP('Datos Instalación'!$C$8,horas_de_luz_por_provinci!$G$2:$G$53,horas_de_luz_por_provinci!$F$2:$F$53),$A32)*'Datos Instalación'!$C$14*_xlfn.XLOOKUP('Datos Instalación'!$C$7,Auxiliares!$B$3:$B$6,Auxiliares!$D$3:$D$6)*('Rendimiento Paneles'!AD$19*'Rendimiento Paneles'!AD$20+'Rendimiento Paneles'!AD$22*'Rendimiento Paneles'!AD$21)/1000</f>
        <v>27.174227643385056</v>
      </c>
      <c r="AF32" s="2">
        <f ca="1">OFFSET(horas_de_luz_por_provinci!$G$1,_xlfn.XLOOKUP('Datos Instalación'!$C$8,horas_de_luz_por_provinci!$G$2:$G$53,horas_de_luz_por_provinci!$F$2:$F$53),$A32)*'Datos Instalación'!$C$14*_xlfn.XLOOKUP('Datos Instalación'!$C$7,Auxiliares!$B$3:$B$6,Auxiliares!$D$3:$D$6)*('Rendimiento Paneles'!AE$19*'Rendimiento Paneles'!AE$20+'Rendimiento Paneles'!AE$22*'Rendimiento Paneles'!AE$21)/1000</f>
        <v>27.027486814110777</v>
      </c>
      <c r="AG32" s="2">
        <f ca="1">OFFSET(horas_de_luz_por_provinci!$G$1,_xlfn.XLOOKUP('Datos Instalación'!$C$8,horas_de_luz_por_provinci!$G$2:$G$53,horas_de_luz_por_provinci!$F$2:$F$53),$A32)*'Datos Instalación'!$C$14*_xlfn.XLOOKUP('Datos Instalación'!$C$7,Auxiliares!$B$3:$B$6,Auxiliares!$D$3:$D$6)*('Rendimiento Paneles'!AF$19*'Rendimiento Paneles'!AF$20+'Rendimiento Paneles'!AF$22*'Rendimiento Paneles'!AF$21)/1000</f>
        <v>26.881538385314581</v>
      </c>
    </row>
    <row r="33" spans="1:34">
      <c r="A33" s="2">
        <v>8</v>
      </c>
      <c r="B33" s="12" t="s">
        <v>11</v>
      </c>
      <c r="C33" s="2">
        <f ca="1">OFFSET(horas_de_luz_por_provinci!$G$1,_xlfn.XLOOKUP('Datos Instalación'!$C$8,horas_de_luz_por_provinci!$G$2:$G$53,horas_de_luz_por_provinci!$F$2:$F$53),$A33)*'Datos Instalación'!$C$14*_xlfn.XLOOKUP('Datos Instalación'!$C$7,Auxiliares!$B$3:$B$6,Auxiliares!$D$3:$D$6)*('Rendimiento Paneles'!B$19*'Rendimiento Paneles'!B$20+'Rendimiento Paneles'!B$22*'Rendimiento Paneles'!B$21)/1000</f>
        <v>28.6540371</v>
      </c>
      <c r="D33" s="2">
        <f ca="1">OFFSET(horas_de_luz_por_provinci!$G$1,_xlfn.XLOOKUP('Datos Instalación'!$C$8,horas_de_luz_por_provinci!$G$2:$G$53,horas_de_luz_por_provinci!$F$2:$F$53),$A33)*'Datos Instalación'!$C$14*_xlfn.XLOOKUP('Datos Instalación'!$C$7,Auxiliares!$B$3:$B$6,Auxiliares!$D$3:$D$6)*('Rendimiento Paneles'!C$19*'Rendimiento Paneles'!C$20+'Rendimiento Paneles'!C$22*'Rendimiento Paneles'!C$21)/1000</f>
        <v>28.499305299660001</v>
      </c>
      <c r="E33" s="2">
        <f ca="1">OFFSET(horas_de_luz_por_provinci!$G$1,_xlfn.XLOOKUP('Datos Instalación'!$C$8,horas_de_luz_por_provinci!$G$2:$G$53,horas_de_luz_por_provinci!$F$2:$F$53),$A33)*'Datos Instalación'!$C$14*_xlfn.XLOOKUP('Datos Instalación'!$C$7,Auxiliares!$B$3:$B$6,Auxiliares!$D$3:$D$6)*('Rendimiento Paneles'!D$19*'Rendimiento Paneles'!D$20+'Rendimiento Paneles'!D$22*'Rendimiento Paneles'!D$21)/1000</f>
        <v>28.345409051041834</v>
      </c>
      <c r="F33" s="2">
        <f ca="1">OFFSET(horas_de_luz_por_provinci!$G$1,_xlfn.XLOOKUP('Datos Instalación'!$C$8,horas_de_luz_por_provinci!$G$2:$G$53,horas_de_luz_por_provinci!$F$2:$F$53),$A33)*'Datos Instalación'!$C$14*_xlfn.XLOOKUP('Datos Instalación'!$C$7,Auxiliares!$B$3:$B$6,Auxiliares!$D$3:$D$6)*('Rendimiento Paneles'!E$19*'Rendimiento Paneles'!E$20+'Rendimiento Paneles'!E$22*'Rendimiento Paneles'!E$21)/1000</f>
        <v>28.19234384216621</v>
      </c>
      <c r="G33" s="2">
        <f ca="1">OFFSET(horas_de_luz_por_provinci!$G$1,_xlfn.XLOOKUP('Datos Instalación'!$C$8,horas_de_luz_por_provinci!$G$2:$G$53,horas_de_luz_por_provinci!$F$2:$F$53),$A33)*'Datos Instalación'!$C$14*_xlfn.XLOOKUP('Datos Instalación'!$C$7,Auxiliares!$B$3:$B$6,Auxiliares!$D$3:$D$6)*('Rendimiento Paneles'!F$19*'Rendimiento Paneles'!F$20+'Rendimiento Paneles'!F$22*'Rendimiento Paneles'!F$21)/1000</f>
        <v>28.040105185418515</v>
      </c>
      <c r="H33" s="2">
        <f ca="1">OFFSET(horas_de_luz_por_provinci!$G$1,_xlfn.XLOOKUP('Datos Instalación'!$C$8,horas_de_luz_por_provinci!$G$2:$G$53,horas_de_luz_por_provinci!$F$2:$F$53),$A33)*'Datos Instalación'!$C$14*_xlfn.XLOOKUP('Datos Instalación'!$C$7,Auxiliares!$B$3:$B$6,Auxiliares!$D$3:$D$6)*('Rendimiento Paneles'!G$19*'Rendimiento Paneles'!G$20+'Rendimiento Paneles'!G$22*'Rendimiento Paneles'!G$21)/1000</f>
        <v>27.888688617417255</v>
      </c>
      <c r="I33" s="2">
        <f ca="1">OFFSET(horas_de_luz_por_provinci!$G$1,_xlfn.XLOOKUP('Datos Instalación'!$C$8,horas_de_luz_por_provinci!$G$2:$G$53,horas_de_luz_por_provinci!$F$2:$F$53),$A33)*'Datos Instalación'!$C$14*_xlfn.XLOOKUP('Datos Instalación'!$C$7,Auxiliares!$B$3:$B$6,Auxiliares!$D$3:$D$6)*('Rendimiento Paneles'!H$19*'Rendimiento Paneles'!H$20+'Rendimiento Paneles'!H$22*'Rendimiento Paneles'!H$21)/1000</f>
        <v>27.738089698883204</v>
      </c>
      <c r="J33" s="2">
        <f ca="1">OFFSET(horas_de_luz_por_provinci!$G$1,_xlfn.XLOOKUP('Datos Instalación'!$C$8,horas_de_luz_por_provinci!$G$2:$G$53,horas_de_luz_por_provinci!$F$2:$F$53),$A33)*'Datos Instalación'!$C$14*_xlfn.XLOOKUP('Datos Instalación'!$C$7,Auxiliares!$B$3:$B$6,Auxiliares!$D$3:$D$6)*('Rendimiento Paneles'!I$19*'Rendimiento Paneles'!I$20+'Rendimiento Paneles'!I$22*'Rendimiento Paneles'!I$21)/1000</f>
        <v>27.588304014509234</v>
      </c>
      <c r="K33" s="2">
        <f ca="1">OFFSET(horas_de_luz_por_provinci!$G$1,_xlfn.XLOOKUP('Datos Instalación'!$C$8,horas_de_luz_por_provinci!$G$2:$G$53,horas_de_luz_por_provinci!$F$2:$F$53),$A33)*'Datos Instalación'!$C$14*_xlfn.XLOOKUP('Datos Instalación'!$C$7,Auxiliares!$B$3:$B$6,Auxiliares!$D$3:$D$6)*('Rendimiento Paneles'!J$19*'Rendimiento Paneles'!J$20+'Rendimiento Paneles'!J$22*'Rendimiento Paneles'!J$21)/1000</f>
        <v>27.439327172830883</v>
      </c>
      <c r="L33" s="2">
        <f ca="1">OFFSET(horas_de_luz_por_provinci!$G$1,_xlfn.XLOOKUP('Datos Instalación'!$C$8,horas_de_luz_por_provinci!$G$2:$G$53,horas_de_luz_por_provinci!$F$2:$F$53),$A33)*'Datos Instalación'!$C$14*_xlfn.XLOOKUP('Datos Instalación'!$C$7,Auxiliares!$B$3:$B$6,Auxiliares!$D$3:$D$6)*('Rendimiento Paneles'!K$19*'Rendimiento Paneles'!K$20+'Rendimiento Paneles'!K$22*'Rendimiento Paneles'!K$21)/1000</f>
        <v>27.291154806097598</v>
      </c>
      <c r="M33" s="2">
        <f ca="1">OFFSET(horas_de_luz_por_provinci!$G$1,_xlfn.XLOOKUP('Datos Instalación'!$C$8,horas_de_luz_por_provinci!$G$2:$G$53,horas_de_luz_por_provinci!$F$2:$F$53),$A33)*'Datos Instalación'!$C$14*_xlfn.XLOOKUP('Datos Instalación'!$C$7,Auxiliares!$B$3:$B$6,Auxiliares!$D$3:$D$6)*('Rendimiento Paneles'!L$19*'Rendimiento Paneles'!L$20+'Rendimiento Paneles'!L$22*'Rendimiento Paneles'!L$21)/1000</f>
        <v>27.143782570144666</v>
      </c>
      <c r="N33" s="2">
        <f ca="1">OFFSET(horas_de_luz_por_provinci!$G$1,_xlfn.XLOOKUP('Datos Instalación'!$C$8,horas_de_luz_por_provinci!$G$2:$G$53,horas_de_luz_por_provinci!$F$2:$F$53),$A33)*'Datos Instalación'!$C$14*_xlfn.XLOOKUP('Datos Instalación'!$C$7,Auxiliares!$B$3:$B$6,Auxiliares!$D$3:$D$6)*('Rendimiento Paneles'!M$19*'Rendimiento Paneles'!M$20+'Rendimiento Paneles'!M$22*'Rendimiento Paneles'!M$21)/1000</f>
        <v>26.997206144265885</v>
      </c>
      <c r="O33" s="2">
        <f ca="1">OFFSET(horas_de_luz_por_provinci!$G$1,_xlfn.XLOOKUP('Datos Instalación'!$C$8,horas_de_luz_por_provinci!$G$2:$G$53,horas_de_luz_por_provinci!$F$2:$F$53),$A33)*'Datos Instalación'!$C$14*_xlfn.XLOOKUP('Datos Instalación'!$C$7,Auxiliares!$B$3:$B$6,Auxiliares!$D$3:$D$6)*('Rendimiento Paneles'!N$19*'Rendimiento Paneles'!N$20+'Rendimiento Paneles'!N$22*'Rendimiento Paneles'!N$21)/1000</f>
        <v>27.675363265373427</v>
      </c>
      <c r="P33" s="2">
        <f ca="1">OFFSET(horas_de_luz_por_provinci!$G$1,_xlfn.XLOOKUP('Datos Instalación'!$C$8,horas_de_luz_por_provinci!$G$2:$G$53,horas_de_luz_por_provinci!$F$2:$F$53),$A33)*'Datos Instalación'!$C$14*_xlfn.XLOOKUP('Datos Instalación'!$C$7,Auxiliares!$B$3:$B$6,Auxiliares!$D$3:$D$6)*('Rendimiento Paneles'!O$19*'Rendimiento Paneles'!O$20+'Rendimiento Paneles'!O$22*'Rendimiento Paneles'!O$21)/1000</f>
        <v>27.525916303740409</v>
      </c>
      <c r="Q33" s="2">
        <f ca="1">OFFSET(horas_de_luz_por_provinci!$G$1,_xlfn.XLOOKUP('Datos Instalación'!$C$8,horas_de_luz_por_provinci!$G$2:$G$53,horas_de_luz_por_provinci!$F$2:$F$53),$A33)*'Datos Instalación'!$C$14*_xlfn.XLOOKUP('Datos Instalación'!$C$7,Auxiliares!$B$3:$B$6,Auxiliares!$D$3:$D$6)*('Rendimiento Paneles'!P$19*'Rendimiento Paneles'!P$20+'Rendimiento Paneles'!P$22*'Rendimiento Paneles'!P$21)/1000</f>
        <v>27.377276355700207</v>
      </c>
      <c r="R33" s="2">
        <f ca="1">OFFSET(horas_de_luz_por_provinci!$G$1,_xlfn.XLOOKUP('Datos Instalación'!$C$8,horas_de_luz_por_provinci!$G$2:$G$53,horas_de_luz_por_provinci!$F$2:$F$53),$A33)*'Datos Instalación'!$C$14*_xlfn.XLOOKUP('Datos Instalación'!$C$7,Auxiliares!$B$3:$B$6,Auxiliares!$D$3:$D$6)*('Rendimiento Paneles'!Q$19*'Rendimiento Paneles'!Q$20+'Rendimiento Paneles'!Q$22*'Rendimiento Paneles'!Q$21)/1000</f>
        <v>27.229439063379431</v>
      </c>
      <c r="S33" s="2">
        <f ca="1">OFFSET(horas_de_luz_por_provinci!$G$1,_xlfn.XLOOKUP('Datos Instalación'!$C$8,horas_de_luz_por_provinci!$G$2:$G$53,horas_de_luz_por_provinci!$F$2:$F$53),$A33)*'Datos Instalación'!$C$14*_xlfn.XLOOKUP('Datos Instalación'!$C$7,Auxiliares!$B$3:$B$6,Auxiliares!$D$3:$D$6)*('Rendimiento Paneles'!R$19*'Rendimiento Paneles'!R$20+'Rendimiento Paneles'!R$22*'Rendimiento Paneles'!R$21)/1000</f>
        <v>27.082400092437179</v>
      </c>
      <c r="T33" s="2">
        <f ca="1">OFFSET(horas_de_luz_por_provinci!$G$1,_xlfn.XLOOKUP('Datos Instalación'!$C$8,horas_de_luz_por_provinci!$G$2:$G$53,horas_de_luz_por_provinci!$F$2:$F$53),$A33)*'Datos Instalación'!$C$14*_xlfn.XLOOKUP('Datos Instalación'!$C$7,Auxiliares!$B$3:$B$6,Auxiliares!$D$3:$D$6)*('Rendimiento Paneles'!S$19*'Rendimiento Paneles'!S$20+'Rendimiento Paneles'!S$22*'Rendimiento Paneles'!S$21)/1000</f>
        <v>26.936155131938019</v>
      </c>
      <c r="U33" s="2">
        <f ca="1">OFFSET(horas_de_luz_por_provinci!$G$1,_xlfn.XLOOKUP('Datos Instalación'!$C$8,horas_de_luz_por_provinci!$G$2:$G$53,horas_de_luz_por_provinci!$F$2:$F$53),$A33)*'Datos Instalación'!$C$14*_xlfn.XLOOKUP('Datos Instalación'!$C$7,Auxiliares!$B$3:$B$6,Auxiliares!$D$3:$D$6)*('Rendimiento Paneles'!T$19*'Rendimiento Paneles'!T$20+'Rendimiento Paneles'!T$22*'Rendimiento Paneles'!T$21)/1000</f>
        <v>26.790699894225558</v>
      </c>
      <c r="V33" s="2">
        <f ca="1">OFFSET(horas_de_luz_por_provinci!$G$1,_xlfn.XLOOKUP('Datos Instalación'!$C$8,horas_de_luz_por_provinci!$G$2:$G$53,horas_de_luz_por_provinci!$F$2:$F$53),$A33)*'Datos Instalación'!$C$14*_xlfn.XLOOKUP('Datos Instalación'!$C$7,Auxiliares!$B$3:$B$6,Auxiliares!$D$3:$D$6)*('Rendimiento Paneles'!U$19*'Rendimiento Paneles'!U$20+'Rendimiento Paneles'!U$22*'Rendimiento Paneles'!U$21)/1000</f>
        <v>26.646030114796741</v>
      </c>
      <c r="W33" s="2">
        <f ca="1">OFFSET(horas_de_luz_por_provinci!$G$1,_xlfn.XLOOKUP('Datos Instalación'!$C$8,horas_de_luz_por_provinci!$G$2:$G$53,horas_de_luz_por_provinci!$F$2:$F$53),$A33)*'Datos Instalación'!$C$14*_xlfn.XLOOKUP('Datos Instalación'!$C$7,Auxiliares!$B$3:$B$6,Auxiliares!$D$3:$D$6)*('Rendimiento Paneles'!V$19*'Rendimiento Paneles'!V$20+'Rendimiento Paneles'!V$22*'Rendimiento Paneles'!V$21)/1000</f>
        <v>26.502141552176841</v>
      </c>
      <c r="X33" s="2">
        <f ca="1">OFFSET(horas_de_luz_por_provinci!$G$1,_xlfn.XLOOKUP('Datos Instalación'!$C$8,horas_de_luz_por_provinci!$G$2:$G$53,horas_de_luz_por_provinci!$F$2:$F$53),$A33)*'Datos Instalación'!$C$14*_xlfn.XLOOKUP('Datos Instalación'!$C$7,Auxiliares!$B$3:$B$6,Auxiliares!$D$3:$D$6)*('Rendimiento Paneles'!W$19*'Rendimiento Paneles'!W$20+'Rendimiento Paneles'!W$22*'Rendimiento Paneles'!W$21)/1000</f>
        <v>26.359029987795083</v>
      </c>
      <c r="Y33" s="2">
        <f ca="1">OFFSET(horas_de_luz_por_provinci!$G$1,_xlfn.XLOOKUP('Datos Instalación'!$C$8,horas_de_luz_por_provinci!$G$2:$G$53,horas_de_luz_por_provinci!$F$2:$F$53),$A33)*'Datos Instalación'!$C$14*_xlfn.XLOOKUP('Datos Instalación'!$C$7,Auxiliares!$B$3:$B$6,Auxiliares!$D$3:$D$6)*('Rendimiento Paneles'!X$19*'Rendimiento Paneles'!X$20+'Rendimiento Paneles'!X$22*'Rendimiento Paneles'!X$21)/1000</f>
        <v>26.216691225860984</v>
      </c>
      <c r="Z33" s="2">
        <f ca="1">OFFSET(horas_de_luz_por_provinci!$G$1,_xlfn.XLOOKUP('Datos Instalación'!$C$8,horas_de_luz_por_provinci!$G$2:$G$53,horas_de_luz_por_provinci!$F$2:$F$53),$A33)*'Datos Instalación'!$C$14*_xlfn.XLOOKUP('Datos Instalación'!$C$7,Auxiliares!$B$3:$B$6,Auxiliares!$D$3:$D$6)*('Rendimiento Paneles'!Y$19*'Rendimiento Paneles'!Y$20+'Rendimiento Paneles'!Y$22*'Rendimiento Paneles'!Y$21)/1000</f>
        <v>26.075121093241336</v>
      </c>
      <c r="AA33" s="2">
        <f ca="1">OFFSET(horas_de_luz_por_provinci!$G$1,_xlfn.XLOOKUP('Datos Instalación'!$C$8,horas_de_luz_por_provinci!$G$2:$G$53,horas_de_luz_por_provinci!$F$2:$F$53),$A33)*'Datos Instalación'!$C$14*_xlfn.XLOOKUP('Datos Instalación'!$C$7,Auxiliares!$B$3:$B$6,Auxiliares!$D$3:$D$6)*('Rendimiento Paneles'!Z$19*'Rendimiento Paneles'!Z$20+'Rendimiento Paneles'!Z$22*'Rendimiento Paneles'!Z$21)/1000</f>
        <v>25.934315439337833</v>
      </c>
      <c r="AB33" s="2">
        <f ca="1">OFFSET(horas_de_luz_por_provinci!$G$1,_xlfn.XLOOKUP('Datos Instalación'!$C$8,horas_de_luz_por_provinci!$G$2:$G$53,horas_de_luz_por_provinci!$F$2:$F$53),$A33)*'Datos Instalación'!$C$14*_xlfn.XLOOKUP('Datos Instalación'!$C$7,Auxiliares!$B$3:$B$6,Auxiliares!$D$3:$D$6)*('Rendimiento Paneles'!AA$19*'Rendimiento Paneles'!AA$20+'Rendimiento Paneles'!AA$22*'Rendimiento Paneles'!AA$21)/1000</f>
        <v>25.794270135965405</v>
      </c>
      <c r="AC33" s="2">
        <f ca="1">OFFSET(horas_de_luz_por_provinci!$G$1,_xlfn.XLOOKUP('Datos Instalación'!$C$8,horas_de_luz_por_provinci!$G$2:$G$53,horas_de_luz_por_provinci!$F$2:$F$53),$A33)*'Datos Instalación'!$C$14*_xlfn.XLOOKUP('Datos Instalación'!$C$7,Auxiliares!$B$3:$B$6,Auxiliares!$D$3:$D$6)*('Rendimiento Paneles'!AB$19*'Rendimiento Paneles'!AB$20+'Rendimiento Paneles'!AB$22*'Rendimiento Paneles'!AB$21)/1000</f>
        <v>25.654981077231195</v>
      </c>
      <c r="AD33" s="2">
        <f ca="1">OFFSET(horas_de_luz_por_provinci!$G$1,_xlfn.XLOOKUP('Datos Instalación'!$C$8,horas_de_luz_por_provinci!$G$2:$G$53,horas_de_luz_por_provinci!$F$2:$F$53),$A33)*'Datos Instalación'!$C$14*_xlfn.XLOOKUP('Datos Instalación'!$C$7,Auxiliares!$B$3:$B$6,Auxiliares!$D$3:$D$6)*('Rendimiento Paneles'!AC$19*'Rendimiento Paneles'!AC$20+'Rendimiento Paneles'!AC$22*'Rendimiento Paneles'!AC$21)/1000</f>
        <v>25.516444179414147</v>
      </c>
      <c r="AE33" s="2">
        <f ca="1">OFFSET(horas_de_luz_por_provinci!$G$1,_xlfn.XLOOKUP('Datos Instalación'!$C$8,horas_de_luz_por_provinci!$G$2:$G$53,horas_de_luz_por_provinci!$F$2:$F$53),$A33)*'Datos Instalación'!$C$14*_xlfn.XLOOKUP('Datos Instalación'!$C$7,Auxiliares!$B$3:$B$6,Auxiliares!$D$3:$D$6)*('Rendimiento Paneles'!AD$19*'Rendimiento Paneles'!AD$20+'Rendimiento Paneles'!AD$22*'Rendimiento Paneles'!AD$21)/1000</f>
        <v>25.378655380845309</v>
      </c>
      <c r="AF33" s="2">
        <f ca="1">OFFSET(horas_de_luz_por_provinci!$G$1,_xlfn.XLOOKUP('Datos Instalación'!$C$8,horas_de_luz_por_provinci!$G$2:$G$53,horas_de_luz_por_provinci!$F$2:$F$53),$A33)*'Datos Instalación'!$C$14*_xlfn.XLOOKUP('Datos Instalación'!$C$7,Auxiliares!$B$3:$B$6,Auxiliares!$D$3:$D$6)*('Rendimiento Paneles'!AE$19*'Rendimiento Paneles'!AE$20+'Rendimiento Paneles'!AE$22*'Rendimiento Paneles'!AE$21)/1000</f>
        <v>25.241610641788746</v>
      </c>
      <c r="AG33" s="2">
        <f ca="1">OFFSET(horas_de_luz_por_provinci!$G$1,_xlfn.XLOOKUP('Datos Instalación'!$C$8,horas_de_luz_por_provinci!$G$2:$G$53,horas_de_luz_por_provinci!$F$2:$F$53),$A33)*'Datos Instalación'!$C$14*_xlfn.XLOOKUP('Datos Instalación'!$C$7,Auxiliares!$B$3:$B$6,Auxiliares!$D$3:$D$6)*('Rendimiento Paneles'!AF$19*'Rendimiento Paneles'!AF$20+'Rendimiento Paneles'!AF$22*'Rendimiento Paneles'!AF$21)/1000</f>
        <v>25.105305944323085</v>
      </c>
    </row>
    <row r="34" spans="1:34">
      <c r="A34" s="2">
        <v>9</v>
      </c>
      <c r="B34" s="12" t="s">
        <v>12</v>
      </c>
      <c r="C34" s="2">
        <f ca="1">OFFSET(horas_de_luz_por_provinci!$G$1,_xlfn.XLOOKUP('Datos Instalación'!$C$8,horas_de_luz_por_provinci!$G$2:$G$53,horas_de_luz_por_provinci!$F$2:$F$53),$A34)*'Datos Instalación'!$C$14*_xlfn.XLOOKUP('Datos Instalación'!$C$7,Auxiliares!$B$3:$B$6,Auxiliares!$D$3:$D$6)*('Rendimiento Paneles'!B$19*'Rendimiento Paneles'!B$20+'Rendimiento Paneles'!B$22*'Rendimiento Paneles'!B$21)/1000</f>
        <v>26.041524599999999</v>
      </c>
      <c r="D34" s="2">
        <f ca="1">OFFSET(horas_de_luz_por_provinci!$G$1,_xlfn.XLOOKUP('Datos Instalación'!$C$8,horas_de_luz_por_provinci!$G$2:$G$53,horas_de_luz_por_provinci!$F$2:$F$53),$A34)*'Datos Instalación'!$C$14*_xlfn.XLOOKUP('Datos Instalación'!$C$7,Auxiliares!$B$3:$B$6,Auxiliares!$D$3:$D$6)*('Rendimiento Paneles'!C$19*'Rendimiento Paneles'!C$20+'Rendimiento Paneles'!C$22*'Rendimiento Paneles'!C$21)/1000</f>
        <v>25.900900367160006</v>
      </c>
      <c r="E34" s="2">
        <f ca="1">OFFSET(horas_de_luz_por_provinci!$G$1,_xlfn.XLOOKUP('Datos Instalación'!$C$8,horas_de_luz_por_provinci!$G$2:$G$53,horas_de_luz_por_provinci!$F$2:$F$53),$A34)*'Datos Instalación'!$C$14*_xlfn.XLOOKUP('Datos Instalación'!$C$7,Auxiliares!$B$3:$B$6,Auxiliares!$D$3:$D$6)*('Rendimiento Paneles'!D$19*'Rendimiento Paneles'!D$20+'Rendimiento Paneles'!D$22*'Rendimiento Paneles'!D$21)/1000</f>
        <v>25.76103550517734</v>
      </c>
      <c r="F34" s="2">
        <f ca="1">OFFSET(horas_de_luz_por_provinci!$G$1,_xlfn.XLOOKUP('Datos Instalación'!$C$8,horas_de_luz_por_provinci!$G$2:$G$53,horas_de_luz_por_provinci!$F$2:$F$53),$A34)*'Datos Instalación'!$C$14*_xlfn.XLOOKUP('Datos Instalación'!$C$7,Auxiliares!$B$3:$B$6,Auxiliares!$D$3:$D$6)*('Rendimiento Paneles'!E$19*'Rendimiento Paneles'!E$20+'Rendimiento Paneles'!E$22*'Rendimiento Paneles'!E$21)/1000</f>
        <v>25.621925913449381</v>
      </c>
      <c r="G34" s="2">
        <f ca="1">OFFSET(horas_de_luz_por_provinci!$G$1,_xlfn.XLOOKUP('Datos Instalación'!$C$8,horas_de_luz_por_provinci!$G$2:$G$53,horas_de_luz_por_provinci!$F$2:$F$53),$A34)*'Datos Instalación'!$C$14*_xlfn.XLOOKUP('Datos Instalación'!$C$7,Auxiliares!$B$3:$B$6,Auxiliares!$D$3:$D$6)*('Rendimiento Paneles'!F$19*'Rendimiento Paneles'!F$20+'Rendimiento Paneles'!F$22*'Rendimiento Paneles'!F$21)/1000</f>
        <v>25.483567513516753</v>
      </c>
      <c r="H34" s="2">
        <f ca="1">OFFSET(horas_de_luz_por_provinci!$G$1,_xlfn.XLOOKUP('Datos Instalación'!$C$8,horas_de_luz_por_provinci!$G$2:$G$53,horas_de_luz_por_provinci!$F$2:$F$53),$A34)*'Datos Instalación'!$C$14*_xlfn.XLOOKUP('Datos Instalación'!$C$7,Auxiliares!$B$3:$B$6,Auxiliares!$D$3:$D$6)*('Rendimiento Paneles'!G$19*'Rendimiento Paneles'!G$20+'Rendimiento Paneles'!G$22*'Rendimiento Paneles'!G$21)/1000</f>
        <v>25.345956248943764</v>
      </c>
      <c r="I34" s="2">
        <f ca="1">OFFSET(horas_de_luz_por_provinci!$G$1,_xlfn.XLOOKUP('Datos Instalación'!$C$8,horas_de_luz_por_provinci!$G$2:$G$53,horas_de_luz_por_provinci!$F$2:$F$53),$A34)*'Datos Instalación'!$C$14*_xlfn.XLOOKUP('Datos Instalación'!$C$7,Auxiliares!$B$3:$B$6,Auxiliares!$D$3:$D$6)*('Rendimiento Paneles'!H$19*'Rendimiento Paneles'!H$20+'Rendimiento Paneles'!H$22*'Rendimiento Paneles'!H$21)/1000</f>
        <v>25.209088085199468</v>
      </c>
      <c r="J34" s="2">
        <f ca="1">OFFSET(horas_de_luz_por_provinci!$G$1,_xlfn.XLOOKUP('Datos Instalación'!$C$8,horas_de_luz_por_provinci!$G$2:$G$53,horas_de_luz_por_provinci!$F$2:$F$53),$A34)*'Datos Instalación'!$C$14*_xlfn.XLOOKUP('Datos Instalación'!$C$7,Auxiliares!$B$3:$B$6,Auxiliares!$D$3:$D$6)*('Rendimiento Paneles'!I$19*'Rendimiento Paneles'!I$20+'Rendimiento Paneles'!I$22*'Rendimiento Paneles'!I$21)/1000</f>
        <v>25.072959009539396</v>
      </c>
      <c r="K34" s="2">
        <f ca="1">OFFSET(horas_de_luz_por_provinci!$G$1,_xlfn.XLOOKUP('Datos Instalación'!$C$8,horas_de_luz_por_provinci!$G$2:$G$53,horas_de_luz_por_provinci!$F$2:$F$53),$A34)*'Datos Instalación'!$C$14*_xlfn.XLOOKUP('Datos Instalación'!$C$7,Auxiliares!$B$3:$B$6,Auxiliares!$D$3:$D$6)*('Rendimiento Paneles'!J$19*'Rendimiento Paneles'!J$20+'Rendimiento Paneles'!J$22*'Rendimiento Paneles'!J$21)/1000</f>
        <v>24.937565030887878</v>
      </c>
      <c r="L34" s="2">
        <f ca="1">OFFSET(horas_de_luz_por_provinci!$G$1,_xlfn.XLOOKUP('Datos Instalación'!$C$8,horas_de_luz_por_provinci!$G$2:$G$53,horas_de_luz_por_provinci!$F$2:$F$53),$A34)*'Datos Instalación'!$C$14*_xlfn.XLOOKUP('Datos Instalación'!$C$7,Auxiliares!$B$3:$B$6,Auxiliares!$D$3:$D$6)*('Rendimiento Paneles'!K$19*'Rendimiento Paneles'!K$20+'Rendimiento Paneles'!K$22*'Rendimiento Paneles'!K$21)/1000</f>
        <v>24.802902179721087</v>
      </c>
      <c r="M34" s="2">
        <f ca="1">OFFSET(horas_de_luz_por_provinci!$G$1,_xlfn.XLOOKUP('Datos Instalación'!$C$8,horas_de_luz_por_provinci!$G$2:$G$53,horas_de_luz_por_provinci!$F$2:$F$53),$A34)*'Datos Instalación'!$C$14*_xlfn.XLOOKUP('Datos Instalación'!$C$7,Auxiliares!$B$3:$B$6,Auxiliares!$D$3:$D$6)*('Rendimiento Paneles'!L$19*'Rendimiento Paneles'!L$20+'Rendimiento Paneles'!L$22*'Rendimiento Paneles'!L$21)/1000</f>
        <v>24.668966507950589</v>
      </c>
      <c r="N34" s="2">
        <f ca="1">OFFSET(horas_de_luz_por_provinci!$G$1,_xlfn.XLOOKUP('Datos Instalación'!$C$8,horas_de_luz_por_provinci!$G$2:$G$53,horas_de_luz_por_provinci!$F$2:$F$53),$A34)*'Datos Instalación'!$C$14*_xlfn.XLOOKUP('Datos Instalación'!$C$7,Auxiliares!$B$3:$B$6,Auxiliares!$D$3:$D$6)*('Rendimiento Paneles'!M$19*'Rendimiento Paneles'!M$20+'Rendimiento Paneles'!M$22*'Rendimiento Paneles'!M$21)/1000</f>
        <v>24.535754088807654</v>
      </c>
      <c r="O34" s="2">
        <f ca="1">OFFSET(horas_de_luz_por_provinci!$G$1,_xlfn.XLOOKUP('Datos Instalación'!$C$8,horas_de_luz_por_provinci!$G$2:$G$53,horas_de_luz_por_provinci!$F$2:$F$53),$A34)*'Datos Instalación'!$C$14*_xlfn.XLOOKUP('Datos Instalación'!$C$7,Auxiliares!$B$3:$B$6,Auxiliares!$D$3:$D$6)*('Rendimiento Paneles'!N$19*'Rendimiento Paneles'!N$20+'Rendimiento Paneles'!N$22*'Rendimiento Paneles'!N$21)/1000</f>
        <v>25.15208069194405</v>
      </c>
      <c r="P34" s="2">
        <f ca="1">OFFSET(horas_de_luz_por_provinci!$G$1,_xlfn.XLOOKUP('Datos Instalación'!$C$8,horas_de_luz_por_provinci!$G$2:$G$53,horas_de_luz_por_provinci!$F$2:$F$53),$A34)*'Datos Instalación'!$C$14*_xlfn.XLOOKUP('Datos Instalación'!$C$7,Auxiliares!$B$3:$B$6,Auxiliares!$D$3:$D$6)*('Rendimiento Paneles'!O$19*'Rendimiento Paneles'!O$20+'Rendimiento Paneles'!O$22*'Rendimiento Paneles'!O$21)/1000</f>
        <v>25.016259456207553</v>
      </c>
      <c r="Q34" s="2">
        <f ca="1">OFFSET(horas_de_luz_por_provinci!$G$1,_xlfn.XLOOKUP('Datos Instalación'!$C$8,horas_de_luz_por_provinci!$G$2:$G$53,horas_de_luz_por_provinci!$F$2:$F$53),$A34)*'Datos Instalación'!$C$14*_xlfn.XLOOKUP('Datos Instalación'!$C$7,Auxiliares!$B$3:$B$6,Auxiliares!$D$3:$D$6)*('Rendimiento Paneles'!P$19*'Rendimiento Paneles'!P$20+'Rendimiento Paneles'!P$22*'Rendimiento Paneles'!P$21)/1000</f>
        <v>24.88117165514403</v>
      </c>
      <c r="R34" s="2">
        <f ca="1">OFFSET(horas_de_luz_por_provinci!$G$1,_xlfn.XLOOKUP('Datos Instalación'!$C$8,horas_de_luz_por_provinci!$G$2:$G$53,horas_de_luz_por_provinci!$F$2:$F$53),$A34)*'Datos Instalación'!$C$14*_xlfn.XLOOKUP('Datos Instalación'!$C$7,Auxiliares!$B$3:$B$6,Auxiliares!$D$3:$D$6)*('Rendimiento Paneles'!Q$19*'Rendimiento Paneles'!Q$20+'Rendimiento Paneles'!Q$22*'Rendimiento Paneles'!Q$21)/1000</f>
        <v>24.746813328206251</v>
      </c>
      <c r="S34" s="2">
        <f ca="1">OFFSET(horas_de_luz_por_provinci!$G$1,_xlfn.XLOOKUP('Datos Instalación'!$C$8,horas_de_luz_por_provinci!$G$2:$G$53,horas_de_luz_por_provinci!$F$2:$F$53),$A34)*'Datos Instalación'!$C$14*_xlfn.XLOOKUP('Datos Instalación'!$C$7,Auxiliares!$B$3:$B$6,Auxiliares!$D$3:$D$6)*('Rendimiento Paneles'!R$19*'Rendimiento Paneles'!R$20+'Rendimiento Paneles'!R$22*'Rendimiento Paneles'!R$21)/1000</f>
        <v>24.613180536233937</v>
      </c>
      <c r="T34" s="2">
        <f ca="1">OFFSET(horas_de_luz_por_provinci!$G$1,_xlfn.XLOOKUP('Datos Instalación'!$C$8,horas_de_luz_por_provinci!$G$2:$G$53,horas_de_luz_por_provinci!$F$2:$F$53),$A34)*'Datos Instalación'!$C$14*_xlfn.XLOOKUP('Datos Instalación'!$C$7,Auxiliares!$B$3:$B$6,Auxiliares!$D$3:$D$6)*('Rendimiento Paneles'!S$19*'Rendimiento Paneles'!S$20+'Rendimiento Paneles'!S$22*'Rendimiento Paneles'!S$21)/1000</f>
        <v>24.480269361338273</v>
      </c>
      <c r="U34" s="2">
        <f ca="1">OFFSET(horas_de_luz_por_provinci!$G$1,_xlfn.XLOOKUP('Datos Instalación'!$C$8,horas_de_luz_por_provinci!$G$2:$G$53,horas_de_luz_por_provinci!$F$2:$F$53),$A34)*'Datos Instalación'!$C$14*_xlfn.XLOOKUP('Datos Instalación'!$C$7,Auxiliares!$B$3:$B$6,Auxiliares!$D$3:$D$6)*('Rendimiento Paneles'!T$19*'Rendimiento Paneles'!T$20+'Rendimiento Paneles'!T$22*'Rendimiento Paneles'!T$21)/1000</f>
        <v>24.348075906787049</v>
      </c>
      <c r="V34" s="2">
        <f ca="1">OFFSET(horas_de_luz_por_provinci!$G$1,_xlfn.XLOOKUP('Datos Instalación'!$C$8,horas_de_luz_por_provinci!$G$2:$G$53,horas_de_luz_por_provinci!$F$2:$F$53),$A34)*'Datos Instalación'!$C$14*_xlfn.XLOOKUP('Datos Instalación'!$C$7,Auxiliares!$B$3:$B$6,Auxiliares!$D$3:$D$6)*('Rendimiento Paneles'!U$19*'Rendimiento Paneles'!U$20+'Rendimiento Paneles'!U$22*'Rendimiento Paneles'!U$21)/1000</f>
        <v>24.216596296890401</v>
      </c>
      <c r="W34" s="2">
        <f ca="1">OFFSET(horas_de_luz_por_provinci!$G$1,_xlfn.XLOOKUP('Datos Instalación'!$C$8,horas_de_luz_por_provinci!$G$2:$G$53,horas_de_luz_por_provinci!$F$2:$F$53),$A34)*'Datos Instalación'!$C$14*_xlfn.XLOOKUP('Datos Instalación'!$C$7,Auxiliares!$B$3:$B$6,Auxiliares!$D$3:$D$6)*('Rendimiento Paneles'!V$19*'Rendimiento Paneles'!V$20+'Rendimiento Paneles'!V$22*'Rendimiento Paneles'!V$21)/1000</f>
        <v>24.085826676887194</v>
      </c>
      <c r="X34" s="2">
        <f ca="1">OFFSET(horas_de_luz_por_provinci!$G$1,_xlfn.XLOOKUP('Datos Instalación'!$C$8,horas_de_luz_por_provinci!$G$2:$G$53,horas_de_luz_por_provinci!$F$2:$F$53),$A34)*'Datos Instalación'!$C$14*_xlfn.XLOOKUP('Datos Instalación'!$C$7,Auxiliares!$B$3:$B$6,Auxiliares!$D$3:$D$6)*('Rendimiento Paneles'!W$19*'Rendimiento Paneles'!W$20+'Rendimiento Paneles'!W$22*'Rendimiento Paneles'!W$21)/1000</f>
        <v>23.955763212832</v>
      </c>
      <c r="Y34" s="2">
        <f ca="1">OFFSET(horas_de_luz_por_provinci!$G$1,_xlfn.XLOOKUP('Datos Instalación'!$C$8,horas_de_luz_por_provinci!$G$2:$G$53,horas_de_luz_por_provinci!$F$2:$F$53),$A34)*'Datos Instalación'!$C$14*_xlfn.XLOOKUP('Datos Instalación'!$C$7,Auxiliares!$B$3:$B$6,Auxiliares!$D$3:$D$6)*('Rendimiento Paneles'!X$19*'Rendimiento Paneles'!X$20+'Rendimiento Paneles'!X$22*'Rendimiento Paneles'!X$21)/1000</f>
        <v>23.826402091482706</v>
      </c>
      <c r="Z34" s="2">
        <f ca="1">OFFSET(horas_de_luz_por_provinci!$G$1,_xlfn.XLOOKUP('Datos Instalación'!$C$8,horas_de_luz_por_provinci!$G$2:$G$53,horas_de_luz_por_provinci!$F$2:$F$53),$A34)*'Datos Instalación'!$C$14*_xlfn.XLOOKUP('Datos Instalación'!$C$7,Auxiliares!$B$3:$B$6,Auxiliares!$D$3:$D$6)*('Rendimiento Paneles'!Y$19*'Rendimiento Paneles'!Y$20+'Rendimiento Paneles'!Y$22*'Rendimiento Paneles'!Y$21)/1000</f>
        <v>23.697739520188698</v>
      </c>
      <c r="AA34" s="2">
        <f ca="1">OFFSET(horas_de_luz_por_provinci!$G$1,_xlfn.XLOOKUP('Datos Instalación'!$C$8,horas_de_luz_por_provinci!$G$2:$G$53,horas_de_luz_por_provinci!$F$2:$F$53),$A34)*'Datos Instalación'!$C$14*_xlfn.XLOOKUP('Datos Instalación'!$C$7,Auxiliares!$B$3:$B$6,Auxiliares!$D$3:$D$6)*('Rendimiento Paneles'!Z$19*'Rendimiento Paneles'!Z$20+'Rendimiento Paneles'!Z$22*'Rendimiento Paneles'!Z$21)/1000</f>
        <v>23.569771726779681</v>
      </c>
      <c r="AB34" s="2">
        <f ca="1">OFFSET(horas_de_luz_por_provinci!$G$1,_xlfn.XLOOKUP('Datos Instalación'!$C$8,horas_de_luz_por_provinci!$G$2:$G$53,horas_de_luz_por_provinci!$F$2:$F$53),$A34)*'Datos Instalación'!$C$14*_xlfn.XLOOKUP('Datos Instalación'!$C$7,Auxiliares!$B$3:$B$6,Auxiliares!$D$3:$D$6)*('Rendimiento Paneles'!AA$19*'Rendimiento Paneles'!AA$20+'Rendimiento Paneles'!AA$22*'Rendimiento Paneles'!AA$21)/1000</f>
        <v>23.442494959455072</v>
      </c>
      <c r="AC34" s="2">
        <f ca="1">OFFSET(horas_de_luz_por_provinci!$G$1,_xlfn.XLOOKUP('Datos Instalación'!$C$8,horas_de_luz_por_provinci!$G$2:$G$53,horas_de_luz_por_provinci!$F$2:$F$53),$A34)*'Datos Instalación'!$C$14*_xlfn.XLOOKUP('Datos Instalación'!$C$7,Auxiliares!$B$3:$B$6,Auxiliares!$D$3:$D$6)*('Rendimiento Paneles'!AB$19*'Rendimiento Paneles'!AB$20+'Rendimiento Paneles'!AB$22*'Rendimiento Paneles'!AB$21)/1000</f>
        <v>23.315905486674012</v>
      </c>
      <c r="AD34" s="2">
        <f ca="1">OFFSET(horas_de_luz_por_provinci!$G$1,_xlfn.XLOOKUP('Datos Instalación'!$C$8,horas_de_luz_por_provinci!$G$2:$G$53,horas_de_luz_por_provinci!$F$2:$F$53),$A34)*'Datos Instalación'!$C$14*_xlfn.XLOOKUP('Datos Instalación'!$C$7,Auxiliares!$B$3:$B$6,Auxiliares!$D$3:$D$6)*('Rendimiento Paneles'!AC$19*'Rendimiento Paneles'!AC$20+'Rendimiento Paneles'!AC$22*'Rendimiento Paneles'!AC$21)/1000</f>
        <v>23.189999597045972</v>
      </c>
      <c r="AE34" s="2">
        <f ca="1">OFFSET(horas_de_luz_por_provinci!$G$1,_xlfn.XLOOKUP('Datos Instalación'!$C$8,horas_de_luz_por_provinci!$G$2:$G$53,horas_de_luz_por_provinci!$F$2:$F$53),$A34)*'Datos Instalación'!$C$14*_xlfn.XLOOKUP('Datos Instalación'!$C$7,Auxiliares!$B$3:$B$6,Auxiliares!$D$3:$D$6)*('Rendimiento Paneles'!AD$19*'Rendimiento Paneles'!AD$20+'Rendimiento Paneles'!AD$22*'Rendimiento Paneles'!AD$21)/1000</f>
        <v>23.064773599221922</v>
      </c>
      <c r="AF34" s="2">
        <f ca="1">OFFSET(horas_de_luz_por_provinci!$G$1,_xlfn.XLOOKUP('Datos Instalación'!$C$8,horas_de_luz_por_provinci!$G$2:$G$53,horas_de_luz_por_provinci!$F$2:$F$53),$A34)*'Datos Instalación'!$C$14*_xlfn.XLOOKUP('Datos Instalación'!$C$7,Auxiliares!$B$3:$B$6,Auxiliares!$D$3:$D$6)*('Rendimiento Paneles'!AE$19*'Rendimiento Paneles'!AE$20+'Rendimiento Paneles'!AE$22*'Rendimiento Paneles'!AE$21)/1000</f>
        <v>22.940223821786127</v>
      </c>
      <c r="AG34" s="2">
        <f ca="1">OFFSET(horas_de_luz_por_provinci!$G$1,_xlfn.XLOOKUP('Datos Instalación'!$C$8,horas_de_luz_por_provinci!$G$2:$G$53,horas_de_luz_por_provinci!$F$2:$F$53),$A34)*'Datos Instalación'!$C$14*_xlfn.XLOOKUP('Datos Instalación'!$C$7,Auxiliares!$B$3:$B$6,Auxiliares!$D$3:$D$6)*('Rendimiento Paneles'!AF$19*'Rendimiento Paneles'!AF$20+'Rendimiento Paneles'!AF$22*'Rendimiento Paneles'!AF$21)/1000</f>
        <v>22.816346613148482</v>
      </c>
    </row>
    <row r="35" spans="1:34">
      <c r="A35" s="2">
        <v>10</v>
      </c>
      <c r="B35" s="12" t="s">
        <v>13</v>
      </c>
      <c r="C35" s="2">
        <f ca="1">OFFSET(horas_de_luz_por_provinci!$G$1,_xlfn.XLOOKUP('Datos Instalación'!$C$8,horas_de_luz_por_provinci!$G$2:$G$53,horas_de_luz_por_provinci!$F$2:$F$53),$A35)*'Datos Instalación'!$C$14*_xlfn.XLOOKUP('Datos Instalación'!$C$7,Auxiliares!$B$3:$B$6,Auxiliares!$D$3:$D$6)*('Rendimiento Paneles'!B$19*'Rendimiento Paneles'!B$20+'Rendimiento Paneles'!B$22*'Rendimiento Paneles'!B$21)/1000</f>
        <v>23.303611500000002</v>
      </c>
      <c r="D35" s="2">
        <f ca="1">OFFSET(horas_de_luz_por_provinci!$G$1,_xlfn.XLOOKUP('Datos Instalación'!$C$8,horas_de_luz_por_provinci!$G$2:$G$53,horas_de_luz_por_provinci!$F$2:$F$53),$A35)*'Datos Instalación'!$C$14*_xlfn.XLOOKUP('Datos Instalación'!$C$7,Auxiliares!$B$3:$B$6,Auxiliares!$D$3:$D$6)*('Rendimiento Paneles'!C$19*'Rendimiento Paneles'!C$20+'Rendimiento Paneles'!C$22*'Rendimiento Paneles'!C$21)/1000</f>
        <v>23.177771997900003</v>
      </c>
      <c r="E35" s="2">
        <f ca="1">OFFSET(horas_de_luz_por_provinci!$G$1,_xlfn.XLOOKUP('Datos Instalación'!$C$8,horas_de_luz_por_provinci!$G$2:$G$53,horas_de_luz_por_provinci!$F$2:$F$53),$A35)*'Datos Instalación'!$C$14*_xlfn.XLOOKUP('Datos Instalación'!$C$7,Auxiliares!$B$3:$B$6,Auxiliares!$D$3:$D$6)*('Rendimiento Paneles'!D$19*'Rendimiento Paneles'!D$20+'Rendimiento Paneles'!D$22*'Rendimiento Paneles'!D$21)/1000</f>
        <v>23.052612029111344</v>
      </c>
      <c r="F35" s="2">
        <f ca="1">OFFSET(horas_de_luz_por_provinci!$G$1,_xlfn.XLOOKUP('Datos Instalación'!$C$8,horas_de_luz_por_provinci!$G$2:$G$53,horas_de_luz_por_provinci!$F$2:$F$53),$A35)*'Datos Instalación'!$C$14*_xlfn.XLOOKUP('Datos Instalación'!$C$7,Auxiliares!$B$3:$B$6,Auxiliares!$D$3:$D$6)*('Rendimiento Paneles'!E$19*'Rendimiento Paneles'!E$20+'Rendimiento Paneles'!E$22*'Rendimiento Paneles'!E$21)/1000</f>
        <v>22.92812792415414</v>
      </c>
      <c r="G35" s="2">
        <f ca="1">OFFSET(horas_de_luz_por_provinci!$G$1,_xlfn.XLOOKUP('Datos Instalación'!$C$8,horas_de_luz_por_provinci!$G$2:$G$53,horas_de_luz_por_provinci!$F$2:$F$53),$A35)*'Datos Instalación'!$C$14*_xlfn.XLOOKUP('Datos Instalación'!$C$7,Auxiliares!$B$3:$B$6,Auxiliares!$D$3:$D$6)*('Rendimiento Paneles'!F$19*'Rendimiento Paneles'!F$20+'Rendimiento Paneles'!F$22*'Rendimiento Paneles'!F$21)/1000</f>
        <v>22.804316033363708</v>
      </c>
      <c r="H35" s="2">
        <f ca="1">OFFSET(horas_de_luz_por_provinci!$G$1,_xlfn.XLOOKUP('Datos Instalación'!$C$8,horas_de_luz_por_provinci!$G$2:$G$53,horas_de_luz_por_provinci!$F$2:$F$53),$A35)*'Datos Instalación'!$C$14*_xlfn.XLOOKUP('Datos Instalación'!$C$7,Auxiliares!$B$3:$B$6,Auxiliares!$D$3:$D$6)*('Rendimiento Paneles'!G$19*'Rendimiento Paneles'!G$20+'Rendimiento Paneles'!G$22*'Rendimiento Paneles'!G$21)/1000</f>
        <v>22.681172726783544</v>
      </c>
      <c r="I35" s="2">
        <f ca="1">OFFSET(horas_de_luz_por_provinci!$G$1,_xlfn.XLOOKUP('Datos Instalación'!$C$8,horas_de_luz_por_provinci!$G$2:$G$53,horas_de_luz_por_provinci!$F$2:$F$53),$A35)*'Datos Instalación'!$C$14*_xlfn.XLOOKUP('Datos Instalación'!$C$7,Auxiliares!$B$3:$B$6,Auxiliares!$D$3:$D$6)*('Rendimiento Paneles'!H$19*'Rendimiento Paneles'!H$20+'Rendimiento Paneles'!H$22*'Rendimiento Paneles'!H$21)/1000</f>
        <v>22.558694394058914</v>
      </c>
      <c r="J35" s="2">
        <f ca="1">OFFSET(horas_de_luz_por_provinci!$G$1,_xlfn.XLOOKUP('Datos Instalación'!$C$8,horas_de_luz_por_provinci!$G$2:$G$53,horas_de_luz_por_provinci!$F$2:$F$53),$A35)*'Datos Instalación'!$C$14*_xlfn.XLOOKUP('Datos Instalación'!$C$7,Auxiliares!$B$3:$B$6,Auxiliares!$D$3:$D$6)*('Rendimiento Paneles'!I$19*'Rendimiento Paneles'!I$20+'Rendimiento Paneles'!I$22*'Rendimiento Paneles'!I$21)/1000</f>
        <v>22.436877444331</v>
      </c>
      <c r="K35" s="2">
        <f ca="1">OFFSET(horas_de_luz_por_provinci!$G$1,_xlfn.XLOOKUP('Datos Instalación'!$C$8,horas_de_luz_por_provinci!$G$2:$G$53,horas_de_luz_por_provinci!$F$2:$F$53),$A35)*'Datos Instalación'!$C$14*_xlfn.XLOOKUP('Datos Instalación'!$C$7,Auxiliares!$B$3:$B$6,Auxiliares!$D$3:$D$6)*('Rendimiento Paneles'!J$19*'Rendimiento Paneles'!J$20+'Rendimiento Paneles'!J$22*'Rendimiento Paneles'!J$21)/1000</f>
        <v>22.315718306131611</v>
      </c>
      <c r="L35" s="2">
        <f ca="1">OFFSET(horas_de_luz_por_provinci!$G$1,_xlfn.XLOOKUP('Datos Instalación'!$C$8,horas_de_luz_por_provinci!$G$2:$G$53,horas_de_luz_por_provinci!$F$2:$F$53),$A35)*'Datos Instalación'!$C$14*_xlfn.XLOOKUP('Datos Instalación'!$C$7,Auxiliares!$B$3:$B$6,Auxiliares!$D$3:$D$6)*('Rendimiento Paneles'!K$19*'Rendimiento Paneles'!K$20+'Rendimiento Paneles'!K$22*'Rendimiento Paneles'!K$21)/1000</f>
        <v>22.1952134272785</v>
      </c>
      <c r="M35" s="2">
        <f ca="1">OFFSET(horas_de_luz_por_provinci!$G$1,_xlfn.XLOOKUP('Datos Instalación'!$C$8,horas_de_luz_por_provinci!$G$2:$G$53,horas_de_luz_por_provinci!$F$2:$F$53),$A35)*'Datos Instalación'!$C$14*_xlfn.XLOOKUP('Datos Instalación'!$C$7,Auxiliares!$B$3:$B$6,Auxiliares!$D$3:$D$6)*('Rendimiento Paneles'!L$19*'Rendimiento Paneles'!L$20+'Rendimiento Paneles'!L$22*'Rendimiento Paneles'!L$21)/1000</f>
        <v>22.075359274771191</v>
      </c>
      <c r="N35" s="2">
        <f ca="1">OFFSET(horas_de_luz_por_provinci!$G$1,_xlfn.XLOOKUP('Datos Instalación'!$C$8,horas_de_luz_por_provinci!$G$2:$G$53,horas_de_luz_por_provinci!$F$2:$F$53),$A35)*'Datos Instalación'!$C$14*_xlfn.XLOOKUP('Datos Instalación'!$C$7,Auxiliares!$B$3:$B$6,Auxiliares!$D$3:$D$6)*('Rendimiento Paneles'!M$19*'Rendimiento Paneles'!M$20+'Rendimiento Paneles'!M$22*'Rendimiento Paneles'!M$21)/1000</f>
        <v>21.956152334687431</v>
      </c>
      <c r="O35" s="2">
        <f ca="1">OFFSET(horas_de_luz_por_provinci!$G$1,_xlfn.XLOOKUP('Datos Instalación'!$C$8,horas_de_luz_por_provinci!$G$2:$G$53,horas_de_luz_por_provinci!$F$2:$F$53),$A35)*'Datos Instalación'!$C$14*_xlfn.XLOOKUP('Datos Instalación'!$C$7,Auxiliares!$B$3:$B$6,Auxiliares!$D$3:$D$6)*('Rendimiento Paneles'!N$19*'Rendimiento Paneles'!N$20+'Rendimiento Paneles'!N$22*'Rendimiento Paneles'!N$21)/1000</f>
        <v>22.50768055499006</v>
      </c>
      <c r="P35" s="2">
        <f ca="1">OFFSET(horas_de_luz_por_provinci!$G$1,_xlfn.XLOOKUP('Datos Instalación'!$C$8,horas_de_luz_por_provinci!$G$2:$G$53,horas_de_luz_por_provinci!$F$2:$F$53),$A35)*'Datos Instalación'!$C$14*_xlfn.XLOOKUP('Datos Instalación'!$C$7,Auxiliares!$B$3:$B$6,Auxiliares!$D$3:$D$6)*('Rendimiento Paneles'!O$19*'Rendimiento Paneles'!O$20+'Rendimiento Paneles'!O$22*'Rendimiento Paneles'!O$21)/1000</f>
        <v>22.386139079993114</v>
      </c>
      <c r="Q35" s="2">
        <f ca="1">OFFSET(horas_de_luz_por_provinci!$G$1,_xlfn.XLOOKUP('Datos Instalación'!$C$8,horas_de_luz_por_provinci!$G$2:$G$53,horas_de_luz_por_provinci!$F$2:$F$53),$A35)*'Datos Instalación'!$C$14*_xlfn.XLOOKUP('Datos Instalación'!$C$7,Auxiliares!$B$3:$B$6,Auxiliares!$D$3:$D$6)*('Rendimiento Paneles'!P$19*'Rendimiento Paneles'!P$20+'Rendimiento Paneles'!P$22*'Rendimiento Paneles'!P$21)/1000</f>
        <v>22.265253928961148</v>
      </c>
      <c r="R35" s="2">
        <f ca="1">OFFSET(horas_de_luz_por_provinci!$G$1,_xlfn.XLOOKUP('Datos Instalación'!$C$8,horas_de_luz_por_provinci!$G$2:$G$53,horas_de_luz_por_provinci!$F$2:$F$53),$A35)*'Datos Instalación'!$C$14*_xlfn.XLOOKUP('Datos Instalación'!$C$7,Auxiliares!$B$3:$B$6,Auxiliares!$D$3:$D$6)*('Rendimiento Paneles'!Q$19*'Rendimiento Paneles'!Q$20+'Rendimiento Paneles'!Q$22*'Rendimiento Paneles'!Q$21)/1000</f>
        <v>22.145021557744759</v>
      </c>
      <c r="S35" s="2">
        <f ca="1">OFFSET(horas_de_luz_por_provinci!$G$1,_xlfn.XLOOKUP('Datos Instalación'!$C$8,horas_de_luz_por_provinci!$G$2:$G$53,horas_de_luz_por_provinci!$F$2:$F$53),$A35)*'Datos Instalación'!$C$14*_xlfn.XLOOKUP('Datos Instalación'!$C$7,Auxiliares!$B$3:$B$6,Auxiliares!$D$3:$D$6)*('Rendimiento Paneles'!R$19*'Rendimiento Paneles'!R$20+'Rendimiento Paneles'!R$22*'Rendimiento Paneles'!R$21)/1000</f>
        <v>22.025438441332934</v>
      </c>
      <c r="T35" s="2">
        <f ca="1">OFFSET(horas_de_luz_por_provinci!$G$1,_xlfn.XLOOKUP('Datos Instalación'!$C$8,horas_de_luz_por_provinci!$G$2:$G$53,horas_de_luz_por_provinci!$F$2:$F$53),$A35)*'Datos Instalación'!$C$14*_xlfn.XLOOKUP('Datos Instalación'!$C$7,Auxiliares!$B$3:$B$6,Auxiliares!$D$3:$D$6)*('Rendimiento Paneles'!S$19*'Rendimiento Paneles'!S$20+'Rendimiento Paneles'!S$22*'Rendimiento Paneles'!S$21)/1000</f>
        <v>21.906501073749741</v>
      </c>
      <c r="U35" s="2">
        <f ca="1">OFFSET(horas_de_luz_por_provinci!$G$1,_xlfn.XLOOKUP('Datos Instalación'!$C$8,horas_de_luz_por_provinci!$G$2:$G$53,horas_de_luz_por_provinci!$F$2:$F$53),$A35)*'Datos Instalación'!$C$14*_xlfn.XLOOKUP('Datos Instalación'!$C$7,Auxiliares!$B$3:$B$6,Auxiliares!$D$3:$D$6)*('Rendimiento Paneles'!T$19*'Rendimiento Paneles'!T$20+'Rendimiento Paneles'!T$22*'Rendimiento Paneles'!T$21)/1000</f>
        <v>21.788205967951495</v>
      </c>
      <c r="V35" s="2">
        <f ca="1">OFFSET(horas_de_luz_por_provinci!$G$1,_xlfn.XLOOKUP('Datos Instalación'!$C$8,horas_de_luz_por_provinci!$G$2:$G$53,horas_de_luz_por_provinci!$F$2:$F$53),$A35)*'Datos Instalación'!$C$14*_xlfn.XLOOKUP('Datos Instalación'!$C$7,Auxiliares!$B$3:$B$6,Auxiliares!$D$3:$D$6)*('Rendimiento Paneles'!U$19*'Rendimiento Paneles'!U$20+'Rendimiento Paneles'!U$22*'Rendimiento Paneles'!U$21)/1000</f>
        <v>21.670549655724557</v>
      </c>
      <c r="W35" s="2">
        <f ca="1">OFFSET(horas_de_luz_por_provinci!$G$1,_xlfn.XLOOKUP('Datos Instalación'!$C$8,horas_de_luz_por_provinci!$G$2:$G$53,horas_de_luz_por_provinci!$F$2:$F$53),$A35)*'Datos Instalación'!$C$14*_xlfn.XLOOKUP('Datos Instalación'!$C$7,Auxiliares!$B$3:$B$6,Auxiliares!$D$3:$D$6)*('Rendimiento Paneles'!V$19*'Rendimiento Paneles'!V$20+'Rendimiento Paneles'!V$22*'Rendimiento Paneles'!V$21)/1000</f>
        <v>21.553528687583643</v>
      </c>
      <c r="X35" s="2">
        <f ca="1">OFFSET(horas_de_luz_por_provinci!$G$1,_xlfn.XLOOKUP('Datos Instalación'!$C$8,horas_de_luz_por_provinci!$G$2:$G$53,horas_de_luz_por_provinci!$F$2:$F$53),$A35)*'Datos Instalación'!$C$14*_xlfn.XLOOKUP('Datos Instalación'!$C$7,Auxiliares!$B$3:$B$6,Auxiliares!$D$3:$D$6)*('Rendimiento Paneles'!W$19*'Rendimiento Paneles'!W$20+'Rendimiento Paneles'!W$22*'Rendimiento Paneles'!W$21)/1000</f>
        <v>21.437139632670693</v>
      </c>
      <c r="Y35" s="2">
        <f ca="1">OFFSET(horas_de_luz_por_provinci!$G$1,_xlfn.XLOOKUP('Datos Instalación'!$C$8,horas_de_luz_por_provinci!$G$2:$G$53,horas_de_luz_por_provinci!$F$2:$F$53),$A35)*'Datos Instalación'!$C$14*_xlfn.XLOOKUP('Datos Instalación'!$C$7,Auxiliares!$B$3:$B$6,Auxiliares!$D$3:$D$6)*('Rendimiento Paneles'!X$19*'Rendimiento Paneles'!X$20+'Rendimiento Paneles'!X$22*'Rendimiento Paneles'!X$21)/1000</f>
        <v>21.321379078654267</v>
      </c>
      <c r="Z35" s="2">
        <f ca="1">OFFSET(horas_de_luz_por_provinci!$G$1,_xlfn.XLOOKUP('Datos Instalación'!$C$8,horas_de_luz_por_provinci!$G$2:$G$53,horas_de_luz_por_provinci!$F$2:$F$53),$A35)*'Datos Instalación'!$C$14*_xlfn.XLOOKUP('Datos Instalación'!$C$7,Auxiliares!$B$3:$B$6,Auxiliares!$D$3:$D$6)*('Rendimiento Paneles'!Y$19*'Rendimiento Paneles'!Y$20+'Rendimiento Paneles'!Y$22*'Rendimiento Paneles'!Y$21)/1000</f>
        <v>21.206243631629533</v>
      </c>
      <c r="AA35" s="2">
        <f ca="1">OFFSET(horas_de_luz_por_provinci!$G$1,_xlfn.XLOOKUP('Datos Instalación'!$C$8,horas_de_luz_por_provinci!$G$2:$G$53,horas_de_luz_por_provinci!$F$2:$F$53),$A35)*'Datos Instalación'!$C$14*_xlfn.XLOOKUP('Datos Instalación'!$C$7,Auxiliares!$B$3:$B$6,Auxiliares!$D$3:$D$6)*('Rendimiento Paneles'!Z$19*'Rendimiento Paneles'!Z$20+'Rendimiento Paneles'!Z$22*'Rendimiento Paneles'!Z$21)/1000</f>
        <v>21.091729916018735</v>
      </c>
      <c r="AB35" s="2">
        <f ca="1">OFFSET(horas_de_luz_por_provinci!$G$1,_xlfn.XLOOKUP('Datos Instalación'!$C$8,horas_de_luz_por_provinci!$G$2:$G$53,horas_de_luz_por_provinci!$F$2:$F$53),$A35)*'Datos Instalación'!$C$14*_xlfn.XLOOKUP('Datos Instalación'!$C$7,Auxiliares!$B$3:$B$6,Auxiliares!$D$3:$D$6)*('Rendimiento Paneles'!AA$19*'Rendimiento Paneles'!AA$20+'Rendimiento Paneles'!AA$22*'Rendimiento Paneles'!AA$21)/1000</f>
        <v>20.977834574472233</v>
      </c>
      <c r="AC35" s="2">
        <f ca="1">OFFSET(horas_de_luz_por_provinci!$G$1,_xlfn.XLOOKUP('Datos Instalación'!$C$8,horas_de_luz_por_provinci!$G$2:$G$53,horas_de_luz_por_provinci!$F$2:$F$53),$A35)*'Datos Instalación'!$C$14*_xlfn.XLOOKUP('Datos Instalación'!$C$7,Auxiliares!$B$3:$B$6,Auxiliares!$D$3:$D$6)*('Rendimiento Paneles'!AB$19*'Rendimiento Paneles'!AB$20+'Rendimiento Paneles'!AB$22*'Rendimiento Paneles'!AB$21)/1000</f>
        <v>20.864554267770082</v>
      </c>
      <c r="AD35" s="2">
        <f ca="1">OFFSET(horas_de_luz_por_provinci!$G$1,_xlfn.XLOOKUP('Datos Instalación'!$C$8,horas_de_luz_por_provinci!$G$2:$G$53,horas_de_luz_por_provinci!$F$2:$F$53),$A35)*'Datos Instalación'!$C$14*_xlfn.XLOOKUP('Datos Instalación'!$C$7,Auxiliares!$B$3:$B$6,Auxiliares!$D$3:$D$6)*('Rendimiento Paneles'!AC$19*'Rendimiento Paneles'!AC$20+'Rendimiento Paneles'!AC$22*'Rendimiento Paneles'!AC$21)/1000</f>
        <v>20.751885674724122</v>
      </c>
      <c r="AE35" s="2">
        <f ca="1">OFFSET(horas_de_luz_por_provinci!$G$1,_xlfn.XLOOKUP('Datos Instalación'!$C$8,horas_de_luz_por_provinci!$G$2:$G$53,horas_de_luz_por_provinci!$F$2:$F$53),$A35)*'Datos Instalación'!$C$14*_xlfn.XLOOKUP('Datos Instalación'!$C$7,Auxiliares!$B$3:$B$6,Auxiliares!$D$3:$D$6)*('Rendimiento Paneles'!AD$19*'Rendimiento Paneles'!AD$20+'Rendimiento Paneles'!AD$22*'Rendimiento Paneles'!AD$21)/1000</f>
        <v>20.639825492080615</v>
      </c>
      <c r="AF35" s="2">
        <f ca="1">OFFSET(horas_de_luz_por_provinci!$G$1,_xlfn.XLOOKUP('Datos Instalación'!$C$8,horas_de_luz_por_provinci!$G$2:$G$53,horas_de_luz_por_provinci!$F$2:$F$53),$A35)*'Datos Instalación'!$C$14*_xlfn.XLOOKUP('Datos Instalación'!$C$7,Auxiliares!$B$3:$B$6,Auxiliares!$D$3:$D$6)*('Rendimiento Paneles'!AE$19*'Rendimiento Paneles'!AE$20+'Rendimiento Paneles'!AE$22*'Rendimiento Paneles'!AE$21)/1000</f>
        <v>20.528370434423376</v>
      </c>
      <c r="AG35" s="2">
        <f ca="1">OFFSET(horas_de_luz_por_provinci!$G$1,_xlfn.XLOOKUP('Datos Instalación'!$C$8,horas_de_luz_por_provinci!$G$2:$G$53,horas_de_luz_por_provinci!$F$2:$F$53),$A35)*'Datos Instalación'!$C$14*_xlfn.XLOOKUP('Datos Instalación'!$C$7,Auxiliares!$B$3:$B$6,Auxiliares!$D$3:$D$6)*('Rendimiento Paneles'!AF$19*'Rendimiento Paneles'!AF$20+'Rendimiento Paneles'!AF$22*'Rendimiento Paneles'!AF$21)/1000</f>
        <v>20.41751723407749</v>
      </c>
    </row>
    <row r="36" spans="1:34">
      <c r="A36" s="2">
        <v>11</v>
      </c>
      <c r="B36" s="12" t="s">
        <v>14</v>
      </c>
      <c r="C36" s="2">
        <f ca="1">OFFSET(horas_de_luz_por_provinci!$G$1,_xlfn.XLOOKUP('Datos Instalación'!$C$8,horas_de_luz_por_provinci!$G$2:$G$53,horas_de_luz_por_provinci!$F$2:$F$53),$A36)*'Datos Instalación'!$C$14*_xlfn.XLOOKUP('Datos Instalación'!$C$7,Auxiliares!$B$3:$B$6,Auxiliares!$D$3:$D$6)*('Rendimiento Paneles'!B$19*'Rendimiento Paneles'!B$20+'Rendimiento Paneles'!B$22*'Rendimiento Paneles'!B$21)/1000</f>
        <v>20.921000099999997</v>
      </c>
      <c r="D36" s="2">
        <f ca="1">OFFSET(horas_de_luz_por_provinci!$G$1,_xlfn.XLOOKUP('Datos Instalación'!$C$8,horas_de_luz_por_provinci!$G$2:$G$53,horas_de_luz_por_provinci!$F$2:$F$53),$A36)*'Datos Instalación'!$C$14*_xlfn.XLOOKUP('Datos Instalación'!$C$7,Auxiliares!$B$3:$B$6,Auxiliares!$D$3:$D$6)*('Rendimiento Paneles'!C$19*'Rendimiento Paneles'!C$20+'Rendimiento Paneles'!C$22*'Rendimiento Paneles'!C$21)/1000</f>
        <v>20.808026699459997</v>
      </c>
      <c r="E36" s="2">
        <f ca="1">OFFSET(horas_de_luz_por_provinci!$G$1,_xlfn.XLOOKUP('Datos Instalación'!$C$8,horas_de_luz_por_provinci!$G$2:$G$53,horas_de_luz_por_provinci!$F$2:$F$53),$A36)*'Datos Instalación'!$C$14*_xlfn.XLOOKUP('Datos Instalación'!$C$7,Auxiliares!$B$3:$B$6,Auxiliares!$D$3:$D$6)*('Rendimiento Paneles'!D$19*'Rendimiento Paneles'!D$20+'Rendimiento Paneles'!D$22*'Rendimiento Paneles'!D$21)/1000</f>
        <v>20.695663355282914</v>
      </c>
      <c r="F36" s="2">
        <f ca="1">OFFSET(horas_de_luz_por_provinci!$G$1,_xlfn.XLOOKUP('Datos Instalación'!$C$8,horas_de_luz_por_provinci!$G$2:$G$53,horas_de_luz_por_provinci!$F$2:$F$53),$A36)*'Datos Instalación'!$C$14*_xlfn.XLOOKUP('Datos Instalación'!$C$7,Auxiliares!$B$3:$B$6,Auxiliares!$D$3:$D$6)*('Rendimiento Paneles'!E$19*'Rendimiento Paneles'!E$20+'Rendimiento Paneles'!E$22*'Rendimiento Paneles'!E$21)/1000</f>
        <v>20.583906773164387</v>
      </c>
      <c r="G36" s="2">
        <f ca="1">OFFSET(horas_de_luz_por_provinci!$G$1,_xlfn.XLOOKUP('Datos Instalación'!$C$8,horas_de_luz_por_provinci!$G$2:$G$53,horas_de_luz_por_provinci!$F$2:$F$53),$A36)*'Datos Instalación'!$C$14*_xlfn.XLOOKUP('Datos Instalación'!$C$7,Auxiliares!$B$3:$B$6,Auxiliares!$D$3:$D$6)*('Rendimiento Paneles'!F$19*'Rendimiento Paneles'!F$20+'Rendimiento Paneles'!F$22*'Rendimiento Paneles'!F$21)/1000</f>
        <v>20.472753676589299</v>
      </c>
      <c r="H36" s="2">
        <f ca="1">OFFSET(horas_de_luz_por_provinci!$G$1,_xlfn.XLOOKUP('Datos Instalación'!$C$8,horas_de_luz_por_provinci!$G$2:$G$53,horas_de_luz_por_provinci!$F$2:$F$53),$A36)*'Datos Instalación'!$C$14*_xlfn.XLOOKUP('Datos Instalación'!$C$7,Auxiliares!$B$3:$B$6,Auxiliares!$D$3:$D$6)*('Rendimiento Paneles'!G$19*'Rendimiento Paneles'!G$20+'Rendimiento Paneles'!G$22*'Rendimiento Paneles'!G$21)/1000</f>
        <v>20.362200806735718</v>
      </c>
      <c r="I36" s="2">
        <f ca="1">OFFSET(horas_de_luz_por_provinci!$G$1,_xlfn.XLOOKUP('Datos Instalación'!$C$8,horas_de_luz_por_provinci!$G$2:$G$53,horas_de_luz_por_provinci!$F$2:$F$53),$A36)*'Datos Instalación'!$C$14*_xlfn.XLOOKUP('Datos Instalación'!$C$7,Auxiliares!$B$3:$B$6,Auxiliares!$D$3:$D$6)*('Rendimiento Paneles'!H$19*'Rendimiento Paneles'!H$20+'Rendimiento Paneles'!H$22*'Rendimiento Paneles'!H$21)/1000</f>
        <v>20.252244922379344</v>
      </c>
      <c r="J36" s="2">
        <f ca="1">OFFSET(horas_de_luz_por_provinci!$G$1,_xlfn.XLOOKUP('Datos Instalación'!$C$8,horas_de_luz_por_provinci!$G$2:$G$53,horas_de_luz_por_provinci!$F$2:$F$53),$A36)*'Datos Instalación'!$C$14*_xlfn.XLOOKUP('Datos Instalación'!$C$7,Auxiliares!$B$3:$B$6,Auxiliares!$D$3:$D$6)*('Rendimiento Paneles'!I$19*'Rendimiento Paneles'!I$20+'Rendimiento Paneles'!I$22*'Rendimiento Paneles'!I$21)/1000</f>
        <v>20.1428827997985</v>
      </c>
      <c r="K36" s="2">
        <f ca="1">OFFSET(horas_de_luz_por_provinci!$G$1,_xlfn.XLOOKUP('Datos Instalación'!$C$8,horas_de_luz_por_provinci!$G$2:$G$53,horas_de_luz_por_provinci!$F$2:$F$53),$A36)*'Datos Instalación'!$C$14*_xlfn.XLOOKUP('Datos Instalación'!$C$7,Auxiliares!$B$3:$B$6,Auxiliares!$D$3:$D$6)*('Rendimiento Paneles'!J$19*'Rendimiento Paneles'!J$20+'Rendimiento Paneles'!J$22*'Rendimiento Paneles'!J$21)/1000</f>
        <v>20.034111232679585</v>
      </c>
      <c r="L36" s="2">
        <f ca="1">OFFSET(horas_de_luz_por_provinci!$G$1,_xlfn.XLOOKUP('Datos Instalación'!$C$8,horas_de_luz_por_provinci!$G$2:$G$53,horas_de_luz_por_provinci!$F$2:$F$53),$A36)*'Datos Instalación'!$C$14*_xlfn.XLOOKUP('Datos Instalación'!$C$7,Auxiliares!$B$3:$B$6,Auxiliares!$D$3:$D$6)*('Rendimiento Paneles'!K$19*'Rendimiento Paneles'!K$20+'Rendimiento Paneles'!K$22*'Rendimiento Paneles'!K$21)/1000</f>
        <v>19.925927032023115</v>
      </c>
      <c r="M36" s="2">
        <f ca="1">OFFSET(horas_de_luz_por_provinci!$G$1,_xlfn.XLOOKUP('Datos Instalación'!$C$8,horas_de_luz_por_provinci!$G$2:$G$53,horas_de_luz_por_provinci!$F$2:$F$53),$A36)*'Datos Instalación'!$C$14*_xlfn.XLOOKUP('Datos Instalación'!$C$7,Auxiliares!$B$3:$B$6,Auxiliares!$D$3:$D$6)*('Rendimiento Paneles'!L$19*'Rendimiento Paneles'!L$20+'Rendimiento Paneles'!L$22*'Rendimiento Paneles'!L$21)/1000</f>
        <v>19.818327026050188</v>
      </c>
      <c r="N36" s="2">
        <f ca="1">OFFSET(horas_de_luz_por_provinci!$G$1,_xlfn.XLOOKUP('Datos Instalación'!$C$8,horas_de_luz_por_provinci!$G$2:$G$53,horas_de_luz_por_provinci!$F$2:$F$53),$A36)*'Datos Instalación'!$C$14*_xlfn.XLOOKUP('Datos Instalación'!$C$7,Auxiliares!$B$3:$B$6,Auxiliares!$D$3:$D$6)*('Rendimiento Paneles'!M$19*'Rendimiento Paneles'!M$20+'Rendimiento Paneles'!M$22*'Rendimiento Paneles'!M$21)/1000</f>
        <v>19.711308060109516</v>
      </c>
      <c r="O36" s="2">
        <f ca="1">OFFSET(horas_de_luz_por_provinci!$G$1,_xlfn.XLOOKUP('Datos Instalación'!$C$8,horas_de_luz_por_provinci!$G$2:$G$53,horas_de_luz_por_provinci!$F$2:$F$53),$A36)*'Datos Instalación'!$C$14*_xlfn.XLOOKUP('Datos Instalación'!$C$7,Auxiliares!$B$3:$B$6,Auxiliares!$D$3:$D$6)*('Rendimiento Paneles'!N$19*'Rendimiento Paneles'!N$20+'Rendimiento Paneles'!N$22*'Rendimiento Paneles'!N$21)/1000</f>
        <v>20.206446848022463</v>
      </c>
      <c r="P36" s="2">
        <f ca="1">OFFSET(horas_de_luz_por_provinci!$G$1,_xlfn.XLOOKUP('Datos Instalación'!$C$8,horas_de_luz_por_provinci!$G$2:$G$53,horas_de_luz_por_provinci!$F$2:$F$53),$A36)*'Datos Instalación'!$C$14*_xlfn.XLOOKUP('Datos Instalación'!$C$7,Auxiliares!$B$3:$B$6,Auxiliares!$D$3:$D$6)*('Rendimiento Paneles'!O$19*'Rendimiento Paneles'!O$20+'Rendimiento Paneles'!O$22*'Rendimiento Paneles'!O$21)/1000</f>
        <v>20.097332035043141</v>
      </c>
      <c r="Q36" s="2">
        <f ca="1">OFFSET(horas_de_luz_por_provinci!$G$1,_xlfn.XLOOKUP('Datos Instalación'!$C$8,horas_de_luz_por_provinci!$G$2:$G$53,horas_de_luz_por_provinci!$F$2:$F$53),$A36)*'Datos Instalación'!$C$14*_xlfn.XLOOKUP('Datos Instalación'!$C$7,Auxiliares!$B$3:$B$6,Auxiliares!$D$3:$D$6)*('Rendimiento Paneles'!P$19*'Rendimiento Paneles'!P$20+'Rendimiento Paneles'!P$22*'Rendimiento Paneles'!P$21)/1000</f>
        <v>19.98880644205391</v>
      </c>
      <c r="R36" s="2">
        <f ca="1">OFFSET(horas_de_luz_por_provinci!$G$1,_xlfn.XLOOKUP('Datos Instalación'!$C$8,horas_de_luz_por_provinci!$G$2:$G$53,horas_de_luz_por_provinci!$F$2:$F$53),$A36)*'Datos Instalación'!$C$14*_xlfn.XLOOKUP('Datos Instalación'!$C$7,Auxiliares!$B$3:$B$6,Auxiliares!$D$3:$D$6)*('Rendimiento Paneles'!Q$19*'Rendimiento Paneles'!Q$20+'Rendimiento Paneles'!Q$22*'Rendimiento Paneles'!Q$21)/1000</f>
        <v>19.880866887266816</v>
      </c>
      <c r="S36" s="2">
        <f ca="1">OFFSET(horas_de_luz_por_provinci!$G$1,_xlfn.XLOOKUP('Datos Instalación'!$C$8,horas_de_luz_por_provinci!$G$2:$G$53,horas_de_luz_por_provinci!$F$2:$F$53),$A36)*'Datos Instalación'!$C$14*_xlfn.XLOOKUP('Datos Instalación'!$C$7,Auxiliares!$B$3:$B$6,Auxiliares!$D$3:$D$6)*('Rendimiento Paneles'!R$19*'Rendimiento Paneles'!R$20+'Rendimiento Paneles'!R$22*'Rendimiento Paneles'!R$21)/1000</f>
        <v>19.773510206075574</v>
      </c>
      <c r="T36" s="2">
        <f ca="1">OFFSET(horas_de_luz_por_provinci!$G$1,_xlfn.XLOOKUP('Datos Instalación'!$C$8,horas_de_luz_por_provinci!$G$2:$G$53,horas_de_luz_por_provinci!$F$2:$F$53),$A36)*'Datos Instalación'!$C$14*_xlfn.XLOOKUP('Datos Instalación'!$C$7,Auxiliares!$B$3:$B$6,Auxiliares!$D$3:$D$6)*('Rendimiento Paneles'!S$19*'Rendimiento Paneles'!S$20+'Rendimiento Paneles'!S$22*'Rendimiento Paneles'!S$21)/1000</f>
        <v>19.666733250962768</v>
      </c>
      <c r="U36" s="2">
        <f ca="1">OFFSET(horas_de_luz_por_provinci!$G$1,_xlfn.XLOOKUP('Datos Instalación'!$C$8,horas_de_luz_por_provinci!$G$2:$G$53,horas_de_luz_por_provinci!$F$2:$F$53),$A36)*'Datos Instalación'!$C$14*_xlfn.XLOOKUP('Datos Instalación'!$C$7,Auxiliares!$B$3:$B$6,Auxiliares!$D$3:$D$6)*('Rendimiento Paneles'!T$19*'Rendimiento Paneles'!T$20+'Rendimiento Paneles'!T$22*'Rendimiento Paneles'!T$21)/1000</f>
        <v>19.560532891407568</v>
      </c>
      <c r="V36" s="2">
        <f ca="1">OFFSET(horas_de_luz_por_provinci!$G$1,_xlfn.XLOOKUP('Datos Instalación'!$C$8,horas_de_luz_por_provinci!$G$2:$G$53,horas_de_luz_por_provinci!$F$2:$F$53),$A36)*'Datos Instalación'!$C$14*_xlfn.XLOOKUP('Datos Instalación'!$C$7,Auxiliares!$B$3:$B$6,Auxiliares!$D$3:$D$6)*('Rendimiento Paneles'!U$19*'Rendimiento Paneles'!U$20+'Rendimiento Paneles'!U$22*'Rendimiento Paneles'!U$21)/1000</f>
        <v>19.45490601379397</v>
      </c>
      <c r="W36" s="2">
        <f ca="1">OFFSET(horas_de_luz_por_provinci!$G$1,_xlfn.XLOOKUP('Datos Instalación'!$C$8,horas_de_luz_por_provinci!$G$2:$G$53,horas_de_luz_por_provinci!$F$2:$F$53),$A36)*'Datos Instalación'!$C$14*_xlfn.XLOOKUP('Datos Instalación'!$C$7,Auxiliares!$B$3:$B$6,Auxiliares!$D$3:$D$6)*('Rendimiento Paneles'!V$19*'Rendimiento Paneles'!V$20+'Rendimiento Paneles'!V$22*'Rendimiento Paneles'!V$21)/1000</f>
        <v>19.349849521319484</v>
      </c>
      <c r="X36" s="2">
        <f ca="1">OFFSET(horas_de_luz_por_provinci!$G$1,_xlfn.XLOOKUP('Datos Instalación'!$C$8,horas_de_luz_por_provinci!$G$2:$G$53,horas_de_luz_por_provinci!$F$2:$F$53),$A36)*'Datos Instalación'!$C$14*_xlfn.XLOOKUP('Datos Instalación'!$C$7,Auxiliares!$B$3:$B$6,Auxiliares!$D$3:$D$6)*('Rendimiento Paneles'!W$19*'Rendimiento Paneles'!W$20+'Rendimiento Paneles'!W$22*'Rendimiento Paneles'!W$21)/1000</f>
        <v>19.245360333904358</v>
      </c>
      <c r="Y36" s="2">
        <f ca="1">OFFSET(horas_de_luz_por_provinci!$G$1,_xlfn.XLOOKUP('Datos Instalación'!$C$8,horas_de_luz_por_provinci!$G$2:$G$53,horas_de_luz_por_provinci!$F$2:$F$53),$A36)*'Datos Instalación'!$C$14*_xlfn.XLOOKUP('Datos Instalación'!$C$7,Auxiliares!$B$3:$B$6,Auxiliares!$D$3:$D$6)*('Rendimiento Paneles'!X$19*'Rendimiento Paneles'!X$20+'Rendimiento Paneles'!X$22*'Rendimiento Paneles'!X$21)/1000</f>
        <v>19.141435388101272</v>
      </c>
      <c r="Z36" s="2">
        <f ca="1">OFFSET(horas_de_luz_por_provinci!$G$1,_xlfn.XLOOKUP('Datos Instalación'!$C$8,horas_de_luz_por_provinci!$G$2:$G$53,horas_de_luz_por_provinci!$F$2:$F$53),$A36)*'Datos Instalación'!$C$14*_xlfn.XLOOKUP('Datos Instalación'!$C$7,Auxiliares!$B$3:$B$6,Auxiliares!$D$3:$D$6)*('Rendimiento Paneles'!Y$19*'Rendimiento Paneles'!Y$20+'Rendimiento Paneles'!Y$22*'Rendimiento Paneles'!Y$21)/1000</f>
        <v>19.038071637005523</v>
      </c>
      <c r="AA36" s="2">
        <f ca="1">OFFSET(horas_de_luz_por_provinci!$G$1,_xlfn.XLOOKUP('Datos Instalación'!$C$8,horas_de_luz_por_provinci!$G$2:$G$53,horas_de_luz_por_provinci!$F$2:$F$53),$A36)*'Datos Instalación'!$C$14*_xlfn.XLOOKUP('Datos Instalación'!$C$7,Auxiliares!$B$3:$B$6,Auxiliares!$D$3:$D$6)*('Rendimiento Paneles'!Z$19*'Rendimiento Paneles'!Z$20+'Rendimiento Paneles'!Z$22*'Rendimiento Paneles'!Z$21)/1000</f>
        <v>18.935266050165694</v>
      </c>
      <c r="AB36" s="2">
        <f ca="1">OFFSET(horas_de_luz_por_provinci!$G$1,_xlfn.XLOOKUP('Datos Instalación'!$C$8,horas_de_luz_por_provinci!$G$2:$G$53,horas_de_luz_por_provinci!$F$2:$F$53),$A36)*'Datos Instalación'!$C$14*_xlfn.XLOOKUP('Datos Instalación'!$C$7,Auxiliares!$B$3:$B$6,Auxiliares!$D$3:$D$6)*('Rendimiento Paneles'!AA$19*'Rendimiento Paneles'!AA$20+'Rendimiento Paneles'!AA$22*'Rendimiento Paneles'!AA$21)/1000</f>
        <v>18.833015613494801</v>
      </c>
      <c r="AC36" s="2">
        <f ca="1">OFFSET(horas_de_luz_por_provinci!$G$1,_xlfn.XLOOKUP('Datos Instalación'!$C$8,horas_de_luz_por_provinci!$G$2:$G$53,horas_de_luz_por_provinci!$F$2:$F$53),$A36)*'Datos Instalación'!$C$14*_xlfn.XLOOKUP('Datos Instalación'!$C$7,Auxiliares!$B$3:$B$6,Auxiliares!$D$3:$D$6)*('Rendimiento Paneles'!AB$19*'Rendimiento Paneles'!AB$20+'Rendimiento Paneles'!AB$22*'Rendimiento Paneles'!AB$21)/1000</f>
        <v>18.731317329181927</v>
      </c>
      <c r="AD36" s="2">
        <f ca="1">OFFSET(horas_de_luz_por_provinci!$G$1,_xlfn.XLOOKUP('Datos Instalación'!$C$8,horas_de_luz_por_provinci!$G$2:$G$53,horas_de_luz_por_provinci!$F$2:$F$53),$A36)*'Datos Instalación'!$C$14*_xlfn.XLOOKUP('Datos Instalación'!$C$7,Auxiliares!$B$3:$B$6,Auxiliares!$D$3:$D$6)*('Rendimiento Paneles'!AC$19*'Rendimiento Paneles'!AC$20+'Rendimiento Paneles'!AC$22*'Rendimiento Paneles'!AC$21)/1000</f>
        <v>18.630168215604346</v>
      </c>
      <c r="AE36" s="2">
        <f ca="1">OFFSET(horas_de_luz_por_provinci!$G$1,_xlfn.XLOOKUP('Datos Instalación'!$C$8,horas_de_luz_por_provinci!$G$2:$G$53,horas_de_luz_por_provinci!$F$2:$F$53),$A36)*'Datos Instalación'!$C$14*_xlfn.XLOOKUP('Datos Instalación'!$C$7,Auxiliares!$B$3:$B$6,Auxiliares!$D$3:$D$6)*('Rendimiento Paneles'!AD$19*'Rendimiento Paneles'!AD$20+'Rendimiento Paneles'!AD$22*'Rendimiento Paneles'!AD$21)/1000</f>
        <v>18.52956530724008</v>
      </c>
      <c r="AF36" s="2">
        <f ca="1">OFFSET(horas_de_luz_por_provinci!$G$1,_xlfn.XLOOKUP('Datos Instalación'!$C$8,horas_de_luz_por_provinci!$G$2:$G$53,horas_de_luz_por_provinci!$F$2:$F$53),$A36)*'Datos Instalación'!$C$14*_xlfn.XLOOKUP('Datos Instalación'!$C$7,Auxiliares!$B$3:$B$6,Auxiliares!$D$3:$D$6)*('Rendimiento Paneles'!AE$19*'Rendimiento Paneles'!AE$20+'Rendimiento Paneles'!AE$22*'Rendimiento Paneles'!AE$21)/1000</f>
        <v>18.429505654580986</v>
      </c>
      <c r="AG36" s="2">
        <f ca="1">OFFSET(horas_de_luz_por_provinci!$G$1,_xlfn.XLOOKUP('Datos Instalación'!$C$8,horas_de_luz_por_provinci!$G$2:$G$53,horas_de_luz_por_provinci!$F$2:$F$53),$A36)*'Datos Instalación'!$C$14*_xlfn.XLOOKUP('Datos Instalación'!$C$7,Auxiliares!$B$3:$B$6,Auxiliares!$D$3:$D$6)*('Rendimiento Paneles'!AF$19*'Rendimiento Paneles'!AF$20+'Rendimiento Paneles'!AF$22*'Rendimiento Paneles'!AF$21)/1000</f>
        <v>18.329986324046246</v>
      </c>
    </row>
    <row r="37" spans="1:34">
      <c r="A37" s="2">
        <v>12</v>
      </c>
      <c r="B37" s="12" t="s">
        <v>15</v>
      </c>
      <c r="C37" s="2">
        <f ca="1">OFFSET(horas_de_luz_por_provinci!$G$1,_xlfn.XLOOKUP('Datos Instalación'!$C$8,horas_de_luz_por_provinci!$G$2:$G$53,horas_de_luz_por_provinci!$F$2:$F$53),$A37)*'Datos Instalación'!$C$14*_xlfn.XLOOKUP('Datos Instalación'!$C$7,Auxiliares!$B$3:$B$6,Auxiliares!$D$3:$D$6)*('Rendimiento Paneles'!B$19*'Rendimiento Paneles'!B$20+'Rendimiento Paneles'!B$22*'Rendimiento Paneles'!B$21)/1000</f>
        <v>19.646094000000002</v>
      </c>
      <c r="D37" s="2">
        <f ca="1">OFFSET(horas_de_luz_por_provinci!$G$1,_xlfn.XLOOKUP('Datos Instalación'!$C$8,horas_de_luz_por_provinci!$G$2:$G$53,horas_de_luz_por_provinci!$F$2:$F$53),$A37)*'Datos Instalación'!$C$14*_xlfn.XLOOKUP('Datos Instalación'!$C$7,Auxiliares!$B$3:$B$6,Auxiliares!$D$3:$D$6)*('Rendimiento Paneles'!C$19*'Rendimiento Paneles'!C$20+'Rendimiento Paneles'!C$22*'Rendimiento Paneles'!C$21)/1000</f>
        <v>19.540005092400001</v>
      </c>
      <c r="E37" s="2">
        <f ca="1">OFFSET(horas_de_luz_por_provinci!$G$1,_xlfn.XLOOKUP('Datos Instalación'!$C$8,horas_de_luz_por_provinci!$G$2:$G$53,horas_de_luz_por_provinci!$F$2:$F$53),$A37)*'Datos Instalación'!$C$14*_xlfn.XLOOKUP('Datos Instalación'!$C$7,Auxiliares!$B$3:$B$6,Auxiliares!$D$3:$D$6)*('Rendimiento Paneles'!D$19*'Rendimiento Paneles'!D$20+'Rendimiento Paneles'!D$22*'Rendimiento Paneles'!D$21)/1000</f>
        <v>19.43448906490104</v>
      </c>
      <c r="F37" s="2">
        <f ca="1">OFFSET(horas_de_luz_por_provinci!$G$1,_xlfn.XLOOKUP('Datos Instalación'!$C$8,horas_de_luz_por_provinci!$G$2:$G$53,horas_de_luz_por_provinci!$F$2:$F$53),$A37)*'Datos Instalación'!$C$14*_xlfn.XLOOKUP('Datos Instalación'!$C$7,Auxiliares!$B$3:$B$6,Auxiliares!$D$3:$D$6)*('Rendimiento Paneles'!E$19*'Rendimiento Paneles'!E$20+'Rendimiento Paneles'!E$22*'Rendimiento Paneles'!E$21)/1000</f>
        <v>19.329542823950579</v>
      </c>
      <c r="G37" s="2">
        <f ca="1">OFFSET(horas_de_luz_por_provinci!$G$1,_xlfn.XLOOKUP('Datos Instalación'!$C$8,horas_de_luz_por_provinci!$G$2:$G$53,horas_de_luz_por_provinci!$F$2:$F$53),$A37)*'Datos Instalación'!$C$14*_xlfn.XLOOKUP('Datos Instalación'!$C$7,Auxiliares!$B$3:$B$6,Auxiliares!$D$3:$D$6)*('Rendimiento Paneles'!F$19*'Rendimiento Paneles'!F$20+'Rendimiento Paneles'!F$22*'Rendimiento Paneles'!F$21)/1000</f>
        <v>19.225163292701243</v>
      </c>
      <c r="H37" s="2">
        <f ca="1">OFFSET(horas_de_luz_por_provinci!$G$1,_xlfn.XLOOKUP('Datos Instalación'!$C$8,horas_de_luz_por_provinci!$G$2:$G$53,horas_de_luz_por_provinci!$F$2:$F$53),$A37)*'Datos Instalación'!$C$14*_xlfn.XLOOKUP('Datos Instalación'!$C$7,Auxiliares!$B$3:$B$6,Auxiliares!$D$3:$D$6)*('Rendimiento Paneles'!G$19*'Rendimiento Paneles'!G$20+'Rendimiento Paneles'!G$22*'Rendimiento Paneles'!G$21)/1000</f>
        <v>19.121347410920659</v>
      </c>
      <c r="I37" s="2">
        <f ca="1">OFFSET(horas_de_luz_por_provinci!$G$1,_xlfn.XLOOKUP('Datos Instalación'!$C$8,horas_de_luz_por_provinci!$G$2:$G$53,horas_de_luz_por_provinci!$F$2:$F$53),$A37)*'Datos Instalación'!$C$14*_xlfn.XLOOKUP('Datos Instalación'!$C$7,Auxiliares!$B$3:$B$6,Auxiliares!$D$3:$D$6)*('Rendimiento Paneles'!H$19*'Rendimiento Paneles'!H$20+'Rendimiento Paneles'!H$22*'Rendimiento Paneles'!H$21)/1000</f>
        <v>19.018092134901686</v>
      </c>
      <c r="J37" s="2">
        <f ca="1">OFFSET(horas_de_luz_por_provinci!$G$1,_xlfn.XLOOKUP('Datos Instalación'!$C$8,horas_de_luz_por_provinci!$G$2:$G$53,horas_de_luz_por_provinci!$F$2:$F$53),$A37)*'Datos Instalación'!$C$14*_xlfn.XLOOKUP('Datos Instalación'!$C$7,Auxiliares!$B$3:$B$6,Auxiliares!$D$3:$D$6)*('Rendimiento Paneles'!I$19*'Rendimiento Paneles'!I$20+'Rendimiento Paneles'!I$22*'Rendimiento Paneles'!I$21)/1000</f>
        <v>18.915394437373219</v>
      </c>
      <c r="K37" s="2">
        <f ca="1">OFFSET(horas_de_luz_por_provinci!$G$1,_xlfn.XLOOKUP('Datos Instalación'!$C$8,horas_de_luz_por_provinci!$G$2:$G$53,horas_de_luz_por_provinci!$F$2:$F$53),$A37)*'Datos Instalación'!$C$14*_xlfn.XLOOKUP('Datos Instalación'!$C$7,Auxiliares!$B$3:$B$6,Auxiliares!$D$3:$D$6)*('Rendimiento Paneles'!J$19*'Rendimiento Paneles'!J$20+'Rendimiento Paneles'!J$22*'Rendimiento Paneles'!J$21)/1000</f>
        <v>18.813251307411402</v>
      </c>
      <c r="L37" s="2">
        <f ca="1">OFFSET(horas_de_luz_por_provinci!$G$1,_xlfn.XLOOKUP('Datos Instalación'!$C$8,horas_de_luz_por_provinci!$G$2:$G$53,horas_de_luz_por_provinci!$F$2:$F$53),$A37)*'Datos Instalación'!$C$14*_xlfn.XLOOKUP('Datos Instalación'!$C$7,Auxiliares!$B$3:$B$6,Auxiliares!$D$3:$D$6)*('Rendimiento Paneles'!K$19*'Rendimiento Paneles'!K$20+'Rendimiento Paneles'!K$22*'Rendimiento Paneles'!K$21)/1000</f>
        <v>18.71165975035138</v>
      </c>
      <c r="M37" s="2">
        <f ca="1">OFFSET(horas_de_luz_por_provinci!$G$1,_xlfn.XLOOKUP('Datos Instalación'!$C$8,horas_de_luz_por_provinci!$G$2:$G$53,horas_de_luz_por_provinci!$F$2:$F$53),$A37)*'Datos Instalación'!$C$14*_xlfn.XLOOKUP('Datos Instalación'!$C$7,Auxiliares!$B$3:$B$6,Auxiliares!$D$3:$D$6)*('Rendimiento Paneles'!L$19*'Rendimiento Paneles'!L$20+'Rendimiento Paneles'!L$22*'Rendimiento Paneles'!L$21)/1000</f>
        <v>18.610616787699481</v>
      </c>
      <c r="N37" s="2">
        <f ca="1">OFFSET(horas_de_luz_por_provinci!$G$1,_xlfn.XLOOKUP('Datos Instalación'!$C$8,horas_de_luz_por_provinci!$G$2:$G$53,horas_de_luz_por_provinci!$F$2:$F$53),$A37)*'Datos Instalación'!$C$14*_xlfn.XLOOKUP('Datos Instalación'!$C$7,Auxiliares!$B$3:$B$6,Auxiliares!$D$3:$D$6)*('Rendimiento Paneles'!M$19*'Rendimiento Paneles'!M$20+'Rendimiento Paneles'!M$22*'Rendimiento Paneles'!M$21)/1000</f>
        <v>18.510119457045906</v>
      </c>
      <c r="O37" s="2">
        <f ca="1">OFFSET(horas_de_luz_por_provinci!$G$1,_xlfn.XLOOKUP('Datos Instalación'!$C$8,horas_de_luz_por_provinci!$G$2:$G$53,horas_de_luz_por_provinci!$F$2:$F$53),$A37)*'Datos Instalación'!$C$14*_xlfn.XLOOKUP('Datos Instalación'!$C$7,Auxiliares!$B$3:$B$6,Auxiliares!$D$3:$D$6)*('Rendimiento Paneles'!N$19*'Rendimiento Paneles'!N$20+'Rendimiento Paneles'!N$22*'Rendimiento Paneles'!N$21)/1000</f>
        <v>18.975084952188929</v>
      </c>
      <c r="P37" s="2">
        <f ca="1">OFFSET(horas_de_luz_por_provinci!$G$1,_xlfn.XLOOKUP('Datos Instalación'!$C$8,horas_de_luz_por_provinci!$G$2:$G$53,horas_de_luz_por_provinci!$F$2:$F$53),$A37)*'Datos Instalación'!$C$14*_xlfn.XLOOKUP('Datos Instalación'!$C$7,Auxiliares!$B$3:$B$6,Auxiliares!$D$3:$D$6)*('Rendimiento Paneles'!O$19*'Rendimiento Paneles'!O$20+'Rendimiento Paneles'!O$22*'Rendimiento Paneles'!O$21)/1000</f>
        <v>18.872619493447111</v>
      </c>
      <c r="Q37" s="2">
        <f ca="1">OFFSET(horas_de_luz_por_provinci!$G$1,_xlfn.XLOOKUP('Datos Instalación'!$C$8,horas_de_luz_por_provinci!$G$2:$G$53,horas_de_luz_por_provinci!$F$2:$F$53),$A37)*'Datos Instalación'!$C$14*_xlfn.XLOOKUP('Datos Instalación'!$C$7,Auxiliares!$B$3:$B$6,Auxiliares!$D$3:$D$6)*('Rendimiento Paneles'!P$19*'Rendimiento Paneles'!P$20+'Rendimiento Paneles'!P$22*'Rendimiento Paneles'!P$21)/1000</f>
        <v>18.770707348182491</v>
      </c>
      <c r="R37" s="2">
        <f ca="1">OFFSET(horas_de_luz_por_provinci!$G$1,_xlfn.XLOOKUP('Datos Instalación'!$C$8,horas_de_luz_por_provinci!$G$2:$G$53,horas_de_luz_por_provinci!$F$2:$F$53),$A37)*'Datos Instalación'!$C$14*_xlfn.XLOOKUP('Datos Instalación'!$C$7,Auxiliares!$B$3:$B$6,Auxiliares!$D$3:$D$6)*('Rendimiento Paneles'!Q$19*'Rendimiento Paneles'!Q$20+'Rendimiento Paneles'!Q$22*'Rendimiento Paneles'!Q$21)/1000</f>
        <v>18.669345528502308</v>
      </c>
      <c r="S37" s="2">
        <f ca="1">OFFSET(horas_de_luz_por_provinci!$G$1,_xlfn.XLOOKUP('Datos Instalación'!$C$8,horas_de_luz_por_provinci!$G$2:$G$53,horas_de_luz_por_provinci!$F$2:$F$53),$A37)*'Datos Instalación'!$C$14*_xlfn.XLOOKUP('Datos Instalación'!$C$7,Auxiliares!$B$3:$B$6,Auxiliares!$D$3:$D$6)*('Rendimiento Paneles'!R$19*'Rendimiento Paneles'!R$20+'Rendimiento Paneles'!R$22*'Rendimiento Paneles'!R$21)/1000</f>
        <v>18.568531062648397</v>
      </c>
      <c r="T37" s="2">
        <f ca="1">OFFSET(horas_de_luz_por_provinci!$G$1,_xlfn.XLOOKUP('Datos Instalación'!$C$8,horas_de_luz_por_provinci!$G$2:$G$53,horas_de_luz_por_provinci!$F$2:$F$53),$A37)*'Datos Instalación'!$C$14*_xlfn.XLOOKUP('Datos Instalación'!$C$7,Auxiliares!$B$3:$B$6,Auxiliares!$D$3:$D$6)*('Rendimiento Paneles'!S$19*'Rendimiento Paneles'!S$20+'Rendimiento Paneles'!S$22*'Rendimiento Paneles'!S$21)/1000</f>
        <v>18.468260994910096</v>
      </c>
      <c r="U37" s="2">
        <f ca="1">OFFSET(horas_de_luz_por_provinci!$G$1,_xlfn.XLOOKUP('Datos Instalación'!$C$8,horas_de_luz_por_provinci!$G$2:$G$53,horas_de_luz_por_provinci!$F$2:$F$53),$A37)*'Datos Instalación'!$C$14*_xlfn.XLOOKUP('Datos Instalación'!$C$7,Auxiliares!$B$3:$B$6,Auxiliares!$D$3:$D$6)*('Rendimiento Paneles'!T$19*'Rendimiento Paneles'!T$20+'Rendimiento Paneles'!T$22*'Rendimiento Paneles'!T$21)/1000</f>
        <v>18.368532385537581</v>
      </c>
      <c r="V37" s="2">
        <f ca="1">OFFSET(horas_de_luz_por_provinci!$G$1,_xlfn.XLOOKUP('Datos Instalación'!$C$8,horas_de_luz_por_provinci!$G$2:$G$53,horas_de_luz_por_provinci!$F$2:$F$53),$A37)*'Datos Instalación'!$C$14*_xlfn.XLOOKUP('Datos Instalación'!$C$7,Auxiliares!$B$3:$B$6,Auxiliares!$D$3:$D$6)*('Rendimiento Paneles'!U$19*'Rendimiento Paneles'!U$20+'Rendimiento Paneles'!U$22*'Rendimiento Paneles'!U$21)/1000</f>
        <v>18.269342310655681</v>
      </c>
      <c r="W37" s="2">
        <f ca="1">OFFSET(horas_de_luz_por_provinci!$G$1,_xlfn.XLOOKUP('Datos Instalación'!$C$8,horas_de_luz_por_provinci!$G$2:$G$53,horas_de_luz_por_provinci!$F$2:$F$53),$A37)*'Datos Instalación'!$C$14*_xlfn.XLOOKUP('Datos Instalación'!$C$7,Auxiliares!$B$3:$B$6,Auxiliares!$D$3:$D$6)*('Rendimiento Paneles'!V$19*'Rendimiento Paneles'!V$20+'Rendimiento Paneles'!V$22*'Rendimiento Paneles'!V$21)/1000</f>
        <v>18.170687862178141</v>
      </c>
      <c r="X37" s="2">
        <f ca="1">OFFSET(horas_de_luz_por_provinci!$G$1,_xlfn.XLOOKUP('Datos Instalación'!$C$8,horas_de_luz_por_provinci!$G$2:$G$53,horas_de_luz_por_provinci!$F$2:$F$53),$A37)*'Datos Instalación'!$C$14*_xlfn.XLOOKUP('Datos Instalación'!$C$7,Auxiliares!$B$3:$B$6,Auxiliares!$D$3:$D$6)*('Rendimiento Paneles'!W$19*'Rendimiento Paneles'!W$20+'Rendimiento Paneles'!W$22*'Rendimiento Paneles'!W$21)/1000</f>
        <v>18.072566147722377</v>
      </c>
      <c r="Y37" s="2">
        <f ca="1">OFFSET(horas_de_luz_por_provinci!$G$1,_xlfn.XLOOKUP('Datos Instalación'!$C$8,horas_de_luz_por_provinci!$G$2:$G$53,horas_de_luz_por_provinci!$F$2:$F$53),$A37)*'Datos Instalación'!$C$14*_xlfn.XLOOKUP('Datos Instalación'!$C$7,Auxiliares!$B$3:$B$6,Auxiliares!$D$3:$D$6)*('Rendimiento Paneles'!X$19*'Rendimiento Paneles'!X$20+'Rendimiento Paneles'!X$22*'Rendimiento Paneles'!X$21)/1000</f>
        <v>17.974974290524671</v>
      </c>
      <c r="Z37" s="2">
        <f ca="1">OFFSET(horas_de_luz_por_provinci!$G$1,_xlfn.XLOOKUP('Datos Instalación'!$C$8,horas_de_luz_por_provinci!$G$2:$G$53,horas_de_luz_por_provinci!$F$2:$F$53),$A37)*'Datos Instalación'!$C$14*_xlfn.XLOOKUP('Datos Instalación'!$C$7,Auxiliares!$B$3:$B$6,Auxiliares!$D$3:$D$6)*('Rendimiento Paneles'!Y$19*'Rendimiento Paneles'!Y$20+'Rendimiento Paneles'!Y$22*'Rendimiento Paneles'!Y$21)/1000</f>
        <v>17.877909429355839</v>
      </c>
      <c r="AA37" s="2">
        <f ca="1">OFFSET(horas_de_luz_por_provinci!$G$1,_xlfn.XLOOKUP('Datos Instalación'!$C$8,horas_de_luz_por_provinci!$G$2:$G$53,horas_de_luz_por_provinci!$F$2:$F$53),$A37)*'Datos Instalación'!$C$14*_xlfn.XLOOKUP('Datos Instalación'!$C$7,Auxiliares!$B$3:$B$6,Auxiliares!$D$3:$D$6)*('Rendimiento Paneles'!Z$19*'Rendimiento Paneles'!Z$20+'Rendimiento Paneles'!Z$22*'Rendimiento Paneles'!Z$21)/1000</f>
        <v>17.781368718437321</v>
      </c>
      <c r="AB37" s="2">
        <f ca="1">OFFSET(horas_de_luz_por_provinci!$G$1,_xlfn.XLOOKUP('Datos Instalación'!$C$8,horas_de_luz_por_provinci!$G$2:$G$53,horas_de_luz_por_provinci!$F$2:$F$53),$A37)*'Datos Instalación'!$C$14*_xlfn.XLOOKUP('Datos Instalación'!$C$7,Auxiliares!$B$3:$B$6,Auxiliares!$D$3:$D$6)*('Rendimiento Paneles'!AA$19*'Rendimiento Paneles'!AA$20+'Rendimiento Paneles'!AA$22*'Rendimiento Paneles'!AA$21)/1000</f>
        <v>17.685349327357756</v>
      </c>
      <c r="AC37" s="2">
        <f ca="1">OFFSET(horas_de_luz_por_provinci!$G$1,_xlfn.XLOOKUP('Datos Instalación'!$C$8,horas_de_luz_por_provinci!$G$2:$G$53,horas_de_luz_por_provinci!$F$2:$F$53),$A37)*'Datos Instalación'!$C$14*_xlfn.XLOOKUP('Datos Instalación'!$C$7,Auxiliares!$B$3:$B$6,Auxiliares!$D$3:$D$6)*('Rendimiento Paneles'!AB$19*'Rendimiento Paneles'!AB$20+'Rendimiento Paneles'!AB$22*'Rendimiento Paneles'!AB$21)/1000</f>
        <v>17.589848440990021</v>
      </c>
      <c r="AD37" s="2">
        <f ca="1">OFFSET(horas_de_luz_por_provinci!$G$1,_xlfn.XLOOKUP('Datos Instalación'!$C$8,horas_de_luz_por_provinci!$G$2:$G$53,horas_de_luz_por_provinci!$F$2:$F$53),$A37)*'Datos Instalación'!$C$14*_xlfn.XLOOKUP('Datos Instalación'!$C$7,Auxiliares!$B$3:$B$6,Auxiliares!$D$3:$D$6)*('Rendimiento Paneles'!AC$19*'Rendimiento Paneles'!AC$20+'Rendimiento Paneles'!AC$22*'Rendimiento Paneles'!AC$21)/1000</f>
        <v>17.494863259408678</v>
      </c>
      <c r="AE37" s="2">
        <f ca="1">OFFSET(horas_de_luz_por_provinci!$G$1,_xlfn.XLOOKUP('Datos Instalación'!$C$8,horas_de_luz_por_provinci!$G$2:$G$53,horas_de_luz_por_provinci!$F$2:$F$53),$A37)*'Datos Instalación'!$C$14*_xlfn.XLOOKUP('Datos Instalación'!$C$7,Auxiliares!$B$3:$B$6,Auxiliares!$D$3:$D$6)*('Rendimiento Paneles'!AD$19*'Rendimiento Paneles'!AD$20+'Rendimiento Paneles'!AD$22*'Rendimiento Paneles'!AD$21)/1000</f>
        <v>17.400390997807872</v>
      </c>
      <c r="AF37" s="2">
        <f ca="1">OFFSET(horas_de_luz_por_provinci!$G$1,_xlfn.XLOOKUP('Datos Instalación'!$C$8,horas_de_luz_por_provinci!$G$2:$G$53,horas_de_luz_por_provinci!$F$2:$F$53),$A37)*'Datos Instalación'!$C$14*_xlfn.XLOOKUP('Datos Instalación'!$C$7,Auxiliares!$B$3:$B$6,Auxiliares!$D$3:$D$6)*('Rendimiento Paneles'!AE$19*'Rendimiento Paneles'!AE$20+'Rendimiento Paneles'!AE$22*'Rendimiento Paneles'!AE$21)/1000</f>
        <v>17.30642888641971</v>
      </c>
      <c r="AG37" s="2">
        <f ca="1">OFFSET(horas_de_luz_por_provinci!$G$1,_xlfn.XLOOKUP('Datos Instalación'!$C$8,horas_de_luz_por_provinci!$G$2:$G$53,horas_de_luz_por_provinci!$F$2:$F$53),$A37)*'Datos Instalación'!$C$14*_xlfn.XLOOKUP('Datos Instalación'!$C$7,Auxiliares!$B$3:$B$6,Auxiliares!$D$3:$D$6)*('Rendimiento Paneles'!AF$19*'Rendimiento Paneles'!AF$20+'Rendimiento Paneles'!AF$22*'Rendimiento Paneles'!AF$21)/1000</f>
        <v>17.212974170433043</v>
      </c>
    </row>
    <row r="38" spans="1:34">
      <c r="B38" s="2" t="s">
        <v>16</v>
      </c>
      <c r="C38" s="23">
        <f ca="1">SUM(C26:C37)</f>
        <v>305.89386360000003</v>
      </c>
      <c r="D38" s="23">
        <f t="shared" ref="D38:AE38" ca="1" si="31">SUM(D26:D37)</f>
        <v>304.24203673656001</v>
      </c>
      <c r="E38" s="23">
        <f t="shared" ca="1" si="31"/>
        <v>302.59912973818257</v>
      </c>
      <c r="F38" s="23">
        <f t="shared" ca="1" si="31"/>
        <v>300.96509443759641</v>
      </c>
      <c r="G38" s="23">
        <f t="shared" ca="1" si="31"/>
        <v>299.33988292763343</v>
      </c>
      <c r="H38" s="23">
        <f t="shared" ca="1" si="31"/>
        <v>297.72344755982408</v>
      </c>
      <c r="I38" s="23">
        <f t="shared" ca="1" si="31"/>
        <v>296.11574094300119</v>
      </c>
      <c r="J38" s="23">
        <f t="shared" ca="1" si="31"/>
        <v>294.51671594190896</v>
      </c>
      <c r="K38" s="23">
        <f t="shared" ca="1" si="31"/>
        <v>292.92632567582257</v>
      </c>
      <c r="L38" s="23">
        <f t="shared" ca="1" si="31"/>
        <v>291.34452351717323</v>
      </c>
      <c r="M38" s="23">
        <f t="shared" ca="1" si="31"/>
        <v>289.77126309018041</v>
      </c>
      <c r="N38" s="23">
        <f t="shared" ca="1" si="31"/>
        <v>288.20649826949347</v>
      </c>
      <c r="O38" s="23">
        <f t="shared" ca="1" si="31"/>
        <v>295.44610995769904</v>
      </c>
      <c r="P38" s="23">
        <f t="shared" ca="1" si="31"/>
        <v>293.85070096392758</v>
      </c>
      <c r="Q38" s="23">
        <f t="shared" ca="1" si="31"/>
        <v>292.26390717872226</v>
      </c>
      <c r="R38" s="23">
        <f t="shared" ca="1" si="31"/>
        <v>290.68568207995725</v>
      </c>
      <c r="S38" s="23">
        <f t="shared" ca="1" si="31"/>
        <v>289.11597939672538</v>
      </c>
      <c r="T38" s="23">
        <f t="shared" ca="1" si="31"/>
        <v>287.55475310798312</v>
      </c>
      <c r="U38" s="23">
        <f t="shared" ca="1" si="31"/>
        <v>286.00195744120003</v>
      </c>
      <c r="V38" s="23">
        <f t="shared" ca="1" si="31"/>
        <v>284.45754687101754</v>
      </c>
      <c r="W38" s="23">
        <f t="shared" ca="1" si="31"/>
        <v>282.92147611791415</v>
      </c>
      <c r="X38" s="23">
        <f t="shared" ca="1" si="31"/>
        <v>281.39370014687734</v>
      </c>
      <c r="Y38" s="23">
        <f t="shared" ca="1" si="31"/>
        <v>279.87417416608412</v>
      </c>
      <c r="Z38" s="23">
        <f t="shared" ca="1" si="31"/>
        <v>278.36285362558726</v>
      </c>
      <c r="AA38" s="23">
        <f t="shared" ca="1" si="31"/>
        <v>276.85969421600907</v>
      </c>
      <c r="AB38" s="23">
        <f t="shared" ca="1" si="31"/>
        <v>275.36465186724269</v>
      </c>
      <c r="AC38" s="23">
        <f t="shared" ca="1" si="31"/>
        <v>273.8776827471595</v>
      </c>
      <c r="AD38" s="23">
        <f t="shared" ca="1" si="31"/>
        <v>272.39874326032492</v>
      </c>
      <c r="AE38" s="23">
        <f t="shared" ca="1" si="31"/>
        <v>270.92779004671911</v>
      </c>
    </row>
    <row r="40" spans="1:34" ht="14.4" customHeight="1">
      <c r="A40" s="286" t="s">
        <v>166</v>
      </c>
      <c r="B40" s="286"/>
      <c r="C40" s="286"/>
      <c r="D40" s="286"/>
      <c r="E40" s="286"/>
    </row>
    <row r="42" spans="1:34">
      <c r="B42" s="15" t="s">
        <v>141</v>
      </c>
      <c r="C42" s="12">
        <v>2020</v>
      </c>
      <c r="D42" s="12">
        <f>C42+1</f>
        <v>2021</v>
      </c>
      <c r="E42" s="12">
        <f t="shared" ref="E42" si="32">D42+1</f>
        <v>2022</v>
      </c>
      <c r="F42" s="12">
        <f t="shared" ref="F42" si="33">E42+1</f>
        <v>2023</v>
      </c>
      <c r="G42" s="12">
        <f t="shared" ref="G42" si="34">F42+1</f>
        <v>2024</v>
      </c>
      <c r="H42" s="12">
        <f t="shared" ref="H42" si="35">G42+1</f>
        <v>2025</v>
      </c>
      <c r="I42" s="12">
        <f t="shared" ref="I42" si="36">H42+1</f>
        <v>2026</v>
      </c>
      <c r="J42" s="12">
        <f t="shared" ref="J42" si="37">I42+1</f>
        <v>2027</v>
      </c>
      <c r="K42" s="12">
        <f t="shared" ref="K42" si="38">J42+1</f>
        <v>2028</v>
      </c>
      <c r="L42" s="12">
        <f t="shared" ref="L42" si="39">K42+1</f>
        <v>2029</v>
      </c>
      <c r="M42" s="12">
        <f t="shared" ref="M42" si="40">L42+1</f>
        <v>2030</v>
      </c>
      <c r="N42" s="12">
        <f t="shared" ref="N42" si="41">M42+1</f>
        <v>2031</v>
      </c>
      <c r="O42" s="12">
        <f>N42+1</f>
        <v>2032</v>
      </c>
      <c r="P42" s="12">
        <f t="shared" ref="P42" si="42">O42+1</f>
        <v>2033</v>
      </c>
      <c r="Q42" s="12">
        <f t="shared" ref="Q42" si="43">P42+1</f>
        <v>2034</v>
      </c>
      <c r="R42" s="12">
        <f t="shared" ref="R42" si="44">Q42+1</f>
        <v>2035</v>
      </c>
      <c r="S42" s="12">
        <f t="shared" ref="S42" si="45">R42+1</f>
        <v>2036</v>
      </c>
      <c r="T42" s="12">
        <f>S42+1</f>
        <v>2037</v>
      </c>
      <c r="U42" s="12">
        <f>T42+1</f>
        <v>2038</v>
      </c>
      <c r="V42" s="12">
        <f t="shared" ref="V42" si="46">U42+1</f>
        <v>2039</v>
      </c>
      <c r="W42" s="12">
        <f t="shared" ref="W42" si="47">V42+1</f>
        <v>2040</v>
      </c>
      <c r="X42" s="12">
        <f t="shared" ref="X42" si="48">W42+1</f>
        <v>2041</v>
      </c>
      <c r="Y42" s="12">
        <f t="shared" ref="Y42" si="49">X42+1</f>
        <v>2042</v>
      </c>
      <c r="Z42" s="12">
        <f t="shared" ref="Z42" si="50">Y42+1</f>
        <v>2043</v>
      </c>
      <c r="AA42" s="12">
        <f t="shared" ref="AA42" si="51">Z42+1</f>
        <v>2044</v>
      </c>
      <c r="AB42" s="12">
        <f t="shared" ref="AB42" si="52">AA42+1</f>
        <v>2045</v>
      </c>
      <c r="AC42" s="12">
        <f t="shared" ref="AC42" si="53">AB42+1</f>
        <v>2046</v>
      </c>
      <c r="AD42" s="12">
        <f t="shared" ref="AD42" si="54">AC42+1</f>
        <v>2047</v>
      </c>
      <c r="AE42" s="12">
        <f t="shared" ref="AE42" si="55">AD42+1</f>
        <v>2048</v>
      </c>
      <c r="AF42" s="12">
        <f t="shared" ref="AF42" si="56">AE42+1</f>
        <v>2049</v>
      </c>
      <c r="AG42" s="12">
        <f t="shared" ref="AG42" si="57">AF42+1</f>
        <v>2050</v>
      </c>
      <c r="AH42" s="12"/>
    </row>
    <row r="43" spans="1:34">
      <c r="A43" s="2">
        <v>31</v>
      </c>
      <c r="B43" s="12" t="s">
        <v>4</v>
      </c>
      <c r="C43" s="2">
        <f ca="1">IF('Datos Instalación'!$F$6="Autoconsumo Individual con Excedentes",IF(C7&gt;Auxiliares!$D16/$A43,Producción!C7-Auxiliares!$D16/$A43,0),0)</f>
        <v>17.257860044917834</v>
      </c>
      <c r="D43" s="2">
        <f ca="1">IF('Datos Instalación'!$F$6="Autoconsumo Individual con Excedentes",IF(D7&gt;Auxiliares!$D16/$A43,Producción!D7-Auxiliares!$D16/$A43,0),0)</f>
        <v>17.140855671277833</v>
      </c>
      <c r="E43" s="2">
        <f ca="1">IF('Datos Instalación'!$F$6="Autoconsumo Individual con Excedentes",IF(E7&gt;Auxiliares!$D16/$A43,Producción!E7-Auxiliares!$D16/$A43,0),0)</f>
        <v>17.024483121255493</v>
      </c>
      <c r="F43" s="2">
        <f ca="1">IF('Datos Instalación'!$F$6="Autoconsumo Individual con Excedentes",IF(F7&gt;Auxiliares!$D16/$A43,Producción!F7-Auxiliares!$D16/$A43,0),0)</f>
        <v>16.908738983003268</v>
      </c>
      <c r="G43" s="2">
        <f ca="1">IF('Datos Instalación'!$F$6="Autoconsumo Individual con Excedentes",IF(G7&gt;Auxiliares!$D16/$A43,Producción!G7-Auxiliares!$D16/$A43,0),0)</f>
        <v>16.793619863097607</v>
      </c>
      <c r="H43" s="2">
        <f ca="1">IF('Datos Instalación'!$F$6="Autoconsumo Individual con Excedentes",IF(H7&gt;Auxiliares!$D16/$A43,Producción!H7-Auxiliares!$D16/$A43,0),0)</f>
        <v>16.679122386439435</v>
      </c>
      <c r="I43" s="2">
        <f ca="1">IF('Datos Instalación'!$F$6="Autoconsumo Individual con Excedentes",IF(I7&gt;Auxiliares!$D16/$A43,Producción!I7-Auxiliares!$D16/$A43,0),0)</f>
        <v>16.565243196155222</v>
      </c>
      <c r="J43" s="2">
        <f ca="1">IF('Datos Instalación'!$F$6="Autoconsumo Individual con Excedentes",IF(J7&gt;Auxiliares!$D16/$A43,Producción!J7-Auxiliares!$D16/$A43,0),0)</f>
        <v>16.451978953498539</v>
      </c>
      <c r="K43" s="2">
        <f ca="1">IF('Datos Instalación'!$F$6="Autoconsumo Individual con Excedentes",IF(K7&gt;Auxiliares!$D16/$A43,Producción!K7-Auxiliares!$D16/$A43,0),0)</f>
        <v>16.339326337752201</v>
      </c>
      <c r="L43" s="2">
        <f ca="1">IF('Datos Instalación'!$F$6="Autoconsumo Individual con Excedentes",IF(L7&gt;Auxiliares!$D16/$A43,Producción!L7-Auxiliares!$D16/$A43,0),0)</f>
        <v>16.227282046130895</v>
      </c>
      <c r="M43" s="2">
        <f ca="1">IF('Datos Instalación'!$F$6="Autoconsumo Individual con Excedentes",IF(M7&gt;Auxiliares!$D16/$A43,Producción!M7-Auxiliares!$D16/$A43,0),0)</f>
        <v>16.115842793684344</v>
      </c>
      <c r="N43" s="2">
        <f ca="1">IF('Datos Instalación'!$F$6="Autoconsumo Individual con Excedentes",IF(N7&gt;Auxiliares!$D16/$A43,Producción!N7-Auxiliares!$D16/$A43,0),0)</f>
        <v>16.005005313201011</v>
      </c>
      <c r="O43" s="2">
        <f ca="1">IF('Datos Instalación'!$F$6="Autoconsumo Individual con Excedentes",IF(O7&gt;Auxiliares!$D16/$A43,Producción!O7-Auxiliares!$D16/$A43,0),0)</f>
        <v>15.894766355112278</v>
      </c>
      <c r="P43" s="2">
        <f ca="1">IF('Datos Instalación'!$F$6="Autoconsumo Individual con Excedentes",IF(P7&gt;Auxiliares!$D16/$A43,Producción!P7-Auxiliares!$D16/$A43,0),0)</f>
        <v>15.785122687397227</v>
      </c>
      <c r="Q43" s="2">
        <f ca="1">IF('Datos Instalación'!$F$6="Autoconsumo Individual con Excedentes",IF(Q7&gt;Auxiliares!$D16/$A43,Producción!Q7-Auxiliares!$D16/$A43,0),0)</f>
        <v>15.676071095487838</v>
      </c>
      <c r="R43" s="2">
        <f ca="1">IF('Datos Instalación'!$F$6="Autoconsumo Individual con Excedentes",IF(R7&gt;Auxiliares!$D16/$A43,Producción!R7-Auxiliares!$D16/$A43,0),0)</f>
        <v>15.567608382174761</v>
      </c>
      <c r="S43" s="2">
        <f ca="1">IF('Datos Instalación'!$F$6="Autoconsumo Individual con Excedentes",IF(S7&gt;Auxiliares!$D16/$A43,Producción!S7-Auxiliares!$D16/$A43,0),0)</f>
        <v>15.459731367513573</v>
      </c>
      <c r="T43" s="2">
        <f ca="1">IF('Datos Instalación'!$F$6="Autoconsumo Individual con Excedentes",IF(T7&gt;Auxiliares!$D16/$A43,Producción!T7-Auxiliares!$D16/$A43,0),0)</f>
        <v>15.352436888731557</v>
      </c>
      <c r="U43" s="2">
        <f ca="1">IF('Datos Instalación'!$F$6="Autoconsumo Individual con Excedentes",IF(U7&gt;Auxiliares!$D16/$A43,Producción!U7-Auxiliares!$D16/$A43,0),0)</f>
        <v>15.245721800134959</v>
      </c>
      <c r="V43" s="2">
        <f ca="1">IF('Datos Instalación'!$F$6="Autoconsumo Individual con Excedentes",IF(V7&gt;Auxiliares!$D16/$A43,Producción!V7-Auxiliares!$D16/$A43,0),0)</f>
        <v>15.139582973016786</v>
      </c>
      <c r="W43" s="2">
        <f ca="1">IF('Datos Instalación'!$F$6="Autoconsumo Individual con Excedentes",IF(W7&gt;Auxiliares!$D16/$A43,Producción!W7-Auxiliares!$D16/$A43,0),0)</f>
        <v>15.034017295565057</v>
      </c>
      <c r="X43" s="2">
        <f ca="1">IF('Datos Instalación'!$F$6="Autoconsumo Individual con Excedentes",IF(X7&gt;Auxiliares!$D16/$A43,Producción!X7-Auxiliares!$D16/$A43,0),0)</f>
        <v>14.929021672771558</v>
      </c>
      <c r="Y43" s="2">
        <f ca="1">IF('Datos Instalación'!$F$6="Autoconsumo Individual con Excedentes",IF(Y7&gt;Auxiliares!$D16/$A43,Producción!Y7-Auxiliares!$D16/$A43,0),0)</f>
        <v>14.824593026341152</v>
      </c>
      <c r="Z43" s="2">
        <f ca="1">IF('Datos Instalación'!$F$6="Autoconsumo Individual con Excedentes",IF(Z7&gt;Auxiliares!$D16/$A43,Producción!Z7-Auxiliares!$D16/$A43,0),0)</f>
        <v>14.720728294601464</v>
      </c>
      <c r="AA43" s="2">
        <f ca="1">IF('Datos Instalación'!$F$6="Autoconsumo Individual con Excedentes",IF(AA7&gt;Auxiliares!$D16/$A43,Producción!AA7-Auxiliares!$D16/$A43,0),0)</f>
        <v>14.617424432413173</v>
      </c>
      <c r="AB43" s="2">
        <f ca="1">IF('Datos Instalación'!$F$6="Autoconsumo Individual con Excedentes",IF(AB7&gt;Auxiliares!$D16/$A43,Producción!AB7-Auxiliares!$D16/$A43,0),0)</f>
        <v>14.514678411080698</v>
      </c>
      <c r="AC43" s="2">
        <f ca="1">IF('Datos Instalación'!$F$6="Autoconsumo Individual con Excedentes",IF(AC7&gt;Auxiliares!$D16/$A43,Producción!AC7-Auxiliares!$D16/$A43,0),0)</f>
        <v>14.412487218263418</v>
      </c>
      <c r="AD43" s="2">
        <f ca="1">IF('Datos Instalación'!$F$6="Autoconsumo Individual con Excedentes",IF(AD7&gt;Auxiliares!$D16/$A43,Producción!AD7-Auxiliares!$D16/$A43,0),0)</f>
        <v>14.310847857887346</v>
      </c>
      <c r="AE43" s="2">
        <f ca="1">IF('Datos Instalación'!$F$6="Autoconsumo Individual con Excedentes",IF(AE7&gt;Auxiliares!$D16/$A43,Producción!AE7-Auxiliares!$D16/$A43,0),0)</f>
        <v>14.209757350057316</v>
      </c>
      <c r="AF43" s="2">
        <f ca="1">IF('Datos Instalación'!$F$6="Autoconsumo Individual con Excedentes",IF(AF7&gt;Auxiliares!$D16/$A43,Producción!AF7-Auxiliares!$D16/$A43,0),0)</f>
        <v>14.10921273096956</v>
      </c>
      <c r="AG43" s="2">
        <f ca="1">IF('Datos Instalación'!$F$6="Autoconsumo Individual con Excedentes",IF(AG7&gt;Auxiliares!$D16/$A43,Producción!AG7-Auxiliares!$D16/$A43,0),0)</f>
        <v>14.009211052824885</v>
      </c>
    </row>
    <row r="44" spans="1:34">
      <c r="A44" s="2">
        <v>28</v>
      </c>
      <c r="B44" s="12" t="s">
        <v>5</v>
      </c>
      <c r="C44" s="2">
        <f ca="1">IF('Datos Instalación'!$F$6="Autoconsumo Individual con Excedentes",IF(C8&gt;Auxiliares!$D17/$A44,Producción!C8-Auxiliares!$D17/$A44,0),0)</f>
        <v>19.413010140161724</v>
      </c>
      <c r="D44" s="2">
        <f ca="1">IF('Datos Instalación'!$F$6="Autoconsumo Individual con Excedentes",IF(D8&gt;Auxiliares!$D17/$A44,Producción!D8-Auxiliares!$D17/$A44,0),0)</f>
        <v>19.284076381361729</v>
      </c>
      <c r="E44" s="2">
        <f ca="1">IF('Datos Instalación'!$F$6="Autoconsumo Individual con Excedentes",IF(E8&gt;Auxiliares!$D17/$A44,Producción!E8-Auxiliares!$D17/$A44,0),0)</f>
        <v>19.155838864859241</v>
      </c>
      <c r="F44" s="2">
        <f ca="1">IF('Datos Instalación'!$F$6="Autoconsumo Individual con Excedentes",IF(F8&gt;Auxiliares!$D17/$A44,Producción!F8-Auxiliares!$D17/$A44,0),0)</f>
        <v>19.028293830945877</v>
      </c>
      <c r="G44" s="2">
        <f ca="1">IF('Datos Instalación'!$F$6="Autoconsumo Individual con Excedentes",IF(G8&gt;Auxiliares!$D17/$A44,Producción!G8-Auxiliares!$D17/$A44,0),0)</f>
        <v>18.901437540215639</v>
      </c>
      <c r="H44" s="2">
        <f ca="1">IF('Datos Instalación'!$F$6="Autoconsumo Individual con Excedentes",IF(H8&gt;Auxiliares!$D17/$A44,Producción!H8-Auxiliares!$D17/$A44,0),0)</f>
        <v>18.775266273455351</v>
      </c>
      <c r="I44" s="2">
        <f ca="1">IF('Datos Instalación'!$F$6="Autoconsumo Individual con Excedentes",IF(I8&gt;Auxiliares!$D17/$A44,Producción!I8-Auxiliares!$D17/$A44,0),0)</f>
        <v>18.64977633153557</v>
      </c>
      <c r="J44" s="2">
        <f ca="1">IF('Datos Instalación'!$F$6="Autoconsumo Individual con Excedentes",IF(J8&gt;Auxiliares!$D17/$A44,Producción!J8-Auxiliares!$D17/$A44,0),0)</f>
        <v>18.524964035302148</v>
      </c>
      <c r="K44" s="2">
        <f ca="1">IF('Datos Instalación'!$F$6="Autoconsumo Individual con Excedentes",IF(K8&gt;Auxiliares!$D17/$A44,Producción!K8-Auxiliares!$D17/$A44,0),0)</f>
        <v>18.400825725468387</v>
      </c>
      <c r="L44" s="2">
        <f ca="1">IF('Datos Instalación'!$F$6="Autoconsumo Individual con Excedentes",IF(L8&gt;Auxiliares!$D17/$A44,Producción!L8-Auxiliares!$D17/$A44,0),0)</f>
        <v>18.277357762507734</v>
      </c>
      <c r="M44" s="2">
        <f ca="1">IF('Datos Instalación'!$F$6="Autoconsumo Individual con Excedentes",IF(M8&gt;Auxiliares!$D17/$A44,Producción!M8-Auxiliares!$D17/$A44,0),0)</f>
        <v>18.154556526547069</v>
      </c>
      <c r="N44" s="2">
        <f ca="1">IF('Datos Instalación'!$F$6="Autoconsumo Individual con Excedentes",IF(N8&gt;Auxiliares!$D17/$A44,Producción!N8-Auxiliares!$D17/$A44,0),0)</f>
        <v>18.032418417260587</v>
      </c>
      <c r="O44" s="2">
        <f ca="1">IF('Datos Instalación'!$F$6="Autoconsumo Individual con Excedentes",IF(O8&gt;Auxiliares!$D17/$A44,Producción!O8-Auxiliares!$D17/$A44,0),0)</f>
        <v>17.910939853764255</v>
      </c>
      <c r="P44" s="2">
        <f ca="1">IF('Datos Instalación'!$F$6="Autoconsumo Individual con Excedentes",IF(P8&gt;Auxiliares!$D17/$A44,Producción!P8-Auxiliares!$D17/$A44,0),0)</f>
        <v>17.790117274510791</v>
      </c>
      <c r="Q44" s="2">
        <f ca="1">IF('Datos Instalación'!$F$6="Autoconsumo Individual con Excedentes",IF(Q8&gt;Auxiliares!$D17/$A44,Producción!Q8-Auxiliares!$D17/$A44,0),0)</f>
        <v>17.669947137185318</v>
      </c>
      <c r="R44" s="2">
        <f ca="1">IF('Datos Instalación'!$F$6="Autoconsumo Individual con Excedentes",IF(R8&gt;Auxiliares!$D17/$A44,Producción!R8-Auxiliares!$D17/$A44,0),0)</f>
        <v>17.550425918601384</v>
      </c>
      <c r="S44" s="2">
        <f ca="1">IF('Datos Instalación'!$F$6="Autoconsumo Individual con Excedentes",IF(S8&gt;Auxiliares!$D17/$A44,Producción!S8-Auxiliares!$D17/$A44,0),0)</f>
        <v>17.431550114597812</v>
      </c>
      <c r="T44" s="2">
        <f ca="1">IF('Datos Instalación'!$F$6="Autoconsumo Individual con Excedentes",IF(T8&gt;Auxiliares!$D17/$A44,Producción!T8-Auxiliares!$D17/$A44,0),0)</f>
        <v>17.313316239935858</v>
      </c>
      <c r="U44" s="2">
        <f ca="1">IF('Datos Instalación'!$F$6="Autoconsumo Individual con Excedentes",IF(U8&gt;Auxiliares!$D17/$A44,Producción!U8-Auxiliares!$D17/$A44,0),0)</f>
        <v>17.195720828197075</v>
      </c>
      <c r="V44" s="2">
        <f ca="1">IF('Datos Instalación'!$F$6="Autoconsumo Individual con Excedentes",IF(V8&gt;Auxiliares!$D17/$A44,Producción!V8-Auxiliares!$D17/$A44,0),0)</f>
        <v>17.07876043168168</v>
      </c>
      <c r="W44" s="2">
        <f ca="1">IF('Datos Instalación'!$F$6="Autoconsumo Individual con Excedentes",IF(W8&gt;Auxiliares!$D17/$A44,Producción!W8-Auxiliares!$D17/$A44,0),0)</f>
        <v>16.962431621307474</v>
      </c>
      <c r="X44" s="2">
        <f ca="1">IF('Datos Instalación'!$F$6="Autoconsumo Individual con Excedentes",IF(X8&gt;Auxiliares!$D17/$A44,Producción!X8-Auxiliares!$D17/$A44,0),0)</f>
        <v>16.846730986509293</v>
      </c>
      <c r="Y44" s="2">
        <f ca="1">IF('Datos Instalación'!$F$6="Autoconsumo Individual con Excedentes",IF(Y8&gt;Auxiliares!$D17/$A44,Producción!Y8-Auxiliares!$D17/$A44,0),0)</f>
        <v>16.731655135139007</v>
      </c>
      <c r="Z44" s="2">
        <f ca="1">IF('Datos Instalación'!$F$6="Autoconsumo Individual con Excedentes",IF(Z8&gt;Auxiliares!$D17/$A44,Producción!Z8-Auxiliares!$D17/$A44,0),0)</f>
        <v>16.617200693366136</v>
      </c>
      <c r="AA44" s="2">
        <f ca="1">IF('Datos Instalación'!$F$6="Autoconsumo Individual con Excedentes",IF(AA8&gt;Auxiliares!$D17/$A44,Producción!AA8-Auxiliares!$D17/$A44,0),0)</f>
        <v>16.503364305578835</v>
      </c>
      <c r="AB44" s="2">
        <f ca="1">IF('Datos Instalación'!$F$6="Autoconsumo Individual con Excedentes",IF(AB8&gt;Auxiliares!$D17/$A44,Producción!AB8-Auxiliares!$D17/$A44,0),0)</f>
        <v>16.390142634285574</v>
      </c>
      <c r="AC44" s="2">
        <f ca="1">IF('Datos Instalación'!$F$6="Autoconsumo Individual con Excedentes",IF(AC8&gt;Auxiliares!$D17/$A44,Producción!AC8-Auxiliares!$D17/$A44,0),0)</f>
        <v>16.277532360017311</v>
      </c>
      <c r="AD44" s="2">
        <f ca="1">IF('Datos Instalación'!$F$6="Autoconsumo Individual con Excedentes",IF(AD8&gt;Auxiliares!$D17/$A44,Producción!AD8-Auxiliares!$D17/$A44,0),0)</f>
        <v>16.165530181230089</v>
      </c>
      <c r="AE44" s="2">
        <f ca="1">IF('Datos Instalación'!$F$6="Autoconsumo Individual con Excedentes",IF(AE8&gt;Auxiliares!$D17/$A44,Producción!AE8-Auxiliares!$D17/$A44,0),0)</f>
        <v>16.054132814208323</v>
      </c>
      <c r="AF44" s="2">
        <f ca="1">IF('Datos Instalación'!$F$6="Autoconsumo Individual con Excedentes",IF(AF8&gt;Auxiliares!$D17/$A44,Producción!AF8-Auxiliares!$D17/$A44,0),0)</f>
        <v>15.943336992968471</v>
      </c>
      <c r="AG44" s="2">
        <f ca="1">IF('Datos Instalación'!$F$6="Autoconsumo Individual con Excedentes",IF(AG8&gt;Auxiliares!$D17/$A44,Producción!AG8-Auxiliares!$D17/$A44,0),0)</f>
        <v>15.833139469163312</v>
      </c>
    </row>
    <row r="45" spans="1:34">
      <c r="A45" s="2">
        <v>31</v>
      </c>
      <c r="B45" s="12" t="s">
        <v>6</v>
      </c>
      <c r="C45" s="2">
        <f ca="1">IF('Datos Instalación'!$F$6="Autoconsumo Individual con Excedentes",IF(C9&gt;Auxiliares!$D18/$A45,Producción!C9-Auxiliares!$D18/$A45,0),0)</f>
        <v>23.264242800365185</v>
      </c>
      <c r="D45" s="2">
        <f ca="1">IF('Datos Instalación'!$F$6="Autoconsumo Individual con Excedentes",IF(D9&gt;Auxiliares!$D18/$A45,Producción!D9-Auxiliares!$D18/$A45,0),0)</f>
        <v>23.120246686565189</v>
      </c>
      <c r="E45" s="2">
        <f ca="1">IF('Datos Instalación'!$F$6="Autoconsumo Individual con Excedentes",IF(E9&gt;Auxiliares!$D18/$A45,Producción!E9-Auxiliares!$D18/$A45,0),0)</f>
        <v>22.977028151779709</v>
      </c>
      <c r="F45" s="2">
        <f ca="1">IF('Datos Instalación'!$F$6="Autoconsumo Individual con Excedentes",IF(F9&gt;Auxiliares!$D18/$A45,Producción!F9-Auxiliares!$D18/$A45,0),0)</f>
        <v>22.834582997082066</v>
      </c>
      <c r="G45" s="2">
        <f ca="1">IF('Datos Instalación'!$F$6="Autoconsumo Individual con Excedentes",IF(G9&gt;Auxiliares!$D18/$A45,Producción!G9-Auxiliares!$D18/$A45,0),0)</f>
        <v>22.692907046219794</v>
      </c>
      <c r="H45" s="2">
        <f ca="1">IF('Datos Instalación'!$F$6="Autoconsumo Individual con Excedentes",IF(H9&gt;Auxiliares!$D18/$A45,Producción!H9-Auxiliares!$D18/$A45,0),0)</f>
        <v>22.551996145492183</v>
      </c>
      <c r="I45" s="2">
        <f ca="1">IF('Datos Instalación'!$F$6="Autoconsumo Individual con Excedentes",IF(I9&gt;Auxiliares!$D18/$A45,Producción!I9-Auxiliares!$D18/$A45,0),0)</f>
        <v>22.411846163628496</v>
      </c>
      <c r="J45" s="2">
        <f ca="1">IF('Datos Instalación'!$F$6="Autoconsumo Individual con Excedentes",IF(J9&gt;Auxiliares!$D18/$A45,Producción!J9-Auxiliares!$D18/$A45,0),0)</f>
        <v>22.272452991666871</v>
      </c>
      <c r="K45" s="2">
        <f ca="1">IF('Datos Instalación'!$F$6="Autoconsumo Individual con Excedentes",IF(K9&gt;Auxiliares!$D18/$A45,Producción!K9-Auxiliares!$D18/$A45,0),0)</f>
        <v>22.133812542833844</v>
      </c>
      <c r="L45" s="2">
        <f ca="1">IF('Datos Instalación'!$F$6="Autoconsumo Individual con Excedentes",IF(L9&gt;Auxiliares!$D18/$A45,Producción!L9-Auxiliares!$D18/$A45,0),0)</f>
        <v>21.995920752424514</v>
      </c>
      <c r="M45" s="2">
        <f ca="1">IF('Datos Instalación'!$F$6="Autoconsumo Individual con Excedentes",IF(M9&gt;Auxiliares!$D18/$A45,Producción!M9-Auxiliares!$D18/$A45,0),0)</f>
        <v>21.858773577683397</v>
      </c>
      <c r="N45" s="2">
        <f ca="1">IF('Datos Instalación'!$F$6="Autoconsumo Individual con Excedentes",IF(N9&gt;Auxiliares!$D18/$A45,Producción!N9-Auxiliares!$D18/$A45,0),0)</f>
        <v>21.722366997685874</v>
      </c>
      <c r="O45" s="2">
        <f ca="1">IF('Datos Instalación'!$F$6="Autoconsumo Individual con Excedentes",IF(O9&gt;Auxiliares!$D18/$A45,Producción!O9-Auxiliares!$D18/$A45,0),0)</f>
        <v>21.586697013220345</v>
      </c>
      <c r="P45" s="2">
        <f ca="1">IF('Datos Instalación'!$F$6="Autoconsumo Individual con Excedentes",IF(P9&gt;Auxiliares!$D18/$A45,Producción!P9-Auxiliares!$D18/$A45,0),0)</f>
        <v>21.451759646670926</v>
      </c>
      <c r="Q45" s="2">
        <f ca="1">IF('Datos Instalación'!$F$6="Autoconsumo Individual con Excedentes",IF(Q9&gt;Auxiliares!$D18/$A45,Producción!Q9-Auxiliares!$D18/$A45,0),0)</f>
        <v>21.317550941900876</v>
      </c>
      <c r="R45" s="2">
        <f ca="1">IF('Datos Instalación'!$F$6="Autoconsumo Individual con Excedentes",IF(R9&gt;Auxiliares!$D18/$A45,Producción!R9-Auxiliares!$D18/$A45,0),0)</f>
        <v>21.184066964136584</v>
      </c>
      <c r="S45" s="2">
        <f ca="1">IF('Datos Instalación'!$F$6="Autoconsumo Individual con Excedentes",IF(S9&gt;Auxiliares!$D18/$A45,Producción!S9-Auxiliares!$D18/$A45,0),0)</f>
        <v>21.051303799852217</v>
      </c>
      <c r="T45" s="2">
        <f ca="1">IF('Datos Instalación'!$F$6="Autoconsumo Individual con Excedentes",IF(T9&gt;Auxiliares!$D18/$A45,Producción!T9-Auxiliares!$D18/$A45,0),0)</f>
        <v>20.919257556654987</v>
      </c>
      <c r="U45" s="2">
        <f ca="1">IF('Datos Instalación'!$F$6="Autoconsumo Individual con Excedentes",IF(U9&gt;Auxiliares!$D18/$A45,Producción!U9-Auxiliares!$D18/$A45,0),0)</f>
        <v>20.787924363171022</v>
      </c>
      <c r="V45" s="2">
        <f ca="1">IF('Datos Instalación'!$F$6="Autoconsumo Individual con Excedentes",IF(V9&gt;Auxiliares!$D18/$A45,Producción!V9-Auxiliares!$D18/$A45,0),0)</f>
        <v>20.657300368931871</v>
      </c>
      <c r="W45" s="2">
        <f ca="1">IF('Datos Instalación'!$F$6="Autoconsumo Individual con Excedentes",IF(W9&gt;Auxiliares!$D18/$A45,Producción!W9-Auxiliares!$D18/$A45,0),0)</f>
        <v>20.527381744261614</v>
      </c>
      <c r="X45" s="2">
        <f ca="1">IF('Datos Instalación'!$F$6="Autoconsumo Individual con Excedentes",IF(X9&gt;Auxiliares!$D18/$A45,Producción!X9-Auxiliares!$D18/$A45,0),0)</f>
        <v>20.398164680164573</v>
      </c>
      <c r="Y45" s="2">
        <f ca="1">IF('Datos Instalación'!$F$6="Autoconsumo Individual con Excedentes",IF(Y9&gt;Auxiliares!$D18/$A45,Producción!Y9-Auxiliares!$D18/$A45,0),0)</f>
        <v>20.26964538821365</v>
      </c>
      <c r="Z45" s="2">
        <f ca="1">IF('Datos Instalación'!$F$6="Autoconsumo Individual con Excedentes",IF(Z9&gt;Auxiliares!$D18/$A45,Producción!Z9-Auxiliares!$D18/$A45,0),0)</f>
        <v>20.141820100439272</v>
      </c>
      <c r="AA45" s="2">
        <f ca="1">IF('Datos Instalación'!$F$6="Autoconsumo Individual con Excedentes",IF(AA9&gt;Auxiliares!$D18/$A45,Producción!AA9-Auxiliares!$D18/$A45,0),0)</f>
        <v>20.014685069218874</v>
      </c>
      <c r="AB45" s="2">
        <f ca="1">IF('Datos Instalación'!$F$6="Autoconsumo Individual con Excedentes",IF(AB9&gt;Auxiliares!$D18/$A45,Producción!AB9-Auxiliares!$D18/$A45,0),0)</f>
        <v>19.888236567167059</v>
      </c>
      <c r="AC45" s="2">
        <f ca="1">IF('Datos Instalación'!$F$6="Autoconsumo Individual con Excedentes",IF(AC9&gt;Auxiliares!$D18/$A45,Producción!AC9-Auxiliares!$D18/$A45,0),0)</f>
        <v>19.762470887026328</v>
      </c>
      <c r="AD45" s="2">
        <f ca="1">IF('Datos Instalación'!$F$6="Autoconsumo Individual con Excedentes",IF(AD9&gt;Auxiliares!$D18/$A45,Producción!AD9-Auxiliares!$D18/$A45,0),0)</f>
        <v>19.637384341558359</v>
      </c>
      <c r="AE45" s="2">
        <f ca="1">IF('Datos Instalación'!$F$6="Autoconsumo Individual con Excedentes",IF(AE9&gt;Auxiliares!$D18/$A45,Producción!AE9-Auxiliares!$D18/$A45,0),0)</f>
        <v>19.512973263435914</v>
      </c>
      <c r="AF45" s="2">
        <f ca="1">IF('Datos Instalación'!$F$6="Autoconsumo Individual con Excedentes",IF(AF9&gt;Auxiliares!$D18/$A45,Producción!AF9-Auxiliares!$D18/$A45,0),0)</f>
        <v>19.389234005135336</v>
      </c>
      <c r="AG45" s="2">
        <f ca="1">IF('Datos Instalación'!$F$6="Autoconsumo Individual con Excedentes",IF(AG9&gt;Auxiliares!$D18/$A45,Producción!AG9-Auxiliares!$D18/$A45,0),0)</f>
        <v>19.266162938829574</v>
      </c>
    </row>
    <row r="46" spans="1:34">
      <c r="A46" s="2">
        <v>30</v>
      </c>
      <c r="B46" s="12" t="s">
        <v>7</v>
      </c>
      <c r="C46" s="2">
        <f ca="1">IF('Datos Instalación'!$F$6="Autoconsumo Individual con Excedentes",IF(C10&gt;Auxiliares!$D19/$A46,Producción!C10-Auxiliares!$D19/$A46,0),0)</f>
        <v>26.464631298113204</v>
      </c>
      <c r="D46" s="2">
        <f ca="1">IF('Datos Instalación'!$F$6="Autoconsumo Individual con Excedentes",IF(D10&gt;Auxiliares!$D19/$A46,Producción!D10-Auxiliares!$D19/$A46,0),0)</f>
        <v>26.304849836273203</v>
      </c>
      <c r="E46" s="2">
        <f ca="1">IF('Datos Instalación'!$F$6="Autoconsumo Individual con Excedentes",IF(E10&gt;Auxiliares!$D19/$A46,Producción!E10-Auxiliares!$D19/$A46,0),0)</f>
        <v>26.145931194327144</v>
      </c>
      <c r="F46" s="2">
        <f ca="1">IF('Datos Instalación'!$F$6="Autoconsumo Individual con Excedentes",IF(F10&gt;Auxiliares!$D19/$A46,Producción!F10-Auxiliares!$D19/$A46,0),0)</f>
        <v>25.987870713047592</v>
      </c>
      <c r="G46" s="2">
        <f ca="1">IF('Datos Instalación'!$F$6="Autoconsumo Individual con Excedentes",IF(G10&gt;Auxiliares!$D19/$A46,Producción!G10-Auxiliares!$D19/$A46,0),0)</f>
        <v>25.830663758366942</v>
      </c>
      <c r="H46" s="2">
        <f ca="1">IF('Datos Instalación'!$F$6="Autoconsumo Individual con Excedentes",IF(H10&gt;Auxiliares!$D19/$A46,Producción!H10-Auxiliares!$D19/$A46,0),0)</f>
        <v>25.67430572124157</v>
      </c>
      <c r="I46" s="2">
        <f ca="1">IF('Datos Instalación'!$F$6="Autoconsumo Individual con Excedentes",IF(I10&gt;Auxiliares!$D19/$A46,Producción!I10-Auxiliares!$D19/$A46,0),0)</f>
        <v>25.518792017516677</v>
      </c>
      <c r="J46" s="2">
        <f ca="1">IF('Datos Instalación'!$F$6="Autoconsumo Individual con Excedentes",IF(J10&gt;Auxiliares!$D19/$A46,Producción!J10-Auxiliares!$D19/$A46,0),0)</f>
        <v>25.364118087791905</v>
      </c>
      <c r="K46" s="2">
        <f ca="1">IF('Datos Instalación'!$F$6="Autoconsumo Individual con Excedentes",IF(K10&gt;Auxiliares!$D19/$A46,Producción!K10-Auxiliares!$D19/$A46,0),0)</f>
        <v>25.210279397287643</v>
      </c>
      <c r="L46" s="2">
        <f ca="1">IF('Datos Instalación'!$F$6="Autoconsumo Individual con Excedentes",IF(L10&gt;Auxiliares!$D19/$A46,Producción!L10-Auxiliares!$D19/$A46,0),0)</f>
        <v>25.057271435712096</v>
      </c>
      <c r="M46" s="2">
        <f ca="1">IF('Datos Instalación'!$F$6="Autoconsumo Individual con Excedentes",IF(M10&gt;Auxiliares!$D19/$A46,Producción!M10-Auxiliares!$D19/$A46,0),0)</f>
        <v>24.905089717129059</v>
      </c>
      <c r="N46" s="2">
        <f ca="1">IF('Datos Instalación'!$F$6="Autoconsumo Individual con Excedentes",IF(N10&gt;Auxiliares!$D19/$A46,Producción!N10-Auxiliares!$D19/$A46,0),0)</f>
        <v>24.753729779826372</v>
      </c>
      <c r="O46" s="2">
        <f ca="1">IF('Datos Instalación'!$F$6="Autoconsumo Individual con Excedentes",IF(O10&gt;Auxiliares!$D19/$A46,Producción!O10-Auxiliares!$D19/$A46,0),0)</f>
        <v>24.603187186185124</v>
      </c>
      <c r="P46" s="2">
        <f ca="1">IF('Datos Instalación'!$F$6="Autoconsumo Individual con Excedentes",IF(P10&gt;Auxiliares!$D19/$A46,Producción!P10-Auxiliares!$D19/$A46,0),0)</f>
        <v>24.453457522549535</v>
      </c>
      <c r="Q46" s="2">
        <f ca="1">IF('Datos Instalación'!$F$6="Autoconsumo Individual con Excedentes",IF(Q10&gt;Auxiliares!$D19/$A46,Producción!Q10-Auxiliares!$D19/$A46,0),0)</f>
        <v>24.304536399097579</v>
      </c>
      <c r="R46" s="2">
        <f ca="1">IF('Datos Instalación'!$F$6="Autoconsumo Individual con Excedentes",IF(R10&gt;Auxiliares!$D19/$A46,Producción!R10-Auxiliares!$D19/$A46,0),0)</f>
        <v>24.156419449712264</v>
      </c>
      <c r="S46" s="2">
        <f ca="1">IF('Datos Instalación'!$F$6="Autoconsumo Individual con Excedentes",IF(S10&gt;Auxiliares!$D19/$A46,Producción!S10-Auxiliares!$D19/$A46,0),0)</f>
        <v>24.009102331853626</v>
      </c>
      <c r="T46" s="2">
        <f ca="1">IF('Datos Instalación'!$F$6="Autoconsumo Individual con Excedentes",IF(T10&gt;Auxiliares!$D19/$A46,Producción!T10-Auxiliares!$D19/$A46,0),0)</f>
        <v>23.862580726431428</v>
      </c>
      <c r="U46" s="2">
        <f ca="1">IF('Datos Instalación'!$F$6="Autoconsumo Individual con Excedentes",IF(U10&gt;Auxiliares!$D19/$A46,Producción!U10-Auxiliares!$D19/$A46,0),0)</f>
        <v>23.716850337678515</v>
      </c>
      <c r="V46" s="2">
        <f ca="1">IF('Datos Instalación'!$F$6="Autoconsumo Individual con Excedentes",IF(V10&gt;Auxiliares!$D19/$A46,Producción!V10-Auxiliares!$D19/$A46,0),0)</f>
        <v>23.57190689302486</v>
      </c>
      <c r="W46" s="2">
        <f ca="1">IF('Datos Instalación'!$F$6="Autoconsumo Individual con Excedentes",IF(W10&gt;Auxiliares!$D19/$A46,Producción!W10-Auxiliares!$D19/$A46,0),0)</f>
        <v>23.427746142972335</v>
      </c>
      <c r="X46" s="2">
        <f ca="1">IF('Datos Instalación'!$F$6="Autoconsumo Individual con Excedentes",IF(X10&gt;Auxiliares!$D19/$A46,Producción!X10-Auxiliares!$D19/$A46,0),0)</f>
        <v>23.2843638609701</v>
      </c>
      <c r="Y46" s="2">
        <f ca="1">IF('Datos Instalación'!$F$6="Autoconsumo Individual con Excedentes",IF(Y10&gt;Auxiliares!$D19/$A46,Producción!Y10-Auxiliares!$D19/$A46,0),0)</f>
        <v>23.141755843290674</v>
      </c>
      <c r="Z46" s="2">
        <f ca="1">IF('Datos Instalación'!$F$6="Autoconsumo Individual con Excedentes",IF(Z10&gt;Auxiliares!$D19/$A46,Producción!Z10-Auxiliares!$D19/$A46,0),0)</f>
        <v>22.999917908906713</v>
      </c>
      <c r="AA46" s="2">
        <f ca="1">IF('Datos Instalación'!$F$6="Autoconsumo Individual con Excedentes",IF(AA10&gt;Auxiliares!$D19/$A46,Producción!AA10-Auxiliares!$D19/$A46,0),0)</f>
        <v>22.858845899368426</v>
      </c>
      <c r="AB46" s="2">
        <f ca="1">IF('Datos Instalación'!$F$6="Autoconsumo Individual con Excedentes",IF(AB10&gt;Auxiliares!$D19/$A46,Producción!AB10-Auxiliares!$D19/$A46,0),0)</f>
        <v>22.718535678681647</v>
      </c>
      <c r="AC46" s="2">
        <f ca="1">IF('Datos Instalación'!$F$6="Autoconsumo Individual con Excedentes",IF(AC10&gt;Auxiliares!$D19/$A46,Producción!AC10-Auxiliares!$D19/$A46,0),0)</f>
        <v>22.578983133186576</v>
      </c>
      <c r="AD46" s="2">
        <f ca="1">IF('Datos Instalación'!$F$6="Autoconsumo Individual con Excedentes",IF(AD10&gt;Auxiliares!$D19/$A46,Producción!AD10-Auxiliares!$D19/$A46,0),0)</f>
        <v>22.440184171437178</v>
      </c>
      <c r="AE46" s="2">
        <f ca="1">IF('Datos Instalación'!$F$6="Autoconsumo Individual con Excedentes",IF(AE10&gt;Auxiliares!$D19/$A46,Producción!AE10-Auxiliares!$D19/$A46,0),0)</f>
        <v>22.302134724081231</v>
      </c>
      <c r="AF46" s="2">
        <f ca="1">IF('Datos Instalación'!$F$6="Autoconsumo Individual con Excedentes",IF(AF10&gt;Auxiliares!$D19/$A46,Producción!AF10-Auxiliares!$D19/$A46,0),0)</f>
        <v>22.164830743741003</v>
      </c>
      <c r="AG46" s="2">
        <f ca="1">IF('Datos Instalación'!$F$6="Autoconsumo Individual con Excedentes",IF(AG10&gt;Auxiliares!$D19/$A46,Producción!AG10-Auxiliares!$D19/$A46,0),0)</f>
        <v>22.028268204894612</v>
      </c>
    </row>
    <row r="47" spans="1:34">
      <c r="A47" s="2">
        <v>31</v>
      </c>
      <c r="B47" s="12" t="s">
        <v>8</v>
      </c>
      <c r="C47" s="2">
        <f ca="1">IF('Datos Instalación'!$F$6="Autoconsumo Individual con Excedentes",IF(C11&gt;Auxiliares!$D20/$A47,Producción!C11-Auxiliares!$D20/$A47,0),0)</f>
        <v>29.001663211442487</v>
      </c>
      <c r="D47" s="2">
        <f ca="1">IF('Datos Instalación'!$F$6="Autoconsumo Individual con Excedentes",IF(D11&gt;Auxiliares!$D20/$A47,Producción!D11-Auxiliares!$D20/$A47,0),0)</f>
        <v>28.828385879522489</v>
      </c>
      <c r="E47" s="2">
        <f ca="1">IF('Datos Instalación'!$F$6="Autoconsumo Individual con Excedentes",IF(E11&gt;Auxiliares!$D20/$A47,Producción!E11-Auxiliares!$D20/$A47,0),0)</f>
        <v>28.656044245194856</v>
      </c>
      <c r="F47" s="2">
        <f ca="1">IF('Datos Instalación'!$F$6="Autoconsumo Individual con Excedentes",IF(F11&gt;Auxiliares!$D20/$A47,Producción!F11-Auxiliares!$D20/$A47,0),0)</f>
        <v>28.484633255692589</v>
      </c>
      <c r="G47" s="2">
        <f ca="1">IF('Datos Instalación'!$F$6="Autoconsumo Individual con Excedentes",IF(G11&gt;Auxiliares!$D20/$A47,Producción!G11-Auxiliares!$D20/$A47,0),0)</f>
        <v>28.314147885533647</v>
      </c>
      <c r="H47" s="2">
        <f ca="1">IF('Datos Instalación'!$F$6="Autoconsumo Individual con Excedentes",IF(H11&gt;Auxiliares!$D20/$A47,Producción!H11-Auxiliares!$D20/$A47,0),0)</f>
        <v>28.144583136373548</v>
      </c>
      <c r="I47" s="2">
        <f ca="1">IF('Datos Instalación'!$F$6="Autoconsumo Individual con Excedentes",IF(I11&gt;Auxiliares!$D20/$A47,Producción!I11-Auxiliares!$D20/$A47,0),0)</f>
        <v>27.97593403685892</v>
      </c>
      <c r="J47" s="2">
        <f ca="1">IF('Datos Instalación'!$F$6="Autoconsumo Individual con Excedentes",IF(J11&gt;Auxiliares!$D20/$A47,Producción!J11-Auxiliares!$D20/$A47,0),0)</f>
        <v>27.808195642481671</v>
      </c>
      <c r="K47" s="2">
        <f ca="1">IF('Datos Instalación'!$F$6="Autoconsumo Individual con Excedentes",IF(K11&gt;Auxiliares!$D20/$A47,Producción!K11-Auxiliares!$D20/$A47,0),0)</f>
        <v>27.641363035434065</v>
      </c>
      <c r="L47" s="2">
        <f ca="1">IF('Datos Instalación'!$F$6="Autoconsumo Individual con Excedentes",IF(L11&gt;Auxiliares!$D20/$A47,Producción!L11-Auxiliares!$D20/$A47,0),0)</f>
        <v>27.475431324464509</v>
      </c>
      <c r="M47" s="2">
        <f ca="1">IF('Datos Instalación'!$F$6="Autoconsumo Individual con Excedentes",IF(M11&gt;Auxiliares!$D20/$A47,Producción!M11-Auxiliares!$D20/$A47,0),0)</f>
        <v>27.310395644734193</v>
      </c>
      <c r="N47" s="2">
        <f ca="1">IF('Datos Instalación'!$F$6="Autoconsumo Individual con Excedentes",IF(N11&gt;Auxiliares!$D20/$A47,Producción!N11-Auxiliares!$D20/$A47,0),0)</f>
        <v>27.146251157674413</v>
      </c>
      <c r="O47" s="2">
        <f ca="1">IF('Datos Instalación'!$F$6="Autoconsumo Individual con Excedentes",IF(O11&gt;Auxiliares!$D20/$A47,Producción!O11-Auxiliares!$D20/$A47,0),0)</f>
        <v>26.982993050844762</v>
      </c>
      <c r="P47" s="2">
        <f ca="1">IF('Datos Instalación'!$F$6="Autoconsumo Individual con Excedentes",IF(P11&gt;Auxiliares!$D20/$A47,Producción!P11-Auxiliares!$D20/$A47,0),0)</f>
        <v>26.820616537791992</v>
      </c>
      <c r="Q47" s="2">
        <f ca="1">IF('Datos Instalación'!$F$6="Autoconsumo Individual con Excedentes",IF(Q11&gt;Auxiliares!$D20/$A47,Producción!Q11-Auxiliares!$D20/$A47,0),0)</f>
        <v>26.659116857909702</v>
      </c>
      <c r="R47" s="2">
        <f ca="1">IF('Datos Instalación'!$F$6="Autoconsumo Individual con Excedentes",IF(R11&gt;Auxiliares!$D20/$A47,Producción!R11-Auxiliares!$D20/$A47,0),0)</f>
        <v>26.498489276298777</v>
      </c>
      <c r="S47" s="2">
        <f ca="1">IF('Datos Instalación'!$F$6="Autoconsumo Individual con Excedentes",IF(S11&gt;Auxiliares!$D20/$A47,Producción!S11-Auxiliares!$D20/$A47,0),0)</f>
        <v>26.338729083628547</v>
      </c>
      <c r="T47" s="2">
        <f ca="1">IF('Datos Instalación'!$F$6="Autoconsumo Individual con Excedentes",IF(T11&gt;Auxiliares!$D20/$A47,Producción!T11-Auxiliares!$D20/$A47,0),0)</f>
        <v>26.179831595998746</v>
      </c>
      <c r="U47" s="2">
        <f ca="1">IF('Datos Instalación'!$F$6="Autoconsumo Individual con Excedentes",IF(U11&gt;Auxiliares!$D20/$A47,Producción!U11-Auxiliares!$D20/$A47,0),0)</f>
        <v>26.021792154802146</v>
      </c>
      <c r="V47" s="2">
        <f ca="1">IF('Datos Instalación'!$F$6="Autoconsumo Individual con Excedentes",IF(V11&gt;Auxiliares!$D20/$A47,Producción!V11-Auxiliares!$D20/$A47,0),0)</f>
        <v>25.864606126588004</v>
      </c>
      <c r="W47" s="2">
        <f ca="1">IF('Datos Instalación'!$F$6="Autoconsumo Individual con Excedentes",IF(W11&gt;Auxiliares!$D20/$A47,Producción!W11-Auxiliares!$D20/$A47,0),0)</f>
        <v>25.708268902926218</v>
      </c>
      <c r="X47" s="2">
        <f ca="1">IF('Datos Instalación'!$F$6="Autoconsumo Individual con Excedentes",IF(X11&gt;Auxiliares!$D20/$A47,Producción!X11-Auxiliares!$D20/$A47,0),0)</f>
        <v>25.552775900272206</v>
      </c>
      <c r="Y47" s="2">
        <f ca="1">IF('Datos Instalación'!$F$6="Autoconsumo Individual con Excedentes",IF(Y11&gt;Auxiliares!$D20/$A47,Producción!Y11-Auxiliares!$D20/$A47,0),0)</f>
        <v>25.398122559832522</v>
      </c>
      <c r="Z47" s="2">
        <f ca="1">IF('Datos Instalación'!$F$6="Autoconsumo Individual con Excedentes",IF(Z11&gt;Auxiliares!$D20/$A47,Producción!Z11-Auxiliares!$D20/$A47,0),0)</f>
        <v>25.244304347431218</v>
      </c>
      <c r="AA47" s="2">
        <f ca="1">IF('Datos Instalación'!$F$6="Autoconsumo Individual con Excedentes",IF(AA11&gt;Auxiliares!$D20/$A47,Producción!AA11-Auxiliares!$D20/$A47,0),0)</f>
        <v>25.09131675337688</v>
      </c>
      <c r="AB47" s="2">
        <f ca="1">IF('Datos Instalación'!$F$6="Autoconsumo Individual con Excedentes",IF(AB11&gt;Auxiliares!$D20/$A47,Producción!AB11-Auxiliares!$D20/$A47,0),0)</f>
        <v>24.939155292330437</v>
      </c>
      <c r="AC47" s="2">
        <f ca="1">IF('Datos Instalación'!$F$6="Autoconsumo Individual con Excedentes",IF(AC11&gt;Auxiliares!$D20/$A47,Producción!AC11-Auxiliares!$D20/$A47,0),0)</f>
        <v>24.787815503173636</v>
      </c>
      <c r="AD47" s="2">
        <f ca="1">IF('Datos Instalación'!$F$6="Autoconsumo Individual con Excedentes",IF(AD11&gt;Auxiliares!$D20/$A47,Producción!AD11-Auxiliares!$D20/$A47,0),0)</f>
        <v>24.63729294887829</v>
      </c>
      <c r="AE47" s="2">
        <f ca="1">IF('Datos Instalación'!$F$6="Autoconsumo Individual con Excedentes",IF(AE11&gt;Auxiliares!$D20/$A47,Producción!AE11-Auxiliares!$D20/$A47,0),0)</f>
        <v>24.487583216376134</v>
      </c>
      <c r="AF47" s="2">
        <f ca="1">IF('Datos Instalación'!$F$6="Autoconsumo Individual con Excedentes",IF(AF11&gt;Auxiliares!$D20/$A47,Producción!AF11-Auxiliares!$D20/$A47,0),0)</f>
        <v>24.33868191642949</v>
      </c>
      <c r="AG47" s="2">
        <f ca="1">IF('Datos Instalación'!$F$6="Autoconsumo Individual con Excedentes",IF(AG11&gt;Auxiliares!$D20/$A47,Producción!AG11-Auxiliares!$D20/$A47,0),0)</f>
        <v>24.190584683502561</v>
      </c>
    </row>
    <row r="48" spans="1:34">
      <c r="A48" s="2">
        <v>30</v>
      </c>
      <c r="B48" s="12" t="s">
        <v>9</v>
      </c>
      <c r="C48" s="2">
        <f ca="1">IF('Datos Instalación'!$F$6="Autoconsumo Individual con Excedentes",IF(C12&gt;Auxiliares!$D21/$A48,Producción!C12-Auxiliares!$D21/$A48,0),0)</f>
        <v>30.105610018867921</v>
      </c>
      <c r="D48" s="2">
        <f ca="1">IF('Datos Instalación'!$F$6="Autoconsumo Individual con Excedentes",IF(D12&gt;Auxiliares!$D21/$A48,Producción!D12-Auxiliares!$D21/$A48,0),0)</f>
        <v>29.925464253067922</v>
      </c>
      <c r="E48" s="2">
        <f ca="1">IF('Datos Instalación'!$F$6="Autoconsumo Individual con Excedentes",IF(E12&gt;Auxiliares!$D21/$A48,Producción!E12-Auxiliares!$D21/$A48,0),0)</f>
        <v>29.746291274403241</v>
      </c>
      <c r="F48" s="2">
        <f ca="1">IF('Datos Instalación'!$F$6="Autoconsumo Individual con Excedentes",IF(F12&gt;Auxiliares!$D21/$A48,Producción!F12-Auxiliares!$D21/$A48,0),0)</f>
        <v>29.568085829823346</v>
      </c>
      <c r="G48" s="2">
        <f ca="1">IF('Datos Instalación'!$F$6="Autoconsumo Individual con Excedentes",IF(G12&gt;Auxiliares!$D21/$A48,Producción!G12-Auxiliares!$D21/$A48,0),0)</f>
        <v>29.390842694644192</v>
      </c>
      <c r="H48" s="2">
        <f ca="1">IF('Datos Instalación'!$F$6="Autoconsumo Individual con Excedentes",IF(H12&gt;Auxiliares!$D21/$A48,Producción!H12-Auxiliares!$D21/$A48,0),0)</f>
        <v>29.214556672394991</v>
      </c>
      <c r="I48" s="2">
        <f ca="1">IF('Datos Instalación'!$F$6="Autoconsumo Individual con Excedentes",IF(I12&gt;Auxiliares!$D21/$A48,Producción!I12-Auxiliares!$D21/$A48,0),0)</f>
        <v>29.039222594665958</v>
      </c>
      <c r="J48" s="2">
        <f ca="1">IF('Datos Instalación'!$F$6="Autoconsumo Individual con Excedentes",IF(J12&gt;Auxiliares!$D21/$A48,Producción!J12-Auxiliares!$D21/$A48,0),0)</f>
        <v>28.864835320956651</v>
      </c>
      <c r="K48" s="2">
        <f ca="1">IF('Datos Instalación'!$F$6="Autoconsumo Individual con Excedentes",IF(K12&gt;Auxiliares!$D21/$A48,Producción!K12-Auxiliares!$D21/$A48,0),0)</f>
        <v>28.691389738525366</v>
      </c>
      <c r="L48" s="2">
        <f ca="1">IF('Datos Instalación'!$F$6="Autoconsumo Individual con Excedentes",IF(L12&gt;Auxiliares!$D21/$A48,Producción!L12-Auxiliares!$D21/$A48,0),0)</f>
        <v>28.51888076223922</v>
      </c>
      <c r="M48" s="2">
        <f ca="1">IF('Datos Instalación'!$F$6="Autoconsumo Individual con Excedentes",IF(M12&gt;Auxiliares!$D21/$A48,Producción!M12-Auxiliares!$D21/$A48,0),0)</f>
        <v>28.347303334425014</v>
      </c>
      <c r="N48" s="2">
        <f ca="1">IF('Datos Instalación'!$F$6="Autoconsumo Individual con Excedentes",IF(N12&gt;Auxiliares!$D21/$A48,Producción!N12-Auxiliares!$D21/$A48,0),0)</f>
        <v>28.176652424721013</v>
      </c>
      <c r="O48" s="2">
        <f ca="1">IF('Datos Instalación'!$F$6="Autoconsumo Individual con Excedentes",IF(O12&gt;Auxiliares!$D21/$A48,Producción!O12-Auxiliares!$D21/$A48,0),0)</f>
        <v>28.006923029929396</v>
      </c>
      <c r="P48" s="2">
        <f ca="1">IF('Datos Instalación'!$F$6="Autoconsumo Individual con Excedentes",IF(P12&gt;Auxiliares!$D21/$A48,Producción!P12-Auxiliares!$D21/$A48,0),0)</f>
        <v>27.838110173869662</v>
      </c>
      <c r="Q48" s="2">
        <f ca="1">IF('Datos Instalación'!$F$6="Autoconsumo Individual con Excedentes",IF(Q12&gt;Auxiliares!$D21/$A48,Producción!Q12-Auxiliares!$D21/$A48,0),0)</f>
        <v>27.670208907232652</v>
      </c>
      <c r="R48" s="2">
        <f ca="1">IF('Datos Instalación'!$F$6="Autoconsumo Individual con Excedentes",IF(R12&gt;Auxiliares!$D21/$A48,Producción!R12-Auxiliares!$D21/$A48,0),0)</f>
        <v>27.503214307435481</v>
      </c>
      <c r="S48" s="2">
        <f ca="1">IF('Datos Instalación'!$F$6="Autoconsumo Individual con Excedentes",IF(S12&gt;Auxiliares!$D21/$A48,Producción!S12-Auxiliares!$D21/$A48,0),0)</f>
        <v>27.337121478477219</v>
      </c>
      <c r="T48" s="2">
        <f ca="1">IF('Datos Instalación'!$F$6="Autoconsumo Individual con Excedentes",IF(T12&gt;Auxiliares!$D21/$A48,Producción!T12-Auxiliares!$D21/$A48,0),0)</f>
        <v>27.171925550795329</v>
      </c>
      <c r="U48" s="2">
        <f ca="1">IF('Datos Instalación'!$F$6="Autoconsumo Individual con Excedentes",IF(U12&gt;Auxiliares!$D21/$A48,Producción!U12-Auxiliares!$D21/$A48,0),0)</f>
        <v>27.007621681122917</v>
      </c>
      <c r="V48" s="2">
        <f ca="1">IF('Datos Instalación'!$F$6="Autoconsumo Individual con Excedentes",IF(V12&gt;Auxiliares!$D21/$A48,Producción!V12-Auxiliares!$D21/$A48,0),0)</f>
        <v>26.844205052346744</v>
      </c>
      <c r="W48" s="2">
        <f ca="1">IF('Datos Instalación'!$F$6="Autoconsumo Individual con Excedentes",IF(W12&gt;Auxiliares!$D21/$A48,Producción!W12-Auxiliares!$D21/$A48,0),0)</f>
        <v>26.68167087336596</v>
      </c>
      <c r="X48" s="2">
        <f ca="1">IF('Datos Instalación'!$F$6="Autoconsumo Individual con Excedentes",IF(X12&gt;Auxiliares!$D21/$A48,Producción!X12-Auxiliares!$D21/$A48,0),0)</f>
        <v>26.520014378951668</v>
      </c>
      <c r="Y48" s="2">
        <f ca="1">IF('Datos Instalación'!$F$6="Autoconsumo Individual con Excedentes",IF(Y12&gt;Auxiliares!$D21/$A48,Producción!Y12-Auxiliares!$D21/$A48,0),0)</f>
        <v>26.359230829607217</v>
      </c>
      <c r="Z48" s="2">
        <f ca="1">IF('Datos Instalación'!$F$6="Autoconsumo Individual con Excedentes",IF(Z12&gt;Auxiliares!$D21/$A48,Producción!Z12-Auxiliares!$D21/$A48,0),0)</f>
        <v>26.199315511429226</v>
      </c>
      <c r="AA48" s="2">
        <f ca="1">IF('Datos Instalación'!$F$6="Autoconsumo Individual con Excedentes",IF(AA12&gt;Auxiliares!$D21/$A48,Producción!AA12-Auxiliares!$D21/$A48,0),0)</f>
        <v>26.04026373596939</v>
      </c>
      <c r="AB48" s="2">
        <f ca="1">IF('Datos Instalación'!$F$6="Autoconsumo Individual con Excedentes",IF(AB12&gt;Auxiliares!$D21/$A48,Producción!AB12-Auxiliares!$D21/$A48,0),0)</f>
        <v>25.882070840097047</v>
      </c>
      <c r="AC48" s="2">
        <f ca="1">IF('Datos Instalación'!$F$6="Autoconsumo Individual con Excedentes",IF(AC12&gt;Auxiliares!$D21/$A48,Producción!AC12-Auxiliares!$D21/$A48,0),0)</f>
        <v>25.724732185862408</v>
      </c>
      <c r="AD48" s="2">
        <f ca="1">IF('Datos Instalación'!$F$6="Autoconsumo Individual con Excedentes",IF(AD12&gt;Auxiliares!$D21/$A48,Producción!AD12-Auxiliares!$D21/$A48,0),0)</f>
        <v>25.568243160360637</v>
      </c>
      <c r="AE48" s="2">
        <f ca="1">IF('Datos Instalación'!$F$6="Autoconsumo Individual con Excedentes",IF(AE12&gt;Auxiliares!$D21/$A48,Producción!AE12-Auxiliares!$D21/$A48,0),0)</f>
        <v>25.412599175596576</v>
      </c>
      <c r="AF48" s="2">
        <f ca="1">IF('Datos Instalación'!$F$6="Autoconsumo Individual con Excedentes",IF(AF12&gt;Auxiliares!$D21/$A48,Producción!AF12-Auxiliares!$D21/$A48,0),0)</f>
        <v>25.257795668350241</v>
      </c>
      <c r="AG48" s="2">
        <f ca="1">IF('Datos Instalación'!$F$6="Autoconsumo Individual con Excedentes",IF(AG12&gt;Auxiliares!$D21/$A48,Producción!AG12-Auxiliares!$D21/$A48,0),0)</f>
        <v>25.103828100043035</v>
      </c>
    </row>
    <row r="49" spans="1:34">
      <c r="A49" s="2">
        <v>31</v>
      </c>
      <c r="B49" s="12" t="s">
        <v>10</v>
      </c>
      <c r="C49" s="2">
        <f ca="1">IF('Datos Instalación'!$F$6="Autoconsumo Individual con Excedentes",IF(C13&gt;Auxiliares!$D22/$A49,Producción!C13-Auxiliares!$D22/$A49,0),0)</f>
        <v>28.852172422641512</v>
      </c>
      <c r="D49" s="2">
        <f ca="1">IF('Datos Instalación'!$F$6="Autoconsumo Individual con Excedentes",IF(D13&gt;Auxiliares!$D22/$A49,Producción!D13-Auxiliares!$D22/$A49,0),0)</f>
        <v>28.675280125521514</v>
      </c>
      <c r="E49" s="2">
        <f ca="1">IF('Datos Instalación'!$F$6="Autoconsumo Individual con Excedentes",IF(E13&gt;Auxiliares!$D22/$A49,Producción!E13-Auxiliares!$D22/$A49,0),0)</f>
        <v>28.499343046805965</v>
      </c>
      <c r="F49" s="2">
        <f ca="1">IF('Datos Instalación'!$F$6="Autoconsumo Individual con Excedentes",IF(F13&gt;Auxiliares!$D22/$A49,Producción!F13-Auxiliares!$D22/$A49,0),0)</f>
        <v>28.324356028315474</v>
      </c>
      <c r="G49" s="2">
        <f ca="1">IF('Datos Instalación'!$F$6="Autoconsumo Individual con Excedentes",IF(G13&gt;Auxiliares!$D22/$A49,Producción!G13-Auxiliares!$D22/$A49,0),0)</f>
        <v>28.150313939724835</v>
      </c>
      <c r="H49" s="2">
        <f ca="1">IF('Datos Instalación'!$F$6="Autoconsumo Individual con Excedentes",IF(H13&gt;Auxiliares!$D22/$A49,Producción!H13-Auxiliares!$D22/$A49,0),0)</f>
        <v>27.977211678412583</v>
      </c>
      <c r="I49" s="2">
        <f ca="1">IF('Datos Instalación'!$F$6="Autoconsumo Individual con Excedentes",IF(I13&gt;Auxiliares!$D22/$A49,Producción!I13-Auxiliares!$D22/$A49,0),0)</f>
        <v>27.805044169311426</v>
      </c>
      <c r="J49" s="2">
        <f ca="1">IF('Datos Instalación'!$F$6="Autoconsumo Individual con Excedentes",IF(J13&gt;Auxiliares!$D22/$A49,Producción!J13-Auxiliares!$D22/$A49,0),0)</f>
        <v>27.633806364759408</v>
      </c>
      <c r="K49" s="2">
        <f ca="1">IF('Datos Instalación'!$F$6="Autoconsumo Individual con Excedentes",IF(K13&gt;Auxiliares!$D22/$A49,Producción!K13-Auxiliares!$D22/$A49,0),0)</f>
        <v>27.463493244351969</v>
      </c>
      <c r="L49" s="2">
        <f ca="1">IF('Datos Instalación'!$F$6="Autoconsumo Individual con Excedentes",IF(L13&gt;Auxiliares!$D22/$A49,Producción!L13-Auxiliares!$D22/$A49,0),0)</f>
        <v>27.294099814794734</v>
      </c>
      <c r="M49" s="2">
        <f ca="1">IF('Datos Instalación'!$F$6="Autoconsumo Individual con Excedentes",IF(M13&gt;Auxiliares!$D22/$A49,Producción!M13-Auxiliares!$D22/$A49,0),0)</f>
        <v>27.125621109757098</v>
      </c>
      <c r="N49" s="2">
        <f ca="1">IF('Datos Instalación'!$F$6="Autoconsumo Individual con Excedentes",IF(N13&gt;Auxiliares!$D22/$A49,Producción!N13-Auxiliares!$D22/$A49,0),0)</f>
        <v>26.958052189726676</v>
      </c>
      <c r="O49" s="2">
        <f ca="1">IF('Datos Instalación'!$F$6="Autoconsumo Individual con Excedentes",IF(O13&gt;Auxiliares!$D22/$A49,Producción!O13-Auxiliares!$D22/$A49,0),0)</f>
        <v>26.79138814186442</v>
      </c>
      <c r="P49" s="2">
        <f ca="1">IF('Datos Instalación'!$F$6="Autoconsumo Individual con Excedentes",IF(P13&gt;Auxiliares!$D22/$A49,Producción!P13-Auxiliares!$D22/$A49,0),0)</f>
        <v>26.625624079860611</v>
      </c>
      <c r="Q49" s="2">
        <f ca="1">IF('Datos Instalación'!$F$6="Autoconsumo Individual con Excedentes",IF(Q13&gt;Auxiliares!$D22/$A49,Producción!Q13-Auxiliares!$D22/$A49,0),0)</f>
        <v>26.46075514379163</v>
      </c>
      <c r="R49" s="2">
        <f ca="1">IF('Datos Instalación'!$F$6="Autoconsumo Individual con Excedentes",IF(R13&gt;Auxiliares!$D22/$A49,Producción!R13-Auxiliares!$D22/$A49,0),0)</f>
        <v>26.296776499977419</v>
      </c>
      <c r="S49" s="2">
        <f ca="1">IF('Datos Instalación'!$F$6="Autoconsumo Individual con Excedentes",IF(S13&gt;Auxiliares!$D22/$A49,Producción!S13-Auxiliares!$D22/$A49,0),0)</f>
        <v>26.133683340839806</v>
      </c>
      <c r="T49" s="2">
        <f ca="1">IF('Datos Instalación'!$F$6="Autoconsumo Individual con Excedentes",IF(T13&gt;Auxiliares!$D22/$A49,Producción!T13-Auxiliares!$D22/$A49,0),0)</f>
        <v>25.971470884761537</v>
      </c>
      <c r="U49" s="2">
        <f ca="1">IF('Datos Instalación'!$F$6="Autoconsumo Individual con Excedentes",IF(U13&gt;Auxiliares!$D22/$A49,Producción!U13-Auxiliares!$D22/$A49,0),0)</f>
        <v>25.810134375946085</v>
      </c>
      <c r="V49" s="2">
        <f ca="1">IF('Datos Instalación'!$F$6="Autoconsumo Individual con Excedentes",IF(V13&gt;Auxiliares!$D22/$A49,Producción!V13-Auxiliares!$D22/$A49,0),0)</f>
        <v>25.649669084278241</v>
      </c>
      <c r="W49" s="2">
        <f ca="1">IF('Datos Instalación'!$F$6="Autoconsumo Individual con Excedentes",IF(W13&gt;Auxiliares!$D22/$A49,Producción!W13-Auxiliares!$D22/$A49,0),0)</f>
        <v>25.490070305185405</v>
      </c>
      <c r="X49" s="2">
        <f ca="1">IF('Datos Instalación'!$F$6="Autoconsumo Individual con Excedentes",IF(X13&gt;Auxiliares!$D22/$A49,Producción!X13-Auxiliares!$D22/$A49,0),0)</f>
        <v>25.331333359499666</v>
      </c>
      <c r="Y49" s="2">
        <f ca="1">IF('Datos Instalación'!$F$6="Autoconsumo Individual con Excedentes",IF(Y13&gt;Auxiliares!$D22/$A49,Producción!Y13-Auxiliares!$D22/$A49,0),0)</f>
        <v>25.17345359332063</v>
      </c>
      <c r="Z49" s="2">
        <f ca="1">IF('Datos Instalación'!$F$6="Autoconsumo Individual con Excedentes",IF(Z13&gt;Auxiliares!$D22/$A49,Producción!Z13-Auxiliares!$D22/$A49,0),0)</f>
        <v>25.016426377878961</v>
      </c>
      <c r="AA49" s="2">
        <f ca="1">IF('Datos Instalación'!$F$6="Autoconsumo Individual con Excedentes",IF(AA13&gt;Auxiliares!$D22/$A49,Producción!AA13-Auxiliares!$D22/$A49,0),0)</f>
        <v>24.860247109400682</v>
      </c>
      <c r="AB49" s="2">
        <f ca="1">IF('Datos Instalación'!$F$6="Autoconsumo Individual con Excedentes",IF(AB13&gt;Auxiliares!$D22/$A49,Producción!AB13-Auxiliares!$D22/$A49,0),0)</f>
        <v>24.704911208972185</v>
      </c>
      <c r="AC49" s="2">
        <f ca="1">IF('Datos Instalación'!$F$6="Autoconsumo Individual con Excedentes",IF(AC13&gt;Auxiliares!$D22/$A49,Producción!AC13-Auxiliares!$D22/$A49,0),0)</f>
        <v>24.550414122405996</v>
      </c>
      <c r="AD49" s="2">
        <f ca="1">IF('Datos Instalación'!$F$6="Autoconsumo Individual con Excedentes",IF(AD13&gt;Auxiliares!$D22/$A49,Producción!AD13-Auxiliares!$D22/$A49,0),0)</f>
        <v>24.396751320107267</v>
      </c>
      <c r="AE49" s="2">
        <f ca="1">IF('Datos Instalación'!$F$6="Autoconsumo Individual con Excedentes",IF(AE13&gt;Auxiliares!$D22/$A49,Producción!AE13-Auxiliares!$D22/$A49,0),0)</f>
        <v>24.243918296940951</v>
      </c>
      <c r="AF49" s="2">
        <f ca="1">IF('Datos Instalación'!$F$6="Autoconsumo Individual con Excedentes",IF(AF13&gt;Auxiliares!$D22/$A49,Producción!AF13-Auxiliares!$D22/$A49,0),0)</f>
        <v>24.091910572099728</v>
      </c>
      <c r="AG49" s="2">
        <f ca="1">IF('Datos Instalación'!$F$6="Autoconsumo Individual con Excedentes",IF(AG13&gt;Auxiliares!$D22/$A49,Producción!AG13-Auxiliares!$D22/$A49,0),0)</f>
        <v>23.94072368897266</v>
      </c>
    </row>
    <row r="50" spans="1:34">
      <c r="A50" s="2">
        <v>31</v>
      </c>
      <c r="B50" s="12" t="s">
        <v>11</v>
      </c>
      <c r="C50" s="2">
        <f ca="1">IF('Datos Instalación'!$F$6="Autoconsumo Individual con Excedentes",IF(C14&gt;Auxiliares!$D23/$A50,Producción!C14-Auxiliares!$D23/$A50,0),0)</f>
        <v>27.254606922580649</v>
      </c>
      <c r="D50" s="2">
        <f ca="1">IF('Datos Instalación'!$F$6="Autoconsumo Individual con Excedentes",IF(D14&gt;Auxiliares!$D23/$A50,Producción!D14-Auxiliares!$D23/$A50,0),0)</f>
        <v>27.089403012940654</v>
      </c>
      <c r="E50" s="2">
        <f ca="1">IF('Datos Instalación'!$F$6="Autoconsumo Individual con Excedentes",IF(E14&gt;Auxiliares!$D23/$A50,Producción!E14-Auxiliares!$D23/$A50,0),0)</f>
        <v>26.925091204412709</v>
      </c>
      <c r="F50" s="2">
        <f ca="1">IF('Datos Instalación'!$F$6="Autoconsumo Individual con Excedentes",IF(F14&gt;Auxiliares!$D23/$A50,Producción!F14-Auxiliares!$D23/$A50,0),0)</f>
        <v>26.761666679650812</v>
      </c>
      <c r="G50" s="2">
        <f ca="1">IF('Datos Instalación'!$F$6="Autoconsumo Individual con Excedentes",IF(G14&gt;Auxiliares!$D23/$A50,Producción!G14-Auxiliares!$D23/$A50,0),0)</f>
        <v>26.599124647322629</v>
      </c>
      <c r="H50" s="2">
        <f ca="1">IF('Datos Instalación'!$F$6="Autoconsumo Individual con Excedentes",IF(H14&gt;Auxiliares!$D23/$A50,Producción!H14-Auxiliares!$D23/$A50,0),0)</f>
        <v>26.437460341969029</v>
      </c>
      <c r="I50" s="2">
        <f ca="1">IF('Datos Instalación'!$F$6="Autoconsumo Individual con Excedentes",IF(I14&gt;Auxiliares!$D23/$A50,Producción!I14-Auxiliares!$D23/$A50,0),0)</f>
        <v>26.276669023864326</v>
      </c>
      <c r="J50" s="2">
        <f ca="1">IF('Datos Instalación'!$F$6="Autoconsumo Individual con Excedentes",IF(J14&gt;Auxiliares!$D23/$A50,Producción!J14-Auxiliares!$D23/$A50,0),0)</f>
        <v>26.116745978877397</v>
      </c>
      <c r="K50" s="2">
        <f ca="1">IF('Datos Instalación'!$F$6="Autoconsumo Individual con Excedentes",IF(K14&gt;Auxiliares!$D23/$A50,Producción!K14-Auxiliares!$D23/$A50,0),0)</f>
        <v>25.9576865183334</v>
      </c>
      <c r="L50" s="2">
        <f ca="1">IF('Datos Instalación'!$F$6="Autoconsumo Individual con Excedentes",IF(L14&gt;Auxiliares!$D23/$A50,Producción!L14-Auxiliares!$D23/$A50,0),0)</f>
        <v>25.79948597887633</v>
      </c>
      <c r="M50" s="2">
        <f ca="1">IF('Datos Instalación'!$F$6="Autoconsumo Individual con Excedentes",IF(M14&gt;Auxiliares!$D23/$A50,Producción!M14-Auxiliares!$D23/$A50,0),0)</f>
        <v>25.642139722332331</v>
      </c>
      <c r="N50" s="2">
        <f ca="1">IF('Datos Instalación'!$F$6="Autoconsumo Individual con Excedentes",IF(N14&gt;Auxiliares!$D23/$A50,Producción!N14-Auxiliares!$D23/$A50,0),0)</f>
        <v>25.485643135573678</v>
      </c>
      <c r="O50" s="2">
        <f ca="1">IF('Datos Instalación'!$F$6="Autoconsumo Individual con Excedentes",IF(O14&gt;Auxiliares!$D23/$A50,Producción!O14-Auxiliares!$D23/$A50,0),0)</f>
        <v>25.329991630383518</v>
      </c>
      <c r="P50" s="2">
        <f ca="1">IF('Datos Instalación'!$F$6="Autoconsumo Individual con Excedentes",IF(P14&gt;Auxiliares!$D23/$A50,Producción!P14-Auxiliares!$D23/$A50,0),0)</f>
        <v>25.175180643321379</v>
      </c>
      <c r="Q50" s="2">
        <f ca="1">IF('Datos Instalación'!$F$6="Autoconsumo Individual con Excedentes",IF(Q14&gt;Auxiliares!$D23/$A50,Producción!Q14-Auxiliares!$D23/$A50,0),0)</f>
        <v>25.021205635589379</v>
      </c>
      <c r="R50" s="2">
        <f ca="1">IF('Datos Instalación'!$F$6="Autoconsumo Individual con Excedentes",IF(R14&gt;Auxiliares!$D23/$A50,Producción!R14-Auxiliares!$D23/$A50,0),0)</f>
        <v>24.86806209289913</v>
      </c>
      <c r="S50" s="2">
        <f ca="1">IF('Datos Instalación'!$F$6="Autoconsumo Individual con Excedentes",IF(S14&gt;Auxiliares!$D23/$A50,Producción!S14-Auxiliares!$D23/$A50,0),0)</f>
        <v>24.715745525339411</v>
      </c>
      <c r="T50" s="2">
        <f ca="1">IF('Datos Instalación'!$F$6="Autoconsumo Individual con Excedentes",IF(T14&gt;Auxiliares!$D23/$A50,Producción!T14-Auxiliares!$D23/$A50,0),0)</f>
        <v>24.564251467244514</v>
      </c>
      <c r="U50" s="2">
        <f ca="1">IF('Datos Instalación'!$F$6="Autoconsumo Individual con Excedentes",IF(U14&gt;Auxiliares!$D23/$A50,Producción!U14-Auxiliares!$D23/$A50,0),0)</f>
        <v>24.413575477063326</v>
      </c>
      <c r="V50" s="2">
        <f ca="1">IF('Datos Instalación'!$F$6="Autoconsumo Individual con Excedentes",IF(V14&gt;Auxiliares!$D23/$A50,Producción!V14-Auxiliares!$D23/$A50,0),0)</f>
        <v>24.263713137229118</v>
      </c>
      <c r="W50" s="2">
        <f ca="1">IF('Datos Instalación'!$F$6="Autoconsumo Individual con Excedentes",IF(W14&gt;Auxiliares!$D23/$A50,Producción!W14-Auxiliares!$D23/$A50,0),0)</f>
        <v>24.114660054030018</v>
      </c>
      <c r="X50" s="2">
        <f ca="1">IF('Datos Instalación'!$F$6="Autoconsumo Individual con Excedentes",IF(X14&gt;Auxiliares!$D23/$A50,Producción!X14-Auxiliares!$D23/$A50,0),0)</f>
        <v>23.966411857480196</v>
      </c>
      <c r="Y50" s="2">
        <f ca="1">IF('Datos Instalación'!$F$6="Autoconsumo Individual con Excedentes",IF(Y14&gt;Auxiliares!$D23/$A50,Producción!Y14-Auxiliares!$D23/$A50,0),0)</f>
        <v>23.818964201191736</v>
      </c>
      <c r="Z50" s="2">
        <f ca="1">IF('Datos Instalación'!$F$6="Autoconsumo Individual con Excedentes",IF(Z14&gt;Auxiliares!$D23/$A50,Producción!Z14-Auxiliares!$D23/$A50,0),0)</f>
        <v>23.672312762247234</v>
      </c>
      <c r="AA50" s="2">
        <f ca="1">IF('Datos Instalación'!$F$6="Autoconsumo Individual con Excedentes",IF(AA14&gt;Auxiliares!$D23/$A50,Producción!AA14-Auxiliares!$D23/$A50,0),0)</f>
        <v>23.526453241073035</v>
      </c>
      <c r="AB50" s="2">
        <f ca="1">IF('Datos Instalación'!$F$6="Autoconsumo Individual con Excedentes",IF(AB14&gt;Auxiliares!$D23/$A50,Producción!AB14-Auxiliares!$D23/$A50,0),0)</f>
        <v>23.381381361313178</v>
      </c>
      <c r="AC50" s="2">
        <f ca="1">IF('Datos Instalación'!$F$6="Autoconsumo Individual con Excedentes",IF(AC14&gt;Auxiliares!$D23/$A50,Producción!AC14-Auxiliares!$D23/$A50,0),0)</f>
        <v>23.237092869704018</v>
      </c>
      <c r="AD50" s="2">
        <f ca="1">IF('Datos Instalación'!$F$6="Autoconsumo Individual con Excedentes",IF(AD14&gt;Auxiliares!$D23/$A50,Producción!AD14-Auxiliares!$D23/$A50,0),0)</f>
        <v>23.093583535949552</v>
      </c>
      <c r="AE50" s="2">
        <f ca="1">IF('Datos Instalación'!$F$6="Autoconsumo Individual con Excedentes",IF(AE14&gt;Auxiliares!$D23/$A50,Producción!AE14-Auxiliares!$D23/$A50,0),0)</f>
        <v>22.950849152597364</v>
      </c>
      <c r="AF50" s="2">
        <f ca="1">IF('Datos Instalación'!$F$6="Autoconsumo Individual con Excedentes",IF(AF14&gt;Auxiliares!$D23/$A50,Producción!AF14-Auxiliares!$D23/$A50,0),0)</f>
        <v>22.808885534915266</v>
      </c>
      <c r="AG50" s="2">
        <f ca="1">IF('Datos Instalación'!$F$6="Autoconsumo Individual con Excedentes",IF(AG14&gt;Auxiliares!$D23/$A50,Producción!AG14-Auxiliares!$D23/$A50,0),0)</f>
        <v>22.667688520768664</v>
      </c>
    </row>
    <row r="51" spans="1:34">
      <c r="A51" s="2">
        <v>30</v>
      </c>
      <c r="B51" s="12" t="s">
        <v>12</v>
      </c>
      <c r="C51" s="2">
        <f ca="1">IF('Datos Instalación'!$F$6="Autoconsumo Individual con Excedentes",IF(C15&gt;Auxiliares!$D24/$A51,Producción!C15-Auxiliares!$D24/$A51,0),0)</f>
        <v>24.549274618867923</v>
      </c>
      <c r="D51" s="2">
        <f ca="1">IF('Datos Instalación'!$F$6="Autoconsumo Individual con Excedentes",IF(D15&gt;Auxiliares!$D24/$A51,Producción!D15-Auxiliares!$D24/$A51,0),0)</f>
        <v>24.399133064227925</v>
      </c>
      <c r="E51" s="2">
        <f ca="1">IF('Datos Instalación'!$F$6="Autoconsumo Individual con Excedentes",IF(E15&gt;Auxiliares!$D24/$A51,Producción!E15-Auxiliares!$D24/$A51,0),0)</f>
        <v>24.249802273982983</v>
      </c>
      <c r="F51" s="2">
        <f ca="1">IF('Datos Instalación'!$F$6="Autoconsumo Individual con Excedentes",IF(F15&gt;Auxiliares!$D24/$A51,Producción!F15-Auxiliares!$D24/$A51,0),0)</f>
        <v>24.101277870005358</v>
      </c>
      <c r="G51" s="2">
        <f ca="1">IF('Datos Instalación'!$F$6="Autoconsumo Individual con Excedentes",IF(G15&gt;Auxiliares!$D24/$A51,Producción!G15-Auxiliares!$D24/$A51,0),0)</f>
        <v>23.953555497809216</v>
      </c>
      <c r="H51" s="2">
        <f ca="1">IF('Datos Instalación'!$F$6="Autoconsumo Individual con Excedentes",IF(H15&gt;Auxiliares!$D24/$A51,Producción!H15-Auxiliares!$D24/$A51,0),0)</f>
        <v>23.806630826422936</v>
      </c>
      <c r="I51" s="2">
        <f ca="1">IF('Datos Instalación'!$F$6="Autoconsumo Individual con Excedentes",IF(I15&gt;Auxiliares!$D24/$A51,Producción!I15-Auxiliares!$D24/$A51,0),0)</f>
        <v>23.660499548262134</v>
      </c>
      <c r="J51" s="2">
        <f ca="1">IF('Datos Instalación'!$F$6="Autoconsumo Individual con Excedentes",IF(J15&gt;Auxiliares!$D24/$A51,Producción!J15-Auxiliares!$D24/$A51,0),0)</f>
        <v>23.515157379003409</v>
      </c>
      <c r="K51" s="2">
        <f ca="1">IF('Datos Instalación'!$F$6="Autoconsumo Individual con Excedentes",IF(K15&gt;Auxiliares!$D24/$A51,Producción!K15-Auxiliares!$D24/$A51,0),0)</f>
        <v>23.370600057458677</v>
      </c>
      <c r="L51" s="2">
        <f ca="1">IF('Datos Instalación'!$F$6="Autoconsumo Individual con Excedentes",IF(L15&gt;Auxiliares!$D24/$A51,Producción!L15-Auxiliares!$D24/$A51,0),0)</f>
        <v>23.226823345450288</v>
      </c>
      <c r="M51" s="2">
        <f ca="1">IF('Datos Instalación'!$F$6="Autoconsumo Individual con Excedentes",IF(M15&gt;Auxiliares!$D24/$A51,Producción!M15-Auxiliares!$D24/$A51,0),0)</f>
        <v>23.083823027686744</v>
      </c>
      <c r="N51" s="2">
        <f ca="1">IF('Datos Instalación'!$F$6="Autoconsumo Individual con Excedentes",IF(N15&gt;Auxiliares!$D24/$A51,Producción!N15-Auxiliares!$D24/$A51,0),0)</f>
        <v>22.941594911639122</v>
      </c>
      <c r="O51" s="2">
        <f ca="1">IF('Datos Instalación'!$F$6="Autoconsumo Individual con Excedentes",IF(O15&gt;Auxiliares!$D24/$A51,Producción!O15-Auxiliares!$D24/$A51,0),0)</f>
        <v>22.800134827418155</v>
      </c>
      <c r="P51" s="2">
        <f ca="1">IF('Datos Instalación'!$F$6="Autoconsumo Individual con Excedentes",IF(P15&gt;Auxiliares!$D24/$A51,Producción!P15-Auxiliares!$D24/$A51,0),0)</f>
        <v>22.659438627651987</v>
      </c>
      <c r="Q51" s="2">
        <f ca="1">IF('Datos Instalación'!$F$6="Autoconsumo Individual con Excedentes",IF(Q15&gt;Auxiliares!$D24/$A51,Producción!Q15-Auxiliares!$D24/$A51,0),0)</f>
        <v>22.519502187364548</v>
      </c>
      <c r="R51" s="2">
        <f ca="1">IF('Datos Instalación'!$F$6="Autoconsumo Individual con Excedentes",IF(R15&gt;Auxiliares!$D24/$A51,Producción!R15-Auxiliares!$D24/$A51,0),0)</f>
        <v>22.380321403854666</v>
      </c>
      <c r="S51" s="2">
        <f ca="1">IF('Datos Instalación'!$F$6="Autoconsumo Individual con Excedentes",IF(S15&gt;Auxiliares!$D24/$A51,Producción!S15-Auxiliares!$D24/$A51,0),0)</f>
        <v>22.241892196575741</v>
      </c>
      <c r="T51" s="2">
        <f ca="1">IF('Datos Instalación'!$F$6="Autoconsumo Individual con Excedentes",IF(T15&gt;Auxiliares!$D24/$A51,Producción!T15-Auxiliares!$D24/$A51,0),0)</f>
        <v>22.104210507016123</v>
      </c>
      <c r="U51" s="2">
        <f ca="1">IF('Datos Instalación'!$F$6="Autoconsumo Individual con Excedentes",IF(U15&gt;Auxiliares!$D24/$A51,Producción!U15-Auxiliares!$D24/$A51,0),0)</f>
        <v>21.967272298580117</v>
      </c>
      <c r="V51" s="2">
        <f ca="1">IF('Datos Instalación'!$F$6="Autoconsumo Individual con Excedentes",IF(V15&gt;Auxiliares!$D24/$A51,Producción!V15-Auxiliares!$D24/$A51,0),0)</f>
        <v>21.831073556469669</v>
      </c>
      <c r="W51" s="2">
        <f ca="1">IF('Datos Instalación'!$F$6="Autoconsumo Individual con Excedentes",IF(W15&gt;Auxiliares!$D24/$A51,Producción!W15-Auxiliares!$D24/$A51,0),0)</f>
        <v>21.695610287566616</v>
      </c>
      <c r="X51" s="2">
        <f ca="1">IF('Datos Instalación'!$F$6="Autoconsumo Individual con Excedentes",IF(X15&gt;Auxiliares!$D24/$A51,Producción!X15-Auxiliares!$D24/$A51,0),0)</f>
        <v>21.560878520315654</v>
      </c>
      <c r="Y51" s="2">
        <f ca="1">IF('Datos Instalación'!$F$6="Autoconsumo Individual con Excedentes",IF(Y15&gt;Auxiliares!$D24/$A51,Producción!Y15-Auxiliares!$D24/$A51,0),0)</f>
        <v>21.426874304607832</v>
      </c>
      <c r="Z51" s="2">
        <f ca="1">IF('Datos Instalación'!$F$6="Autoconsumo Individual con Excedentes",IF(Z15&gt;Auxiliares!$D24/$A51,Producción!Z15-Auxiliares!$D24/$A51,0),0)</f>
        <v>21.293593711664833</v>
      </c>
      <c r="AA51" s="2">
        <f ca="1">IF('Datos Instalación'!$F$6="Autoconsumo Individual con Excedentes",IF(AA15&gt;Auxiliares!$D24/$A51,Producción!AA15-Auxiliares!$D24/$A51,0),0)</f>
        <v>21.161032833923731</v>
      </c>
      <c r="AB51" s="2">
        <f ca="1">IF('Datos Instalación'!$F$6="Autoconsumo Individual con Excedentes",IF(AB15&gt;Auxiliares!$D24/$A51,Producción!AB15-Auxiliares!$D24/$A51,0),0)</f>
        <v>21.029187784922435</v>
      </c>
      <c r="AC51" s="2">
        <f ca="1">IF('Datos Instalación'!$F$6="Autoconsumo Individual con Excedentes",IF(AC15&gt;Auxiliares!$D24/$A51,Producción!AC15-Auxiliares!$D24/$A51,0),0)</f>
        <v>20.898054699185739</v>
      </c>
      <c r="AD51" s="2">
        <f ca="1">IF('Datos Instalación'!$F$6="Autoconsumo Individual con Excedentes",IF(AD15&gt;Auxiliares!$D24/$A51,Producción!AD15-Auxiliares!$D24/$A51,0),0)</f>
        <v>20.767629732112017</v>
      </c>
      <c r="AE51" s="2">
        <f ca="1">IF('Datos Instalación'!$F$6="Autoconsumo Individual con Excedentes",IF(AE15&gt;Auxiliares!$D24/$A51,Producción!AE15-Auxiliares!$D24/$A51,0),0)</f>
        <v>20.637909059860501</v>
      </c>
      <c r="AF51" s="2">
        <f ca="1">IF('Datos Instalación'!$F$6="Autoconsumo Individual con Excedentes",IF(AF15&gt;Auxiliares!$D24/$A51,Producción!AF15-Auxiliares!$D24/$A51,0),0)</f>
        <v>20.508888879239141</v>
      </c>
      <c r="AG51" s="2">
        <f ca="1">IF('Datos Instalación'!$F$6="Autoconsumo Individual con Excedentes",IF(AG15&gt;Auxiliares!$D24/$A51,Producción!AG15-Auxiliares!$D24/$A51,0),0)</f>
        <v>20.380565407593135</v>
      </c>
    </row>
    <row r="52" spans="1:34">
      <c r="A52" s="2">
        <v>31</v>
      </c>
      <c r="B52" s="12" t="s">
        <v>13</v>
      </c>
      <c r="C52" s="2">
        <f ca="1">IF('Datos Instalación'!$F$6="Autoconsumo Individual con Excedentes",IF(C16&gt;Auxiliares!$D25/$A52,Producción!C16-Auxiliares!$D25/$A52,0),0)</f>
        <v>21.605063844796106</v>
      </c>
      <c r="D52" s="2">
        <f ca="1">IF('Datos Instalación'!$F$6="Autoconsumo Individual con Excedentes",IF(D16&gt;Auxiliares!$D25/$A52,Producción!D16-Auxiliares!$D25/$A52,0),0)</f>
        <v>21.470707638196103</v>
      </c>
      <c r="E52" s="2">
        <f ca="1">IF('Datos Instalación'!$F$6="Autoconsumo Individual con Excedentes",IF(E16&gt;Auxiliares!$D25/$A52,Producción!E16-Auxiliares!$D25/$A52,0),0)</f>
        <v>21.337076955111741</v>
      </c>
      <c r="F52" s="2">
        <f ca="1">IF('Datos Instalación'!$F$6="Autoconsumo Individual con Excedentes",IF(F16&gt;Auxiliares!$D25/$A52,Producción!F16-Auxiliares!$D25/$A52,0),0)</f>
        <v>21.204167877716039</v>
      </c>
      <c r="G52" s="2">
        <f ca="1">IF('Datos Instalación'!$F$6="Autoconsumo Individual con Excedentes",IF(G16&gt;Auxiliares!$D25/$A52,Producción!G16-Auxiliares!$D25/$A52,0),0)</f>
        <v>21.07197650933827</v>
      </c>
      <c r="H52" s="2">
        <f ca="1">IF('Datos Instalación'!$F$6="Autoconsumo Individual con Excedentes",IF(H16&gt;Auxiliares!$D25/$A52,Producción!H16-Auxiliares!$D25/$A52,0),0)</f>
        <v>20.940498974349744</v>
      </c>
      <c r="I52" s="2">
        <f ca="1">IF('Datos Instalación'!$F$6="Autoconsumo Individual con Excedentes",IF(I16&gt;Auxiliares!$D25/$A52,Producción!I16-Auxiliares!$D25/$A52,0),0)</f>
        <v>20.809731418050156</v>
      </c>
      <c r="J52" s="2">
        <f ca="1">IF('Datos Instalación'!$F$6="Autoconsumo Individual con Excedentes",IF(J16&gt;Auxiliares!$D25/$A52,Producción!J16-Auxiliares!$D25/$A52,0),0)</f>
        <v>20.679670006554588</v>
      </c>
      <c r="K52" s="2">
        <f ca="1">IF('Datos Instalación'!$F$6="Autoconsumo Individual con Excedentes",IF(K16&gt;Auxiliares!$D25/$A52,Producción!K16-Auxiliares!$D25/$A52,0),0)</f>
        <v>20.550310926681085</v>
      </c>
      <c r="L52" s="2">
        <f ca="1">IF('Datos Instalación'!$F$6="Autoconsumo Individual con Excedentes",IF(L16&gt;Auxiliares!$D25/$A52,Producción!L16-Auxiliares!$D25/$A52,0),0)</f>
        <v>20.421650385838909</v>
      </c>
      <c r="M52" s="2">
        <f ca="1">IF('Datos Instalación'!$F$6="Autoconsumo Individual con Excedentes",IF(M16&gt;Auxiliares!$D25/$A52,Producción!M16-Auxiliares!$D25/$A52,0),0)</f>
        <v>20.293684611917278</v>
      </c>
      <c r="N52" s="2">
        <f ca="1">IF('Datos Instalación'!$F$6="Autoconsumo Individual con Excedentes",IF(N16&gt;Auxiliares!$D25/$A52,Producción!N16-Auxiliares!$D25/$A52,0),0)</f>
        <v>20.166409853174827</v>
      </c>
      <c r="O52" s="2">
        <f ca="1">IF('Datos Instalación'!$F$6="Autoconsumo Individual con Excedentes",IF(O16&gt;Auxiliares!$D25/$A52,Producción!O16-Auxiliares!$D25/$A52,0),0)</f>
        <v>20.039822378129578</v>
      </c>
      <c r="P52" s="2">
        <f ca="1">IF('Datos Instalación'!$F$6="Autoconsumo Individual con Excedentes",IF(P16&gt;Auxiliares!$D25/$A52,Producción!P16-Auxiliares!$D25/$A52,0),0)</f>
        <v>19.913918475449577</v>
      </c>
      <c r="Q52" s="2">
        <f ca="1">IF('Datos Instalación'!$F$6="Autoconsumo Individual con Excedentes",IF(Q16&gt;Auxiliares!$D25/$A52,Producción!Q16-Auxiliares!$D25/$A52,0),0)</f>
        <v>19.788694453844052</v>
      </c>
      <c r="R52" s="2">
        <f ca="1">IF('Datos Instalación'!$F$6="Autoconsumo Individual con Excedentes",IF(R16&gt;Auxiliares!$D25/$A52,Producción!R16-Auxiliares!$D25/$A52,0),0)</f>
        <v>19.664146641955185</v>
      </c>
      <c r="S52" s="2">
        <f ca="1">IF('Datos Instalación'!$F$6="Autoconsumo Individual con Excedentes",IF(S16&gt;Auxiliares!$D25/$A52,Producción!S16-Auxiliares!$D25/$A52,0),0)</f>
        <v>19.540271388250531</v>
      </c>
      <c r="T52" s="2">
        <f ca="1">IF('Datos Instalación'!$F$6="Autoconsumo Individual con Excedentes",IF(T16&gt;Auxiliares!$D25/$A52,Producción!T16-Auxiliares!$D25/$A52,0),0)</f>
        <v>19.417065060915881</v>
      </c>
      <c r="U52" s="2">
        <f ca="1">IF('Datos Instalación'!$F$6="Autoconsumo Individual con Excedentes",IF(U16&gt;Auxiliares!$D25/$A52,Producción!U16-Auxiliares!$D25/$A52,0),0)</f>
        <v>19.29452404774883</v>
      </c>
      <c r="V52" s="2">
        <f ca="1">IF('Datos Instalación'!$F$6="Autoconsumo Individual con Excedentes",IF(V16&gt;Auxiliares!$D25/$A52,Producción!V16-Auxiliares!$D25/$A52,0),0)</f>
        <v>19.172644756052883</v>
      </c>
      <c r="W52" s="2">
        <f ca="1">IF('Datos Instalación'!$F$6="Autoconsumo Individual con Excedentes",IF(W16&gt;Auxiliares!$D25/$A52,Producción!W16-Auxiliares!$D25/$A52,0),0)</f>
        <v>19.051423612532098</v>
      </c>
      <c r="X52" s="2">
        <f ca="1">IF('Datos Instalación'!$F$6="Autoconsumo Individual con Excedentes",IF(X16&gt;Auxiliares!$D25/$A52,Producción!X16-Auxiliares!$D25/$A52,0),0)</f>
        <v>18.930857063186323</v>
      </c>
      <c r="Y52" s="2">
        <f ca="1">IF('Datos Instalación'!$F$6="Autoconsumo Individual con Excedentes",IF(Y16&gt;Auxiliares!$D25/$A52,Producción!Y16-Auxiliares!$D25/$A52,0),0)</f>
        <v>18.81094157320701</v>
      </c>
      <c r="Z52" s="2">
        <f ca="1">IF('Datos Instalación'!$F$6="Autoconsumo Individual con Excedentes",IF(Z16&gt;Auxiliares!$D25/$A52,Producción!Z16-Auxiliares!$D25/$A52,0),0)</f>
        <v>18.691673626873602</v>
      </c>
      <c r="AA52" s="2">
        <f ca="1">IF('Datos Instalación'!$F$6="Autoconsumo Individual con Excedentes",IF(AA16&gt;Auxiliares!$D25/$A52,Producción!AA16-Auxiliares!$D25/$A52,0),0)</f>
        <v>18.573049727450375</v>
      </c>
      <c r="AB52" s="2">
        <f ca="1">IF('Datos Instalación'!$F$6="Autoconsumo Individual con Excedentes",IF(AB16&gt;Auxiliares!$D25/$A52,Producción!AB16-Auxiliares!$D25/$A52,0),0)</f>
        <v>18.455066397084046</v>
      </c>
      <c r="AC52" s="2">
        <f ca="1">IF('Datos Instalación'!$F$6="Autoconsumo Individual con Excedentes",IF(AC16&gt;Auxiliares!$D25/$A52,Producción!AC16-Auxiliares!$D25/$A52,0),0)</f>
        <v>18.337720176701694</v>
      </c>
      <c r="AD52" s="2">
        <f ca="1">IF('Datos Instalación'!$F$6="Autoconsumo Individual con Excedentes",IF(AD16&gt;Auxiliares!$D25/$A52,Producción!AD16-Auxiliares!$D25/$A52,0),0)</f>
        <v>18.221007625909401</v>
      </c>
      <c r="AE52" s="2">
        <f ca="1">IF('Datos Instalación'!$F$6="Autoconsumo Individual con Excedentes",IF(AE16&gt;Auxiliares!$D25/$A52,Producción!AE16-Auxiliares!$D25/$A52,0),0)</f>
        <v>18.10492532289139</v>
      </c>
      <c r="AF52" s="2">
        <f ca="1">IF('Datos Instalación'!$F$6="Autoconsumo Individual con Excedentes",IF(AF16&gt;Auxiliares!$D25/$A52,Producción!AF16-Auxiliares!$D25/$A52,0),0)</f>
        <v>17.989469864309669</v>
      </c>
      <c r="AG52" s="2">
        <f ca="1">IF('Datos Instalación'!$F$6="Autoconsumo Individual con Excedentes",IF(AG16&gt;Auxiliares!$D25/$A52,Producción!AG16-Auxiliares!$D25/$A52,0),0)</f>
        <v>17.874637865204299</v>
      </c>
    </row>
    <row r="53" spans="1:34">
      <c r="A53" s="2">
        <v>30</v>
      </c>
      <c r="B53" s="12" t="s">
        <v>14</v>
      </c>
      <c r="C53" s="2">
        <f ca="1">IF('Datos Instalación'!$F$6="Autoconsumo Individual con Excedentes",IF(C17&gt;Auxiliares!$D26/$A53,Producción!C17-Auxiliares!$D26/$A53,0),0)</f>
        <v>19.082197618867919</v>
      </c>
      <c r="D53" s="2">
        <f ca="1">IF('Datos Instalación'!$F$6="Autoconsumo Individual con Excedentes",IF(D17&gt;Auxiliares!$D26/$A53,Producción!D17-Auxiliares!$D26/$A53,0),0)</f>
        <v>18.961578280027918</v>
      </c>
      <c r="E53" s="2">
        <f ca="1">IF('Datos Instalación'!$F$6="Autoconsumo Individual con Excedentes",IF(E17&gt;Auxiliares!$D26/$A53,Producción!E17-Auxiliares!$D26/$A53,0),0)</f>
        <v>18.841610285617655</v>
      </c>
      <c r="F53" s="2">
        <f ca="1">IF('Datos Instalación'!$F$6="Autoconsumo Individual con Excedentes",IF(F17&gt;Auxiliares!$D26/$A53,Producción!F17-Auxiliares!$D26/$A53,0),0)</f>
        <v>18.722290118377209</v>
      </c>
      <c r="G53" s="2">
        <f ca="1">IF('Datos Instalación'!$F$6="Autoconsumo Individual con Excedentes",IF(G17&gt;Auxiliares!$D26/$A53,Producción!G17-Auxiliares!$D26/$A53,0),0)</f>
        <v>18.60361428003986</v>
      </c>
      <c r="H53" s="2">
        <f ca="1">IF('Datos Instalación'!$F$6="Autoconsumo Individual con Excedentes",IF(H17&gt;Auxiliares!$D26/$A53,Producción!H17-Auxiliares!$D26/$A53,0),0)</f>
        <v>18.485579291229527</v>
      </c>
      <c r="I53" s="2">
        <f ca="1">IF('Datos Instalación'!$F$6="Autoconsumo Individual con Excedentes",IF(I17&gt;Auxiliares!$D26/$A53,Producción!I17-Auxiliares!$D26/$A53,0),0)</f>
        <v>18.368181691358778</v>
      </c>
      <c r="J53" s="2">
        <f ca="1">IF('Datos Instalación'!$F$6="Autoconsumo Individual con Excedentes",IF(J17&gt;Auxiliares!$D26/$A53,Producción!J17-Auxiliares!$D26/$A53,0),0)</f>
        <v>18.251418038527326</v>
      </c>
      <c r="K53" s="2">
        <f ca="1">IF('Datos Instalación'!$F$6="Autoconsumo Individual con Excedentes",IF(K17&gt;Auxiliares!$D26/$A53,Producción!K17-Auxiliares!$D26/$A53,0),0)</f>
        <v>18.135284909421163</v>
      </c>
      <c r="L53" s="2">
        <f ca="1">IF('Datos Instalación'!$F$6="Autoconsumo Individual con Excedentes",IF(L17&gt;Auxiliares!$D26/$A53,Producción!L17-Auxiliares!$D26/$A53,0),0)</f>
        <v>18.019778899212184</v>
      </c>
      <c r="M53" s="2">
        <f ca="1">IF('Datos Instalación'!$F$6="Autoconsumo Individual con Excedentes",IF(M17&gt;Auxiliares!$D26/$A53,Producción!M17-Auxiliares!$D26/$A53,0),0)</f>
        <v>17.90489662145832</v>
      </c>
      <c r="N53" s="2">
        <f ca="1">IF('Datos Instalación'!$F$6="Autoconsumo Individual con Excedentes",IF(N17&gt;Auxiliares!$D26/$A53,Producción!N17-Auxiliares!$D26/$A53,0),0)</f>
        <v>17.790634708004333</v>
      </c>
      <c r="O53" s="2">
        <f ca="1">IF('Datos Instalación'!$F$6="Autoconsumo Individual con Excedentes",IF(O17&gt;Auxiliares!$D26/$A53,Producción!O17-Auxiliares!$D26/$A53,0),0)</f>
        <v>17.676989808882997</v>
      </c>
      <c r="P53" s="2">
        <f ca="1">IF('Datos Instalación'!$F$6="Autoconsumo Individual con Excedentes",IF(P17&gt;Auxiliares!$D26/$A53,Producción!P17-Auxiliares!$D26/$A53,0),0)</f>
        <v>17.563958592216913</v>
      </c>
      <c r="Q53" s="2">
        <f ca="1">IF('Datos Instalación'!$F$6="Autoconsumo Individual con Excedentes",IF(Q17&gt;Auxiliares!$D26/$A53,Producción!Q17-Auxiliares!$D26/$A53,0),0)</f>
        <v>17.451537744120831</v>
      </c>
      <c r="R53" s="2">
        <f ca="1">IF('Datos Instalación'!$F$6="Autoconsumo Individual con Excedentes",IF(R17&gt;Auxiliares!$D26/$A53,Producción!R17-Auxiliares!$D26/$A53,0),0)</f>
        <v>17.339723968604464</v>
      </c>
      <c r="S53" s="2">
        <f ca="1">IF('Datos Instalación'!$F$6="Autoconsumo Individual con Excedentes",IF(S17&gt;Auxiliares!$D26/$A53,Producción!S17-Auxiliares!$D26/$A53,0),0)</f>
        <v>17.228513987475885</v>
      </c>
      <c r="T53" s="2">
        <f ca="1">IF('Datos Instalación'!$F$6="Autoconsumo Individual con Excedentes",IF(T17&gt;Auxiliares!$D26/$A53,Producción!T17-Auxiliares!$D26/$A53,0),0)</f>
        <v>17.117904540245405</v>
      </c>
      <c r="U53" s="2">
        <f ca="1">IF('Datos Instalación'!$F$6="Autoconsumo Individual con Excedentes",IF(U17&gt;Auxiliares!$D26/$A53,Producción!U17-Auxiliares!$D26/$A53,0),0)</f>
        <v>17.007892384029965</v>
      </c>
      <c r="V53" s="2">
        <f ca="1">IF('Datos Instalación'!$F$6="Autoconsumo Individual con Excedentes",IF(V17&gt;Auxiliares!$D26/$A53,Producción!V17-Auxiliares!$D26/$A53,0),0)</f>
        <v>16.89847429345809</v>
      </c>
      <c r="W53" s="2">
        <f ca="1">IF('Datos Instalación'!$F$6="Autoconsumo Individual con Excedentes",IF(W17&gt;Auxiliares!$D26/$A53,Producción!W17-Auxiliares!$D26/$A53,0),0)</f>
        <v>16.789647060575298</v>
      </c>
      <c r="X53" s="2">
        <f ca="1">IF('Datos Instalación'!$F$6="Autoconsumo Individual con Excedentes",IF(X17&gt;Auxiliares!$D26/$A53,Producción!X17-Auxiliares!$D26/$A53,0),0)</f>
        <v>16.681407494750083</v>
      </c>
      <c r="Y53" s="2">
        <f ca="1">IF('Datos Instalación'!$F$6="Autoconsumo Individual con Excedentes",IF(Y17&gt;Auxiliares!$D26/$A53,Producción!Y17-Auxiliares!$D26/$A53,0),0)</f>
        <v>16.57375242258032</v>
      </c>
      <c r="Z53" s="2">
        <f ca="1">IF('Datos Instalación'!$F$6="Autoconsumo Individual con Excedentes",IF(Z17&gt;Auxiliares!$D26/$A53,Producción!Z17-Auxiliares!$D26/$A53,0),0)</f>
        <v>16.466678687800268</v>
      </c>
      <c r="AA53" s="2">
        <f ca="1">IF('Datos Instalación'!$F$6="Autoconsumo Individual con Excedentes",IF(AA17&gt;Auxiliares!$D26/$A53,Producción!AA17-Auxiliares!$D26/$A53,0),0)</f>
        <v>16.360183151188039</v>
      </c>
      <c r="AB53" s="2">
        <f ca="1">IF('Datos Instalación'!$F$6="Autoconsumo Individual con Excedentes",IF(AB17&gt;Auxiliares!$D26/$A53,Producción!AB17-Auxiliares!$D26/$A53,0),0)</f>
        <v>16.25426269047351</v>
      </c>
      <c r="AC53" s="2">
        <f ca="1">IF('Datos Instalación'!$F$6="Autoconsumo Individual con Excedentes",IF(AC17&gt;Auxiliares!$D26/$A53,Producción!AC17-Auxiliares!$D26/$A53,0),0)</f>
        <v>16.148914200246839</v>
      </c>
      <c r="AD53" s="2">
        <f ca="1">IF('Datos Instalación'!$F$6="Autoconsumo Individual con Excedentes",IF(AD17&gt;Auxiliares!$D26/$A53,Producción!AD17-Auxiliares!$D26/$A53,0),0)</f>
        <v>16.04413459186739</v>
      </c>
      <c r="AE53" s="2">
        <f ca="1">IF('Datos Instalación'!$F$6="Autoconsumo Individual con Excedentes",IF(AE17&gt;Auxiliares!$D26/$A53,Producción!AE17-Auxiliares!$D26/$A53,0),0)</f>
        <v>15.939920793373195</v>
      </c>
      <c r="AF53" s="2">
        <f ca="1">IF('Datos Instalación'!$F$6="Autoconsumo Individual con Excedentes",IF(AF17&gt;Auxiliares!$D26/$A53,Producción!AF17-Auxiliares!$D26/$A53,0),0)</f>
        <v>15.836269749390867</v>
      </c>
      <c r="AG53" s="2">
        <f ca="1">IF('Datos Instalación'!$F$6="Autoconsumo Individual con Excedentes",IF(AG17&gt;Auxiliares!$D26/$A53,Producción!AG17-Auxiliares!$D26/$A53,0),0)</f>
        <v>15.733178421046039</v>
      </c>
    </row>
    <row r="54" spans="1:34">
      <c r="A54" s="2">
        <v>31</v>
      </c>
      <c r="B54" s="12" t="s">
        <v>15</v>
      </c>
      <c r="C54" s="2">
        <f ca="1">IF('Datos Instalación'!$F$6="Autoconsumo Individual con Excedentes",IF(C18&gt;Auxiliares!$D27/$A54,Producción!C18-Auxiliares!$D27/$A54,0),0)</f>
        <v>16.566107444917833</v>
      </c>
      <c r="D54" s="2">
        <f ca="1">IF('Datos Instalación'!$F$6="Autoconsumo Individual con Excedentes",IF(D18&gt;Auxiliares!$D27/$A54,Producción!D18-Auxiliares!$D27/$A54,0),0)</f>
        <v>16.452838535317831</v>
      </c>
      <c r="E54" s="2">
        <f ca="1">IF('Datos Instalación'!$F$6="Autoconsumo Individual con Excedentes",IF(E18&gt;Auxiliares!$D27/$A54,Producción!E18-Auxiliares!$D27/$A54,0),0)</f>
        <v>16.340181277829675</v>
      </c>
      <c r="F54" s="2">
        <f ca="1">IF('Datos Instalación'!$F$6="Autoconsumo Individual con Excedentes",IF(F18&gt;Auxiliares!$D27/$A54,Producción!F18-Auxiliares!$D27/$A54,0),0)</f>
        <v>16.228132369531949</v>
      </c>
      <c r="G54" s="2">
        <f ca="1">IF('Datos Instalación'!$F$6="Autoconsumo Individual con Excedentes",IF(G18&gt;Auxiliares!$D27/$A54,Producción!G18-Auxiliares!$D27/$A54,0),0)</f>
        <v>16.116688525339033</v>
      </c>
      <c r="H54" s="2">
        <f ca="1">IF('Datos Instalación'!$F$6="Autoconsumo Individual con Excedentes",IF(H18&gt;Auxiliares!$D27/$A54,Producción!H18-Auxiliares!$D27/$A54,0),0)</f>
        <v>16.005846477904758</v>
      </c>
      <c r="I54" s="2">
        <f ca="1">IF('Datos Instalación'!$F$6="Autoconsumo Individual con Excedentes",IF(I18&gt;Auxiliares!$D27/$A54,Producción!I18-Auxiliares!$D27/$A54,0),0)</f>
        <v>15.895602977526629</v>
      </c>
      <c r="J54" s="2">
        <f ca="1">IF('Datos Instalación'!$F$6="Autoconsumo Individual con Excedentes",IF(J18&gt;Auxiliares!$D27/$A54,Producción!J18-Auxiliares!$D27/$A54,0),0)</f>
        <v>15.785954792050543</v>
      </c>
      <c r="K54" s="2">
        <f ca="1">IF('Datos Instalación'!$F$6="Autoconsumo Individual con Excedentes",IF(K18&gt;Auxiliares!$D27/$A54,Producción!K18-Auxiliares!$D27/$A54,0),0)</f>
        <v>15.676898706776026</v>
      </c>
      <c r="L54" s="2">
        <f ca="1">IF('Datos Instalación'!$F$6="Autoconsumo Individual con Excedentes",IF(L18&gt;Auxiliares!$D27/$A54,Producción!L18-Auxiliares!$D27/$A54,0),0)</f>
        <v>15.568431524361994</v>
      </c>
      <c r="M54" s="2">
        <f ca="1">IF('Datos Instalación'!$F$6="Autoconsumo Individual con Excedentes",IF(M18&gt;Auxiliares!$D27/$A54,Producción!M18-Auxiliares!$D27/$A54,0),0)</f>
        <v>15.460550064732992</v>
      </c>
      <c r="N54" s="2">
        <f ca="1">IF('Datos Instalación'!$F$6="Autoconsumo Individual con Excedentes",IF(N18&gt;Auxiliares!$D27/$A54,Producción!N18-Auxiliares!$D27/$A54,0),0)</f>
        <v>15.353251164985991</v>
      </c>
      <c r="O54" s="2">
        <f ca="1">IF('Datos Instalación'!$F$6="Autoconsumo Individual con Excedentes",IF(O18&gt;Auxiliares!$D27/$A54,Producción!O18-Auxiliares!$D27/$A54,0),0)</f>
        <v>15.246531679297625</v>
      </c>
      <c r="P54" s="2">
        <f ca="1">IF('Datos Instalación'!$F$6="Autoconsumo Individual con Excedentes",IF(P18&gt;Auxiliares!$D27/$A54,Producción!P18-Auxiliares!$D27/$A54,0),0)</f>
        <v>15.140388478831969</v>
      </c>
      <c r="Q54" s="2">
        <f ca="1">IF('Datos Instalación'!$F$6="Autoconsumo Individual con Excedentes",IF(Q18&gt;Auxiliares!$D27/$A54,Producción!Q18-Auxiliares!$D27/$A54,0),0)</f>
        <v>15.034818451648835</v>
      </c>
      <c r="R54" s="2">
        <f ca="1">IF('Datos Instalación'!$F$6="Autoconsumo Individual con Excedentes",IF(R18&gt;Auxiliares!$D27/$A54,Producción!R18-Auxiliares!$D27/$A54,0),0)</f>
        <v>14.929818502612488</v>
      </c>
      <c r="S54" s="2">
        <f ca="1">IF('Datos Instalación'!$F$6="Autoconsumo Individual con Excedentes",IF(S18&gt;Auxiliares!$D27/$A54,Producción!S18-Auxiliares!$D27/$A54,0),0)</f>
        <v>14.825385553300936</v>
      </c>
      <c r="T54" s="2">
        <f ca="1">IF('Datos Instalación'!$F$6="Autoconsumo Individual con Excedentes",IF(T18&gt;Auxiliares!$D27/$A54,Producción!T18-Auxiliares!$D27/$A54,0),0)</f>
        <v>14.721516541915669</v>
      </c>
      <c r="U54" s="2">
        <f ca="1">IF('Datos Instalación'!$F$6="Autoconsumo Individual con Excedentes",IF(U18&gt;Auxiliares!$D27/$A54,Producción!U18-Auxiliares!$D27/$A54,0),0)</f>
        <v>14.618208423191881</v>
      </c>
      <c r="V54" s="2">
        <f ca="1">IF('Datos Instalación'!$F$6="Autoconsumo Individual con Excedentes",IF(V18&gt;Auxiliares!$D27/$A54,Producción!V18-Auxiliares!$D27/$A54,0),0)</f>
        <v>14.515458168309202</v>
      </c>
      <c r="W54" s="2">
        <f ca="1">IF('Datos Instalación'!$F$6="Autoconsumo Individual con Excedentes",IF(W18&gt;Auxiliares!$D27/$A54,Producción!W18-Auxiliares!$D27/$A54,0),0)</f>
        <v>14.413262764802887</v>
      </c>
      <c r="X54" s="2">
        <f ca="1">IF('Datos Instalación'!$F$6="Autoconsumo Individual con Excedentes",IF(X18&gt;Auxiliares!$D27/$A54,Producción!X18-Auxiliares!$D27/$A54,0),0)</f>
        <v>14.311619216475506</v>
      </c>
      <c r="Y54" s="2">
        <f ca="1">IF('Datos Instalación'!$F$6="Autoconsumo Individual con Excedentes",IF(Y18&gt;Auxiliares!$D27/$A54,Producción!Y18-Auxiliares!$D27/$A54,0),0)</f>
        <v>14.210524543309095</v>
      </c>
      <c r="Z54" s="2">
        <f ca="1">IF('Datos Instalación'!$F$6="Autoconsumo Individual con Excedentes",IF(Z18&gt;Auxiliares!$D27/$A54,Producción!Z18-Auxiliares!$D27/$A54,0),0)</f>
        <v>14.109975781377784</v>
      </c>
      <c r="AA54" s="2">
        <f ca="1">IF('Datos Instalación'!$F$6="Autoconsumo Individual con Excedentes",IF(AA18&gt;Auxiliares!$D27/$A54,Producción!AA18-Auxiliares!$D27/$A54,0),0)</f>
        <v>14.0099699827609</v>
      </c>
      <c r="AB54" s="2">
        <f ca="1">IF('Datos Instalación'!$F$6="Autoconsumo Individual con Excedentes",IF(AB18&gt;Auxiliares!$D27/$A54,Producción!AB18-Auxiliares!$D27/$A54,0),0)</f>
        <v>13.910504215456548</v>
      </c>
      <c r="AC54" s="2">
        <f ca="1">IF('Datos Instalación'!$F$6="Autoconsumo Individual con Excedentes",IF(AC18&gt;Auxiliares!$D27/$A54,Producción!AC18-Auxiliares!$D27/$A54,0),0)</f>
        <v>13.811575563295637</v>
      </c>
      <c r="AD54" s="2">
        <f ca="1">IF('Datos Instalación'!$F$6="Autoconsumo Individual con Excedentes",IF(AD18&gt;Auxiliares!$D27/$A54,Producción!AD18-Auxiliares!$D27/$A54,0),0)</f>
        <v>13.713181125856394</v>
      </c>
      <c r="AE54" s="2">
        <f ca="1">IF('Datos Instalación'!$F$6="Autoconsumo Individual con Excedentes",IF(AE18&gt;Auxiliares!$D27/$A54,Producción!AE18-Auxiliares!$D27/$A54,0),0)</f>
        <v>13.61531801837933</v>
      </c>
      <c r="AF54" s="2">
        <f ca="1">IF('Datos Instalación'!$F$6="Autoconsumo Individual con Excedentes",IF(AF18&gt;Auxiliares!$D27/$A54,Producción!AF18-Auxiliares!$D27/$A54,0),0)</f>
        <v>13.517983371682636</v>
      </c>
      <c r="AG54" s="2">
        <f ca="1">IF('Datos Instalación'!$F$6="Autoconsumo Individual con Excedentes",IF(AG18&gt;Auxiliares!$D27/$A54,Producción!AG18-Auxiliares!$D27/$A54,0),0)</f>
        <v>13.421174332078106</v>
      </c>
    </row>
    <row r="57" spans="1:34">
      <c r="B57" s="2" t="s">
        <v>138</v>
      </c>
      <c r="C57" s="2" t="s">
        <v>139</v>
      </c>
    </row>
    <row r="62" spans="1:34">
      <c r="B62" s="13" t="s">
        <v>141</v>
      </c>
      <c r="C62" s="12">
        <v>2020</v>
      </c>
      <c r="D62" s="12">
        <f>C62+1</f>
        <v>2021</v>
      </c>
      <c r="E62" s="12">
        <f t="shared" ref="E62" si="58">D62+1</f>
        <v>2022</v>
      </c>
      <c r="F62" s="12">
        <f t="shared" ref="F62" si="59">E62+1</f>
        <v>2023</v>
      </c>
      <c r="G62" s="12">
        <f t="shared" ref="G62" si="60">F62+1</f>
        <v>2024</v>
      </c>
      <c r="H62" s="12">
        <f t="shared" ref="H62" si="61">G62+1</f>
        <v>2025</v>
      </c>
      <c r="I62" s="12">
        <f t="shared" ref="I62" si="62">H62+1</f>
        <v>2026</v>
      </c>
      <c r="J62" s="12">
        <f t="shared" ref="J62" si="63">I62+1</f>
        <v>2027</v>
      </c>
      <c r="K62" s="12">
        <f t="shared" ref="K62" si="64">J62+1</f>
        <v>2028</v>
      </c>
      <c r="L62" s="12">
        <f t="shared" ref="L62" si="65">K62+1</f>
        <v>2029</v>
      </c>
      <c r="M62" s="12">
        <f t="shared" ref="M62" si="66">L62+1</f>
        <v>2030</v>
      </c>
      <c r="N62" s="12">
        <f t="shared" ref="N62" si="67">M62+1</f>
        <v>2031</v>
      </c>
      <c r="O62" s="12">
        <f>N62+1</f>
        <v>2032</v>
      </c>
      <c r="P62" s="12">
        <f t="shared" ref="P62" si="68">O62+1</f>
        <v>2033</v>
      </c>
      <c r="Q62" s="12">
        <f t="shared" ref="Q62" si="69">P62+1</f>
        <v>2034</v>
      </c>
      <c r="R62" s="12">
        <f t="shared" ref="R62" si="70">Q62+1</f>
        <v>2035</v>
      </c>
      <c r="S62" s="12">
        <f t="shared" ref="S62" si="71">R62+1</f>
        <v>2036</v>
      </c>
      <c r="T62" s="12">
        <f>S62+1</f>
        <v>2037</v>
      </c>
      <c r="U62" s="12">
        <f>T62+1</f>
        <v>2038</v>
      </c>
      <c r="V62" s="12">
        <f t="shared" ref="V62" si="72">U62+1</f>
        <v>2039</v>
      </c>
      <c r="W62" s="12">
        <f t="shared" ref="W62" si="73">V62+1</f>
        <v>2040</v>
      </c>
      <c r="X62" s="12">
        <f t="shared" ref="X62" si="74">W62+1</f>
        <v>2041</v>
      </c>
      <c r="Y62" s="12">
        <f t="shared" ref="Y62" si="75">X62+1</f>
        <v>2042</v>
      </c>
      <c r="Z62" s="12">
        <f t="shared" ref="Z62" si="76">Y62+1</f>
        <v>2043</v>
      </c>
      <c r="AA62" s="12">
        <f t="shared" ref="AA62" si="77">Z62+1</f>
        <v>2044</v>
      </c>
      <c r="AB62" s="12">
        <f t="shared" ref="AB62" si="78">AA62+1</f>
        <v>2045</v>
      </c>
      <c r="AC62" s="12">
        <f t="shared" ref="AC62" si="79">AB62+1</f>
        <v>2046</v>
      </c>
      <c r="AD62" s="12">
        <f t="shared" ref="AD62" si="80">AC62+1</f>
        <v>2047</v>
      </c>
      <c r="AE62" s="12">
        <f t="shared" ref="AE62" si="81">AD62+1</f>
        <v>2048</v>
      </c>
      <c r="AF62" s="12">
        <f t="shared" ref="AF62" si="82">AE62+1</f>
        <v>2049</v>
      </c>
      <c r="AG62" s="12">
        <f t="shared" ref="AG62" si="83">AF62+1</f>
        <v>2050</v>
      </c>
      <c r="AH62" s="12"/>
    </row>
    <row r="63" spans="1:34">
      <c r="A63" s="2">
        <v>31</v>
      </c>
      <c r="B63" s="12" t="s">
        <v>4</v>
      </c>
      <c r="C63" s="2">
        <f ca="1">IF('Datos Instalación'!$F$6="Autoconsumo Individual con Excedentes",IF(C26&gt;Auxiliares!$D16/$A63,Producción!C26-Auxiliares!$D16/$A63,0),0)</f>
        <v>15.884380544917835</v>
      </c>
      <c r="D63" s="2">
        <f ca="1">IF('Datos Instalación'!$F$6="Autoconsumo Individual con Excedentes",IF(C26&gt;Auxiliares!$D16/$A63,Producción!C26-Auxiliares!$D16/$A63,0),0)</f>
        <v>15.884380544917835</v>
      </c>
      <c r="E63" s="2">
        <f ca="1">IF('Datos Instalación'!$F$6="Autoconsumo Individual con Excedentes",IF(E26&gt;Auxiliares!$D16/$A63,Producción!E26-Auxiliares!$D16/$A63,0),0)</f>
        <v>15.665797149193271</v>
      </c>
      <c r="F63" s="2">
        <f ca="1">IF('Datos Instalación'!$F$6="Autoconsumo Individual con Excedentes",IF(F26&gt;Auxiliares!$D16/$A63,Producción!F26-Auxiliares!$D16/$A63,0),0)</f>
        <v>15.557389915190182</v>
      </c>
      <c r="G63" s="2">
        <f ca="1">IF('Datos Instalación'!$F$6="Autoconsumo Individual con Excedentes",IF(G26&gt;Auxiliares!$D16/$A63,Producción!G26-Auxiliares!$D16/$A63,0),0)</f>
        <v>15.449568080250714</v>
      </c>
      <c r="H63" s="2">
        <f ca="1">IF('Datos Instalación'!$F$6="Autoconsumo Individual con Excedentes",IF(H26&gt;Auxiliares!$D16/$A63,Producción!H26-Auxiliares!$D16/$A63,0),0)</f>
        <v>15.342328483219916</v>
      </c>
      <c r="I63" s="2">
        <f ca="1">IF('Datos Instalación'!$F$6="Autoconsumo Individual con Excedentes",IF(I26&gt;Auxiliares!$D16/$A63,Producción!I26-Auxiliares!$D16/$A63,0),0)</f>
        <v>15.235667980013087</v>
      </c>
      <c r="J63" s="2">
        <f ca="1">IF('Datos Instalación'!$F$6="Autoconsumo Individual con Excedentes",IF(J26&gt;Auxiliares!$D16/$A63,Producción!J26-Auxiliares!$D16/$A63,0),0)</f>
        <v>15.129583443523572</v>
      </c>
      <c r="K63" s="2">
        <f ca="1">IF('Datos Instalación'!$F$6="Autoconsumo Individual con Excedentes",IF(K26&gt;Auxiliares!$D16/$A63,Producción!K26-Auxiliares!$D16/$A63,0),0)</f>
        <v>15.024071763531097</v>
      </c>
      <c r="L63" s="2">
        <f ca="1">IF('Datos Instalación'!$F$6="Autoconsumo Individual con Excedentes",IF(L26&gt;Auxiliares!$D16/$A63,Producción!L26-Auxiliares!$D16/$A63,0),0)</f>
        <v>14.919129846610588</v>
      </c>
      <c r="M63" s="2">
        <f ca="1">IF('Datos Instalación'!$F$6="Autoconsumo Individual con Excedentes",IF(M26&gt;Auxiliares!$D16/$A63,Producción!M26-Auxiliares!$D16/$A63,0),0)</f>
        <v>14.814754616041448</v>
      </c>
      <c r="N63" s="2">
        <f ca="1">IF('Datos Instalación'!$F$6="Autoconsumo Individual con Excedentes",IF(N26&gt;Auxiliares!$D16/$A63,Producción!N26-Auxiliares!$D16/$A63,0),0)</f>
        <v>14.710943011717376</v>
      </c>
      <c r="O63" s="2">
        <f ca="1">IF('Datos Instalación'!$F$6="Autoconsumo Individual con Excedentes",IF(O26&gt;Auxiliares!$D16/$A63,Producción!O26-Auxiliares!$D16/$A63,0),0)</f>
        <v>15.191242475317249</v>
      </c>
      <c r="P63" s="2">
        <f ca="1">IF('Datos Instalación'!$F$6="Autoconsumo Individual con Excedentes",IF(P26&gt;Auxiliares!$D16/$A63,Producción!P26-Auxiliares!$D16/$A63,0),0)</f>
        <v>15.085397836553096</v>
      </c>
      <c r="Q63" s="2">
        <f ca="1">IF('Datos Instalación'!$F$6="Autoconsumo Individual con Excedentes",IF(Q26&gt;Auxiliares!$D16/$A63,Producción!Q26-Auxiliares!$D16/$A63,0),0)</f>
        <v>14.980124758838258</v>
      </c>
      <c r="R63" s="2">
        <f ca="1">IF('Datos Instalación'!$F$6="Autoconsumo Individual con Excedentes",IF(R26&gt;Auxiliares!$D16/$A63,Producción!R26-Auxiliares!$D16/$A63,0),0)</f>
        <v>14.87542015574309</v>
      </c>
      <c r="S63" s="2">
        <f ca="1">IF('Datos Instalación'!$F$6="Autoconsumo Individual con Excedentes",IF(S26&gt;Auxiliares!$D16/$A63,Producción!S26-Auxiliares!$D16/$A63,0),0)</f>
        <v>14.771280957504633</v>
      </c>
      <c r="T63" s="2">
        <f ca="1">IF('Datos Instalación'!$F$6="Autoconsumo Individual con Excedentes",IF(T26&gt;Auxiliares!$D16/$A63,Producción!T26-Auxiliares!$D16/$A63,0),0)</f>
        <v>14.667704110936665</v>
      </c>
      <c r="U63" s="2">
        <f ca="1">IF('Datos Instalación'!$F$6="Autoconsumo Individual con Excedentes",IF(U26&gt;Auxiliares!$D16/$A63,Producción!U26-Auxiliares!$D16/$A63,0),0)</f>
        <v>14.564686579340165</v>
      </c>
      <c r="V63" s="2">
        <f ca="1">IF('Datos Instalación'!$F$6="Autoconsumo Individual con Excedentes",IF(V26&gt;Auxiliares!$D16/$A63,Producción!V26-Auxiliares!$D16/$A63,0),0)</f>
        <v>14.462225342414285</v>
      </c>
      <c r="W63" s="2">
        <f ca="1">IF('Datos Instalación'!$F$6="Autoconsumo Individual con Excedentes",IF(W26&gt;Auxiliares!$D16/$A63,Producción!W26-Auxiliares!$D16/$A63,0),0)</f>
        <v>14.360317396167805</v>
      </c>
      <c r="X63" s="2">
        <f ca="1">IF('Datos Instalación'!$F$6="Autoconsumo Individual con Excedentes",IF(X26&gt;Auxiliares!$D16/$A63,Producción!X26-Auxiliares!$D16/$A63,0),0)</f>
        <v>14.258959752831053</v>
      </c>
      <c r="Y63" s="2">
        <f ca="1">IF('Datos Instalación'!$F$6="Autoconsumo Individual con Excedentes",IF(Y26&gt;Auxiliares!$D16/$A63,Producción!Y26-Auxiliares!$D16/$A63,0),0)</f>
        <v>14.158149440768323</v>
      </c>
      <c r="Z63" s="2">
        <f ca="1">IF('Datos Instalación'!$F$6="Autoconsumo Individual con Excedentes",IF(Z26&gt;Auxiliares!$D16/$A63,Producción!Z26-Auxiliares!$D16/$A63,0),0)</f>
        <v>14.057883504390723</v>
      </c>
      <c r="AA63" s="2">
        <f ca="1">IF('Datos Instalación'!$F$6="Autoconsumo Individual con Excedentes",IF(AA26&gt;Auxiliares!$D16/$A63,Producción!AA26-Auxiliares!$D16/$A63,0),0)</f>
        <v>13.958159004069575</v>
      </c>
      <c r="AB63" s="2">
        <f ca="1">IF('Datos Instalación'!$F$6="Autoconsumo Individual con Excedentes",IF(AB26&gt;Auxiliares!$D16/$A63,Producción!AB26-Auxiliares!$D16/$A63,0),0)</f>
        <v>13.858973016050154</v>
      </c>
      <c r="AC63" s="2">
        <f ca="1">IF('Datos Instalación'!$F$6="Autoconsumo Individual con Excedentes",IF(AC26&gt;Auxiliares!$D16/$A63,Producción!AC26-Auxiliares!$D16/$A63,0),0)</f>
        <v>13.760322632366041</v>
      </c>
      <c r="AD63" s="2">
        <f ca="1">IF('Datos Instalación'!$F$6="Autoconsumo Individual con Excedentes",IF(AD26&gt;Auxiliares!$D16/$A63,Producción!AD26-Auxiliares!$D16/$A63,0),0)</f>
        <v>13.662204960753819</v>
      </c>
      <c r="AE63" s="2">
        <f ca="1">IF('Datos Instalación'!$F$6="Autoconsumo Individual con Excedentes",IF(AE26&gt;Auxiliares!$D16/$A63,Producción!AE26-Auxiliares!$D16/$A63,0),0)</f>
        <v>13.564617124568304</v>
      </c>
      <c r="AF63" s="2">
        <f ca="1">IF('Datos Instalación'!$F$6="Autoconsumo Individual con Excedentes",IF(AF26&gt;Auxiliares!$D16/$A63,Producción!AF26-Auxiliares!$D16/$A63,0),0)</f>
        <v>13.467556262698192</v>
      </c>
      <c r="AG63" s="2">
        <f ca="1">IF('Datos Instalación'!$F$6="Autoconsumo Individual con Excedentes",IF(AG26&gt;Auxiliares!$D16/$A63,Producción!AG26-Auxiliares!$D16/$A63,0),0)</f>
        <v>13.371019529482179</v>
      </c>
      <c r="AH63" s="2">
        <f>IF('Datos Instalación'!$F$6="Autoconsumo Individual con Excedentes",IF(AH26&gt;Auxiliares!$D16/$A63,Producción!AH26-Auxiliares!$D16/$A63,0),0)</f>
        <v>0</v>
      </c>
    </row>
    <row r="64" spans="1:34">
      <c r="A64" s="2">
        <v>28</v>
      </c>
      <c r="B64" s="12" t="s">
        <v>5</v>
      </c>
      <c r="C64" s="2">
        <f ca="1">IF('Datos Instalación'!$F$6="Autoconsumo Individual con Excedentes",IF(C27&gt;Auxiliares!$D17/$A64,Producción!C27-Auxiliares!$D17/$A64,0),0)</f>
        <v>17.899495140161719</v>
      </c>
      <c r="D64" s="2">
        <f ca="1">IF('Datos Instalación'!$F$6="Autoconsumo Individual con Excedentes",IF(D27&gt;Auxiliares!$D17/$A64,Producción!D27-Auxiliares!$D17/$A64,0),0)</f>
        <v>17.778734362361725</v>
      </c>
      <c r="E64" s="2">
        <f ca="1">IF('Datos Instalación'!$F$6="Autoconsumo Individual con Excedentes",IF(E27&gt;Auxiliares!$D17/$A64,Producción!E27-Auxiliares!$D17/$A64,0),0)</f>
        <v>17.658625692761845</v>
      </c>
      <c r="F64" s="2">
        <f ca="1">IF('Datos Instalación'!$F$6="Autoconsumo Individual con Excedentes",IF(F27&gt;Auxiliares!$D17/$A64,Producción!F27-Auxiliares!$D17/$A64,0),0)</f>
        <v>17.5391656099778</v>
      </c>
      <c r="G64" s="2">
        <f ca="1">IF('Datos Instalación'!$F$6="Autoconsumo Individual con Excedentes",IF(G27&gt;Auxiliares!$D17/$A64,Producción!G27-Auxiliares!$D17/$A64,0),0)</f>
        <v>17.420350611640792</v>
      </c>
      <c r="H64" s="2">
        <f ca="1">IF('Datos Instalación'!$F$6="Autoconsumo Individual con Excedentes",IF(H27&gt;Auxiliares!$D17/$A64,Producción!H27-Auxiliares!$D17/$A64,0),0)</f>
        <v>17.302177214294808</v>
      </c>
      <c r="I64" s="2">
        <f ca="1">IF('Datos Instalación'!$F$6="Autoconsumo Individual con Excedentes",IF(I27&gt;Auxiliares!$D17/$A64,Producción!I27-Auxiliares!$D17/$A64,0),0)</f>
        <v>17.184641953294495</v>
      </c>
      <c r="J64" s="2">
        <f ca="1">IF('Datos Instalación'!$F$6="Autoconsumo Individual con Excedentes",IF(J27&gt;Auxiliares!$D17/$A64,Producción!J27-Auxiliares!$D17/$A64,0),0)</f>
        <v>17.067741382703574</v>
      </c>
      <c r="K64" s="2">
        <f ca="1">IF('Datos Instalación'!$F$6="Autoconsumo Individual con Excedentes",IF(K27&gt;Auxiliares!$D17/$A64,Producción!K27-Auxiliares!$D17/$A64,0),0)</f>
        <v>16.951472075193848</v>
      </c>
      <c r="L64" s="2">
        <f ca="1">IF('Datos Instalación'!$F$6="Autoconsumo Individual con Excedentes",IF(L27&gt;Auxiliares!$D17/$A64,Producción!L27-Auxiliares!$D17/$A64,0),0)</f>
        <v>16.83583062194468</v>
      </c>
      <c r="M64" s="2">
        <f ca="1">IF('Datos Instalación'!$F$6="Autoconsumo Individual con Excedentes",IF(M27&gt;Auxiliares!$D17/$A64,Producción!M27-Auxiliares!$D17/$A64,0),0)</f>
        <v>16.720813632543042</v>
      </c>
      <c r="N64" s="2">
        <f ca="1">IF('Datos Instalación'!$F$6="Autoconsumo Individual con Excedentes",IF(N27&gt;Auxiliares!$D17/$A64,Producción!N27-Auxiliares!$D17/$A64,0),0)</f>
        <v>16.606417734884189</v>
      </c>
      <c r="O64" s="2">
        <f ca="1">IF('Datos Instalación'!$F$6="Autoconsumo Individual con Excedentes",IF(O27&gt;Auxiliares!$D17/$A64,Producción!O27-Auxiliares!$D17/$A64,0),0)</f>
        <v>17.135686968717209</v>
      </c>
      <c r="P64" s="2">
        <f ca="1">IF('Datos Instalación'!$F$6="Autoconsumo Individual con Excedentes",IF(P27&gt;Auxiliares!$D17/$A64,Producción!P27-Auxiliares!$D17/$A64,0),0)</f>
        <v>17.019050755043004</v>
      </c>
      <c r="Q64" s="2">
        <f ca="1">IF('Datos Instalación'!$F$6="Autoconsumo Individual con Excedentes",IF(Q27&gt;Auxiliares!$D17/$A64,Producción!Q27-Auxiliares!$D17/$A64,0),0)</f>
        <v>16.903044376922644</v>
      </c>
      <c r="R64" s="2">
        <f ca="1">IF('Datos Instalación'!$F$6="Autoconsumo Individual con Excedentes",IF(R27&gt;Auxiliares!$D17/$A64,Producción!R27-Auxiliares!$D17/$A64,0),0)</f>
        <v>16.787664433244139</v>
      </c>
      <c r="S64" s="2">
        <f ca="1">IF('Datos Instalación'!$F$6="Autoconsumo Individual con Excedentes",IF(S27&gt;Auxiliares!$D17/$A64,Producción!S27-Auxiliares!$D17/$A64,0),0)</f>
        <v>16.672907541261488</v>
      </c>
      <c r="T64" s="2">
        <f ca="1">IF('Datos Instalación'!$F$6="Autoconsumo Individual con Excedentes",IF(T27&gt;Auxiliares!$D17/$A64,Producción!T27-Auxiliares!$D17/$A64,0),0)</f>
        <v>16.558770336495549</v>
      </c>
      <c r="U64" s="2">
        <f ca="1">IF('Datos Instalación'!$F$6="Autoconsumo Individual con Excedentes",IF(U27&gt;Auxiliares!$D17/$A64,Producción!U27-Auxiliares!$D17/$A64,0),0)</f>
        <v>16.445249472635346</v>
      </c>
      <c r="V64" s="2">
        <f ca="1">IF('Datos Instalación'!$F$6="Autoconsumo Individual con Excedentes",IF(V27&gt;Auxiliares!$D17/$A64,Producción!V27-Auxiliares!$D17/$A64,0),0)</f>
        <v>16.332341621439994</v>
      </c>
      <c r="W64" s="2">
        <f ca="1">IF('Datos Instalación'!$F$6="Autoconsumo Individual con Excedentes",IF(W27&gt;Auxiliares!$D17/$A64,Producción!W27-Auxiliares!$D17/$A64,0),0)</f>
        <v>16.220043472641095</v>
      </c>
      <c r="X64" s="2">
        <f ca="1">IF('Datos Instalación'!$F$6="Autoconsumo Individual con Excedentes",IF(X27&gt;Auxiliares!$D17/$A64,Producción!X27-Auxiliares!$D17/$A64,0),0)</f>
        <v>16.108351733845701</v>
      </c>
      <c r="Y64" s="2">
        <f ca="1">IF('Datos Instalación'!$F$6="Autoconsumo Individual con Excedentes",IF(Y27&gt;Auxiliares!$D17/$A64,Producción!Y27-Auxiliares!$D17/$A64,0),0)</f>
        <v>15.997263130439803</v>
      </c>
      <c r="Z64" s="2">
        <f ca="1">IF('Datos Instalación'!$F$6="Autoconsumo Individual con Excedentes",IF(Z27&gt;Auxiliares!$D17/$A64,Producción!Z27-Auxiliares!$D17/$A64,0),0)</f>
        <v>15.886774405492305</v>
      </c>
      <c r="AA64" s="2">
        <f ca="1">IF('Datos Instalación'!$F$6="Autoconsumo Individual con Excedentes",IF(AA27&gt;Auxiliares!$D17/$A64,Producción!AA27-Auxiliares!$D17/$A64,0),0)</f>
        <v>15.776882319659519</v>
      </c>
      <c r="AB64" s="2">
        <f ca="1">IF('Datos Instalación'!$F$6="Autoconsumo Individual con Excedentes",IF(AB27&gt;Auxiliares!$D17/$A64,Producción!AB27-Auxiliares!$D17/$A64,0),0)</f>
        <v>15.667583651090231</v>
      </c>
      <c r="AC64" s="2">
        <f ca="1">IF('Datos Instalación'!$F$6="Autoconsumo Individual con Excedentes",IF(AC27&gt;Auxiliares!$D17/$A64,Producción!AC27-Auxiliares!$D17/$A64,0),0)</f>
        <v>15.558875195331217</v>
      </c>
      <c r="AD64" s="2">
        <f ca="1">IF('Datos Instalación'!$F$6="Autoconsumo Individual con Excedentes",IF(AD27&gt;Auxiliares!$D17/$A64,Producción!AD27-Auxiliares!$D17/$A64,0),0)</f>
        <v>15.4507537652333</v>
      </c>
      <c r="AE64" s="2">
        <f ca="1">IF('Datos Instalación'!$F$6="Autoconsumo Individual con Excedentes",IF(AE27&gt;Auxiliares!$D17/$A64,Producción!AE27-Auxiliares!$D17/$A64,0),0)</f>
        <v>15.343216190857914</v>
      </c>
      <c r="AF64" s="2">
        <f ca="1">IF('Datos Instalación'!$F$6="Autoconsumo Individual con Excedentes",IF(AF27&gt;Auxiliares!$D17/$A64,Producción!AF27-Auxiliares!$D17/$A64,0),0)</f>
        <v>15.236259319384155</v>
      </c>
      <c r="AG64" s="2">
        <f ca="1">IF('Datos Instalación'!$F$6="Autoconsumo Individual con Excedentes",IF(AG27&gt;Auxiliares!$D17/$A64,Producción!AG27-Auxiliares!$D17/$A64,0),0)</f>
        <v>15.129880015016353</v>
      </c>
      <c r="AH64" s="2">
        <f>IF('Datos Instalación'!$F$6="Autoconsumo Individual con Excedentes",IF(AH27&gt;Auxiliares!$D17/$A64,Producción!AH27-Auxiliares!$D17/$A64,0),0)</f>
        <v>0</v>
      </c>
    </row>
    <row r="65" spans="1:34">
      <c r="A65" s="2">
        <v>31</v>
      </c>
      <c r="B65" s="12" t="s">
        <v>6</v>
      </c>
      <c r="C65" s="2">
        <f ca="1">IF('Datos Instalación'!$F$6="Autoconsumo Individual con Excedentes",IF(C28&gt;Auxiliares!$D18/$A65,Producción!C28-Auxiliares!$D18/$A65,0),0)</f>
        <v>21.573915300365183</v>
      </c>
      <c r="D65" s="2">
        <f ca="1">IF('Datos Instalación'!$F$6="Autoconsumo Individual con Excedentes",IF(D28&gt;Auxiliares!$D18/$A65,Producción!D28-Auxiliares!$D18/$A65,0),0)</f>
        <v>21.439046955065184</v>
      </c>
      <c r="E65" s="2">
        <f ca="1">IF('Datos Instalación'!$F$6="Autoconsumo Individual con Excedentes",IF(E28&gt;Auxiliares!$D18/$A65,Producción!E28-Auxiliares!$D18/$A65,0),0)</f>
        <v>21.304906898829806</v>
      </c>
      <c r="F65" s="2">
        <f ca="1">IF('Datos Instalación'!$F$6="Autoconsumo Individual con Excedentes",IF(F28&gt;Auxiliares!$D18/$A65,Producción!F28-Auxiliares!$D18/$A65,0),0)</f>
        <v>21.171491198898099</v>
      </c>
      <c r="G65" s="2">
        <f ca="1">IF('Datos Instalación'!$F$6="Autoconsumo Individual con Excedentes",IF(G28&gt;Auxiliares!$D18/$A65,Producción!G28-Auxiliares!$D18/$A65,0),0)</f>
        <v>21.038795943746017</v>
      </c>
      <c r="H65" s="2">
        <f ca="1">IF('Datos Instalación'!$F$6="Autoconsumo Individual con Excedentes",IF(H28&gt;Auxiliares!$D18/$A65,Producción!H28-Auxiliares!$D18/$A65,0),0)</f>
        <v>20.906817242971762</v>
      </c>
      <c r="I65" s="2">
        <f ca="1">IF('Datos Instalación'!$F$6="Autoconsumo Individual con Excedentes",IF(I28&gt;Auxiliares!$D18/$A65,Producción!I28-Auxiliares!$D18/$A65,0),0)</f>
        <v>20.775551227181687</v>
      </c>
      <c r="J65" s="2">
        <f ca="1">IF('Datos Instalación'!$F$6="Autoconsumo Individual con Excedentes",IF(J28&gt;Auxiliares!$D18/$A65,Producción!J28-Auxiliares!$D18/$A65,0),0)</f>
        <v>20.644994047876878</v>
      </c>
      <c r="K65" s="2">
        <f ca="1">IF('Datos Instalación'!$F$6="Autoconsumo Individual con Excedentes",IF(K28&gt;Auxiliares!$D18/$A65,Producción!K28-Auxiliares!$D18/$A65,0),0)</f>
        <v>20.515141877340316</v>
      </c>
      <c r="L65" s="2">
        <f ca="1">IF('Datos Instalación'!$F$6="Autoconsumo Individual con Excedentes",IF(L28&gt;Auxiliares!$D18/$A65,Producción!L28-Auxiliares!$D18/$A65,0),0)</f>
        <v>20.385990908524654</v>
      </c>
      <c r="M65" s="2">
        <f ca="1">IF('Datos Instalación'!$F$6="Autoconsumo Individual con Excedentes",IF(M28&gt;Auxiliares!$D18/$A65,Producción!M28-Auxiliares!$D18/$A65,0),0)</f>
        <v>20.257537354940588</v>
      </c>
      <c r="N65" s="2">
        <f ca="1">IF('Datos Instalación'!$F$6="Autoconsumo Individual con Excedentes",IF(N28&gt;Auxiliares!$D18/$A65,Producción!N28-Auxiliares!$D18/$A65,0),0)</f>
        <v>20.129777450545884</v>
      </c>
      <c r="O65" s="2">
        <f ca="1">IF('Datos Instalación'!$F$6="Autoconsumo Individual con Excedentes",IF(O28&gt;Auxiliares!$D18/$A65,Producción!O28-Auxiliares!$D18/$A65,0),0)</f>
        <v>20.720877202350049</v>
      </c>
      <c r="P65" s="2">
        <f ca="1">IF('Datos Instalación'!$F$6="Autoconsumo Individual con Excedentes",IF(P28&gt;Auxiliares!$D18/$A65,Producción!P28-Auxiliares!$D18/$A65,0),0)</f>
        <v>20.59061526277933</v>
      </c>
      <c r="Q65" s="2">
        <f ca="1">IF('Datos Instalación'!$F$6="Autoconsumo Individual con Excedentes",IF(Q28&gt;Auxiliares!$D18/$A65,Producción!Q28-Auxiliares!$D18/$A65,0),0)</f>
        <v>20.461056737682288</v>
      </c>
      <c r="R65" s="2">
        <f ca="1">IF('Datos Instalación'!$F$6="Autoconsumo Individual con Excedentes",IF(R28&gt;Auxiliares!$D18/$A65,Producción!R28-Auxiliares!$D18/$A65,0),0)</f>
        <v>20.332197828620778</v>
      </c>
      <c r="S65" s="2">
        <f ca="1">IF('Datos Instalación'!$F$6="Autoconsumo Individual con Excedentes",IF(S28&gt;Auxiliares!$D18/$A65,Producción!S28-Auxiliares!$D18/$A65,0),0)</f>
        <v>20.204034757668193</v>
      </c>
      <c r="T65" s="2">
        <f ca="1">IF('Datos Instalación'!$F$6="Autoconsumo Individual con Excedentes",IF(T28&gt;Auxiliares!$D18/$A65,Producción!T28-Auxiliares!$D18/$A65,0),0)</f>
        <v>20.076563767298762</v>
      </c>
      <c r="U65" s="2">
        <f ca="1">IF('Datos Instalación'!$F$6="Autoconsumo Individual con Excedentes",IF(U28&gt;Auxiliares!$D18/$A65,Producción!U28-Auxiliares!$D18/$A65,0),0)</f>
        <v>19.949781120277322</v>
      </c>
      <c r="V65" s="2">
        <f ca="1">IF('Datos Instalación'!$F$6="Autoconsumo Individual con Excedentes",IF(V28&gt;Auxiliares!$D18/$A65,Producción!V28-Auxiliares!$D18/$A65,0),0)</f>
        <v>19.823683099549797</v>
      </c>
      <c r="W65" s="2">
        <f ca="1">IF('Datos Instalación'!$F$6="Autoconsumo Individual con Excedentes",IF(W28&gt;Auxiliares!$D18/$A65,Producción!W28-Auxiliares!$D18/$A65,0),0)</f>
        <v>19.698266008134201</v>
      </c>
      <c r="X65" s="2">
        <f ca="1">IF('Datos Instalación'!$F$6="Autoconsumo Individual con Excedentes",IF(X28&gt;Auxiliares!$D18/$A65,Producción!X28-Auxiliares!$D18/$A65,0),0)</f>
        <v>19.573526169012247</v>
      </c>
      <c r="Y65" s="2">
        <f ca="1">IF('Datos Instalación'!$F$6="Autoconsumo Individual con Excedentes",IF(Y28&gt;Auxiliares!$D18/$A65,Producción!Y28-Auxiliares!$D18/$A65,0),0)</f>
        <v>19.44945992502155</v>
      </c>
      <c r="Z65" s="2">
        <f ca="1">IF('Datos Instalación'!$F$6="Autoconsumo Individual con Excedentes",IF(Z28&gt;Auxiliares!$D18/$A65,Producción!Z28-Auxiliares!$D18/$A65,0),0)</f>
        <v>19.326063638748405</v>
      </c>
      <c r="AA65" s="2">
        <f ca="1">IF('Datos Instalación'!$F$6="Autoconsumo Individual con Excedentes",IF(AA28&gt;Auxiliares!$D18/$A65,Producción!AA28-Auxiliares!$D18/$A65,0),0)</f>
        <v>19.203333692421136</v>
      </c>
      <c r="AB65" s="2">
        <f ca="1">IF('Datos Instalación'!$F$6="Autoconsumo Individual con Excedentes",IF(AB28&gt;Auxiliares!$D18/$A65,Producción!AB28-Auxiliares!$D18/$A65,0),0)</f>
        <v>19.081266487804033</v>
      </c>
      <c r="AC65" s="2">
        <f ca="1">IF('Datos Instalación'!$F$6="Autoconsumo Individual con Excedentes",IF(AC28&gt;Auxiliares!$D18/$A65,Producción!AC28-Auxiliares!$D18/$A65,0),0)</f>
        <v>18.959858446091864</v>
      </c>
      <c r="AD65" s="2">
        <f ca="1">IF('Datos Instalación'!$F$6="Autoconsumo Individual con Excedentes",IF(AD28&gt;Auxiliares!$D18/$A65,Producción!AD28-Auxiliares!$D18/$A65,0),0)</f>
        <v>18.83910600780494</v>
      </c>
      <c r="AE65" s="2">
        <f ca="1">IF('Datos Instalación'!$F$6="Autoconsumo Individual con Excedentes",IF(AE28&gt;Auxiliares!$D18/$A65,Producción!AE28-Auxiliares!$D18/$A65,0),0)</f>
        <v>18.719005632684766</v>
      </c>
      <c r="AF65" s="2">
        <f ca="1">IF('Datos Instalación'!$F$6="Autoconsumo Individual con Excedentes",IF(AF28&gt;Auxiliares!$D18/$A65,Producción!AF28-Auxiliares!$D18/$A65,0),0)</f>
        <v>18.59955379959024</v>
      </c>
      <c r="AG65" s="2">
        <f ca="1">IF('Datos Instalación'!$F$6="Autoconsumo Individual con Excedentes",IF(AG28&gt;Auxiliares!$D18/$A65,Producción!AG28-Auxiliares!$D18/$A65,0),0)</f>
        <v>18.480747006394427</v>
      </c>
      <c r="AH65" s="2">
        <f>IF('Datos Instalación'!$F$6="Autoconsumo Individual con Excedentes",IF(AH28&gt;Auxiliares!$D18/$A65,Producción!AH28-Auxiliares!$D18/$A65,0),0)</f>
        <v>0</v>
      </c>
    </row>
    <row r="66" spans="1:34">
      <c r="A66" s="2">
        <v>30</v>
      </c>
      <c r="B66" s="12" t="s">
        <v>7</v>
      </c>
      <c r="C66" s="2">
        <f ca="1">IF('Datos Instalación'!$F$6="Autoconsumo Individual con Excedentes",IF(C29&gt;Auxiliares!$D19/$A66,Producción!C29-Auxiliares!$D19/$A66,0),0)</f>
        <v>24.589004298113206</v>
      </c>
      <c r="D66" s="2">
        <f ca="1">IF('Datos Instalación'!$F$6="Autoconsumo Individual con Excedentes",IF(D29&gt;Auxiliares!$D19/$A66,Producción!D29-Auxiliares!$D19/$A66,0),0)</f>
        <v>24.43935122207321</v>
      </c>
      <c r="E66" s="2">
        <f ca="1">IF('Datos Instalación'!$F$6="Autoconsumo Individual con Excedentes",IF(E29&gt;Auxiliares!$D19/$A66,Producción!E29-Auxiliares!$D19/$A66,0),0)</f>
        <v>24.290506272643825</v>
      </c>
      <c r="F66" s="2">
        <f ca="1">IF('Datos Instalación'!$F$6="Autoconsumo Individual con Excedentes",IF(F29&gt;Auxiliares!$D19/$A66,Producción!F29-Auxiliares!$D19/$A66,0),0)</f>
        <v>24.14246508594136</v>
      </c>
      <c r="G66" s="2">
        <f ca="1">IF('Datos Instalación'!$F$6="Autoconsumo Individual con Excedentes",IF(G29&gt;Auxiliares!$D19/$A66,Producción!G29-Auxiliares!$D19/$A66,0),0)</f>
        <v>23.995223321647089</v>
      </c>
      <c r="H66" s="2">
        <f ca="1">IF('Datos Instalación'!$F$6="Autoconsumo Individual con Excedentes",IF(H29&gt;Auxiliares!$D19/$A66,Producción!H29-Auxiliares!$D19/$A66,0),0)</f>
        <v>23.848776662880006</v>
      </c>
      <c r="I66" s="2">
        <f ca="1">IF('Datos Instalación'!$F$6="Autoconsumo Individual con Excedentes",IF(I29&gt;Auxiliares!$D19/$A66,Producción!I29-Auxiliares!$D19/$A66,0),0)</f>
        <v>23.703120816070264</v>
      </c>
      <c r="J66" s="2">
        <f ca="1">IF('Datos Instalación'!$F$6="Autoconsumo Individual con Excedentes",IF(J29&gt;Auxiliares!$D19/$A66,Producción!J29-Auxiliares!$D19/$A66,0),0)</f>
        <v>23.558251510833301</v>
      </c>
      <c r="K66" s="2">
        <f ca="1">IF('Datos Instalación'!$F$6="Autoconsumo Individual con Excedentes",IF(K29&gt;Auxiliares!$D19/$A66,Producción!K29-Auxiliares!$D19/$A66,0),0)</f>
        <v>23.41416449984461</v>
      </c>
      <c r="L66" s="2">
        <f ca="1">IF('Datos Instalación'!$F$6="Autoconsumo Individual con Excedentes",IF(L29&gt;Auxiliares!$D19/$A66,Producción!L29-Auxiliares!$D19/$A66,0),0)</f>
        <v>23.270855558715262</v>
      </c>
      <c r="M66" s="2">
        <f ca="1">IF('Datos Instalación'!$F$6="Autoconsumo Individual con Excedentes",IF(M29&gt;Auxiliares!$D19/$A66,Producción!M29-Auxiliares!$D19/$A66,0),0)</f>
        <v>23.128320485868006</v>
      </c>
      <c r="N66" s="2">
        <f ca="1">IF('Datos Instalación'!$F$6="Autoconsumo Individual con Excedentes",IF(N29&gt;Auxiliares!$D19/$A66,Producción!N29-Auxiliares!$D19/$A66,0),0)</f>
        <v>22.98655510241413</v>
      </c>
      <c r="O66" s="2">
        <f ca="1">IF('Datos Instalación'!$F$6="Autoconsumo Individual con Excedentes",IF(O29&gt;Auxiliares!$D19/$A66,Producción!O29-Auxiliares!$D19/$A66,0),0)</f>
        <v>23.642453237052059</v>
      </c>
      <c r="P66" s="2">
        <f ca="1">IF('Datos Instalación'!$F$6="Autoconsumo Individual con Excedentes",IF(P29&gt;Auxiliares!$D19/$A66,Producción!P29-Auxiliares!$D19/$A66,0),0)</f>
        <v>23.497911536741789</v>
      </c>
      <c r="Q66" s="2">
        <f ca="1">IF('Datos Instalación'!$F$6="Autoconsumo Individual con Excedentes",IF(Q29&gt;Auxiliares!$D19/$A66,Producción!Q29-Auxiliares!$D19/$A66,0),0)</f>
        <v>23.35415036161319</v>
      </c>
      <c r="R66" s="2">
        <f ca="1">IF('Datos Instalación'!$F$6="Autoconsumo Individual con Excedentes",IF(R29&gt;Auxiliares!$D19/$A66,Producción!R29-Auxiliares!$D19/$A66,0),0)</f>
        <v>23.211165496830294</v>
      </c>
      <c r="S66" s="2">
        <f ca="1">IF('Datos Instalación'!$F$6="Autoconsumo Individual con Excedentes",IF(S29&gt;Auxiliares!$D19/$A66,Producción!S29-Auxiliares!$D19/$A66,0),0)</f>
        <v>23.068952750317219</v>
      </c>
      <c r="T66" s="2">
        <f ca="1">IF('Datos Instalación'!$F$6="Autoconsumo Individual con Excedentes",IF(T29&gt;Auxiliares!$D19/$A66,Producción!T29-Auxiliares!$D19/$A66,0),0)</f>
        <v>22.927507952635317</v>
      </c>
      <c r="U66" s="2">
        <f ca="1">IF('Datos Instalación'!$F$6="Autoconsumo Individual con Excedentes",IF(U29&gt;Auxiliares!$D19/$A66,Producción!U29-Auxiliares!$D19/$A66,0),0)</f>
        <v>22.786826956860899</v>
      </c>
      <c r="V66" s="2">
        <f ca="1">IF('Datos Instalación'!$F$6="Autoconsumo Individual con Excedentes",IF(V29&gt;Auxiliares!$D19/$A66,Producción!V29-Auxiliares!$D19/$A66,0),0)</f>
        <v>22.646905638463664</v>
      </c>
      <c r="W66" s="2">
        <f ca="1">IF('Datos Instalación'!$F$6="Autoconsumo Individual con Excedentes",IF(W29&gt;Auxiliares!$D19/$A66,Producción!W29-Auxiliares!$D19/$A66,0),0)</f>
        <v>22.507739895185775</v>
      </c>
      <c r="X66" s="2">
        <f ca="1">IF('Datos Instalación'!$F$6="Autoconsumo Individual con Excedentes",IF(X29&gt;Auxiliares!$D19/$A66,Producción!X29-Auxiliares!$D19/$A66,0),0)</f>
        <v>22.369325646921578</v>
      </c>
      <c r="Y66" s="2">
        <f ca="1">IF('Datos Instalación'!$F$6="Autoconsumo Individual con Excedentes",IF(Y29&gt;Auxiliares!$D19/$A66,Producción!Y29-Auxiliares!$D19/$A66,0),0)</f>
        <v>22.231658835598012</v>
      </c>
      <c r="Z66" s="2">
        <f ca="1">IF('Datos Instalación'!$F$6="Autoconsumo Individual con Excedentes",IF(Z29&gt;Auxiliares!$D19/$A66,Producción!Z29-Auxiliares!$D19/$A66,0),0)</f>
        <v>22.094735425055593</v>
      </c>
      <c r="AA66" s="2">
        <f ca="1">IF('Datos Instalación'!$F$6="Autoconsumo Individual con Excedentes",IF(AA29&gt;Auxiliares!$D19/$A66,Producción!AA29-Auxiliares!$D19/$A66,0),0)</f>
        <v>21.958551400930105</v>
      </c>
      <c r="AB66" s="2">
        <f ca="1">IF('Datos Instalación'!$F$6="Autoconsumo Individual con Excedentes",IF(AB29&gt;Auxiliares!$D19/$A66,Producción!AB29-Auxiliares!$D19/$A66,0),0)</f>
        <v>21.823102770534895</v>
      </c>
      <c r="AC66" s="2">
        <f ca="1">IF('Datos Instalación'!$F$6="Autoconsumo Individual con Excedentes",IF(AC29&gt;Auxiliares!$D19/$A66,Producción!AC29-Auxiliares!$D19/$A66,0),0)</f>
        <v>21.688385562743814</v>
      </c>
      <c r="AD66" s="2">
        <f ca="1">IF('Datos Instalación'!$F$6="Autoconsumo Individual con Excedentes",IF(AD29&gt;Auxiliares!$D19/$A66,Producción!AD29-Auxiliares!$D19/$A66,0),0)</f>
        <v>21.554395827874806</v>
      </c>
      <c r="AE66" s="2">
        <f ca="1">IF('Datos Instalación'!$F$6="Autoconsumo Individual con Excedentes",IF(AE29&gt;Auxiliares!$D19/$A66,Producción!AE29-Auxiliares!$D19/$A66,0),0)</f>
        <v>21.421129637574097</v>
      </c>
      <c r="AF66" s="2">
        <f ca="1">IF('Datos Instalación'!$F$6="Autoconsumo Individual con Excedentes",IF(AF29&gt;Auxiliares!$D19/$A66,Producción!AF29-Auxiliares!$D19/$A66,0),0)</f>
        <v>21.28858308470101</v>
      </c>
      <c r="AG66" s="2">
        <f ca="1">IF('Datos Instalación'!$F$6="Autoconsumo Individual con Excedentes",IF(AG29&gt;Auxiliares!$D19/$A66,Producción!AG29-Auxiliares!$D19/$A66,0),0)</f>
        <v>21.156752283213436</v>
      </c>
      <c r="AH66" s="2">
        <f>IF('Datos Instalación'!$F$6="Autoconsumo Individual con Excedentes",IF(AH29&gt;Auxiliares!$D19/$A66,Producción!AH29-Auxiliares!$D19/$A66,0),0)</f>
        <v>0</v>
      </c>
    </row>
    <row r="67" spans="1:34">
      <c r="A67" s="2">
        <v>31</v>
      </c>
      <c r="B67" s="12" t="s">
        <v>8</v>
      </c>
      <c r="C67" s="2">
        <f ca="1">IF('Datos Instalación'!$F$6="Autoconsumo Individual con Excedentes",IF(C30&gt;Auxiliares!$D20/$A67,Producción!C30-Auxiliares!$D20/$A67,0),0)</f>
        <v>26.967612211442479</v>
      </c>
      <c r="D67" s="2">
        <f ca="1">IF('Datos Instalación'!$F$6="Autoconsumo Individual con Excedentes",IF(D30&gt;Auxiliares!$D20/$A67,Producción!D30-Auxiliares!$D20/$A67,0),0)</f>
        <v>26.805318754922482</v>
      </c>
      <c r="E67" s="2">
        <f ca="1">IF('Datos Instalación'!$F$6="Autoconsumo Individual con Excedentes",IF(E30&gt;Auxiliares!$D20/$A67,Producción!E30-Auxiliares!$D20/$A67,0),0)</f>
        <v>26.643901683067689</v>
      </c>
      <c r="F67" s="2">
        <f ca="1">IF('Datos Instalación'!$F$6="Autoconsumo Individual con Excedentes",IF(F30&gt;Auxiliares!$D20/$A67,Producción!F30-Auxiliares!$D20/$A67,0),0)</f>
        <v>26.483356263400914</v>
      </c>
      <c r="G67" s="2">
        <f ca="1">IF('Datos Instalación'!$F$6="Autoconsumo Individual con Excedentes",IF(G30&gt;Auxiliares!$D20/$A67,Producción!G30-Auxiliares!$D20/$A67,0),0)</f>
        <v>26.323677789000339</v>
      </c>
      <c r="H67" s="2">
        <f ca="1">IF('Datos Instalación'!$F$6="Autoconsumo Individual con Excedentes",IF(H30&gt;Auxiliares!$D20/$A67,Producción!H30-Auxiliares!$D20/$A67,0),0)</f>
        <v>26.164861578361528</v>
      </c>
      <c r="I67" s="2">
        <f ca="1">IF('Datos Instalación'!$F$6="Autoconsumo Individual con Excedentes",IF(I30&gt;Auxiliares!$D20/$A67,Producción!I30-Auxiliares!$D20/$A67,0),0)</f>
        <v>26.006902975260164</v>
      </c>
      <c r="J67" s="2">
        <f ca="1">IF('Datos Instalación'!$F$6="Autoconsumo Individual con Excedentes",IF(J30&gt;Auxiliares!$D20/$A67,Producción!J30-Auxiliares!$D20/$A67,0),0)</f>
        <v>25.849797348615549</v>
      </c>
      <c r="K67" s="2">
        <f ca="1">IF('Datos Instalación'!$F$6="Autoconsumo Individual con Excedentes",IF(K30&gt;Auxiliares!$D20/$A67,Producción!K30-Auxiliares!$D20/$A67,0),0)</f>
        <v>25.693540092354816</v>
      </c>
      <c r="L67" s="2">
        <f ca="1">IF('Datos Instalación'!$F$6="Autoconsumo Individual con Excedentes",IF(L30&gt;Auxiliares!$D20/$A67,Producción!L30-Auxiliares!$D20/$A67,0),0)</f>
        <v>25.53812662527789</v>
      </c>
      <c r="M67" s="2">
        <f ca="1">IF('Datos Instalación'!$F$6="Autoconsumo Individual con Excedentes",IF(M30&gt;Auxiliares!$D20/$A67,Producción!M30-Auxiliares!$D20/$A67,0),0)</f>
        <v>25.383552390923175</v>
      </c>
      <c r="N67" s="2">
        <f ca="1">IF('Datos Instalación'!$F$6="Autoconsumo Individual con Excedentes",IF(N30&gt;Auxiliares!$D20/$A67,Producción!N30-Auxiliares!$D20/$A67,0),0)</f>
        <v>25.229812857433977</v>
      </c>
      <c r="O67" s="2">
        <f ca="1">IF('Datos Instalación'!$F$6="Autoconsumo Individual con Excedentes",IF(O30&gt;Auxiliares!$D20/$A67,Producción!O30-Auxiliares!$D20/$A67,0),0)</f>
        <v>25.941111136174055</v>
      </c>
      <c r="P67" s="2">
        <f ca="1">IF('Datos Instalación'!$F$6="Autoconsumo Individual con Excedentes",IF(P30&gt;Auxiliares!$D20/$A67,Producción!P30-Auxiliares!$D20/$A67,0),0)</f>
        <v>25.784360785460503</v>
      </c>
      <c r="Q67" s="2">
        <f ca="1">IF('Datos Instalación'!$F$6="Autoconsumo Individual con Excedentes",IF(Q30&gt;Auxiliares!$D20/$A67,Producción!Q30-Auxiliares!$D20/$A67,0),0)</f>
        <v>25.628456886640805</v>
      </c>
      <c r="R67" s="2">
        <f ca="1">IF('Datos Instalación'!$F$6="Autoconsumo Individual con Excedentes",IF(R30&gt;Auxiliares!$D20/$A67,Producción!R30-Auxiliares!$D20/$A67,0),0)</f>
        <v>25.473394868874735</v>
      </c>
      <c r="S67" s="2">
        <f ca="1">IF('Datos Instalación'!$F$6="Autoconsumo Individual con Excedentes",IF(S30&gt;Auxiliares!$D20/$A67,Producción!S30-Auxiliares!$D20/$A67,0),0)</f>
        <v>25.319170186004598</v>
      </c>
      <c r="T67" s="2">
        <f ca="1">IF('Datos Instalación'!$F$6="Autoconsumo Individual con Excedentes",IF(T30&gt;Auxiliares!$D20/$A67,Producción!T30-Auxiliares!$D20/$A67,0),0)</f>
        <v>25.16577831642196</v>
      </c>
      <c r="U67" s="2">
        <f ca="1">IF('Datos Instalación'!$F$6="Autoconsumo Individual con Excedentes",IF(U30&gt;Auxiliares!$D20/$A67,Producción!U30-Auxiliares!$D20/$A67,0),0)</f>
        <v>25.013214762935075</v>
      </c>
      <c r="V67" s="2">
        <f ca="1">IF('Datos Instalación'!$F$6="Autoconsumo Individual con Excedentes",IF(V30&gt;Auxiliares!$D20/$A67,Producción!V30-Auxiliares!$D20/$A67,0),0)</f>
        <v>24.861475052637019</v>
      </c>
      <c r="W67" s="2">
        <f ca="1">IF('Datos Instalación'!$F$6="Autoconsumo Individual con Excedentes",IF(W30&gt;Auxiliares!$D20/$A67,Producción!W30-Auxiliares!$D20/$A67,0),0)</f>
        <v>24.710554736774569</v>
      </c>
      <c r="X67" s="2">
        <f ca="1">IF('Datos Instalación'!$F$6="Autoconsumo Individual con Excedentes",IF(X30&gt;Auxiliares!$D20/$A67,Producción!X30-Auxiliares!$D20/$A67,0),0)</f>
        <v>24.560449390617773</v>
      </c>
      <c r="Y67" s="2">
        <f ca="1">IF('Datos Instalación'!$F$6="Autoconsumo Individual con Excedentes",IF(Y30&gt;Auxiliares!$D20/$A67,Producción!Y30-Auxiliares!$D20/$A67,0),0)</f>
        <v>24.411154613330226</v>
      </c>
      <c r="Z67" s="2">
        <f ca="1">IF('Datos Instalación'!$F$6="Autoconsumo Individual con Excedentes",IF(Z30&gt;Auxiliares!$D20/$A67,Producción!Z30-Auxiliares!$D20/$A67,0),0)</f>
        <v>24.26266602784003</v>
      </c>
      <c r="AA67" s="2">
        <f ca="1">IF('Datos Instalación'!$F$6="Autoconsumo Individual con Excedentes",IF(AA30&gt;Auxiliares!$D20/$A67,Producción!AA30-Auxiliares!$D20/$A67,0),0)</f>
        <v>24.114979280711481</v>
      </c>
      <c r="AB67" s="2">
        <f ca="1">IF('Datos Instalación'!$F$6="Autoconsumo Individual con Excedentes",IF(AB30&gt;Auxiliares!$D20/$A67,Producción!AB30-Auxiliares!$D20/$A67,0),0)</f>
        <v>23.96809004201743</v>
      </c>
      <c r="AC67" s="2">
        <f ca="1">IF('Datos Instalación'!$F$6="Autoconsumo Individual con Excedentes",IF(AC30&gt;Auxiliares!$D20/$A67,Producción!AC30-Auxiliares!$D20/$A67,0),0)</f>
        <v>23.821994005212325</v>
      </c>
      <c r="AD67" s="2">
        <f ca="1">IF('Datos Instalación'!$F$6="Autoconsumo Individual con Excedentes",IF(AD30&gt;Auxiliares!$D20/$A67,Producción!AD30-Auxiliares!$D20/$A67,0),0)</f>
        <v>23.676686887005964</v>
      </c>
      <c r="AE67" s="2">
        <f ca="1">IF('Datos Instalación'!$F$6="Autoconsumo Individual con Excedentes",IF(AE30&gt;Auxiliares!$D20/$A67,Producción!AE30-Auxiliares!$D20/$A67,0),0)</f>
        <v>23.532164427237923</v>
      </c>
      <c r="AF67" s="2">
        <f ca="1">IF('Datos Instalación'!$F$6="Autoconsumo Individual con Excedentes",IF(AF30&gt;Auxiliares!$D20/$A67,Producción!AF30-Auxiliares!$D20/$A67,0),0)</f>
        <v>23.38842238875263</v>
      </c>
      <c r="AG67" s="2">
        <f ca="1">IF('Datos Instalación'!$F$6="Autoconsumo Individual con Excedentes",IF(AG30&gt;Auxiliares!$D20/$A67,Producción!AG30-Auxiliares!$D20/$A67,0),0)</f>
        <v>23.245456557275155</v>
      </c>
      <c r="AH67" s="2">
        <f>IF('Datos Instalación'!$F$6="Autoconsumo Individual con Excedentes",IF(AH30&gt;Auxiliares!$D20/$A67,Producción!AH30-Auxiliares!$D20/$A67,0),0)</f>
        <v>0</v>
      </c>
    </row>
    <row r="68" spans="1:34">
      <c r="A68" s="2">
        <v>30</v>
      </c>
      <c r="B68" s="12" t="s">
        <v>9</v>
      </c>
      <c r="C68" s="2">
        <f ca="1">IF('Datos Instalación'!$F$6="Autoconsumo Individual con Excedentes",IF(C31&gt;Auxiliares!$D21/$A68,Producción!C31-Auxiliares!$D21/$A68,0),0)</f>
        <v>27.990932518867918</v>
      </c>
      <c r="D68" s="2">
        <f ca="1">IF('Datos Instalación'!$F$6="Autoconsumo Individual con Excedentes",IF(D31&gt;Auxiliares!$D21/$A68,Producción!D31-Auxiliares!$D21/$A68,0),0)</f>
        <v>27.822206011567918</v>
      </c>
      <c r="E68" s="2">
        <f ca="1">IF('Datos Instalación'!$F$6="Autoconsumo Individual con Excedentes",IF(E31&gt;Auxiliares!$D21/$A68,Producción!E31-Auxiliares!$D21/$A68,0),0)</f>
        <v>27.654390627407338</v>
      </c>
      <c r="F68" s="2">
        <f ca="1">IF('Datos Instalación'!$F$6="Autoconsumo Individual con Excedentes",IF(F31&gt;Auxiliares!$D21/$A68,Producción!F31-Auxiliares!$D21/$A68,0),0)</f>
        <v>27.48748144632123</v>
      </c>
      <c r="G68" s="2">
        <f ca="1">IF('Datos Instalación'!$F$6="Autoconsumo Individual con Excedentes",IF(G31&gt;Auxiliares!$D21/$A68,Producción!G31-Auxiliares!$D21/$A68,0),0)</f>
        <v>27.32147357481298</v>
      </c>
      <c r="H68" s="2">
        <f ca="1">IF('Datos Instalación'!$F$6="Autoconsumo Individual con Excedentes",IF(H31&gt;Auxiliares!$D21/$A68,Producción!H31-Auxiliares!$D21/$A68,0),0)</f>
        <v>27.156362145810878</v>
      </c>
      <c r="I68" s="2">
        <f ca="1">IF('Datos Instalación'!$F$6="Autoconsumo Individual con Excedentes",IF(I31&gt;Auxiliares!$D21/$A68,Producción!I31-Auxiliares!$D21/$A68,0),0)</f>
        <v>26.992142318525385</v>
      </c>
      <c r="J68" s="2">
        <f ca="1">IF('Datos Instalación'!$F$6="Autoconsumo Individual con Excedentes",IF(J31&gt;Auxiliares!$D21/$A68,Producción!J31-Auxiliares!$D21/$A68,0),0)</f>
        <v>26.828809278307236</v>
      </c>
      <c r="K68" s="2">
        <f ca="1">IF('Datos Instalación'!$F$6="Autoconsumo Individual con Excedentes",IF(K31&gt;Auxiliares!$D21/$A68,Producción!K31-Auxiliares!$D21/$A68,0),0)</f>
        <v>26.666358236506262</v>
      </c>
      <c r="L68" s="2">
        <f ca="1">IF('Datos Instalación'!$F$6="Autoconsumo Individual con Excedentes",IF(L31&gt;Auxiliares!$D21/$A68,Producción!L31-Auxiliares!$D21/$A68,0),0)</f>
        <v>26.504784430331018</v>
      </c>
      <c r="M68" s="2">
        <f ca="1">IF('Datos Instalación'!$F$6="Autoconsumo Individual con Excedentes",IF(M31&gt;Auxiliares!$D21/$A68,Producción!M31-Auxiliares!$D21/$A68,0),0)</f>
        <v>26.344083122709112</v>
      </c>
      <c r="N68" s="2">
        <f ca="1">IF('Datos Instalación'!$F$6="Autoconsumo Individual con Excedentes",IF(N31&gt;Auxiliares!$D21/$A68,Producción!N31-Auxiliares!$D21/$A68,0),0)</f>
        <v>26.18424960214837</v>
      </c>
      <c r="O68" s="2">
        <f ca="1">IF('Datos Instalación'!$F$6="Autoconsumo Individual con Excedentes",IF(O31&gt;Auxiliares!$D21/$A68,Producción!O31-Auxiliares!$D21/$A68,0),0)</f>
        <v>26.92374259708329</v>
      </c>
      <c r="P68" s="2">
        <f ca="1">IF('Datos Instalación'!$F$6="Autoconsumo Individual con Excedentes",IF(P31&gt;Auxiliares!$D21/$A68,Producción!P31-Auxiliares!$D21/$A68,0),0)</f>
        <v>26.760778915360927</v>
      </c>
      <c r="Q68" s="2">
        <f ca="1">IF('Datos Instalación'!$F$6="Autoconsumo Individual con Excedentes",IF(Q31&gt;Auxiliares!$D21/$A68,Producción!Q31-Auxiliares!$D21/$A68,0),0)</f>
        <v>26.598695237519863</v>
      </c>
      <c r="R68" s="2">
        <f ca="1">IF('Datos Instalación'!$F$6="Autoconsumo Individual con Excedentes",IF(R31&gt;Auxiliares!$D21/$A68,Producción!R31-Auxiliares!$D21/$A68,0),0)</f>
        <v>26.437486811539141</v>
      </c>
      <c r="S68" s="2">
        <f ca="1">IF('Datos Instalación'!$F$6="Autoconsumo Individual con Excedentes",IF(S31&gt;Auxiliares!$D21/$A68,Producción!S31-Auxiliares!$D21/$A68,0),0)</f>
        <v>26.277148911058713</v>
      </c>
      <c r="T68" s="2">
        <f ca="1">IF('Datos Instalación'!$F$6="Autoconsumo Individual con Excedentes",IF(T31&gt;Auxiliares!$D21/$A68,Producción!T31-Auxiliares!$D21/$A68,0),0)</f>
        <v>26.117676835240886</v>
      </c>
      <c r="U68" s="2">
        <f ca="1">IF('Datos Instalación'!$F$6="Autoconsumo Individual con Excedentes",IF(U31&gt;Auxiliares!$D21/$A68,Producción!U31-Auxiliares!$D21/$A68,0),0)</f>
        <v>25.959065908632475</v>
      </c>
      <c r="V68" s="2">
        <f ca="1">IF('Datos Instalación'!$F$6="Autoconsumo Individual con Excedentes",IF(V31&gt;Auxiliares!$D21/$A68,Producción!V31-Auxiliares!$D21/$A68,0),0)</f>
        <v>25.801311481027749</v>
      </c>
      <c r="W68" s="2">
        <f ca="1">IF('Datos Instalación'!$F$6="Autoconsumo Individual con Excedentes",IF(W31&gt;Auxiliares!$D21/$A68,Producción!W31-Auxiliares!$D21/$A68,0),0)</f>
        <v>25.644408927332083</v>
      </c>
      <c r="X68" s="2">
        <f ca="1">IF('Datos Instalación'!$F$6="Autoconsumo Individual con Excedentes",IF(X31&gt;Auxiliares!$D21/$A68,Producción!X31-Auxiliares!$D21/$A68,0),0)</f>
        <v>25.488353647426376</v>
      </c>
      <c r="Y68" s="2">
        <f ca="1">IF('Datos Instalación'!$F$6="Autoconsumo Individual con Excedentes",IF(Y31&gt;Auxiliares!$D21/$A68,Producción!Y31-Auxiliares!$D21/$A68,0),0)</f>
        <v>25.333141066032159</v>
      </c>
      <c r="Z68" s="2">
        <f ca="1">IF('Datos Instalación'!$F$6="Autoconsumo Individual con Excedentes",IF(Z31&gt;Auxiliares!$D21/$A68,Producción!Z31-Auxiliares!$D21/$A68,0),0)</f>
        <v>25.178766632577471</v>
      </c>
      <c r="AA68" s="2">
        <f ca="1">IF('Datos Instalación'!$F$6="Autoconsumo Individual con Excedentes",IF(AA31&gt;Auxiliares!$D21/$A68,Producción!AA31-Auxiliares!$D21/$A68,0),0)</f>
        <v>25.02522582106344</v>
      </c>
      <c r="AB68" s="2">
        <f ca="1">IF('Datos Instalación'!$F$6="Autoconsumo Individual con Excedentes",IF(AB31&gt;Auxiliares!$D21/$A68,Producción!AB31-Auxiliares!$D21/$A68,0),0)</f>
        <v>24.872514129931581</v>
      </c>
      <c r="AC68" s="2">
        <f ca="1">IF('Datos Instalación'!$F$6="Autoconsumo Individual con Excedentes",IF(AC31&gt;Auxiliares!$D21/$A68,Producción!AC31-Auxiliares!$D21/$A68,0),0)</f>
        <v>24.720627081931838</v>
      </c>
      <c r="AD68" s="2">
        <f ca="1">IF('Datos Instalación'!$F$6="Autoconsumo Individual con Excedentes",IF(AD31&gt;Auxiliares!$D21/$A68,Producción!AD31-Auxiliares!$D21/$A68,0),0)</f>
        <v>24.569560223991292</v>
      </c>
      <c r="AE68" s="2">
        <f ca="1">IF('Datos Instalación'!$F$6="Autoconsumo Individual con Excedentes",IF(AE31&gt;Auxiliares!$D21/$A68,Producción!AE31-Auxiliares!$D21/$A68,0),0)</f>
        <v>24.419309127083629</v>
      </c>
      <c r="AF68" s="2">
        <f ca="1">IF('Datos Instalación'!$F$6="Autoconsumo Individual con Excedentes",IF(AF31&gt;Auxiliares!$D21/$A68,Producción!AF31-Auxiliares!$D21/$A68,0),0)</f>
        <v>24.269869386099263</v>
      </c>
      <c r="AG68" s="2">
        <f ca="1">IF('Datos Instalación'!$F$6="Autoconsumo Individual con Excedentes",IF(AG31&gt;Auxiliares!$D21/$A68,Producción!AG31-Auxiliares!$D21/$A68,0),0)</f>
        <v>24.121236619716214</v>
      </c>
      <c r="AH68" s="2">
        <f>IF('Datos Instalación'!$F$6="Autoconsumo Individual con Excedentes",IF(AH31&gt;Auxiliares!$D21/$A68,Producción!AH31-Auxiliares!$D21/$A68,0),0)</f>
        <v>0</v>
      </c>
    </row>
    <row r="69" spans="1:34">
      <c r="A69" s="2">
        <v>31</v>
      </c>
      <c r="B69" s="12" t="s">
        <v>10</v>
      </c>
      <c r="C69" s="2">
        <f ca="1">IF('Datos Instalación'!$F$6="Autoconsumo Individual con Excedentes",IF(C32&gt;Auxiliares!$D22/$A69,Producción!C32-Auxiliares!$D22/$A69,0),0)</f>
        <v>26.77568642264151</v>
      </c>
      <c r="D69" s="2">
        <f ca="1">IF('Datos Instalación'!$F$6="Autoconsumo Individual con Excedentes",IF(D32&gt;Auxiliares!$D22/$A69,Producción!D32-Auxiliares!$D22/$A69,0),0)</f>
        <v>26.610007149921508</v>
      </c>
      <c r="E69" s="2">
        <f ca="1">IF('Datos Instalación'!$F$6="Autoconsumo Individual con Excedentes",IF(E32&gt;Auxiliares!$D22/$A69,Producción!E32-Auxiliares!$D22/$A69,0),0)</f>
        <v>26.445222545274198</v>
      </c>
      <c r="F69" s="2">
        <f ca="1">IF('Datos Instalación'!$F$6="Autoconsumo Individual con Excedentes",IF(F32&gt;Auxiliares!$D22/$A69,Producción!F32-Auxiliares!$D22/$A69,0),0)</f>
        <v>26.281327777491981</v>
      </c>
      <c r="G69" s="2">
        <f ca="1">IF('Datos Instalación'!$F$6="Autoconsumo Individual con Excedentes",IF(G32&gt;Auxiliares!$D22/$A69,Producción!G32-Auxiliares!$D22/$A69,0),0)</f>
        <v>26.11831804145579</v>
      </c>
      <c r="H69" s="2">
        <f ca="1">IF('Datos Instalación'!$F$6="Autoconsumo Individual con Excedentes",IF(H32&gt;Auxiliares!$D22/$A69,Producción!H32-Auxiliares!$D22/$A69,0),0)</f>
        <v>25.956188557994192</v>
      </c>
      <c r="I69" s="2">
        <f ca="1">IF('Datos Instalación'!$F$6="Autoconsumo Individual con Excedentes",IF(I32&gt;Auxiliares!$D22/$A69,Producción!I32-Auxiliares!$D22/$A69,0),0)</f>
        <v>25.794934573743287</v>
      </c>
      <c r="J69" s="2">
        <f ca="1">IF('Datos Instalación'!$F$6="Autoconsumo Individual con Excedentes",IF(J32&gt;Auxiliares!$D22/$A69,Producción!J32-Auxiliares!$D22/$A69,0),0)</f>
        <v>25.63455136100734</v>
      </c>
      <c r="K69" s="2">
        <f ca="1">IF('Datos Instalación'!$F$6="Autoconsumo Individual con Excedentes",IF(K32&gt;Auxiliares!$D22/$A69,Producción!K32-Auxiliares!$D22/$A69,0),0)</f>
        <v>25.475034217620163</v>
      </c>
      <c r="L69" s="2">
        <f ca="1">IF('Datos Instalación'!$F$6="Autoconsumo Individual con Excedentes",IF(L32&gt;Auxiliares!$D22/$A69,Producción!L32-Auxiliares!$D22/$A69,0),0)</f>
        <v>25.316378466807279</v>
      </c>
      <c r="M69" s="2">
        <f ca="1">IF('Datos Instalación'!$F$6="Autoconsumo Individual con Excedentes",IF(M32&gt;Auxiliares!$D22/$A69,Producción!M32-Auxiliares!$D22/$A69,0),0)</f>
        <v>25.158579457048781</v>
      </c>
      <c r="N69" s="2">
        <f ca="1">IF('Datos Instalación'!$F$6="Autoconsumo Individual con Excedentes",IF(N32&gt;Auxiliares!$D22/$A69,Producción!N32-Auxiliares!$D22/$A69,0),0)</f>
        <v>25.001632561942984</v>
      </c>
      <c r="O69" s="2">
        <f ca="1">IF('Datos Instalación'!$F$6="Autoconsumo Individual con Excedentes",IF(O32&gt;Auxiliares!$D22/$A69,Producción!O32-Auxiliares!$D22/$A69,0),0)</f>
        <v>25.727770164996134</v>
      </c>
      <c r="P69" s="2">
        <f ca="1">IF('Datos Instalación'!$F$6="Autoconsumo Individual con Excedentes",IF(P32&gt;Auxiliares!$D22/$A69,Producción!P32-Auxiliares!$D22/$A69,0),0)</f>
        <v>25.567749640067419</v>
      </c>
      <c r="Q69" s="2">
        <f ca="1">IF('Datos Instalación'!$F$6="Autoconsumo Individual con Excedentes",IF(Q32&gt;Auxiliares!$D22/$A69,Producción!Q32-Auxiliares!$D22/$A69,0),0)</f>
        <v>25.408593225973316</v>
      </c>
      <c r="R69" s="2">
        <f ca="1">IF('Datos Instalación'!$F$6="Autoconsumo Individual con Excedentes",IF(R32&gt;Auxiliares!$D22/$A69,Producción!R32-Auxiliares!$D22/$A69,0),0)</f>
        <v>25.250296256515323</v>
      </c>
      <c r="S69" s="2">
        <f ca="1">IF('Datos Instalación'!$F$6="Autoconsumo Individual con Excedentes",IF(S32&gt;Auxiliares!$D22/$A69,Producción!S32-Auxiliares!$D22/$A69,0),0)</f>
        <v>25.092854090692402</v>
      </c>
      <c r="T69" s="2">
        <f ca="1">IF('Datos Instalación'!$F$6="Autoconsumo Individual con Excedentes",IF(T32&gt;Auxiliares!$D22/$A69,Producción!T32-Auxiliares!$D22/$A69,0),0)</f>
        <v>24.936262112564933</v>
      </c>
      <c r="U69" s="2">
        <f ca="1">IF('Datos Instalación'!$F$6="Autoconsumo Individual con Excedentes",IF(U32&gt;Auxiliares!$D22/$A69,Producción!U32-Auxiliares!$D22/$A69,0),0)</f>
        <v>24.780515731119348</v>
      </c>
      <c r="V69" s="2">
        <f ca="1">IF('Datos Instalación'!$F$6="Autoconsumo Individual con Excedentes",IF(V32&gt;Auxiliares!$D22/$A69,Producción!V32-Auxiliares!$D22/$A69,0),0)</f>
        <v>24.625610380133566</v>
      </c>
      <c r="W69" s="2">
        <f ca="1">IF('Datos Instalación'!$F$6="Autoconsumo Individual con Excedentes",IF(W32&gt;Auxiliares!$D22/$A69,Producción!W32-Auxiliares!$D22/$A69,0),0)</f>
        <v>24.471541518043111</v>
      </c>
      <c r="X69" s="2">
        <f ca="1">IF('Datos Instalación'!$F$6="Autoconsumo Individual con Excedentes",IF(X32&gt;Auxiliares!$D22/$A69,Producción!X32-Auxiliares!$D22/$A69,0),0)</f>
        <v>24.31830462780794</v>
      </c>
      <c r="Y69" s="2">
        <f ca="1">IF('Datos Instalación'!$F$6="Autoconsumo Individual con Excedentes",IF(Y32&gt;Auxiliares!$D22/$A69,Producción!Y32-Auxiliares!$D22/$A69,0),0)</f>
        <v>24.165895216780036</v>
      </c>
      <c r="Z69" s="2">
        <f ca="1">IF('Datos Instalación'!$F$6="Autoconsumo Individual con Excedentes",IF(Z32&gt;Auxiliares!$D22/$A69,Producción!Z32-Auxiliares!$D22/$A69,0),0)</f>
        <v>24.014308816571692</v>
      </c>
      <c r="AA69" s="2">
        <f ca="1">IF('Datos Instalación'!$F$6="Autoconsumo Individual con Excedentes",IF(AA32&gt;Auxiliares!$D22/$A69,Producción!AA32-Auxiliares!$D22/$A69,0),0)</f>
        <v>23.863540982924466</v>
      </c>
      <c r="AB69" s="2">
        <f ca="1">IF('Datos Instalación'!$F$6="Autoconsumo Individual con Excedentes",IF(AB32&gt;Auxiliares!$D22/$A69,Producción!AB32-Auxiliares!$D22/$A69,0),0)</f>
        <v>23.71358729557894</v>
      </c>
      <c r="AC69" s="2">
        <f ca="1">IF('Datos Instalación'!$F$6="Autoconsumo Individual con Excedentes",IF(AC32&gt;Auxiliares!$D22/$A69,Producción!AC32-Auxiliares!$D22/$A69,0),0)</f>
        <v>23.564443358145077</v>
      </c>
      <c r="AD69" s="2">
        <f ca="1">IF('Datos Instalación'!$F$6="Autoconsumo Individual con Excedentes",IF(AD32&gt;Auxiliares!$D22/$A69,Producción!AD32-Auxiliares!$D22/$A69,0),0)</f>
        <v>23.416104797973354</v>
      </c>
      <c r="AE69" s="2">
        <f ca="1">IF('Datos Instalación'!$F$6="Autoconsumo Individual con Excedentes",IF(AE32&gt;Auxiliares!$D22/$A69,Producción!AE32-Auxiliares!$D22/$A69,0),0)</f>
        <v>23.268567266026565</v>
      </c>
      <c r="AF69" s="2">
        <f ca="1">IF('Datos Instalación'!$F$6="Autoconsumo Individual con Excedentes",IF(AF32&gt;Auxiliares!$D22/$A69,Producción!AF32-Auxiliares!$D22/$A69,0),0)</f>
        <v>23.121826436752286</v>
      </c>
      <c r="AG69" s="2">
        <f ca="1">IF('Datos Instalación'!$F$6="Autoconsumo Individual con Excedentes",IF(AG32&gt;Auxiliares!$D22/$A69,Producción!AG32-Auxiliares!$D22/$A69,0),0)</f>
        <v>22.975878007956091</v>
      </c>
      <c r="AH69" s="2">
        <f>IF('Datos Instalación'!$F$6="Autoconsumo Individual con Excedentes",IF(AH32&gt;Auxiliares!$D22/$A69,Producción!AH32-Auxiliares!$D22/$A69,0),0)</f>
        <v>0</v>
      </c>
    </row>
    <row r="70" spans="1:34">
      <c r="A70" s="2">
        <v>31</v>
      </c>
      <c r="B70" s="12" t="s">
        <v>11</v>
      </c>
      <c r="C70" s="2">
        <f ca="1">IF('Datos Instalación'!$F$6="Autoconsumo Individual con Excedentes",IF(C33&gt;Auxiliares!$D23/$A70,Producción!C33-Auxiliares!$D23/$A70,0),0)</f>
        <v>25.315327422580644</v>
      </c>
      <c r="D70" s="2">
        <f ca="1">IF('Datos Instalación'!$F$6="Autoconsumo Individual con Excedentes",IF(D33&gt;Auxiliares!$D23/$A70,Producción!D33-Auxiliares!$D23/$A70,0),0)</f>
        <v>25.160595622240645</v>
      </c>
      <c r="E70" s="2">
        <f ca="1">IF('Datos Instalación'!$F$6="Autoconsumo Individual con Excedentes",IF(E33&gt;Auxiliares!$D23/$A70,Producción!E33-Auxiliares!$D23/$A70,0),0)</f>
        <v>25.006699373622478</v>
      </c>
      <c r="F70" s="2">
        <f ca="1">IF('Datos Instalación'!$F$6="Autoconsumo Individual con Excedentes",IF(F33&gt;Auxiliares!$D23/$A70,Producción!F33-Auxiliares!$D23/$A70,0),0)</f>
        <v>24.853634164746854</v>
      </c>
      <c r="G70" s="2">
        <f ca="1">IF('Datos Instalación'!$F$6="Autoconsumo Individual con Excedentes",IF(G33&gt;Auxiliares!$D23/$A70,Producción!G33-Auxiliares!$D23/$A70,0),0)</f>
        <v>24.701395507999159</v>
      </c>
      <c r="H70" s="2">
        <f ca="1">IF('Datos Instalación'!$F$6="Autoconsumo Individual con Excedentes",IF(H33&gt;Auxiliares!$D23/$A70,Producción!H33-Auxiliares!$D23/$A70,0),0)</f>
        <v>24.549978939997899</v>
      </c>
      <c r="I70" s="2">
        <f ca="1">IF('Datos Instalación'!$F$6="Autoconsumo Individual con Excedentes",IF(I33&gt;Auxiliares!$D23/$A70,Producción!I33-Auxiliares!$D23/$A70,0),0)</f>
        <v>24.399380021463848</v>
      </c>
      <c r="J70" s="2">
        <f ca="1">IF('Datos Instalación'!$F$6="Autoconsumo Individual con Excedentes",IF(J33&gt;Auxiliares!$D23/$A70,Producción!J33-Auxiliares!$D23/$A70,0),0)</f>
        <v>24.249594337089878</v>
      </c>
      <c r="K70" s="2">
        <f ca="1">IF('Datos Instalación'!$F$6="Autoconsumo Individual con Excedentes",IF(K33&gt;Auxiliares!$D23/$A70,Producción!K33-Auxiliares!$D23/$A70,0),0)</f>
        <v>24.100617495411527</v>
      </c>
      <c r="L70" s="2">
        <f ca="1">IF('Datos Instalación'!$F$6="Autoconsumo Individual con Excedentes",IF(L33&gt;Auxiliares!$D23/$A70,Producción!L33-Auxiliares!$D23/$A70,0),0)</f>
        <v>23.952445128678242</v>
      </c>
      <c r="M70" s="2">
        <f ca="1">IF('Datos Instalación'!$F$6="Autoconsumo Individual con Excedentes",IF(M33&gt;Auxiliares!$D23/$A70,Producción!M33-Auxiliares!$D23/$A70,0),0)</f>
        <v>23.80507289272531</v>
      </c>
      <c r="N70" s="2">
        <f ca="1">IF('Datos Instalación'!$F$6="Autoconsumo Individual con Excedentes",IF(N33&gt;Auxiliares!$D23/$A70,Producción!N33-Auxiliares!$D23/$A70,0),0)</f>
        <v>23.658496466846529</v>
      </c>
      <c r="O70" s="2">
        <f ca="1">IF('Datos Instalación'!$F$6="Autoconsumo Individual con Excedentes",IF(O33&gt;Auxiliares!$D23/$A70,Producción!O33-Auxiliares!$D23/$A70,0),0)</f>
        <v>24.336653587954071</v>
      </c>
      <c r="P70" s="2">
        <f ca="1">IF('Datos Instalación'!$F$6="Autoconsumo Individual con Excedentes",IF(P33&gt;Auxiliares!$D23/$A70,Producción!P33-Auxiliares!$D23/$A70,0),0)</f>
        <v>24.187206626321053</v>
      </c>
      <c r="Q70" s="2">
        <f ca="1">IF('Datos Instalación'!$F$6="Autoconsumo Individual con Excedentes",IF(Q33&gt;Auxiliares!$D23/$A70,Producción!Q33-Auxiliares!$D23/$A70,0),0)</f>
        <v>24.038566678280851</v>
      </c>
      <c r="R70" s="2">
        <f ca="1">IF('Datos Instalación'!$F$6="Autoconsumo Individual con Excedentes",IF(R33&gt;Auxiliares!$D23/$A70,Producción!R33-Auxiliares!$D23/$A70,0),0)</f>
        <v>23.890729385960075</v>
      </c>
      <c r="S70" s="2">
        <f ca="1">IF('Datos Instalación'!$F$6="Autoconsumo Individual con Excedentes",IF(S33&gt;Auxiliares!$D23/$A70,Producción!S33-Auxiliares!$D23/$A70,0),0)</f>
        <v>23.743690415017824</v>
      </c>
      <c r="T70" s="2">
        <f ca="1">IF('Datos Instalación'!$F$6="Autoconsumo Individual con Excedentes",IF(T33&gt;Auxiliares!$D23/$A70,Producción!T33-Auxiliares!$D23/$A70,0),0)</f>
        <v>23.597445454518663</v>
      </c>
      <c r="U70" s="2">
        <f ca="1">IF('Datos Instalación'!$F$6="Autoconsumo Individual con Excedentes",IF(U33&gt;Auxiliares!$D23/$A70,Producción!U33-Auxiliares!$D23/$A70,0),0)</f>
        <v>23.451990216806202</v>
      </c>
      <c r="V70" s="2">
        <f ca="1">IF('Datos Instalación'!$F$6="Autoconsumo Individual con Excedentes",IF(V33&gt;Auxiliares!$D23/$A70,Producción!V33-Auxiliares!$D23/$A70,0),0)</f>
        <v>23.307320437377385</v>
      </c>
      <c r="W70" s="2">
        <f ca="1">IF('Datos Instalación'!$F$6="Autoconsumo Individual con Excedentes",IF(W33&gt;Auxiliares!$D23/$A70,Producción!W33-Auxiliares!$D23/$A70,0),0)</f>
        <v>23.163431874757485</v>
      </c>
      <c r="X70" s="2">
        <f ca="1">IF('Datos Instalación'!$F$6="Autoconsumo Individual con Excedentes",IF(X33&gt;Auxiliares!$D23/$A70,Producción!X33-Auxiliares!$D23/$A70,0),0)</f>
        <v>23.020320310375727</v>
      </c>
      <c r="Y70" s="2">
        <f ca="1">IF('Datos Instalación'!$F$6="Autoconsumo Individual con Excedentes",IF(Y33&gt;Auxiliares!$D23/$A70,Producción!Y33-Auxiliares!$D23/$A70,0),0)</f>
        <v>22.877981548441628</v>
      </c>
      <c r="Z70" s="2">
        <f ca="1">IF('Datos Instalación'!$F$6="Autoconsumo Individual con Excedentes",IF(Z33&gt;Auxiliares!$D23/$A70,Producción!Z33-Auxiliares!$D23/$A70,0),0)</f>
        <v>22.73641141582198</v>
      </c>
      <c r="AA70" s="2">
        <f ca="1">IF('Datos Instalación'!$F$6="Autoconsumo Individual con Excedentes",IF(AA33&gt;Auxiliares!$D23/$A70,Producción!AA33-Auxiliares!$D23/$A70,0),0)</f>
        <v>22.595605761918478</v>
      </c>
      <c r="AB70" s="2">
        <f ca="1">IF('Datos Instalación'!$F$6="Autoconsumo Individual con Excedentes",IF(AB33&gt;Auxiliares!$D23/$A70,Producción!AB33-Auxiliares!$D23/$A70,0),0)</f>
        <v>22.455560458546049</v>
      </c>
      <c r="AC70" s="2">
        <f ca="1">IF('Datos Instalación'!$F$6="Autoconsumo Individual con Excedentes",IF(AC33&gt;Auxiliares!$D23/$A70,Producción!AC33-Auxiliares!$D23/$A70,0),0)</f>
        <v>22.316271399811839</v>
      </c>
      <c r="AD70" s="2">
        <f ca="1">IF('Datos Instalación'!$F$6="Autoconsumo Individual con Excedentes",IF(AD33&gt;Auxiliares!$D23/$A70,Producción!AD33-Auxiliares!$D23/$A70,0),0)</f>
        <v>22.177734501994792</v>
      </c>
      <c r="AE70" s="2">
        <f ca="1">IF('Datos Instalación'!$F$6="Autoconsumo Individual con Excedentes",IF(AE33&gt;Auxiliares!$D23/$A70,Producción!AE33-Auxiliares!$D23/$A70,0),0)</f>
        <v>22.039945703425953</v>
      </c>
      <c r="AF70" s="2">
        <f ca="1">IF('Datos Instalación'!$F$6="Autoconsumo Individual con Excedentes",IF(AF33&gt;Auxiliares!$D23/$A70,Producción!AF33-Auxiliares!$D23/$A70,0),0)</f>
        <v>21.90290096436939</v>
      </c>
      <c r="AG70" s="2">
        <f ca="1">IF('Datos Instalación'!$F$6="Autoconsumo Individual con Excedentes",IF(AG33&gt;Auxiliares!$D23/$A70,Producción!AG33-Auxiliares!$D23/$A70,0),0)</f>
        <v>21.766596266903729</v>
      </c>
      <c r="AH70" s="2">
        <f>IF('Datos Instalación'!$F$6="Autoconsumo Individual con Excedentes",IF(AH33&gt;Auxiliares!$D23/$A70,Producción!AH33-Auxiliares!$D23/$A70,0),0)</f>
        <v>0</v>
      </c>
    </row>
    <row r="71" spans="1:34">
      <c r="A71" s="2">
        <v>30</v>
      </c>
      <c r="B71" s="12" t="s">
        <v>12</v>
      </c>
      <c r="C71" s="2">
        <f ca="1">IF('Datos Instalación'!$F$6="Autoconsumo Individual con Excedentes",IF(C34&gt;Auxiliares!$D24/$A71,Producción!C34-Auxiliares!$D24/$A71,0),0)</f>
        <v>22.786807618867922</v>
      </c>
      <c r="D71" s="2">
        <f ca="1">IF('Datos Instalación'!$F$6="Autoconsumo Individual con Excedentes",IF(D34&gt;Auxiliares!$D24/$A71,Producción!D34-Auxiliares!$D24/$A71,0),0)</f>
        <v>22.646183386027928</v>
      </c>
      <c r="E71" s="2">
        <f ca="1">IF('Datos Instalación'!$F$6="Autoconsumo Individual con Excedentes",IF(E34&gt;Auxiliares!$D24/$A71,Producción!E34-Auxiliares!$D24/$A71,0),0)</f>
        <v>22.506318524045263</v>
      </c>
      <c r="F71" s="2">
        <f ca="1">IF('Datos Instalación'!$F$6="Autoconsumo Individual con Excedentes",IF(F34&gt;Auxiliares!$D24/$A71,Producción!F34-Auxiliares!$D24/$A71,0),0)</f>
        <v>22.367208932317304</v>
      </c>
      <c r="G71" s="2">
        <f ca="1">IF('Datos Instalación'!$F$6="Autoconsumo Individual con Excedentes",IF(G34&gt;Auxiliares!$D24/$A71,Producción!G34-Auxiliares!$D24/$A71,0),0)</f>
        <v>22.228850532384676</v>
      </c>
      <c r="H71" s="2">
        <f ca="1">IF('Datos Instalación'!$F$6="Autoconsumo Individual con Excedentes",IF(H34&gt;Auxiliares!$D24/$A71,Producción!H34-Auxiliares!$D24/$A71,0),0)</f>
        <v>22.091239267811687</v>
      </c>
      <c r="I71" s="2">
        <f ca="1">IF('Datos Instalación'!$F$6="Autoconsumo Individual con Excedentes",IF(I34&gt;Auxiliares!$D24/$A71,Producción!I34-Auxiliares!$D24/$A71,0),0)</f>
        <v>21.954371104067391</v>
      </c>
      <c r="J71" s="2">
        <f ca="1">IF('Datos Instalación'!$F$6="Autoconsumo Individual con Excedentes",IF(J34&gt;Auxiliares!$D24/$A71,Producción!J34-Auxiliares!$D24/$A71,0),0)</f>
        <v>21.818242028407319</v>
      </c>
      <c r="K71" s="2">
        <f ca="1">IF('Datos Instalación'!$F$6="Autoconsumo Individual con Excedentes",IF(K34&gt;Auxiliares!$D24/$A71,Producción!K34-Auxiliares!$D24/$A71,0),0)</f>
        <v>21.682848049755801</v>
      </c>
      <c r="L71" s="2">
        <f ca="1">IF('Datos Instalación'!$F$6="Autoconsumo Individual con Excedentes",IF(L34&gt;Auxiliares!$D24/$A71,Producción!L34-Auxiliares!$D24/$A71,0),0)</f>
        <v>21.54818519858901</v>
      </c>
      <c r="M71" s="2">
        <f ca="1">IF('Datos Instalación'!$F$6="Autoconsumo Individual con Excedentes",IF(M34&gt;Auxiliares!$D24/$A71,Producción!M34-Auxiliares!$D24/$A71,0),0)</f>
        <v>21.414249526818512</v>
      </c>
      <c r="N71" s="2">
        <f ca="1">IF('Datos Instalación'!$F$6="Autoconsumo Individual con Excedentes",IF(N34&gt;Auxiliares!$D24/$A71,Producción!N34-Auxiliares!$D24/$A71,0),0)</f>
        <v>21.281037107675576</v>
      </c>
      <c r="O71" s="2">
        <f ca="1">IF('Datos Instalación'!$F$6="Autoconsumo Individual con Excedentes",IF(O34&gt;Auxiliares!$D24/$A71,Producción!O34-Auxiliares!$D24/$A71,0),0)</f>
        <v>21.897363710811973</v>
      </c>
      <c r="P71" s="2">
        <f ca="1">IF('Datos Instalación'!$F$6="Autoconsumo Individual con Excedentes",IF(P34&gt;Auxiliares!$D24/$A71,Producción!P34-Auxiliares!$D24/$A71,0),0)</f>
        <v>21.761542475075476</v>
      </c>
      <c r="Q71" s="2">
        <f ca="1">IF('Datos Instalación'!$F$6="Autoconsumo Individual con Excedentes",IF(Q34&gt;Auxiliares!$D24/$A71,Producción!Q34-Auxiliares!$D24/$A71,0),0)</f>
        <v>21.626454674011953</v>
      </c>
      <c r="R71" s="2">
        <f ca="1">IF('Datos Instalación'!$F$6="Autoconsumo Individual con Excedentes",IF(R34&gt;Auxiliares!$D24/$A71,Producción!R34-Auxiliares!$D24/$A71,0),0)</f>
        <v>21.492096347074174</v>
      </c>
      <c r="S71" s="2">
        <f ca="1">IF('Datos Instalación'!$F$6="Autoconsumo Individual con Excedentes",IF(S34&gt;Auxiliares!$D24/$A71,Producción!S34-Auxiliares!$D24/$A71,0),0)</f>
        <v>21.35846355510186</v>
      </c>
      <c r="T71" s="2">
        <f ca="1">IF('Datos Instalación'!$F$6="Autoconsumo Individual con Excedentes",IF(T34&gt;Auxiliares!$D24/$A71,Producción!T34-Auxiliares!$D24/$A71,0),0)</f>
        <v>21.225552380206196</v>
      </c>
      <c r="U71" s="2">
        <f ca="1">IF('Datos Instalación'!$F$6="Autoconsumo Individual con Excedentes",IF(U34&gt;Auxiliares!$D24/$A71,Producción!U34-Auxiliares!$D24/$A71,0),0)</f>
        <v>21.093358925654972</v>
      </c>
      <c r="V71" s="2">
        <f ca="1">IF('Datos Instalación'!$F$6="Autoconsumo Individual con Excedentes",IF(V34&gt;Auxiliares!$D24/$A71,Producción!V34-Auxiliares!$D24/$A71,0),0)</f>
        <v>20.961879315758324</v>
      </c>
      <c r="W71" s="2">
        <f ca="1">IF('Datos Instalación'!$F$6="Autoconsumo Individual con Excedentes",IF(W34&gt;Auxiliares!$D24/$A71,Producción!W34-Auxiliares!$D24/$A71,0),0)</f>
        <v>20.831109695755117</v>
      </c>
      <c r="X71" s="2">
        <f ca="1">IF('Datos Instalación'!$F$6="Autoconsumo Individual con Excedentes",IF(X34&gt;Auxiliares!$D24/$A71,Producción!X34-Auxiliares!$D24/$A71,0),0)</f>
        <v>20.701046231699923</v>
      </c>
      <c r="Y71" s="2">
        <f ca="1">IF('Datos Instalación'!$F$6="Autoconsumo Individual con Excedentes",IF(Y34&gt;Auxiliares!$D24/$A71,Producción!Y34-Auxiliares!$D24/$A71,0),0)</f>
        <v>20.571685110350629</v>
      </c>
      <c r="Z71" s="2">
        <f ca="1">IF('Datos Instalación'!$F$6="Autoconsumo Individual con Excedentes",IF(Z34&gt;Auxiliares!$D24/$A71,Producción!Z34-Auxiliares!$D24/$A71,0),0)</f>
        <v>20.443022539056621</v>
      </c>
      <c r="AA71" s="2">
        <f ca="1">IF('Datos Instalación'!$F$6="Autoconsumo Individual con Excedentes",IF(AA34&gt;Auxiliares!$D24/$A71,Producción!AA34-Auxiliares!$D24/$A71,0),0)</f>
        <v>20.315054745647604</v>
      </c>
      <c r="AB71" s="2">
        <f ca="1">IF('Datos Instalación'!$F$6="Autoconsumo Individual con Excedentes",IF(AB34&gt;Auxiliares!$D24/$A71,Producción!AB34-Auxiliares!$D24/$A71,0),0)</f>
        <v>20.187777978322995</v>
      </c>
      <c r="AC71" s="2">
        <f ca="1">IF('Datos Instalación'!$F$6="Autoconsumo Individual con Excedentes",IF(AC34&gt;Auxiliares!$D24/$A71,Producción!AC34-Auxiliares!$D24/$A71,0),0)</f>
        <v>20.061188505541935</v>
      </c>
      <c r="AD71" s="2">
        <f ca="1">IF('Datos Instalación'!$F$6="Autoconsumo Individual con Excedentes",IF(AD34&gt;Auxiliares!$D24/$A71,Producción!AD34-Auxiliares!$D24/$A71,0),0)</f>
        <v>19.935282615913895</v>
      </c>
      <c r="AE71" s="2">
        <f ca="1">IF('Datos Instalación'!$F$6="Autoconsumo Individual con Excedentes",IF(AE34&gt;Auxiliares!$D24/$A71,Producción!AE34-Auxiliares!$D24/$A71,0),0)</f>
        <v>19.810056618089845</v>
      </c>
      <c r="AF71" s="2">
        <f ca="1">IF('Datos Instalación'!$F$6="Autoconsumo Individual con Excedentes",IF(AF34&gt;Auxiliares!$D24/$A71,Producción!AF34-Auxiliares!$D24/$A71,0),0)</f>
        <v>19.68550684065405</v>
      </c>
      <c r="AG71" s="2">
        <f ca="1">IF('Datos Instalación'!$F$6="Autoconsumo Individual con Excedentes",IF(AG34&gt;Auxiliares!$D24/$A71,Producción!AG34-Auxiliares!$D24/$A71,0),0)</f>
        <v>19.561629632016405</v>
      </c>
      <c r="AH71" s="2">
        <f>IF('Datos Instalación'!$F$6="Autoconsumo Individual con Excedentes",IF(AH34&gt;Auxiliares!$D24/$A71,Producción!AH34-Auxiliares!$D24/$A71,0),0)</f>
        <v>0</v>
      </c>
    </row>
    <row r="72" spans="1:34">
      <c r="A72" s="2">
        <v>31</v>
      </c>
      <c r="B72" s="12" t="s">
        <v>13</v>
      </c>
      <c r="C72" s="2">
        <f ca="1">IF('Datos Instalación'!$F$6="Autoconsumo Individual con Excedentes",IF(C35&gt;Auxiliares!$D25/$A72,Producción!C35-Auxiliares!$D25/$A72,0),0)</f>
        <v>20.027896344796105</v>
      </c>
      <c r="D72" s="2">
        <f ca="1">IF('Datos Instalación'!$F$6="Autoconsumo Individual con Excedentes",IF(D35&gt;Auxiliares!$D25/$A72,Producción!D35-Auxiliares!$D25/$A72,0),0)</f>
        <v>19.902056842696105</v>
      </c>
      <c r="E72" s="2">
        <f ca="1">IF('Datos Instalación'!$F$6="Autoconsumo Individual con Excedentes",IF(E35&gt;Auxiliares!$D25/$A72,Producción!E35-Auxiliares!$D25/$A72,0),0)</f>
        <v>19.776896873907447</v>
      </c>
      <c r="F72" s="2">
        <f ca="1">IF('Datos Instalación'!$F$6="Autoconsumo Individual con Excedentes",IF(F35&gt;Auxiliares!$D25/$A72,Producción!F35-Auxiliares!$D25/$A72,0),0)</f>
        <v>19.652412768950242</v>
      </c>
      <c r="G72" s="2">
        <f ca="1">IF('Datos Instalación'!$F$6="Autoconsumo Individual con Excedentes",IF(G35&gt;Auxiliares!$D25/$A72,Producción!G35-Auxiliares!$D25/$A72,0),0)</f>
        <v>19.528600878159814</v>
      </c>
      <c r="H72" s="2">
        <f ca="1">IF('Datos Instalación'!$F$6="Autoconsumo Individual con Excedentes",IF(H35&gt;Auxiliares!$D25/$A72,Producción!H35-Auxiliares!$D25/$A72,0),0)</f>
        <v>19.405457571579646</v>
      </c>
      <c r="I72" s="2">
        <f ca="1">IF('Datos Instalación'!$F$6="Autoconsumo Individual con Excedentes",IF(I35&gt;Auxiliares!$D25/$A72,Producción!I35-Auxiliares!$D25/$A72,0),0)</f>
        <v>19.28297923885502</v>
      </c>
      <c r="J72" s="2">
        <f ca="1">IF('Datos Instalación'!$F$6="Autoconsumo Individual con Excedentes",IF(J35&gt;Auxiliares!$D25/$A72,Producción!J35-Auxiliares!$D25/$A72,0),0)</f>
        <v>19.161162289127105</v>
      </c>
      <c r="K72" s="2">
        <f ca="1">IF('Datos Instalación'!$F$6="Autoconsumo Individual con Excedentes",IF(K35&gt;Auxiliares!$D25/$A72,Producción!K35-Auxiliares!$D25/$A72,0),0)</f>
        <v>19.040003150927717</v>
      </c>
      <c r="L72" s="2">
        <f ca="1">IF('Datos Instalación'!$F$6="Autoconsumo Individual con Excedentes",IF(L35&gt;Auxiliares!$D25/$A72,Producción!L35-Auxiliares!$D25/$A72,0),0)</f>
        <v>18.919498272074605</v>
      </c>
      <c r="M72" s="2">
        <f ca="1">IF('Datos Instalación'!$F$6="Autoconsumo Individual con Excedentes",IF(M35&gt;Auxiliares!$D25/$A72,Producción!M35-Auxiliares!$D25/$A72,0),0)</f>
        <v>18.799644119567297</v>
      </c>
      <c r="N72" s="2">
        <f ca="1">IF('Datos Instalación'!$F$6="Autoconsumo Individual con Excedentes",IF(N35&gt;Auxiliares!$D25/$A72,Producción!N35-Auxiliares!$D25/$A72,0),0)</f>
        <v>18.680437179483533</v>
      </c>
      <c r="O72" s="2">
        <f ca="1">IF('Datos Instalación'!$F$6="Autoconsumo Individual con Excedentes",IF(O35&gt;Auxiliares!$D25/$A72,Producción!O35-Auxiliares!$D25/$A72,0),0)</f>
        <v>19.231965399786162</v>
      </c>
      <c r="P72" s="2">
        <f ca="1">IF('Datos Instalación'!$F$6="Autoconsumo Individual con Excedentes",IF(P35&gt;Auxiliares!$D25/$A72,Producción!P35-Auxiliares!$D25/$A72,0),0)</f>
        <v>19.110423924789217</v>
      </c>
      <c r="Q72" s="2">
        <f ca="1">IF('Datos Instalación'!$F$6="Autoconsumo Individual con Excedentes",IF(Q35&gt;Auxiliares!$D25/$A72,Producción!Q35-Auxiliares!$D25/$A72,0),0)</f>
        <v>18.989538773757253</v>
      </c>
      <c r="R72" s="2">
        <f ca="1">IF('Datos Instalación'!$F$6="Autoconsumo Individual con Excedentes",IF(R35&gt;Auxiliares!$D25/$A72,Producción!R35-Auxiliares!$D25/$A72,0),0)</f>
        <v>18.869306402540865</v>
      </c>
      <c r="S72" s="2">
        <f ca="1">IF('Datos Instalación'!$F$6="Autoconsumo Individual con Excedentes",IF(S35&gt;Auxiliares!$D25/$A72,Producción!S35-Auxiliares!$D25/$A72,0),0)</f>
        <v>18.74972328612904</v>
      </c>
      <c r="T72" s="2">
        <f ca="1">IF('Datos Instalación'!$F$6="Autoconsumo Individual con Excedentes",IF(T35&gt;Auxiliares!$D25/$A72,Producción!T35-Auxiliares!$D25/$A72,0),0)</f>
        <v>18.630785918545847</v>
      </c>
      <c r="U72" s="2">
        <f ca="1">IF('Datos Instalación'!$F$6="Autoconsumo Individual con Excedentes",IF(U35&gt;Auxiliares!$D25/$A72,Producción!U35-Auxiliares!$D25/$A72,0),0)</f>
        <v>18.5124908127476</v>
      </c>
      <c r="V72" s="2">
        <f ca="1">IF('Datos Instalación'!$F$6="Autoconsumo Individual con Excedentes",IF(V35&gt;Auxiliares!$D25/$A72,Producción!V35-Auxiliares!$D25/$A72,0),0)</f>
        <v>18.394834500520659</v>
      </c>
      <c r="W72" s="2">
        <f ca="1">IF('Datos Instalación'!$F$6="Autoconsumo Individual con Excedentes",IF(W35&gt;Auxiliares!$D25/$A72,Producción!W35-Auxiliares!$D25/$A72,0),0)</f>
        <v>18.277813532379746</v>
      </c>
      <c r="X72" s="2">
        <f ca="1">IF('Datos Instalación'!$F$6="Autoconsumo Individual con Excedentes",IF(X35&gt;Auxiliares!$D25/$A72,Producción!X35-Auxiliares!$D25/$A72,0),0)</f>
        <v>18.161424477466795</v>
      </c>
      <c r="Y72" s="2">
        <f ca="1">IF('Datos Instalación'!$F$6="Autoconsumo Individual con Excedentes",IF(Y35&gt;Auxiliares!$D25/$A72,Producción!Y35-Auxiliares!$D25/$A72,0),0)</f>
        <v>18.04566392345037</v>
      </c>
      <c r="Z72" s="2">
        <f ca="1">IF('Datos Instalación'!$F$6="Autoconsumo Individual con Excedentes",IF(Z35&gt;Auxiliares!$D25/$A72,Producción!Z35-Auxiliares!$D25/$A72,0),0)</f>
        <v>17.930528476425636</v>
      </c>
      <c r="AA72" s="2">
        <f ca="1">IF('Datos Instalación'!$F$6="Autoconsumo Individual con Excedentes",IF(AA35&gt;Auxiliares!$D25/$A72,Producción!AA35-Auxiliares!$D25/$A72,0),0)</f>
        <v>17.816014760814838</v>
      </c>
      <c r="AB72" s="2">
        <f ca="1">IF('Datos Instalación'!$F$6="Autoconsumo Individual con Excedentes",IF(AB35&gt;Auxiliares!$D25/$A72,Producción!AB35-Auxiliares!$D25/$A72,0),0)</f>
        <v>17.702119419268335</v>
      </c>
      <c r="AC72" s="2">
        <f ca="1">IF('Datos Instalación'!$F$6="Autoconsumo Individual con Excedentes",IF(AC35&gt;Auxiliares!$D25/$A72,Producción!AC35-Auxiliares!$D25/$A72,0),0)</f>
        <v>17.588839112566184</v>
      </c>
      <c r="AD72" s="2">
        <f ca="1">IF('Datos Instalación'!$F$6="Autoconsumo Individual con Excedentes",IF(AD35&gt;Auxiliares!$D25/$A72,Producción!AD35-Auxiliares!$D25/$A72,0),0)</f>
        <v>17.476170519520224</v>
      </c>
      <c r="AE72" s="2">
        <f ca="1">IF('Datos Instalación'!$F$6="Autoconsumo Individual con Excedentes",IF(AE35&gt;Auxiliares!$D25/$A72,Producción!AE35-Auxiliares!$D25/$A72,0),0)</f>
        <v>17.36411033687672</v>
      </c>
      <c r="AF72" s="2">
        <f ca="1">IF('Datos Instalación'!$F$6="Autoconsumo Individual con Excedentes",IF(AF35&gt;Auxiliares!$D25/$A72,Producción!AF35-Auxiliares!$D25/$A72,0),0)</f>
        <v>17.252655279219482</v>
      </c>
      <c r="AG72" s="2">
        <f ca="1">IF('Datos Instalación'!$F$6="Autoconsumo Individual con Excedentes",IF(AG35&gt;Auxiliares!$D25/$A72,Producción!AG35-Auxiliares!$D25/$A72,0),0)</f>
        <v>17.141802078873596</v>
      </c>
      <c r="AH72" s="2">
        <f>IF('Datos Instalación'!$F$6="Autoconsumo Individual con Excedentes",IF(AH35&gt;Auxiliares!$D25/$A72,Producción!AH35-Auxiliares!$D25/$A72,0),0)</f>
        <v>0</v>
      </c>
    </row>
    <row r="73" spans="1:34">
      <c r="A73" s="2">
        <v>30</v>
      </c>
      <c r="B73" s="12" t="s">
        <v>14</v>
      </c>
      <c r="C73" s="2">
        <f ca="1">IF('Datos Instalación'!$F$6="Autoconsumo Individual con Excedentes",IF(C36&gt;Auxiliares!$D26/$A73,Producción!C36-Auxiliares!$D26/$A73,0),0)</f>
        <v>17.66628311886792</v>
      </c>
      <c r="D73" s="2">
        <f ca="1">IF('Datos Instalación'!$F$6="Autoconsumo Individual con Excedentes",IF(D36&gt;Auxiliares!$D26/$A73,Producción!D36-Auxiliares!$D26/$A73,0),0)</f>
        <v>17.55330971832792</v>
      </c>
      <c r="E73" s="2">
        <f ca="1">IF('Datos Instalación'!$F$6="Autoconsumo Individual con Excedentes",IF(E36&gt;Auxiliares!$D26/$A73,Producción!E36-Auxiliares!$D26/$A73,0),0)</f>
        <v>17.440946374150837</v>
      </c>
      <c r="F73" s="2">
        <f ca="1">IF('Datos Instalación'!$F$6="Autoconsumo Individual con Excedentes",IF(F36&gt;Auxiliares!$D26/$A73,Producción!F36-Auxiliares!$D26/$A73,0),0)</f>
        <v>17.329189792032309</v>
      </c>
      <c r="G73" s="2">
        <f ca="1">IF('Datos Instalación'!$F$6="Autoconsumo Individual con Excedentes",IF(G36&gt;Auxiliares!$D26/$A73,Producción!G36-Auxiliares!$D26/$A73,0),0)</f>
        <v>17.218036695457222</v>
      </c>
      <c r="H73" s="2">
        <f ca="1">IF('Datos Instalación'!$F$6="Autoconsumo Individual con Excedentes",IF(H36&gt;Auxiliares!$D26/$A73,Producción!H36-Auxiliares!$D26/$A73,0),0)</f>
        <v>17.107483825603641</v>
      </c>
      <c r="I73" s="2">
        <f ca="1">IF('Datos Instalación'!$F$6="Autoconsumo Individual con Excedentes",IF(I36&gt;Auxiliares!$D26/$A73,Producción!I36-Auxiliares!$D26/$A73,0),0)</f>
        <v>16.997527941247267</v>
      </c>
      <c r="J73" s="2">
        <f ca="1">IF('Datos Instalación'!$F$6="Autoconsumo Individual con Excedentes",IF(J36&gt;Auxiliares!$D26/$A73,Producción!J36-Auxiliares!$D26/$A73,0),0)</f>
        <v>16.888165818666423</v>
      </c>
      <c r="K73" s="2">
        <f ca="1">IF('Datos Instalación'!$F$6="Autoconsumo Individual con Excedentes",IF(K36&gt;Auxiliares!$D26/$A73,Producción!K36-Auxiliares!$D26/$A73,0),0)</f>
        <v>16.779394251547508</v>
      </c>
      <c r="L73" s="2">
        <f ca="1">IF('Datos Instalación'!$F$6="Autoconsumo Individual con Excedentes",IF(L36&gt;Auxiliares!$D26/$A73,Producción!L36-Auxiliares!$D26/$A73,0),0)</f>
        <v>16.671210050891037</v>
      </c>
      <c r="M73" s="2">
        <f ca="1">IF('Datos Instalación'!$F$6="Autoconsumo Individual con Excedentes",IF(M36&gt;Auxiliares!$D26/$A73,Producción!M36-Auxiliares!$D26/$A73,0),0)</f>
        <v>16.563610044918111</v>
      </c>
      <c r="N73" s="2">
        <f ca="1">IF('Datos Instalación'!$F$6="Autoconsumo Individual con Excedentes",IF(N36&gt;Auxiliares!$D26/$A73,Producción!N36-Auxiliares!$D26/$A73,0),0)</f>
        <v>16.456591078977439</v>
      </c>
      <c r="O73" s="2">
        <f ca="1">IF('Datos Instalación'!$F$6="Autoconsumo Individual con Excedentes",IF(O36&gt;Auxiliares!$D26/$A73,Producción!O36-Auxiliares!$D26/$A73,0),0)</f>
        <v>16.951729866890386</v>
      </c>
      <c r="P73" s="2">
        <f ca="1">IF('Datos Instalación'!$F$6="Autoconsumo Individual con Excedentes",IF(P36&gt;Auxiliares!$D26/$A73,Producción!P36-Auxiliares!$D26/$A73,0),0)</f>
        <v>16.842615053911064</v>
      </c>
      <c r="Q73" s="2">
        <f ca="1">IF('Datos Instalación'!$F$6="Autoconsumo Individual con Excedentes",IF(Q36&gt;Auxiliares!$D26/$A73,Producción!Q36-Auxiliares!$D26/$A73,0),0)</f>
        <v>16.734089460921833</v>
      </c>
      <c r="R73" s="2">
        <f ca="1">IF('Datos Instalación'!$F$6="Autoconsumo Individual con Excedentes",IF(R36&gt;Auxiliares!$D26/$A73,Producción!R36-Auxiliares!$D26/$A73,0),0)</f>
        <v>16.626149906134739</v>
      </c>
      <c r="S73" s="2">
        <f ca="1">IF('Datos Instalación'!$F$6="Autoconsumo Individual con Excedentes",IF(S36&gt;Auxiliares!$D26/$A73,Producción!S36-Auxiliares!$D26/$A73,0),0)</f>
        <v>16.518793224943497</v>
      </c>
      <c r="T73" s="2">
        <f ca="1">IF('Datos Instalación'!$F$6="Autoconsumo Individual con Excedentes",IF(T36&gt;Auxiliares!$D26/$A73,Producción!T36-Auxiliares!$D26/$A73,0),0)</f>
        <v>16.412016269830691</v>
      </c>
      <c r="U73" s="2">
        <f ca="1">IF('Datos Instalación'!$F$6="Autoconsumo Individual con Excedentes",IF(U36&gt;Auxiliares!$D26/$A73,Producción!U36-Auxiliares!$D26/$A73,0),0)</f>
        <v>16.305815910275491</v>
      </c>
      <c r="V73" s="2">
        <f ca="1">IF('Datos Instalación'!$F$6="Autoconsumo Individual con Excedentes",IF(V36&gt;Auxiliares!$D26/$A73,Producción!V36-Auxiliares!$D26/$A73,0),0)</f>
        <v>16.200189032661893</v>
      </c>
      <c r="W73" s="2">
        <f ca="1">IF('Datos Instalación'!$F$6="Autoconsumo Individual con Excedentes",IF(W36&gt;Auxiliares!$D26/$A73,Producción!W36-Auxiliares!$D26/$A73,0),0)</f>
        <v>16.095132540187407</v>
      </c>
      <c r="X73" s="2">
        <f ca="1">IF('Datos Instalación'!$F$6="Autoconsumo Individual con Excedentes",IF(X36&gt;Auxiliares!$D26/$A73,Producción!X36-Auxiliares!$D26/$A73,0),0)</f>
        <v>15.990643352772283</v>
      </c>
      <c r="Y73" s="2">
        <f ca="1">IF('Datos Instalación'!$F$6="Autoconsumo Individual con Excedentes",IF(Y36&gt;Auxiliares!$D26/$A73,Producción!Y36-Auxiliares!$D26/$A73,0),0)</f>
        <v>15.886718406969196</v>
      </c>
      <c r="Z73" s="2">
        <f ca="1">IF('Datos Instalación'!$F$6="Autoconsumo Individual con Excedentes",IF(Z36&gt;Auxiliares!$D26/$A73,Producción!Z36-Auxiliares!$D26/$A73,0),0)</f>
        <v>15.783354655873447</v>
      </c>
      <c r="AA73" s="2">
        <f ca="1">IF('Datos Instalación'!$F$6="Autoconsumo Individual con Excedentes",IF(AA36&gt;Auxiliares!$D26/$A73,Producción!AA36-Auxiliares!$D26/$A73,0),0)</f>
        <v>15.680549069033619</v>
      </c>
      <c r="AB73" s="2">
        <f ca="1">IF('Datos Instalación'!$F$6="Autoconsumo Individual con Excedentes",IF(AB36&gt;Auxiliares!$D26/$A73,Producción!AB36-Auxiliares!$D26/$A73,0),0)</f>
        <v>15.578298632362726</v>
      </c>
      <c r="AC73" s="2">
        <f ca="1">IF('Datos Instalación'!$F$6="Autoconsumo Individual con Excedentes",IF(AC36&gt;Auxiliares!$D26/$A73,Producción!AC36-Auxiliares!$D26/$A73,0),0)</f>
        <v>15.476600348049852</v>
      </c>
      <c r="AD73" s="2">
        <f ca="1">IF('Datos Instalación'!$F$6="Autoconsumo Individual con Excedentes",IF(AD36&gt;Auxiliares!$D26/$A73,Producción!AD36-Auxiliares!$D26/$A73,0),0)</f>
        <v>15.375451234472271</v>
      </c>
      <c r="AE73" s="2">
        <f ca="1">IF('Datos Instalación'!$F$6="Autoconsumo Individual con Excedentes",IF(AE36&gt;Auxiliares!$D26/$A73,Producción!AE36-Auxiliares!$D26/$A73,0),0)</f>
        <v>15.274848326108005</v>
      </c>
      <c r="AF73" s="2">
        <f ca="1">IF('Datos Instalación'!$F$6="Autoconsumo Individual con Excedentes",IF(AF36&gt;Auxiliares!$D26/$A73,Producción!AF36-Auxiliares!$D26/$A73,0),0)</f>
        <v>15.17478867344891</v>
      </c>
      <c r="AG73" s="2">
        <f ca="1">IF('Datos Instalación'!$F$6="Autoconsumo Individual con Excedentes",IF(AG36&gt;Auxiliares!$D26/$A73,Producción!AG36-Auxiliares!$D26/$A73,0),0)</f>
        <v>15.07526934291417</v>
      </c>
      <c r="AH73" s="2">
        <f>IF('Datos Instalación'!$F$6="Autoconsumo Individual con Excedentes",IF(AH36&gt;Auxiliares!$D26/$A73,Producción!AH36-Auxiliares!$D26/$A73,0),0)</f>
        <v>0</v>
      </c>
    </row>
    <row r="74" spans="1:34">
      <c r="A74" s="2">
        <v>31</v>
      </c>
      <c r="B74" s="12" t="s">
        <v>15</v>
      </c>
      <c r="C74" s="2">
        <f ca="1">IF('Datos Instalación'!$F$6="Autoconsumo Individual con Excedentes",IF(C37&gt;Auxiliares!$D27/$A74,Producción!C37-Auxiliares!$D27/$A74,0),0)</f>
        <v>15.236477444917835</v>
      </c>
      <c r="D74" s="2">
        <f ca="1">IF('Datos Instalación'!$F$6="Autoconsumo Individual con Excedentes",IF(D37&gt;Auxiliares!$D27/$A74,Producción!D37-Auxiliares!$D27/$A74,0),0)</f>
        <v>15.130388537317835</v>
      </c>
      <c r="E74" s="2">
        <f ca="1">IF('Datos Instalación'!$F$6="Autoconsumo Individual con Excedentes",IF(E37&gt;Auxiliares!$D27/$A74,Producción!E37-Auxiliares!$D27/$A74,0),0)</f>
        <v>15.024872509818874</v>
      </c>
      <c r="F74" s="2">
        <f ca="1">IF('Datos Instalación'!$F$6="Autoconsumo Individual con Excedentes",IF(F37&gt;Auxiliares!$D27/$A74,Producción!F37-Auxiliares!$D27/$A74,0),0)</f>
        <v>14.919926268868412</v>
      </c>
      <c r="G74" s="2">
        <f ca="1">IF('Datos Instalación'!$F$6="Autoconsumo Individual con Excedentes",IF(G37&gt;Auxiliares!$D27/$A74,Producción!G37-Auxiliares!$D27/$A74,0),0)</f>
        <v>14.815546737619076</v>
      </c>
      <c r="H74" s="2">
        <f ca="1">IF('Datos Instalación'!$F$6="Autoconsumo Individual con Excedentes",IF(H37&gt;Auxiliares!$D27/$A74,Producción!H37-Auxiliares!$D27/$A74,0),0)</f>
        <v>14.711730855838493</v>
      </c>
      <c r="I74" s="2">
        <f ca="1">IF('Datos Instalación'!$F$6="Autoconsumo Individual con Excedentes",IF(I37&gt;Auxiliares!$D27/$A74,Producción!I37-Auxiliares!$D27/$A74,0),0)</f>
        <v>14.608475579819519</v>
      </c>
      <c r="J74" s="2">
        <f ca="1">IF('Datos Instalación'!$F$6="Autoconsumo Individual con Excedentes",IF(J37&gt;Auxiliares!$D27/$A74,Producción!J37-Auxiliares!$D27/$A74,0),0)</f>
        <v>14.505777882291053</v>
      </c>
      <c r="K74" s="2">
        <f ca="1">IF('Datos Instalación'!$F$6="Autoconsumo Individual con Excedentes",IF(K37&gt;Auxiliares!$D27/$A74,Producción!K37-Auxiliares!$D27/$A74,0),0)</f>
        <v>14.403634752329236</v>
      </c>
      <c r="L74" s="2">
        <f ca="1">IF('Datos Instalación'!$F$6="Autoconsumo Individual con Excedentes",IF(L37&gt;Auxiliares!$D27/$A74,Producción!L37-Auxiliares!$D27/$A74,0),0)</f>
        <v>14.302043195269214</v>
      </c>
      <c r="M74" s="2">
        <f ca="1">IF('Datos Instalación'!$F$6="Autoconsumo Individual con Excedentes",IF(M37&gt;Auxiliares!$D27/$A74,Producción!M37-Auxiliares!$D27/$A74,0),0)</f>
        <v>14.201000232617314</v>
      </c>
      <c r="N74" s="2">
        <f ca="1">IF('Datos Instalación'!$F$6="Autoconsumo Individual con Excedentes",IF(N37&gt;Auxiliares!$D27/$A74,Producción!N37-Auxiliares!$D27/$A74,0),0)</f>
        <v>14.10050290196374</v>
      </c>
      <c r="O74" s="2">
        <f ca="1">IF('Datos Instalación'!$F$6="Autoconsumo Individual con Excedentes",IF(O37&gt;Auxiliares!$D27/$A74,Producción!O37-Auxiliares!$D27/$A74,0),0)</f>
        <v>14.565468397106763</v>
      </c>
      <c r="P74" s="2">
        <f ca="1">IF('Datos Instalación'!$F$6="Autoconsumo Individual con Excedentes",IF(P37&gt;Auxiliares!$D27/$A74,Producción!P37-Auxiliares!$D27/$A74,0),0)</f>
        <v>14.463002938364944</v>
      </c>
      <c r="Q74" s="2">
        <f ca="1">IF('Datos Instalación'!$F$6="Autoconsumo Individual con Excedentes",IF(Q37&gt;Auxiliares!$D27/$A74,Producción!Q37-Auxiliares!$D27/$A74,0),0)</f>
        <v>14.361090793100324</v>
      </c>
      <c r="R74" s="2">
        <f ca="1">IF('Datos Instalación'!$F$6="Autoconsumo Individual con Excedentes",IF(R37&gt;Auxiliares!$D27/$A74,Producción!R37-Auxiliares!$D27/$A74,0),0)</f>
        <v>14.259728973420142</v>
      </c>
      <c r="S74" s="2">
        <f ca="1">IF('Datos Instalación'!$F$6="Autoconsumo Individual con Excedentes",IF(S37&gt;Auxiliares!$D27/$A74,Producción!S37-Auxiliares!$D27/$A74,0),0)</f>
        <v>14.15891450756623</v>
      </c>
      <c r="T74" s="2">
        <f ca="1">IF('Datos Instalación'!$F$6="Autoconsumo Individual con Excedentes",IF(T37&gt;Auxiliares!$D27/$A74,Producción!T37-Auxiliares!$D27/$A74,0),0)</f>
        <v>14.05864443982793</v>
      </c>
      <c r="U74" s="2">
        <f ca="1">IF('Datos Instalación'!$F$6="Autoconsumo Individual con Excedentes",IF(U37&gt;Auxiliares!$D27/$A74,Producción!U37-Auxiliares!$D27/$A74,0),0)</f>
        <v>13.958915830455414</v>
      </c>
      <c r="V74" s="2">
        <f ca="1">IF('Datos Instalación'!$F$6="Autoconsumo Individual con Excedentes",IF(V37&gt;Auxiliares!$D27/$A74,Producción!V37-Auxiliares!$D27/$A74,0),0)</f>
        <v>13.859725755573514</v>
      </c>
      <c r="W74" s="2">
        <f ca="1">IF('Datos Instalación'!$F$6="Autoconsumo Individual con Excedentes",IF(W37&gt;Auxiliares!$D27/$A74,Producción!W37-Auxiliares!$D27/$A74,0),0)</f>
        <v>13.761071307095975</v>
      </c>
      <c r="X74" s="2">
        <f ca="1">IF('Datos Instalación'!$F$6="Autoconsumo Individual con Excedentes",IF(X37&gt;Auxiliares!$D27/$A74,Producción!X37-Auxiliares!$D27/$A74,0),0)</f>
        <v>13.66294959264021</v>
      </c>
      <c r="Y74" s="2">
        <f ca="1">IF('Datos Instalación'!$F$6="Autoconsumo Individual con Excedentes",IF(Y37&gt;Auxiliares!$D27/$A74,Producción!Y37-Auxiliares!$D27/$A74,0),0)</f>
        <v>13.565357735442504</v>
      </c>
      <c r="Z74" s="2">
        <f ca="1">IF('Datos Instalación'!$F$6="Autoconsumo Individual con Excedentes",IF(Z37&gt;Auxiliares!$D27/$A74,Producción!Z37-Auxiliares!$D27/$A74,0),0)</f>
        <v>13.468292874273672</v>
      </c>
      <c r="AA74" s="2">
        <f ca="1">IF('Datos Instalación'!$F$6="Autoconsumo Individual con Excedentes",IF(AA37&gt;Auxiliares!$D27/$A74,Producción!AA37-Auxiliares!$D27/$A74,0),0)</f>
        <v>13.371752163355154</v>
      </c>
      <c r="AB74" s="2">
        <f ca="1">IF('Datos Instalación'!$F$6="Autoconsumo Individual con Excedentes",IF(AB37&gt;Auxiliares!$D27/$A74,Producción!AB37-Auxiliares!$D27/$A74,0),0)</f>
        <v>13.275732772275589</v>
      </c>
      <c r="AC74" s="2">
        <f ca="1">IF('Datos Instalación'!$F$6="Autoconsumo Individual con Excedentes",IF(AC37&gt;Auxiliares!$D27/$A74,Producción!AC37-Auxiliares!$D27/$A74,0),0)</f>
        <v>13.180231885907855</v>
      </c>
      <c r="AD74" s="2">
        <f ca="1">IF('Datos Instalación'!$F$6="Autoconsumo Individual con Excedentes",IF(AD37&gt;Auxiliares!$D27/$A74,Producción!AD37-Auxiliares!$D27/$A74,0),0)</f>
        <v>13.085246704326511</v>
      </c>
      <c r="AE74" s="2">
        <f ca="1">IF('Datos Instalación'!$F$6="Autoconsumo Individual con Excedentes",IF(AE37&gt;Auxiliares!$D27/$A74,Producción!AE37-Auxiliares!$D27/$A74,0),0)</f>
        <v>12.990774442725705</v>
      </c>
      <c r="AF74" s="2">
        <f ca="1">IF('Datos Instalación'!$F$6="Autoconsumo Individual con Excedentes",IF(AF37&gt;Auxiliares!$D27/$A74,Producción!AF37-Auxiliares!$D27/$A74,0),0)</f>
        <v>12.896812331337543</v>
      </c>
      <c r="AG74" s="2">
        <f ca="1">IF('Datos Instalación'!$F$6="Autoconsumo Individual con Excedentes",IF(AG37&gt;Auxiliares!$D27/$A74,Producción!AG37-Auxiliares!$D27/$A74,0),0)</f>
        <v>12.803357615350876</v>
      </c>
      <c r="AH74" s="2">
        <f>IF('Datos Instalación'!$F$6="Autoconsumo Individual con Excedentes",IF(AH37&gt;Auxiliares!$D27/$A74,Producción!AH37-Auxiliares!$D27/$A74,0),0)</f>
        <v>0</v>
      </c>
    </row>
  </sheetData>
  <mergeCells count="5">
    <mergeCell ref="A2:F2"/>
    <mergeCell ref="A22:F22"/>
    <mergeCell ref="B4:D4"/>
    <mergeCell ref="B23:D23"/>
    <mergeCell ref="A40:E40"/>
  </mergeCells>
  <pageMargins left="0.7" right="0.7" top="0.75" bottom="0.75" header="0.3" footer="0.3"/>
  <pageSetup paperSize="9" orientation="portrait"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75994-3C98-4682-B8C7-7168DC4B15F3}">
  <dimension ref="B2:AH71"/>
  <sheetViews>
    <sheetView zoomScale="70" zoomScaleNormal="70" workbookViewId="0">
      <selection activeCell="D11" sqref="D11"/>
    </sheetView>
  </sheetViews>
  <sheetFormatPr baseColWidth="10" defaultRowHeight="14.4"/>
  <cols>
    <col min="2" max="2" width="5.21875" customWidth="1"/>
    <col min="3" max="3" width="33.5546875" customWidth="1"/>
  </cols>
  <sheetData>
    <row r="2" spans="2:34" ht="28.8">
      <c r="C2" s="107" t="s">
        <v>322</v>
      </c>
    </row>
    <row r="3" spans="2:34">
      <c r="D3" s="12">
        <v>2020</v>
      </c>
      <c r="E3" s="12">
        <f>D3+1</f>
        <v>2021</v>
      </c>
      <c r="F3" s="12">
        <f t="shared" ref="F3:O3" si="0">E3+1</f>
        <v>2022</v>
      </c>
      <c r="G3" s="12">
        <f t="shared" si="0"/>
        <v>2023</v>
      </c>
      <c r="H3" s="12">
        <f t="shared" si="0"/>
        <v>2024</v>
      </c>
      <c r="I3" s="12">
        <f t="shared" si="0"/>
        <v>2025</v>
      </c>
      <c r="J3" s="12">
        <f t="shared" si="0"/>
        <v>2026</v>
      </c>
      <c r="K3" s="12">
        <f t="shared" si="0"/>
        <v>2027</v>
      </c>
      <c r="L3" s="12">
        <f t="shared" si="0"/>
        <v>2028</v>
      </c>
      <c r="M3" s="12">
        <f t="shared" si="0"/>
        <v>2029</v>
      </c>
      <c r="N3" s="12">
        <f t="shared" si="0"/>
        <v>2030</v>
      </c>
      <c r="O3" s="12">
        <f t="shared" si="0"/>
        <v>2031</v>
      </c>
      <c r="P3" s="12">
        <f>O3+1</f>
        <v>2032</v>
      </c>
      <c r="Q3" s="12">
        <f t="shared" ref="Q3:T3" si="1">P3+1</f>
        <v>2033</v>
      </c>
      <c r="R3" s="12">
        <f t="shared" si="1"/>
        <v>2034</v>
      </c>
      <c r="S3" s="12">
        <f t="shared" si="1"/>
        <v>2035</v>
      </c>
      <c r="T3" s="12">
        <f t="shared" si="1"/>
        <v>2036</v>
      </c>
      <c r="U3" s="12">
        <f>T3+1</f>
        <v>2037</v>
      </c>
      <c r="V3" s="12">
        <f>U3+1</f>
        <v>2038</v>
      </c>
      <c r="W3" s="12">
        <f t="shared" ref="W3" si="2">V3+1</f>
        <v>2039</v>
      </c>
      <c r="X3" s="12">
        <f t="shared" ref="X3" si="3">W3+1</f>
        <v>2040</v>
      </c>
      <c r="Y3" s="12">
        <f t="shared" ref="Y3" si="4">X3+1</f>
        <v>2041</v>
      </c>
      <c r="Z3" s="12">
        <f t="shared" ref="Z3" si="5">Y3+1</f>
        <v>2042</v>
      </c>
      <c r="AA3" s="12">
        <f t="shared" ref="AA3" si="6">Z3+1</f>
        <v>2043</v>
      </c>
      <c r="AB3" s="12">
        <f t="shared" ref="AB3" si="7">AA3+1</f>
        <v>2044</v>
      </c>
      <c r="AC3" s="12">
        <f t="shared" ref="AC3" si="8">AB3+1</f>
        <v>2045</v>
      </c>
      <c r="AD3" s="12">
        <f t="shared" ref="AD3" si="9">AC3+1</f>
        <v>2046</v>
      </c>
      <c r="AE3" s="12">
        <f t="shared" ref="AE3" si="10">AD3+1</f>
        <v>2047</v>
      </c>
      <c r="AF3" s="12">
        <f t="shared" ref="AF3" si="11">AE3+1</f>
        <v>2048</v>
      </c>
      <c r="AG3" s="12">
        <f t="shared" ref="AG3" si="12">AF3+1</f>
        <v>2049</v>
      </c>
      <c r="AH3" s="12">
        <f t="shared" ref="AH3" si="13">AG3+1</f>
        <v>2050</v>
      </c>
    </row>
    <row r="4" spans="2:34">
      <c r="C4" s="12" t="s">
        <v>4</v>
      </c>
      <c r="D4">
        <f ca="1">IF(Auxiliares!$D16&lt;(Producción!C7*$B43),Auxiliares!$D16,Producción!C7*$B43)*Auxiliares!$J$15*Auxiliares!$J$16*IF('Datos Consumo '!$C$12="Si",'Datos Consumo '!$C20,IF('Datos Consumo '!$C$11="No",'Datos Consumo '!$C$14,'Datos Consumo '!$C$16*Auxiliares!$N$4+Auxiliares!$N$5*'Datos Consumo '!$C$18))</f>
        <v>23.829499957241211</v>
      </c>
      <c r="E4" s="186">
        <f ca="1">IF(Auxiliares!$D16&lt;(Producción!D7*$B43),Auxiliares!$D16,Producción!D7*$B43)*Auxiliares!$J$15*Auxiliares!$J$16*IF('Datos Consumo '!$C$12="Si",'Datos Consumo '!$C20,IF('Datos Consumo '!$C$11="No",'Datos Consumo '!$C$14,'Datos Consumo '!$C$16*Auxiliares!$N$4+Auxiliares!$N$5*'Datos Consumo '!$C$18))</f>
        <v>23.829499957241211</v>
      </c>
      <c r="F4" s="186">
        <f ca="1">IF(Auxiliares!$D16&lt;(Producción!E7*$B43),Auxiliares!$D16,Producción!E7*$B43)*Auxiliares!$J$15*Auxiliares!$J$16*IF('Datos Consumo '!$C$12="Si",'Datos Consumo '!$C20,IF('Datos Consumo '!$C$11="No",'Datos Consumo '!$C$14,'Datos Consumo '!$C$16*Auxiliares!$N$4+Auxiliares!$N$5*'Datos Consumo '!$C$18))</f>
        <v>23.829499957241211</v>
      </c>
      <c r="G4" s="186">
        <f ca="1">IF(Auxiliares!$D16&lt;(Producción!F7*$B43),Auxiliares!$D16,Producción!F7*$B43)*Auxiliares!$J$15*Auxiliares!$J$16*IF('Datos Consumo '!$C$12="Si",'Datos Consumo '!$C20,IF('Datos Consumo '!$C$11="No",'Datos Consumo '!$C$14,'Datos Consumo '!$C$16*Auxiliares!$N$4+Auxiliares!$N$5*'Datos Consumo '!$C$18))</f>
        <v>23.829499957241211</v>
      </c>
      <c r="H4" s="186">
        <f ca="1">IF(Auxiliares!$D16&lt;(Producción!G7*$B43),Auxiliares!$D16,Producción!G7*$B43)*Auxiliares!$J$15*Auxiliares!$J$16*IF('Datos Consumo '!$C$12="Si",'Datos Consumo '!$C20,IF('Datos Consumo '!$C$11="No",'Datos Consumo '!$C$14,'Datos Consumo '!$C$16*Auxiliares!$N$4+Auxiliares!$N$5*'Datos Consumo '!$C$18))</f>
        <v>23.829499957241211</v>
      </c>
      <c r="I4" s="186">
        <f ca="1">IF(Auxiliares!$D16&lt;(Producción!H7*$B43),Auxiliares!$D16,Producción!H7*$B43)*Auxiliares!$J$15*Auxiliares!$J$16*IF('Datos Consumo '!$C$12="Si",'Datos Consumo '!$C20,IF('Datos Consumo '!$C$11="No",'Datos Consumo '!$C$14,'Datos Consumo '!$C$16*Auxiliares!$N$4+Auxiliares!$N$5*'Datos Consumo '!$C$18))</f>
        <v>23.829499957241211</v>
      </c>
      <c r="J4" s="186">
        <f ca="1">IF(Auxiliares!$D16&lt;(Producción!I7*$B43),Auxiliares!$D16,Producción!I7*$B43)*Auxiliares!$J$15*Auxiliares!$J$16*IF('Datos Consumo '!$C$12="Si",'Datos Consumo '!$C20,IF('Datos Consumo '!$C$11="No",'Datos Consumo '!$C$14,'Datos Consumo '!$C$16*Auxiliares!$N$4+Auxiliares!$N$5*'Datos Consumo '!$C$18))</f>
        <v>23.829499957241211</v>
      </c>
      <c r="K4" s="186">
        <f ca="1">IF(Auxiliares!$D16&lt;(Producción!J7*$B43),Auxiliares!$D16,Producción!J7*$B43)*Auxiliares!$J$15*Auxiliares!$J$16*IF('Datos Consumo '!$C$12="Si",'Datos Consumo '!$C20,IF('Datos Consumo '!$C$11="No",'Datos Consumo '!$C$14,'Datos Consumo '!$C$16*Auxiliares!$N$4+Auxiliares!$N$5*'Datos Consumo '!$C$18))</f>
        <v>23.829499957241211</v>
      </c>
      <c r="L4" s="186">
        <f ca="1">IF(Auxiliares!$D16&lt;(Producción!K7*$B43),Auxiliares!$D16,Producción!K7*$B43)*Auxiliares!$J$15*Auxiliares!$J$16*IF('Datos Consumo '!$C$12="Si",'Datos Consumo '!$C20,IF('Datos Consumo '!$C$11="No",'Datos Consumo '!$C$14,'Datos Consumo '!$C$16*Auxiliares!$N$4+Auxiliares!$N$5*'Datos Consumo '!$C$18))</f>
        <v>23.829499957241211</v>
      </c>
      <c r="M4" s="186">
        <f ca="1">IF(Auxiliares!$D16&lt;(Producción!L7*$B43),Auxiliares!$D16,Producción!L7*$B43)*Auxiliares!$J$15*Auxiliares!$J$16*IF('Datos Consumo '!$C$12="Si",'Datos Consumo '!$C20,IF('Datos Consumo '!$C$11="No",'Datos Consumo '!$C$14,'Datos Consumo '!$C$16*Auxiliares!$N$4+Auxiliares!$N$5*'Datos Consumo '!$C$18))</f>
        <v>23.829499957241211</v>
      </c>
      <c r="N4" s="186">
        <f ca="1">IF(Auxiliares!$D16&lt;(Producción!M7*$B43),Auxiliares!$D16,Producción!M7*$B43)*Auxiliares!$J$15*Auxiliares!$J$16*IF('Datos Consumo '!$C$12="Si",'Datos Consumo '!$C20,IF('Datos Consumo '!$C$11="No",'Datos Consumo '!$C$14,'Datos Consumo '!$C$16*Auxiliares!$N$4+Auxiliares!$N$5*'Datos Consumo '!$C$18))</f>
        <v>23.829499957241211</v>
      </c>
      <c r="O4" s="186">
        <f ca="1">IF(Auxiliares!$D16&lt;(Producción!N7*$B43),Auxiliares!$D16,Producción!N7*$B43)*Auxiliares!$J$15*Auxiliares!$J$16*IF('Datos Consumo '!$C$12="Si",'Datos Consumo '!$C20,IF('Datos Consumo '!$C$11="No",'Datos Consumo '!$C$14,'Datos Consumo '!$C$16*Auxiliares!$N$4+Auxiliares!$N$5*'Datos Consumo '!$C$18))</f>
        <v>23.829499957241211</v>
      </c>
      <c r="P4" s="186">
        <f ca="1">IF(Auxiliares!$D16&lt;(Producción!O7*$B43),Auxiliares!$D16,Producción!O7*$B43)*Auxiliares!$J$15*Auxiliares!$J$16*IF('Datos Consumo '!$C$12="Si",'Datos Consumo '!$C20,IF('Datos Consumo '!$C$11="No",'Datos Consumo '!$C$14,'Datos Consumo '!$C$16*Auxiliares!$N$4+Auxiliares!$N$5*'Datos Consumo '!$C$18))</f>
        <v>23.829499957241211</v>
      </c>
      <c r="Q4" s="186">
        <f ca="1">IF(Auxiliares!$D16&lt;(Producción!P7*$B43),Auxiliares!$D16,Producción!P7*$B43)*Auxiliares!$J$15*Auxiliares!$J$16*IF('Datos Consumo '!$C$12="Si",'Datos Consumo '!$C20,IF('Datos Consumo '!$C$11="No",'Datos Consumo '!$C$14,'Datos Consumo '!$C$16*Auxiliares!$N$4+Auxiliares!$N$5*'Datos Consumo '!$C$18))</f>
        <v>23.829499957241211</v>
      </c>
      <c r="R4" s="186">
        <f ca="1">IF(Auxiliares!$D16&lt;(Producción!Q7*$B43),Auxiliares!$D16,Producción!Q7*$B43)*Auxiliares!$J$15*Auxiliares!$J$16*IF('Datos Consumo '!$C$12="Si",'Datos Consumo '!$C20,IF('Datos Consumo '!$C$11="No",'Datos Consumo '!$C$14,'Datos Consumo '!$C$16*Auxiliares!$N$4+Auxiliares!$N$5*'Datos Consumo '!$C$18))</f>
        <v>23.829499957241211</v>
      </c>
      <c r="S4" s="186">
        <f ca="1">IF(Auxiliares!$D16&lt;(Producción!R7*$B43),Auxiliares!$D16,Producción!R7*$B43)*Auxiliares!$J$15*Auxiliares!$J$16*IF('Datos Consumo '!$C$12="Si",'Datos Consumo '!$C20,IF('Datos Consumo '!$C$11="No",'Datos Consumo '!$C$14,'Datos Consumo '!$C$16*Auxiliares!$N$4+Auxiliares!$N$5*'Datos Consumo '!$C$18))</f>
        <v>23.829499957241211</v>
      </c>
      <c r="T4" s="186">
        <f ca="1">IF(Auxiliares!$D16&lt;(Producción!S7*$B43),Auxiliares!$D16,Producción!S7*$B43)*Auxiliares!$J$15*Auxiliares!$J$16*IF('Datos Consumo '!$C$12="Si",'Datos Consumo '!$C20,IF('Datos Consumo '!$C$11="No",'Datos Consumo '!$C$14,'Datos Consumo '!$C$16*Auxiliares!$N$4+Auxiliares!$N$5*'Datos Consumo '!$C$18))</f>
        <v>23.829499957241211</v>
      </c>
      <c r="U4" s="186">
        <f ca="1">IF(Auxiliares!$D16&lt;(Producción!T7*$B43),Auxiliares!$D16,Producción!T7*$B43)*Auxiliares!$J$15*Auxiliares!$J$16*IF('Datos Consumo '!$C$12="Si",'Datos Consumo '!$C20,IF('Datos Consumo '!$C$11="No",'Datos Consumo '!$C$14,'Datos Consumo '!$C$16*Auxiliares!$N$4+Auxiliares!$N$5*'Datos Consumo '!$C$18))</f>
        <v>23.829499957241211</v>
      </c>
      <c r="V4" s="186">
        <f ca="1">IF(Auxiliares!$D16&lt;(Producción!U7*$B43),Auxiliares!$D16,Producción!U7*$B43)*Auxiliares!$J$15*Auxiliares!$J$16*IF('Datos Consumo '!$C$12="Si",'Datos Consumo '!$C20,IF('Datos Consumo '!$C$11="No",'Datos Consumo '!$C$14,'Datos Consumo '!$C$16*Auxiliares!$N$4+Auxiliares!$N$5*'Datos Consumo '!$C$18))</f>
        <v>23.829499957241211</v>
      </c>
      <c r="W4" s="186">
        <f ca="1">IF(Auxiliares!$D16&lt;(Producción!V7*$B43),Auxiliares!$D16,Producción!V7*$B43)*Auxiliares!$J$15*Auxiliares!$J$16*IF('Datos Consumo '!$C$12="Si",'Datos Consumo '!$C20,IF('Datos Consumo '!$C$11="No",'Datos Consumo '!$C$14,'Datos Consumo '!$C$16*Auxiliares!$N$4+Auxiliares!$N$5*'Datos Consumo '!$C$18))</f>
        <v>23.829499957241211</v>
      </c>
      <c r="X4" s="186">
        <f ca="1">IF(Auxiliares!$D16&lt;(Producción!W7*$B43),Auxiliares!$D16,Producción!W7*$B43)*Auxiliares!$J$15*Auxiliares!$J$16*IF('Datos Consumo '!$C$12="Si",'Datos Consumo '!$C20,IF('Datos Consumo '!$C$11="No",'Datos Consumo '!$C$14,'Datos Consumo '!$C$16*Auxiliares!$N$4+Auxiliares!$N$5*'Datos Consumo '!$C$18))</f>
        <v>23.829499957241211</v>
      </c>
      <c r="Y4" s="186">
        <f ca="1">IF(Auxiliares!$D16&lt;(Producción!X7*$B43),Auxiliares!$D16,Producción!X7*$B43)*Auxiliares!$J$15*Auxiliares!$J$16*IF('Datos Consumo '!$C$12="Si",'Datos Consumo '!$C20,IF('Datos Consumo '!$C$11="No",'Datos Consumo '!$C$14,'Datos Consumo '!$C$16*Auxiliares!$N$4+Auxiliares!$N$5*'Datos Consumo '!$C$18))</f>
        <v>23.829499957241211</v>
      </c>
      <c r="Z4" s="186">
        <f ca="1">IF(Auxiliares!$D16&lt;(Producción!Y7*$B43),Auxiliares!$D16,Producción!Y7*$B43)*Auxiliares!$J$15*Auxiliares!$J$16*IF('Datos Consumo '!$C$12="Si",'Datos Consumo '!$C20,IF('Datos Consumo '!$C$11="No",'Datos Consumo '!$C$14,'Datos Consumo '!$C$16*Auxiliares!$N$4+Auxiliares!$N$5*'Datos Consumo '!$C$18))</f>
        <v>23.829499957241211</v>
      </c>
      <c r="AA4" s="186">
        <f ca="1">IF(Auxiliares!$D16&lt;(Producción!Z7*$B43),Auxiliares!$D16,Producción!Z7*$B43)*Auxiliares!$J$15*Auxiliares!$J$16*IF('Datos Consumo '!$C$12="Si",'Datos Consumo '!$C20,IF('Datos Consumo '!$C$11="No",'Datos Consumo '!$C$14,'Datos Consumo '!$C$16*Auxiliares!$N$4+Auxiliares!$N$5*'Datos Consumo '!$C$18))</f>
        <v>23.829499957241211</v>
      </c>
      <c r="AB4" s="186">
        <f ca="1">IF(Auxiliares!$D16&lt;(Producción!AA7*$B43),Auxiliares!$D16,Producción!AA7*$B43)*Auxiliares!$J$15*Auxiliares!$J$16*IF('Datos Consumo '!$C$12="Si",'Datos Consumo '!$C20,IF('Datos Consumo '!$C$11="No",'Datos Consumo '!$C$14,'Datos Consumo '!$C$16*Auxiliares!$N$4+Auxiliares!$N$5*'Datos Consumo '!$C$18))</f>
        <v>23.829499957241211</v>
      </c>
      <c r="AC4" s="186">
        <f ca="1">IF(Auxiliares!$D16&lt;(Producción!AB7*$B43),Auxiliares!$D16,Producción!AB7*$B43)*Auxiliares!$J$15*Auxiliares!$J$16*IF('Datos Consumo '!$C$12="Si",'Datos Consumo '!$C20,IF('Datos Consumo '!$C$11="No",'Datos Consumo '!$C$14,'Datos Consumo '!$C$16*Auxiliares!$N$4+Auxiliares!$N$5*'Datos Consumo '!$C$18))</f>
        <v>23.829499957241211</v>
      </c>
      <c r="AD4" s="186">
        <f ca="1">IF(Auxiliares!$D16&lt;(Producción!AC7*$B43),Auxiliares!$D16,Producción!AC7*$B43)*Auxiliares!$J$15*Auxiliares!$J$16*IF('Datos Consumo '!$C$12="Si",'Datos Consumo '!$C20,IF('Datos Consumo '!$C$11="No",'Datos Consumo '!$C$14,'Datos Consumo '!$C$16*Auxiliares!$N$4+Auxiliares!$N$5*'Datos Consumo '!$C$18))</f>
        <v>23.829499957241211</v>
      </c>
      <c r="AE4" s="186">
        <f ca="1">IF(Auxiliares!$D16&lt;(Producción!AD7*$B43),Auxiliares!$D16,Producción!AD7*$B43)*Auxiliares!$J$15*Auxiliares!$J$16*IF('Datos Consumo '!$C$12="Si",'Datos Consumo '!$C20,IF('Datos Consumo '!$C$11="No",'Datos Consumo '!$C$14,'Datos Consumo '!$C$16*Auxiliares!$N$4+Auxiliares!$N$5*'Datos Consumo '!$C$18))</f>
        <v>23.829499957241211</v>
      </c>
      <c r="AF4" s="186">
        <f ca="1">IF(Auxiliares!$D16&lt;(Producción!AE7*$B43),Auxiliares!$D16,Producción!AE7*$B43)*Auxiliares!$J$15*Auxiliares!$J$16*IF('Datos Consumo '!$C$12="Si",'Datos Consumo '!$C20,IF('Datos Consumo '!$C$11="No",'Datos Consumo '!$C$14,'Datos Consumo '!$C$16*Auxiliares!$N$4+Auxiliares!$N$5*'Datos Consumo '!$C$18))</f>
        <v>23.829499957241211</v>
      </c>
      <c r="AG4" s="186">
        <f ca="1">IF(Auxiliares!$D16&lt;(Producción!AF7*$B43),Auxiliares!$D16,Producción!AF7*$B43)*Auxiliares!$J$15*Auxiliares!$J$16*IF('Datos Consumo '!$C$12="Si",'Datos Consumo '!$C20,IF('Datos Consumo '!$C$11="No",'Datos Consumo '!$C$14,'Datos Consumo '!$C$16*Auxiliares!$N$4+Auxiliares!$N$5*'Datos Consumo '!$C$18))</f>
        <v>23.829499957241211</v>
      </c>
      <c r="AH4" s="186">
        <f ca="1">IF(Auxiliares!$D16&lt;(Producción!AG7*$B43),Auxiliares!$D16,Producción!AG7*$B43)*Auxiliares!$J$15*Auxiliares!$J$16*IF('Datos Consumo '!$C$12="Si",'Datos Consumo '!$C20,IF('Datos Consumo '!$C$11="No",'Datos Consumo '!$C$14,'Datos Consumo '!$C$16*Auxiliares!$N$4+Auxiliares!$N$5*'Datos Consumo '!$C$18))</f>
        <v>23.829499957241211</v>
      </c>
    </row>
    <row r="5" spans="2:34">
      <c r="C5" s="12" t="s">
        <v>5</v>
      </c>
      <c r="D5" s="186">
        <f ca="1">IF(Auxiliares!$D17&lt;(Producción!C8*$B44),Auxiliares!$D17,Producción!C8*$B44)*Auxiliares!$J$15*Auxiliares!$J$16*IF('Datos Consumo '!$C$12="Si",'Datos Consumo '!$C21,IF('Datos Consumo '!$C$11="No",'Datos Consumo '!$C$14,'Datos Consumo '!$C$16*Auxiliares!$N$4+Auxiliares!$N$5*'Datos Consumo '!$C$18))</f>
        <v>21.786971389477674</v>
      </c>
      <c r="E5" s="186">
        <f ca="1">IF(Auxiliares!$D17&lt;(Producción!D8*$B44),Auxiliares!$D17,Producción!D8*$B44)*Auxiliares!$J$15*Auxiliares!$J$16*IF('Datos Consumo '!$C$12="Si",'Datos Consumo '!$C21,IF('Datos Consumo '!$C$11="No",'Datos Consumo '!$C$14,'Datos Consumo '!$C$16*Auxiliares!$N$4+Auxiliares!$N$5*'Datos Consumo '!$C$18))</f>
        <v>21.786971389477674</v>
      </c>
      <c r="F5" s="186">
        <f ca="1">IF(Auxiliares!$D17&lt;(Producción!E8*$B44),Auxiliares!$D17,Producción!E8*$B44)*Auxiliares!$J$15*Auxiliares!$J$16*IF('Datos Consumo '!$C$12="Si",'Datos Consumo '!$C21,IF('Datos Consumo '!$C$11="No",'Datos Consumo '!$C$14,'Datos Consumo '!$C$16*Auxiliares!$N$4+Auxiliares!$N$5*'Datos Consumo '!$C$18))</f>
        <v>21.786971389477674</v>
      </c>
      <c r="G5" s="186">
        <f ca="1">IF(Auxiliares!$D17&lt;(Producción!F8*$B44),Auxiliares!$D17,Producción!F8*$B44)*Auxiliares!$J$15*Auxiliares!$J$16*IF('Datos Consumo '!$C$12="Si",'Datos Consumo '!$C21,IF('Datos Consumo '!$C$11="No",'Datos Consumo '!$C$14,'Datos Consumo '!$C$16*Auxiliares!$N$4+Auxiliares!$N$5*'Datos Consumo '!$C$18))</f>
        <v>21.786971389477674</v>
      </c>
      <c r="H5" s="186">
        <f ca="1">IF(Auxiliares!$D17&lt;(Producción!G8*$B44),Auxiliares!$D17,Producción!G8*$B44)*Auxiliares!$J$15*Auxiliares!$J$16*IF('Datos Consumo '!$C$12="Si",'Datos Consumo '!$C21,IF('Datos Consumo '!$C$11="No",'Datos Consumo '!$C$14,'Datos Consumo '!$C$16*Auxiliares!$N$4+Auxiliares!$N$5*'Datos Consumo '!$C$18))</f>
        <v>21.786971389477674</v>
      </c>
      <c r="I5" s="186">
        <f ca="1">IF(Auxiliares!$D17&lt;(Producción!H8*$B44),Auxiliares!$D17,Producción!H8*$B44)*Auxiliares!$J$15*Auxiliares!$J$16*IF('Datos Consumo '!$C$12="Si",'Datos Consumo '!$C21,IF('Datos Consumo '!$C$11="No",'Datos Consumo '!$C$14,'Datos Consumo '!$C$16*Auxiliares!$N$4+Auxiliares!$N$5*'Datos Consumo '!$C$18))</f>
        <v>21.786971389477674</v>
      </c>
      <c r="J5" s="186">
        <f ca="1">IF(Auxiliares!$D17&lt;(Producción!I8*$B44),Auxiliares!$D17,Producción!I8*$B44)*Auxiliares!$J$15*Auxiliares!$J$16*IF('Datos Consumo '!$C$12="Si",'Datos Consumo '!$C21,IF('Datos Consumo '!$C$11="No",'Datos Consumo '!$C$14,'Datos Consumo '!$C$16*Auxiliares!$N$4+Auxiliares!$N$5*'Datos Consumo '!$C$18))</f>
        <v>21.786971389477674</v>
      </c>
      <c r="K5" s="186">
        <f ca="1">IF(Auxiliares!$D17&lt;(Producción!J8*$B44),Auxiliares!$D17,Producción!J8*$B44)*Auxiliares!$J$15*Auxiliares!$J$16*IF('Datos Consumo '!$C$12="Si",'Datos Consumo '!$C21,IF('Datos Consumo '!$C$11="No",'Datos Consumo '!$C$14,'Datos Consumo '!$C$16*Auxiliares!$N$4+Auxiliares!$N$5*'Datos Consumo '!$C$18))</f>
        <v>21.786971389477674</v>
      </c>
      <c r="L5" s="186">
        <f ca="1">IF(Auxiliares!$D17&lt;(Producción!K8*$B44),Auxiliares!$D17,Producción!K8*$B44)*Auxiliares!$J$15*Auxiliares!$J$16*IF('Datos Consumo '!$C$12="Si",'Datos Consumo '!$C21,IF('Datos Consumo '!$C$11="No",'Datos Consumo '!$C$14,'Datos Consumo '!$C$16*Auxiliares!$N$4+Auxiliares!$N$5*'Datos Consumo '!$C$18))</f>
        <v>21.786971389477674</v>
      </c>
      <c r="M5" s="186">
        <f ca="1">IF(Auxiliares!$D17&lt;(Producción!L8*$B44),Auxiliares!$D17,Producción!L8*$B44)*Auxiliares!$J$15*Auxiliares!$J$16*IF('Datos Consumo '!$C$12="Si",'Datos Consumo '!$C21,IF('Datos Consumo '!$C$11="No",'Datos Consumo '!$C$14,'Datos Consumo '!$C$16*Auxiliares!$N$4+Auxiliares!$N$5*'Datos Consumo '!$C$18))</f>
        <v>21.786971389477674</v>
      </c>
      <c r="N5" s="186">
        <f ca="1">IF(Auxiliares!$D17&lt;(Producción!M8*$B44),Auxiliares!$D17,Producción!M8*$B44)*Auxiliares!$J$15*Auxiliares!$J$16*IF('Datos Consumo '!$C$12="Si",'Datos Consumo '!$C21,IF('Datos Consumo '!$C$11="No",'Datos Consumo '!$C$14,'Datos Consumo '!$C$16*Auxiliares!$N$4+Auxiliares!$N$5*'Datos Consumo '!$C$18))</f>
        <v>21.786971389477674</v>
      </c>
      <c r="O5" s="186">
        <f ca="1">IF(Auxiliares!$D17&lt;(Producción!N8*$B44),Auxiliares!$D17,Producción!N8*$B44)*Auxiliares!$J$15*Auxiliares!$J$16*IF('Datos Consumo '!$C$12="Si",'Datos Consumo '!$C21,IF('Datos Consumo '!$C$11="No",'Datos Consumo '!$C$14,'Datos Consumo '!$C$16*Auxiliares!$N$4+Auxiliares!$N$5*'Datos Consumo '!$C$18))</f>
        <v>21.786971389477674</v>
      </c>
      <c r="P5" s="186">
        <f ca="1">IF(Auxiliares!$D17&lt;(Producción!O8*$B44),Auxiliares!$D17,Producción!O8*$B44)*Auxiliares!$J$15*Auxiliares!$J$16*IF('Datos Consumo '!$C$12="Si",'Datos Consumo '!$C21,IF('Datos Consumo '!$C$11="No",'Datos Consumo '!$C$14,'Datos Consumo '!$C$16*Auxiliares!$N$4+Auxiliares!$N$5*'Datos Consumo '!$C$18))</f>
        <v>21.786971389477674</v>
      </c>
      <c r="Q5" s="186">
        <f ca="1">IF(Auxiliares!$D17&lt;(Producción!P8*$B44),Auxiliares!$D17,Producción!P8*$B44)*Auxiliares!$J$15*Auxiliares!$J$16*IF('Datos Consumo '!$C$12="Si",'Datos Consumo '!$C21,IF('Datos Consumo '!$C$11="No",'Datos Consumo '!$C$14,'Datos Consumo '!$C$16*Auxiliares!$N$4+Auxiliares!$N$5*'Datos Consumo '!$C$18))</f>
        <v>21.786971389477674</v>
      </c>
      <c r="R5" s="186">
        <f ca="1">IF(Auxiliares!$D17&lt;(Producción!Q8*$B44),Auxiliares!$D17,Producción!Q8*$B44)*Auxiliares!$J$15*Auxiliares!$J$16*IF('Datos Consumo '!$C$12="Si",'Datos Consumo '!$C21,IF('Datos Consumo '!$C$11="No",'Datos Consumo '!$C$14,'Datos Consumo '!$C$16*Auxiliares!$N$4+Auxiliares!$N$5*'Datos Consumo '!$C$18))</f>
        <v>21.786971389477674</v>
      </c>
      <c r="S5" s="186">
        <f ca="1">IF(Auxiliares!$D17&lt;(Producción!R8*$B44),Auxiliares!$D17,Producción!R8*$B44)*Auxiliares!$J$15*Auxiliares!$J$16*IF('Datos Consumo '!$C$12="Si",'Datos Consumo '!$C21,IF('Datos Consumo '!$C$11="No",'Datos Consumo '!$C$14,'Datos Consumo '!$C$16*Auxiliares!$N$4+Auxiliares!$N$5*'Datos Consumo '!$C$18))</f>
        <v>21.786971389477674</v>
      </c>
      <c r="T5" s="186">
        <f ca="1">IF(Auxiliares!$D17&lt;(Producción!S8*$B44),Auxiliares!$D17,Producción!S8*$B44)*Auxiliares!$J$15*Auxiliares!$J$16*IF('Datos Consumo '!$C$12="Si",'Datos Consumo '!$C21,IF('Datos Consumo '!$C$11="No",'Datos Consumo '!$C$14,'Datos Consumo '!$C$16*Auxiliares!$N$4+Auxiliares!$N$5*'Datos Consumo '!$C$18))</f>
        <v>21.786971389477674</v>
      </c>
      <c r="U5" s="186">
        <f ca="1">IF(Auxiliares!$D17&lt;(Producción!T8*$B44),Auxiliares!$D17,Producción!T8*$B44)*Auxiliares!$J$15*Auxiliares!$J$16*IF('Datos Consumo '!$C$12="Si",'Datos Consumo '!$C21,IF('Datos Consumo '!$C$11="No",'Datos Consumo '!$C$14,'Datos Consumo '!$C$16*Auxiliares!$N$4+Auxiliares!$N$5*'Datos Consumo '!$C$18))</f>
        <v>21.786971389477674</v>
      </c>
      <c r="V5" s="186">
        <f ca="1">IF(Auxiliares!$D17&lt;(Producción!U8*$B44),Auxiliares!$D17,Producción!U8*$B44)*Auxiliares!$J$15*Auxiliares!$J$16*IF('Datos Consumo '!$C$12="Si",'Datos Consumo '!$C21,IF('Datos Consumo '!$C$11="No",'Datos Consumo '!$C$14,'Datos Consumo '!$C$16*Auxiliares!$N$4+Auxiliares!$N$5*'Datos Consumo '!$C$18))</f>
        <v>21.786971389477674</v>
      </c>
      <c r="W5" s="186">
        <f ca="1">IF(Auxiliares!$D17&lt;(Producción!V8*$B44),Auxiliares!$D17,Producción!V8*$B44)*Auxiliares!$J$15*Auxiliares!$J$16*IF('Datos Consumo '!$C$12="Si",'Datos Consumo '!$C21,IF('Datos Consumo '!$C$11="No",'Datos Consumo '!$C$14,'Datos Consumo '!$C$16*Auxiliares!$N$4+Auxiliares!$N$5*'Datos Consumo '!$C$18))</f>
        <v>21.786971389477674</v>
      </c>
      <c r="X5" s="186">
        <f ca="1">IF(Auxiliares!$D17&lt;(Producción!W8*$B44),Auxiliares!$D17,Producción!W8*$B44)*Auxiliares!$J$15*Auxiliares!$J$16*IF('Datos Consumo '!$C$12="Si",'Datos Consumo '!$C21,IF('Datos Consumo '!$C$11="No",'Datos Consumo '!$C$14,'Datos Consumo '!$C$16*Auxiliares!$N$4+Auxiliares!$N$5*'Datos Consumo '!$C$18))</f>
        <v>21.786971389477674</v>
      </c>
      <c r="Y5" s="186">
        <f ca="1">IF(Auxiliares!$D17&lt;(Producción!X8*$B44),Auxiliares!$D17,Producción!X8*$B44)*Auxiliares!$J$15*Auxiliares!$J$16*IF('Datos Consumo '!$C$12="Si",'Datos Consumo '!$C21,IF('Datos Consumo '!$C$11="No",'Datos Consumo '!$C$14,'Datos Consumo '!$C$16*Auxiliares!$N$4+Auxiliares!$N$5*'Datos Consumo '!$C$18))</f>
        <v>21.786971389477674</v>
      </c>
      <c r="Z5" s="186">
        <f ca="1">IF(Auxiliares!$D17&lt;(Producción!Y8*$B44),Auxiliares!$D17,Producción!Y8*$B44)*Auxiliares!$J$15*Auxiliares!$J$16*IF('Datos Consumo '!$C$12="Si",'Datos Consumo '!$C21,IF('Datos Consumo '!$C$11="No",'Datos Consumo '!$C$14,'Datos Consumo '!$C$16*Auxiliares!$N$4+Auxiliares!$N$5*'Datos Consumo '!$C$18))</f>
        <v>21.786971389477674</v>
      </c>
      <c r="AA5" s="186">
        <f ca="1">IF(Auxiliares!$D17&lt;(Producción!Z8*$B44),Auxiliares!$D17,Producción!Z8*$B44)*Auxiliares!$J$15*Auxiliares!$J$16*IF('Datos Consumo '!$C$12="Si",'Datos Consumo '!$C21,IF('Datos Consumo '!$C$11="No",'Datos Consumo '!$C$14,'Datos Consumo '!$C$16*Auxiliares!$N$4+Auxiliares!$N$5*'Datos Consumo '!$C$18))</f>
        <v>21.786971389477674</v>
      </c>
      <c r="AB5" s="186">
        <f ca="1">IF(Auxiliares!$D17&lt;(Producción!AA8*$B44),Auxiliares!$D17,Producción!AA8*$B44)*Auxiliares!$J$15*Auxiliares!$J$16*IF('Datos Consumo '!$C$12="Si",'Datos Consumo '!$C21,IF('Datos Consumo '!$C$11="No",'Datos Consumo '!$C$14,'Datos Consumo '!$C$16*Auxiliares!$N$4+Auxiliares!$N$5*'Datos Consumo '!$C$18))</f>
        <v>21.786971389477674</v>
      </c>
      <c r="AC5" s="186">
        <f ca="1">IF(Auxiliares!$D17&lt;(Producción!AB8*$B44),Auxiliares!$D17,Producción!AB8*$B44)*Auxiliares!$J$15*Auxiliares!$J$16*IF('Datos Consumo '!$C$12="Si",'Datos Consumo '!$C21,IF('Datos Consumo '!$C$11="No",'Datos Consumo '!$C$14,'Datos Consumo '!$C$16*Auxiliares!$N$4+Auxiliares!$N$5*'Datos Consumo '!$C$18))</f>
        <v>21.786971389477674</v>
      </c>
      <c r="AD5" s="186">
        <f ca="1">IF(Auxiliares!$D17&lt;(Producción!AC8*$B44),Auxiliares!$D17,Producción!AC8*$B44)*Auxiliares!$J$15*Auxiliares!$J$16*IF('Datos Consumo '!$C$12="Si",'Datos Consumo '!$C21,IF('Datos Consumo '!$C$11="No",'Datos Consumo '!$C$14,'Datos Consumo '!$C$16*Auxiliares!$N$4+Auxiliares!$N$5*'Datos Consumo '!$C$18))</f>
        <v>21.786971389477674</v>
      </c>
      <c r="AE5" s="186">
        <f ca="1">IF(Auxiliares!$D17&lt;(Producción!AD8*$B44),Auxiliares!$D17,Producción!AD8*$B44)*Auxiliares!$J$15*Auxiliares!$J$16*IF('Datos Consumo '!$C$12="Si",'Datos Consumo '!$C21,IF('Datos Consumo '!$C$11="No",'Datos Consumo '!$C$14,'Datos Consumo '!$C$16*Auxiliares!$N$4+Auxiliares!$N$5*'Datos Consumo '!$C$18))</f>
        <v>21.786971389477674</v>
      </c>
      <c r="AF5" s="186">
        <f ca="1">IF(Auxiliares!$D17&lt;(Producción!AE8*$B44),Auxiliares!$D17,Producción!AE8*$B44)*Auxiliares!$J$15*Auxiliares!$J$16*IF('Datos Consumo '!$C$12="Si",'Datos Consumo '!$C21,IF('Datos Consumo '!$C$11="No",'Datos Consumo '!$C$14,'Datos Consumo '!$C$16*Auxiliares!$N$4+Auxiliares!$N$5*'Datos Consumo '!$C$18))</f>
        <v>21.786971389477674</v>
      </c>
      <c r="AG5" s="186">
        <f ca="1">IF(Auxiliares!$D17&lt;(Producción!AF8*$B44),Auxiliares!$D17,Producción!AF8*$B44)*Auxiliares!$J$15*Auxiliares!$J$16*IF('Datos Consumo '!$C$12="Si",'Datos Consumo '!$C21,IF('Datos Consumo '!$C$11="No",'Datos Consumo '!$C$14,'Datos Consumo '!$C$16*Auxiliares!$N$4+Auxiliares!$N$5*'Datos Consumo '!$C$18))</f>
        <v>21.786971389477674</v>
      </c>
      <c r="AH5" s="186">
        <f ca="1">IF(Auxiliares!$D17&lt;(Producción!AG8*$B44),Auxiliares!$D17,Producción!AG8*$B44)*Auxiliares!$J$15*Auxiliares!$J$16*IF('Datos Consumo '!$C$12="Si",'Datos Consumo '!$C21,IF('Datos Consumo '!$C$11="No",'Datos Consumo '!$C$14,'Datos Consumo '!$C$16*Auxiliares!$N$4+Auxiliares!$N$5*'Datos Consumo '!$C$18))</f>
        <v>21.786971389477674</v>
      </c>
    </row>
    <row r="6" spans="2:34">
      <c r="C6" s="12" t="s">
        <v>6</v>
      </c>
      <c r="D6" s="186">
        <f ca="1">IF(Auxiliares!$D18&lt;(Producción!C9*$B45),Auxiliares!$D18,Producción!C9*$B45)*Auxiliares!$J$15*Auxiliares!$J$16*IF('Datos Consumo '!$C$12="Si",'Datos Consumo '!$C22,IF('Datos Consumo '!$C$11="No",'Datos Consumo '!$C$14,'Datos Consumo '!$C$16*Auxiliares!$N$4+Auxiliares!$N$5*'Datos Consumo '!$C$18))</f>
        <v>18.38275710987179</v>
      </c>
      <c r="E6" s="186">
        <f ca="1">IF(Auxiliares!$D18&lt;(Producción!D9*$B45),Auxiliares!$D18,Producción!D9*$B45)*Auxiliares!$J$15*Auxiliares!$J$16*IF('Datos Consumo '!$C$12="Si",'Datos Consumo '!$C22,IF('Datos Consumo '!$C$11="No",'Datos Consumo '!$C$14,'Datos Consumo '!$C$16*Auxiliares!$N$4+Auxiliares!$N$5*'Datos Consumo '!$C$18))</f>
        <v>18.38275710987179</v>
      </c>
      <c r="F6" s="186">
        <f ca="1">IF(Auxiliares!$D18&lt;(Producción!E9*$B45),Auxiliares!$D18,Producción!E9*$B45)*Auxiliares!$J$15*Auxiliares!$J$16*IF('Datos Consumo '!$C$12="Si",'Datos Consumo '!$C22,IF('Datos Consumo '!$C$11="No",'Datos Consumo '!$C$14,'Datos Consumo '!$C$16*Auxiliares!$N$4+Auxiliares!$N$5*'Datos Consumo '!$C$18))</f>
        <v>18.38275710987179</v>
      </c>
      <c r="G6" s="186">
        <f ca="1">IF(Auxiliares!$D18&lt;(Producción!F9*$B45),Auxiliares!$D18,Producción!F9*$B45)*Auxiliares!$J$15*Auxiliares!$J$16*IF('Datos Consumo '!$C$12="Si",'Datos Consumo '!$C22,IF('Datos Consumo '!$C$11="No",'Datos Consumo '!$C$14,'Datos Consumo '!$C$16*Auxiliares!$N$4+Auxiliares!$N$5*'Datos Consumo '!$C$18))</f>
        <v>18.38275710987179</v>
      </c>
      <c r="H6" s="186">
        <f ca="1">IF(Auxiliares!$D18&lt;(Producción!G9*$B45),Auxiliares!$D18,Producción!G9*$B45)*Auxiliares!$J$15*Auxiliares!$J$16*IF('Datos Consumo '!$C$12="Si",'Datos Consumo '!$C22,IF('Datos Consumo '!$C$11="No",'Datos Consumo '!$C$14,'Datos Consumo '!$C$16*Auxiliares!$N$4+Auxiliares!$N$5*'Datos Consumo '!$C$18))</f>
        <v>18.38275710987179</v>
      </c>
      <c r="I6" s="186">
        <f ca="1">IF(Auxiliares!$D18&lt;(Producción!H9*$B45),Auxiliares!$D18,Producción!H9*$B45)*Auxiliares!$J$15*Auxiliares!$J$16*IF('Datos Consumo '!$C$12="Si",'Datos Consumo '!$C22,IF('Datos Consumo '!$C$11="No",'Datos Consumo '!$C$14,'Datos Consumo '!$C$16*Auxiliares!$N$4+Auxiliares!$N$5*'Datos Consumo '!$C$18))</f>
        <v>18.38275710987179</v>
      </c>
      <c r="J6" s="186">
        <f ca="1">IF(Auxiliares!$D18&lt;(Producción!I9*$B45),Auxiliares!$D18,Producción!I9*$B45)*Auxiliares!$J$15*Auxiliares!$J$16*IF('Datos Consumo '!$C$12="Si",'Datos Consumo '!$C22,IF('Datos Consumo '!$C$11="No",'Datos Consumo '!$C$14,'Datos Consumo '!$C$16*Auxiliares!$N$4+Auxiliares!$N$5*'Datos Consumo '!$C$18))</f>
        <v>18.38275710987179</v>
      </c>
      <c r="K6" s="186">
        <f ca="1">IF(Auxiliares!$D18&lt;(Producción!J9*$B45),Auxiliares!$D18,Producción!J9*$B45)*Auxiliares!$J$15*Auxiliares!$J$16*IF('Datos Consumo '!$C$12="Si",'Datos Consumo '!$C22,IF('Datos Consumo '!$C$11="No",'Datos Consumo '!$C$14,'Datos Consumo '!$C$16*Auxiliares!$N$4+Auxiliares!$N$5*'Datos Consumo '!$C$18))</f>
        <v>18.38275710987179</v>
      </c>
      <c r="L6" s="186">
        <f ca="1">IF(Auxiliares!$D18&lt;(Producción!K9*$B45),Auxiliares!$D18,Producción!K9*$B45)*Auxiliares!$J$15*Auxiliares!$J$16*IF('Datos Consumo '!$C$12="Si",'Datos Consumo '!$C22,IF('Datos Consumo '!$C$11="No",'Datos Consumo '!$C$14,'Datos Consumo '!$C$16*Auxiliares!$N$4+Auxiliares!$N$5*'Datos Consumo '!$C$18))</f>
        <v>18.38275710987179</v>
      </c>
      <c r="M6" s="186">
        <f ca="1">IF(Auxiliares!$D18&lt;(Producción!L9*$B45),Auxiliares!$D18,Producción!L9*$B45)*Auxiliares!$J$15*Auxiliares!$J$16*IF('Datos Consumo '!$C$12="Si",'Datos Consumo '!$C22,IF('Datos Consumo '!$C$11="No",'Datos Consumo '!$C$14,'Datos Consumo '!$C$16*Auxiliares!$N$4+Auxiliares!$N$5*'Datos Consumo '!$C$18))</f>
        <v>18.38275710987179</v>
      </c>
      <c r="N6" s="186">
        <f ca="1">IF(Auxiliares!$D18&lt;(Producción!M9*$B45),Auxiliares!$D18,Producción!M9*$B45)*Auxiliares!$J$15*Auxiliares!$J$16*IF('Datos Consumo '!$C$12="Si",'Datos Consumo '!$C22,IF('Datos Consumo '!$C$11="No",'Datos Consumo '!$C$14,'Datos Consumo '!$C$16*Auxiliares!$N$4+Auxiliares!$N$5*'Datos Consumo '!$C$18))</f>
        <v>18.38275710987179</v>
      </c>
      <c r="O6" s="186">
        <f ca="1">IF(Auxiliares!$D18&lt;(Producción!N9*$B45),Auxiliares!$D18,Producción!N9*$B45)*Auxiliares!$J$15*Auxiliares!$J$16*IF('Datos Consumo '!$C$12="Si",'Datos Consumo '!$C22,IF('Datos Consumo '!$C$11="No",'Datos Consumo '!$C$14,'Datos Consumo '!$C$16*Auxiliares!$N$4+Auxiliares!$N$5*'Datos Consumo '!$C$18))</f>
        <v>18.38275710987179</v>
      </c>
      <c r="P6" s="186">
        <f ca="1">IF(Auxiliares!$D18&lt;(Producción!O9*$B45),Auxiliares!$D18,Producción!O9*$B45)*Auxiliares!$J$15*Auxiliares!$J$16*IF('Datos Consumo '!$C$12="Si",'Datos Consumo '!$C22,IF('Datos Consumo '!$C$11="No",'Datos Consumo '!$C$14,'Datos Consumo '!$C$16*Auxiliares!$N$4+Auxiliares!$N$5*'Datos Consumo '!$C$18))</f>
        <v>18.38275710987179</v>
      </c>
      <c r="Q6" s="186">
        <f ca="1">IF(Auxiliares!$D18&lt;(Producción!P9*$B45),Auxiliares!$D18,Producción!P9*$B45)*Auxiliares!$J$15*Auxiliares!$J$16*IF('Datos Consumo '!$C$12="Si",'Datos Consumo '!$C22,IF('Datos Consumo '!$C$11="No",'Datos Consumo '!$C$14,'Datos Consumo '!$C$16*Auxiliares!$N$4+Auxiliares!$N$5*'Datos Consumo '!$C$18))</f>
        <v>18.38275710987179</v>
      </c>
      <c r="R6" s="186">
        <f ca="1">IF(Auxiliares!$D18&lt;(Producción!Q9*$B45),Auxiliares!$D18,Producción!Q9*$B45)*Auxiliares!$J$15*Auxiliares!$J$16*IF('Datos Consumo '!$C$12="Si",'Datos Consumo '!$C22,IF('Datos Consumo '!$C$11="No",'Datos Consumo '!$C$14,'Datos Consumo '!$C$16*Auxiliares!$N$4+Auxiliares!$N$5*'Datos Consumo '!$C$18))</f>
        <v>18.38275710987179</v>
      </c>
      <c r="S6" s="186">
        <f ca="1">IF(Auxiliares!$D18&lt;(Producción!R9*$B45),Auxiliares!$D18,Producción!R9*$B45)*Auxiliares!$J$15*Auxiliares!$J$16*IF('Datos Consumo '!$C$12="Si",'Datos Consumo '!$C22,IF('Datos Consumo '!$C$11="No",'Datos Consumo '!$C$14,'Datos Consumo '!$C$16*Auxiliares!$N$4+Auxiliares!$N$5*'Datos Consumo '!$C$18))</f>
        <v>18.38275710987179</v>
      </c>
      <c r="T6" s="186">
        <f ca="1">IF(Auxiliares!$D18&lt;(Producción!S9*$B45),Auxiliares!$D18,Producción!S9*$B45)*Auxiliares!$J$15*Auxiliares!$J$16*IF('Datos Consumo '!$C$12="Si",'Datos Consumo '!$C22,IF('Datos Consumo '!$C$11="No",'Datos Consumo '!$C$14,'Datos Consumo '!$C$16*Auxiliares!$N$4+Auxiliares!$N$5*'Datos Consumo '!$C$18))</f>
        <v>18.38275710987179</v>
      </c>
      <c r="U6" s="186">
        <f ca="1">IF(Auxiliares!$D18&lt;(Producción!T9*$B45),Auxiliares!$D18,Producción!T9*$B45)*Auxiliares!$J$15*Auxiliares!$J$16*IF('Datos Consumo '!$C$12="Si",'Datos Consumo '!$C22,IF('Datos Consumo '!$C$11="No",'Datos Consumo '!$C$14,'Datos Consumo '!$C$16*Auxiliares!$N$4+Auxiliares!$N$5*'Datos Consumo '!$C$18))</f>
        <v>18.38275710987179</v>
      </c>
      <c r="V6" s="186">
        <f ca="1">IF(Auxiliares!$D18&lt;(Producción!U9*$B45),Auxiliares!$D18,Producción!U9*$B45)*Auxiliares!$J$15*Auxiliares!$J$16*IF('Datos Consumo '!$C$12="Si",'Datos Consumo '!$C22,IF('Datos Consumo '!$C$11="No",'Datos Consumo '!$C$14,'Datos Consumo '!$C$16*Auxiliares!$N$4+Auxiliares!$N$5*'Datos Consumo '!$C$18))</f>
        <v>18.38275710987179</v>
      </c>
      <c r="W6" s="186">
        <f ca="1">IF(Auxiliares!$D18&lt;(Producción!V9*$B45),Auxiliares!$D18,Producción!V9*$B45)*Auxiliares!$J$15*Auxiliares!$J$16*IF('Datos Consumo '!$C$12="Si",'Datos Consumo '!$C22,IF('Datos Consumo '!$C$11="No",'Datos Consumo '!$C$14,'Datos Consumo '!$C$16*Auxiliares!$N$4+Auxiliares!$N$5*'Datos Consumo '!$C$18))</f>
        <v>18.38275710987179</v>
      </c>
      <c r="X6" s="186">
        <f ca="1">IF(Auxiliares!$D18&lt;(Producción!W9*$B45),Auxiliares!$D18,Producción!W9*$B45)*Auxiliares!$J$15*Auxiliares!$J$16*IF('Datos Consumo '!$C$12="Si",'Datos Consumo '!$C22,IF('Datos Consumo '!$C$11="No",'Datos Consumo '!$C$14,'Datos Consumo '!$C$16*Auxiliares!$N$4+Auxiliares!$N$5*'Datos Consumo '!$C$18))</f>
        <v>18.38275710987179</v>
      </c>
      <c r="Y6" s="186">
        <f ca="1">IF(Auxiliares!$D18&lt;(Producción!X9*$B45),Auxiliares!$D18,Producción!X9*$B45)*Auxiliares!$J$15*Auxiliares!$J$16*IF('Datos Consumo '!$C$12="Si",'Datos Consumo '!$C22,IF('Datos Consumo '!$C$11="No",'Datos Consumo '!$C$14,'Datos Consumo '!$C$16*Auxiliares!$N$4+Auxiliares!$N$5*'Datos Consumo '!$C$18))</f>
        <v>18.38275710987179</v>
      </c>
      <c r="Z6" s="186">
        <f ca="1">IF(Auxiliares!$D18&lt;(Producción!Y9*$B45),Auxiliares!$D18,Producción!Y9*$B45)*Auxiliares!$J$15*Auxiliares!$J$16*IF('Datos Consumo '!$C$12="Si",'Datos Consumo '!$C22,IF('Datos Consumo '!$C$11="No",'Datos Consumo '!$C$14,'Datos Consumo '!$C$16*Auxiliares!$N$4+Auxiliares!$N$5*'Datos Consumo '!$C$18))</f>
        <v>18.38275710987179</v>
      </c>
      <c r="AA6" s="186">
        <f ca="1">IF(Auxiliares!$D18&lt;(Producción!Z9*$B45),Auxiliares!$D18,Producción!Z9*$B45)*Auxiliares!$J$15*Auxiliares!$J$16*IF('Datos Consumo '!$C$12="Si",'Datos Consumo '!$C22,IF('Datos Consumo '!$C$11="No",'Datos Consumo '!$C$14,'Datos Consumo '!$C$16*Auxiliares!$N$4+Auxiliares!$N$5*'Datos Consumo '!$C$18))</f>
        <v>18.38275710987179</v>
      </c>
      <c r="AB6" s="186">
        <f ca="1">IF(Auxiliares!$D18&lt;(Producción!AA9*$B45),Auxiliares!$D18,Producción!AA9*$B45)*Auxiliares!$J$15*Auxiliares!$J$16*IF('Datos Consumo '!$C$12="Si",'Datos Consumo '!$C22,IF('Datos Consumo '!$C$11="No",'Datos Consumo '!$C$14,'Datos Consumo '!$C$16*Auxiliares!$N$4+Auxiliares!$N$5*'Datos Consumo '!$C$18))</f>
        <v>18.38275710987179</v>
      </c>
      <c r="AC6" s="186">
        <f ca="1">IF(Auxiliares!$D18&lt;(Producción!AB9*$B45),Auxiliares!$D18,Producción!AB9*$B45)*Auxiliares!$J$15*Auxiliares!$J$16*IF('Datos Consumo '!$C$12="Si",'Datos Consumo '!$C22,IF('Datos Consumo '!$C$11="No",'Datos Consumo '!$C$14,'Datos Consumo '!$C$16*Auxiliares!$N$4+Auxiliares!$N$5*'Datos Consumo '!$C$18))</f>
        <v>18.38275710987179</v>
      </c>
      <c r="AD6" s="186">
        <f ca="1">IF(Auxiliares!$D18&lt;(Producción!AC9*$B45),Auxiliares!$D18,Producción!AC9*$B45)*Auxiliares!$J$15*Auxiliares!$J$16*IF('Datos Consumo '!$C$12="Si",'Datos Consumo '!$C22,IF('Datos Consumo '!$C$11="No",'Datos Consumo '!$C$14,'Datos Consumo '!$C$16*Auxiliares!$N$4+Auxiliares!$N$5*'Datos Consumo '!$C$18))</f>
        <v>18.38275710987179</v>
      </c>
      <c r="AE6" s="186">
        <f ca="1">IF(Auxiliares!$D18&lt;(Producción!AD9*$B45),Auxiliares!$D18,Producción!AD9*$B45)*Auxiliares!$J$15*Auxiliares!$J$16*IF('Datos Consumo '!$C$12="Si",'Datos Consumo '!$C22,IF('Datos Consumo '!$C$11="No",'Datos Consumo '!$C$14,'Datos Consumo '!$C$16*Auxiliares!$N$4+Auxiliares!$N$5*'Datos Consumo '!$C$18))</f>
        <v>18.38275710987179</v>
      </c>
      <c r="AF6" s="186">
        <f ca="1">IF(Auxiliares!$D18&lt;(Producción!AE9*$B45),Auxiliares!$D18,Producción!AE9*$B45)*Auxiliares!$J$15*Auxiliares!$J$16*IF('Datos Consumo '!$C$12="Si",'Datos Consumo '!$C22,IF('Datos Consumo '!$C$11="No",'Datos Consumo '!$C$14,'Datos Consumo '!$C$16*Auxiliares!$N$4+Auxiliares!$N$5*'Datos Consumo '!$C$18))</f>
        <v>18.38275710987179</v>
      </c>
      <c r="AG6" s="186">
        <f ca="1">IF(Auxiliares!$D18&lt;(Producción!AF9*$B45),Auxiliares!$D18,Producción!AF9*$B45)*Auxiliares!$J$15*Auxiliares!$J$16*IF('Datos Consumo '!$C$12="Si",'Datos Consumo '!$C22,IF('Datos Consumo '!$C$11="No",'Datos Consumo '!$C$14,'Datos Consumo '!$C$16*Auxiliares!$N$4+Auxiliares!$N$5*'Datos Consumo '!$C$18))</f>
        <v>18.38275710987179</v>
      </c>
      <c r="AH6" s="186">
        <f ca="1">IF(Auxiliares!$D18&lt;(Producción!AG9*$B45),Auxiliares!$D18,Producción!AG9*$B45)*Auxiliares!$J$15*Auxiliares!$J$16*IF('Datos Consumo '!$C$12="Si",'Datos Consumo '!$C22,IF('Datos Consumo '!$C$11="No",'Datos Consumo '!$C$14,'Datos Consumo '!$C$16*Auxiliares!$N$4+Auxiliares!$N$5*'Datos Consumo '!$C$18))</f>
        <v>18.38275710987179</v>
      </c>
    </row>
    <row r="7" spans="2:34">
      <c r="C7" s="12" t="s">
        <v>7</v>
      </c>
      <c r="D7" s="186">
        <f ca="1">IF(Auxiliares!$D19&lt;(Producción!C10*$B46),Auxiliares!$D19,Producción!C10*$B46)*Auxiliares!$J$15*Auxiliares!$J$16*IF('Datos Consumo '!$C$12="Si",'Datos Consumo '!$C23,IF('Datos Consumo '!$C$11="No",'Datos Consumo '!$C$14,'Datos Consumo '!$C$16*Auxiliares!$N$4+Auxiliares!$N$5*'Datos Consumo '!$C$18))</f>
        <v>16.340228542108253</v>
      </c>
      <c r="E7" s="186">
        <f ca="1">IF(Auxiliares!$D19&lt;(Producción!D10*$B46),Auxiliares!$D19,Producción!D10*$B46)*Auxiliares!$J$15*Auxiliares!$J$16*IF('Datos Consumo '!$C$12="Si",'Datos Consumo '!$C23,IF('Datos Consumo '!$C$11="No",'Datos Consumo '!$C$14,'Datos Consumo '!$C$16*Auxiliares!$N$4+Auxiliares!$N$5*'Datos Consumo '!$C$18))</f>
        <v>16.340228542108253</v>
      </c>
      <c r="F7" s="186">
        <f ca="1">IF(Auxiliares!$D19&lt;(Producción!E10*$B46),Auxiliares!$D19,Producción!E10*$B46)*Auxiliares!$J$15*Auxiliares!$J$16*IF('Datos Consumo '!$C$12="Si",'Datos Consumo '!$C23,IF('Datos Consumo '!$C$11="No",'Datos Consumo '!$C$14,'Datos Consumo '!$C$16*Auxiliares!$N$4+Auxiliares!$N$5*'Datos Consumo '!$C$18))</f>
        <v>16.340228542108253</v>
      </c>
      <c r="G7" s="186">
        <f ca="1">IF(Auxiliares!$D19&lt;(Producción!F10*$B46),Auxiliares!$D19,Producción!F10*$B46)*Auxiliares!$J$15*Auxiliares!$J$16*IF('Datos Consumo '!$C$12="Si",'Datos Consumo '!$C23,IF('Datos Consumo '!$C$11="No",'Datos Consumo '!$C$14,'Datos Consumo '!$C$16*Auxiliares!$N$4+Auxiliares!$N$5*'Datos Consumo '!$C$18))</f>
        <v>16.340228542108253</v>
      </c>
      <c r="H7" s="186">
        <f ca="1">IF(Auxiliares!$D19&lt;(Producción!G10*$B46),Auxiliares!$D19,Producción!G10*$B46)*Auxiliares!$J$15*Auxiliares!$J$16*IF('Datos Consumo '!$C$12="Si",'Datos Consumo '!$C23,IF('Datos Consumo '!$C$11="No",'Datos Consumo '!$C$14,'Datos Consumo '!$C$16*Auxiliares!$N$4+Auxiliares!$N$5*'Datos Consumo '!$C$18))</f>
        <v>16.340228542108253</v>
      </c>
      <c r="I7" s="186">
        <f ca="1">IF(Auxiliares!$D19&lt;(Producción!H10*$B46),Auxiliares!$D19,Producción!H10*$B46)*Auxiliares!$J$15*Auxiliares!$J$16*IF('Datos Consumo '!$C$12="Si",'Datos Consumo '!$C23,IF('Datos Consumo '!$C$11="No",'Datos Consumo '!$C$14,'Datos Consumo '!$C$16*Auxiliares!$N$4+Auxiliares!$N$5*'Datos Consumo '!$C$18))</f>
        <v>16.340228542108253</v>
      </c>
      <c r="J7" s="186">
        <f ca="1">IF(Auxiliares!$D19&lt;(Producción!I10*$B46),Auxiliares!$D19,Producción!I10*$B46)*Auxiliares!$J$15*Auxiliares!$J$16*IF('Datos Consumo '!$C$12="Si",'Datos Consumo '!$C23,IF('Datos Consumo '!$C$11="No",'Datos Consumo '!$C$14,'Datos Consumo '!$C$16*Auxiliares!$N$4+Auxiliares!$N$5*'Datos Consumo '!$C$18))</f>
        <v>16.340228542108253</v>
      </c>
      <c r="K7" s="186">
        <f ca="1">IF(Auxiliares!$D19&lt;(Producción!J10*$B46),Auxiliares!$D19,Producción!J10*$B46)*Auxiliares!$J$15*Auxiliares!$J$16*IF('Datos Consumo '!$C$12="Si",'Datos Consumo '!$C23,IF('Datos Consumo '!$C$11="No",'Datos Consumo '!$C$14,'Datos Consumo '!$C$16*Auxiliares!$N$4+Auxiliares!$N$5*'Datos Consumo '!$C$18))</f>
        <v>16.340228542108253</v>
      </c>
      <c r="L7" s="186">
        <f ca="1">IF(Auxiliares!$D19&lt;(Producción!K10*$B46),Auxiliares!$D19,Producción!K10*$B46)*Auxiliares!$J$15*Auxiliares!$J$16*IF('Datos Consumo '!$C$12="Si",'Datos Consumo '!$C23,IF('Datos Consumo '!$C$11="No",'Datos Consumo '!$C$14,'Datos Consumo '!$C$16*Auxiliares!$N$4+Auxiliares!$N$5*'Datos Consumo '!$C$18))</f>
        <v>16.340228542108253</v>
      </c>
      <c r="M7" s="186">
        <f ca="1">IF(Auxiliares!$D19&lt;(Producción!L10*$B46),Auxiliares!$D19,Producción!L10*$B46)*Auxiliares!$J$15*Auxiliares!$J$16*IF('Datos Consumo '!$C$12="Si",'Datos Consumo '!$C23,IF('Datos Consumo '!$C$11="No",'Datos Consumo '!$C$14,'Datos Consumo '!$C$16*Auxiliares!$N$4+Auxiliares!$N$5*'Datos Consumo '!$C$18))</f>
        <v>16.340228542108253</v>
      </c>
      <c r="N7" s="186">
        <f ca="1">IF(Auxiliares!$D19&lt;(Producción!M10*$B46),Auxiliares!$D19,Producción!M10*$B46)*Auxiliares!$J$15*Auxiliares!$J$16*IF('Datos Consumo '!$C$12="Si",'Datos Consumo '!$C23,IF('Datos Consumo '!$C$11="No",'Datos Consumo '!$C$14,'Datos Consumo '!$C$16*Auxiliares!$N$4+Auxiliares!$N$5*'Datos Consumo '!$C$18))</f>
        <v>16.340228542108253</v>
      </c>
      <c r="O7" s="186">
        <f ca="1">IF(Auxiliares!$D19&lt;(Producción!N10*$B46),Auxiliares!$D19,Producción!N10*$B46)*Auxiliares!$J$15*Auxiliares!$J$16*IF('Datos Consumo '!$C$12="Si",'Datos Consumo '!$C23,IF('Datos Consumo '!$C$11="No",'Datos Consumo '!$C$14,'Datos Consumo '!$C$16*Auxiliares!$N$4+Auxiliares!$N$5*'Datos Consumo '!$C$18))</f>
        <v>16.340228542108253</v>
      </c>
      <c r="P7" s="186">
        <f ca="1">IF(Auxiliares!$D19&lt;(Producción!O10*$B46),Auxiliares!$D19,Producción!O10*$B46)*Auxiliares!$J$15*Auxiliares!$J$16*IF('Datos Consumo '!$C$12="Si",'Datos Consumo '!$C23,IF('Datos Consumo '!$C$11="No",'Datos Consumo '!$C$14,'Datos Consumo '!$C$16*Auxiliares!$N$4+Auxiliares!$N$5*'Datos Consumo '!$C$18))</f>
        <v>16.340228542108253</v>
      </c>
      <c r="Q7" s="186">
        <f ca="1">IF(Auxiliares!$D19&lt;(Producción!P10*$B46),Auxiliares!$D19,Producción!P10*$B46)*Auxiliares!$J$15*Auxiliares!$J$16*IF('Datos Consumo '!$C$12="Si",'Datos Consumo '!$C23,IF('Datos Consumo '!$C$11="No",'Datos Consumo '!$C$14,'Datos Consumo '!$C$16*Auxiliares!$N$4+Auxiliares!$N$5*'Datos Consumo '!$C$18))</f>
        <v>16.340228542108253</v>
      </c>
      <c r="R7" s="186">
        <f ca="1">IF(Auxiliares!$D19&lt;(Producción!Q10*$B46),Auxiliares!$D19,Producción!Q10*$B46)*Auxiliares!$J$15*Auxiliares!$J$16*IF('Datos Consumo '!$C$12="Si",'Datos Consumo '!$C23,IF('Datos Consumo '!$C$11="No",'Datos Consumo '!$C$14,'Datos Consumo '!$C$16*Auxiliares!$N$4+Auxiliares!$N$5*'Datos Consumo '!$C$18))</f>
        <v>16.340228542108253</v>
      </c>
      <c r="S7" s="186">
        <f ca="1">IF(Auxiliares!$D19&lt;(Producción!R10*$B46),Auxiliares!$D19,Producción!R10*$B46)*Auxiliares!$J$15*Auxiliares!$J$16*IF('Datos Consumo '!$C$12="Si",'Datos Consumo '!$C23,IF('Datos Consumo '!$C$11="No",'Datos Consumo '!$C$14,'Datos Consumo '!$C$16*Auxiliares!$N$4+Auxiliares!$N$5*'Datos Consumo '!$C$18))</f>
        <v>16.340228542108253</v>
      </c>
      <c r="T7" s="186">
        <f ca="1">IF(Auxiliares!$D19&lt;(Producción!S10*$B46),Auxiliares!$D19,Producción!S10*$B46)*Auxiliares!$J$15*Auxiliares!$J$16*IF('Datos Consumo '!$C$12="Si",'Datos Consumo '!$C23,IF('Datos Consumo '!$C$11="No",'Datos Consumo '!$C$14,'Datos Consumo '!$C$16*Auxiliares!$N$4+Auxiliares!$N$5*'Datos Consumo '!$C$18))</f>
        <v>16.340228542108253</v>
      </c>
      <c r="U7" s="186">
        <f ca="1">IF(Auxiliares!$D19&lt;(Producción!T10*$B46),Auxiliares!$D19,Producción!T10*$B46)*Auxiliares!$J$15*Auxiliares!$J$16*IF('Datos Consumo '!$C$12="Si",'Datos Consumo '!$C23,IF('Datos Consumo '!$C$11="No",'Datos Consumo '!$C$14,'Datos Consumo '!$C$16*Auxiliares!$N$4+Auxiliares!$N$5*'Datos Consumo '!$C$18))</f>
        <v>16.340228542108253</v>
      </c>
      <c r="V7" s="186">
        <f ca="1">IF(Auxiliares!$D19&lt;(Producción!U10*$B46),Auxiliares!$D19,Producción!U10*$B46)*Auxiliares!$J$15*Auxiliares!$J$16*IF('Datos Consumo '!$C$12="Si",'Datos Consumo '!$C23,IF('Datos Consumo '!$C$11="No",'Datos Consumo '!$C$14,'Datos Consumo '!$C$16*Auxiliares!$N$4+Auxiliares!$N$5*'Datos Consumo '!$C$18))</f>
        <v>16.340228542108253</v>
      </c>
      <c r="W7" s="186">
        <f ca="1">IF(Auxiliares!$D19&lt;(Producción!V10*$B46),Auxiliares!$D19,Producción!V10*$B46)*Auxiliares!$J$15*Auxiliares!$J$16*IF('Datos Consumo '!$C$12="Si",'Datos Consumo '!$C23,IF('Datos Consumo '!$C$11="No",'Datos Consumo '!$C$14,'Datos Consumo '!$C$16*Auxiliares!$N$4+Auxiliares!$N$5*'Datos Consumo '!$C$18))</f>
        <v>16.340228542108253</v>
      </c>
      <c r="X7" s="186">
        <f ca="1">IF(Auxiliares!$D19&lt;(Producción!W10*$B46),Auxiliares!$D19,Producción!W10*$B46)*Auxiliares!$J$15*Auxiliares!$J$16*IF('Datos Consumo '!$C$12="Si",'Datos Consumo '!$C23,IF('Datos Consumo '!$C$11="No",'Datos Consumo '!$C$14,'Datos Consumo '!$C$16*Auxiliares!$N$4+Auxiliares!$N$5*'Datos Consumo '!$C$18))</f>
        <v>16.340228542108253</v>
      </c>
      <c r="Y7" s="186">
        <f ca="1">IF(Auxiliares!$D19&lt;(Producción!X10*$B46),Auxiliares!$D19,Producción!X10*$B46)*Auxiliares!$J$15*Auxiliares!$J$16*IF('Datos Consumo '!$C$12="Si",'Datos Consumo '!$C23,IF('Datos Consumo '!$C$11="No",'Datos Consumo '!$C$14,'Datos Consumo '!$C$16*Auxiliares!$N$4+Auxiliares!$N$5*'Datos Consumo '!$C$18))</f>
        <v>16.340228542108253</v>
      </c>
      <c r="Z7" s="186">
        <f ca="1">IF(Auxiliares!$D19&lt;(Producción!Y10*$B46),Auxiliares!$D19,Producción!Y10*$B46)*Auxiliares!$J$15*Auxiliares!$J$16*IF('Datos Consumo '!$C$12="Si",'Datos Consumo '!$C23,IF('Datos Consumo '!$C$11="No",'Datos Consumo '!$C$14,'Datos Consumo '!$C$16*Auxiliares!$N$4+Auxiliares!$N$5*'Datos Consumo '!$C$18))</f>
        <v>16.340228542108253</v>
      </c>
      <c r="AA7" s="186">
        <f ca="1">IF(Auxiliares!$D19&lt;(Producción!Z10*$B46),Auxiliares!$D19,Producción!Z10*$B46)*Auxiliares!$J$15*Auxiliares!$J$16*IF('Datos Consumo '!$C$12="Si",'Datos Consumo '!$C23,IF('Datos Consumo '!$C$11="No",'Datos Consumo '!$C$14,'Datos Consumo '!$C$16*Auxiliares!$N$4+Auxiliares!$N$5*'Datos Consumo '!$C$18))</f>
        <v>16.340228542108253</v>
      </c>
      <c r="AB7" s="186">
        <f ca="1">IF(Auxiliares!$D19&lt;(Producción!AA10*$B46),Auxiliares!$D19,Producción!AA10*$B46)*Auxiliares!$J$15*Auxiliares!$J$16*IF('Datos Consumo '!$C$12="Si",'Datos Consumo '!$C23,IF('Datos Consumo '!$C$11="No",'Datos Consumo '!$C$14,'Datos Consumo '!$C$16*Auxiliares!$N$4+Auxiliares!$N$5*'Datos Consumo '!$C$18))</f>
        <v>16.340228542108253</v>
      </c>
      <c r="AC7" s="186">
        <f ca="1">IF(Auxiliares!$D19&lt;(Producción!AB10*$B46),Auxiliares!$D19,Producción!AB10*$B46)*Auxiliares!$J$15*Auxiliares!$J$16*IF('Datos Consumo '!$C$12="Si",'Datos Consumo '!$C23,IF('Datos Consumo '!$C$11="No",'Datos Consumo '!$C$14,'Datos Consumo '!$C$16*Auxiliares!$N$4+Auxiliares!$N$5*'Datos Consumo '!$C$18))</f>
        <v>16.340228542108253</v>
      </c>
      <c r="AD7" s="186">
        <f ca="1">IF(Auxiliares!$D19&lt;(Producción!AC10*$B46),Auxiliares!$D19,Producción!AC10*$B46)*Auxiliares!$J$15*Auxiliares!$J$16*IF('Datos Consumo '!$C$12="Si",'Datos Consumo '!$C23,IF('Datos Consumo '!$C$11="No",'Datos Consumo '!$C$14,'Datos Consumo '!$C$16*Auxiliares!$N$4+Auxiliares!$N$5*'Datos Consumo '!$C$18))</f>
        <v>16.340228542108253</v>
      </c>
      <c r="AE7" s="186">
        <f ca="1">IF(Auxiliares!$D19&lt;(Producción!AD10*$B46),Auxiliares!$D19,Producción!AD10*$B46)*Auxiliares!$J$15*Auxiliares!$J$16*IF('Datos Consumo '!$C$12="Si",'Datos Consumo '!$C23,IF('Datos Consumo '!$C$11="No",'Datos Consumo '!$C$14,'Datos Consumo '!$C$16*Auxiliares!$N$4+Auxiliares!$N$5*'Datos Consumo '!$C$18))</f>
        <v>16.340228542108253</v>
      </c>
      <c r="AF7" s="186">
        <f ca="1">IF(Auxiliares!$D19&lt;(Producción!AE10*$B46),Auxiliares!$D19,Producción!AE10*$B46)*Auxiliares!$J$15*Auxiliares!$J$16*IF('Datos Consumo '!$C$12="Si",'Datos Consumo '!$C23,IF('Datos Consumo '!$C$11="No",'Datos Consumo '!$C$14,'Datos Consumo '!$C$16*Auxiliares!$N$4+Auxiliares!$N$5*'Datos Consumo '!$C$18))</f>
        <v>16.340228542108253</v>
      </c>
      <c r="AG7" s="186">
        <f ca="1">IF(Auxiliares!$D19&lt;(Producción!AF10*$B46),Auxiliares!$D19,Producción!AF10*$B46)*Auxiliares!$J$15*Auxiliares!$J$16*IF('Datos Consumo '!$C$12="Si",'Datos Consumo '!$C23,IF('Datos Consumo '!$C$11="No",'Datos Consumo '!$C$14,'Datos Consumo '!$C$16*Auxiliares!$N$4+Auxiliares!$N$5*'Datos Consumo '!$C$18))</f>
        <v>16.340228542108253</v>
      </c>
      <c r="AH7" s="186">
        <f ca="1">IF(Auxiliares!$D19&lt;(Producción!AG10*$B46),Auxiliares!$D19,Producción!AG10*$B46)*Auxiliares!$J$15*Auxiliares!$J$16*IF('Datos Consumo '!$C$12="Si",'Datos Consumo '!$C23,IF('Datos Consumo '!$C$11="No",'Datos Consumo '!$C$14,'Datos Consumo '!$C$16*Auxiliares!$N$4+Auxiliares!$N$5*'Datos Consumo '!$C$18))</f>
        <v>16.340228542108253</v>
      </c>
    </row>
    <row r="8" spans="2:34">
      <c r="C8" s="12" t="s">
        <v>8</v>
      </c>
      <c r="D8" s="186">
        <f ca="1">IF(Auxiliares!$D20&lt;(Producción!C11*$B47),Auxiliares!$D20,Producción!C11*$B47)*Auxiliares!$J$15*Auxiliares!$J$16*IF('Datos Consumo '!$C$12="Si",'Datos Consumo '!$C24,IF('Datos Consumo '!$C$11="No",'Datos Consumo '!$C$14,'Datos Consumo '!$C$16*Auxiliares!$N$4+Auxiliares!$N$5*'Datos Consumo '!$C$18))</f>
        <v>16.680649970068842</v>
      </c>
      <c r="E8" s="186">
        <f ca="1">IF(Auxiliares!$D20&lt;(Producción!D11*$B47),Auxiliares!$D20,Producción!D11*$B47)*Auxiliares!$J$15*Auxiliares!$J$16*IF('Datos Consumo '!$C$12="Si",'Datos Consumo '!$C24,IF('Datos Consumo '!$C$11="No",'Datos Consumo '!$C$14,'Datos Consumo '!$C$16*Auxiliares!$N$4+Auxiliares!$N$5*'Datos Consumo '!$C$18))</f>
        <v>16.680649970068842</v>
      </c>
      <c r="F8" s="186">
        <f ca="1">IF(Auxiliares!$D20&lt;(Producción!E11*$B47),Auxiliares!$D20,Producción!E11*$B47)*Auxiliares!$J$15*Auxiliares!$J$16*IF('Datos Consumo '!$C$12="Si",'Datos Consumo '!$C24,IF('Datos Consumo '!$C$11="No",'Datos Consumo '!$C$14,'Datos Consumo '!$C$16*Auxiliares!$N$4+Auxiliares!$N$5*'Datos Consumo '!$C$18))</f>
        <v>16.680649970068842</v>
      </c>
      <c r="G8" s="186">
        <f ca="1">IF(Auxiliares!$D20&lt;(Producción!F11*$B47),Auxiliares!$D20,Producción!F11*$B47)*Auxiliares!$J$15*Auxiliares!$J$16*IF('Datos Consumo '!$C$12="Si",'Datos Consumo '!$C24,IF('Datos Consumo '!$C$11="No",'Datos Consumo '!$C$14,'Datos Consumo '!$C$16*Auxiliares!$N$4+Auxiliares!$N$5*'Datos Consumo '!$C$18))</f>
        <v>16.680649970068842</v>
      </c>
      <c r="H8" s="186">
        <f ca="1">IF(Auxiliares!$D20&lt;(Producción!G11*$B47),Auxiliares!$D20,Producción!G11*$B47)*Auxiliares!$J$15*Auxiliares!$J$16*IF('Datos Consumo '!$C$12="Si",'Datos Consumo '!$C24,IF('Datos Consumo '!$C$11="No",'Datos Consumo '!$C$14,'Datos Consumo '!$C$16*Auxiliares!$N$4+Auxiliares!$N$5*'Datos Consumo '!$C$18))</f>
        <v>16.680649970068842</v>
      </c>
      <c r="I8" s="186">
        <f ca="1">IF(Auxiliares!$D20&lt;(Producción!H11*$B47),Auxiliares!$D20,Producción!H11*$B47)*Auxiliares!$J$15*Auxiliares!$J$16*IF('Datos Consumo '!$C$12="Si",'Datos Consumo '!$C24,IF('Datos Consumo '!$C$11="No",'Datos Consumo '!$C$14,'Datos Consumo '!$C$16*Auxiliares!$N$4+Auxiliares!$N$5*'Datos Consumo '!$C$18))</f>
        <v>16.680649970068842</v>
      </c>
      <c r="J8" s="186">
        <f ca="1">IF(Auxiliares!$D20&lt;(Producción!I11*$B47),Auxiliares!$D20,Producción!I11*$B47)*Auxiliares!$J$15*Auxiliares!$J$16*IF('Datos Consumo '!$C$12="Si",'Datos Consumo '!$C24,IF('Datos Consumo '!$C$11="No",'Datos Consumo '!$C$14,'Datos Consumo '!$C$16*Auxiliares!$N$4+Auxiliares!$N$5*'Datos Consumo '!$C$18))</f>
        <v>16.680649970068842</v>
      </c>
      <c r="K8" s="186">
        <f ca="1">IF(Auxiliares!$D20&lt;(Producción!J11*$B47),Auxiliares!$D20,Producción!J11*$B47)*Auxiliares!$J$15*Auxiliares!$J$16*IF('Datos Consumo '!$C$12="Si",'Datos Consumo '!$C24,IF('Datos Consumo '!$C$11="No",'Datos Consumo '!$C$14,'Datos Consumo '!$C$16*Auxiliares!$N$4+Auxiliares!$N$5*'Datos Consumo '!$C$18))</f>
        <v>16.680649970068842</v>
      </c>
      <c r="L8" s="186">
        <f ca="1">IF(Auxiliares!$D20&lt;(Producción!K11*$B47),Auxiliares!$D20,Producción!K11*$B47)*Auxiliares!$J$15*Auxiliares!$J$16*IF('Datos Consumo '!$C$12="Si",'Datos Consumo '!$C24,IF('Datos Consumo '!$C$11="No",'Datos Consumo '!$C$14,'Datos Consumo '!$C$16*Auxiliares!$N$4+Auxiliares!$N$5*'Datos Consumo '!$C$18))</f>
        <v>16.680649970068842</v>
      </c>
      <c r="M8" s="186">
        <f ca="1">IF(Auxiliares!$D20&lt;(Producción!L11*$B47),Auxiliares!$D20,Producción!L11*$B47)*Auxiliares!$J$15*Auxiliares!$J$16*IF('Datos Consumo '!$C$12="Si",'Datos Consumo '!$C24,IF('Datos Consumo '!$C$11="No",'Datos Consumo '!$C$14,'Datos Consumo '!$C$16*Auxiliares!$N$4+Auxiliares!$N$5*'Datos Consumo '!$C$18))</f>
        <v>16.680649970068842</v>
      </c>
      <c r="N8" s="186">
        <f ca="1">IF(Auxiliares!$D20&lt;(Producción!M11*$B47),Auxiliares!$D20,Producción!M11*$B47)*Auxiliares!$J$15*Auxiliares!$J$16*IF('Datos Consumo '!$C$12="Si",'Datos Consumo '!$C24,IF('Datos Consumo '!$C$11="No",'Datos Consumo '!$C$14,'Datos Consumo '!$C$16*Auxiliares!$N$4+Auxiliares!$N$5*'Datos Consumo '!$C$18))</f>
        <v>16.680649970068842</v>
      </c>
      <c r="O8" s="186">
        <f ca="1">IF(Auxiliares!$D20&lt;(Producción!N11*$B47),Auxiliares!$D20,Producción!N11*$B47)*Auxiliares!$J$15*Auxiliares!$J$16*IF('Datos Consumo '!$C$12="Si",'Datos Consumo '!$C24,IF('Datos Consumo '!$C$11="No",'Datos Consumo '!$C$14,'Datos Consumo '!$C$16*Auxiliares!$N$4+Auxiliares!$N$5*'Datos Consumo '!$C$18))</f>
        <v>16.680649970068842</v>
      </c>
      <c r="P8" s="186">
        <f ca="1">IF(Auxiliares!$D20&lt;(Producción!O11*$B47),Auxiliares!$D20,Producción!O11*$B47)*Auxiliares!$J$15*Auxiliares!$J$16*IF('Datos Consumo '!$C$12="Si",'Datos Consumo '!$C24,IF('Datos Consumo '!$C$11="No",'Datos Consumo '!$C$14,'Datos Consumo '!$C$16*Auxiliares!$N$4+Auxiliares!$N$5*'Datos Consumo '!$C$18))</f>
        <v>16.680649970068842</v>
      </c>
      <c r="Q8" s="186">
        <f ca="1">IF(Auxiliares!$D20&lt;(Producción!P11*$B47),Auxiliares!$D20,Producción!P11*$B47)*Auxiliares!$J$15*Auxiliares!$J$16*IF('Datos Consumo '!$C$12="Si",'Datos Consumo '!$C24,IF('Datos Consumo '!$C$11="No",'Datos Consumo '!$C$14,'Datos Consumo '!$C$16*Auxiliares!$N$4+Auxiliares!$N$5*'Datos Consumo '!$C$18))</f>
        <v>16.680649970068842</v>
      </c>
      <c r="R8" s="186">
        <f ca="1">IF(Auxiliares!$D20&lt;(Producción!Q11*$B47),Auxiliares!$D20,Producción!Q11*$B47)*Auxiliares!$J$15*Auxiliares!$J$16*IF('Datos Consumo '!$C$12="Si",'Datos Consumo '!$C24,IF('Datos Consumo '!$C$11="No",'Datos Consumo '!$C$14,'Datos Consumo '!$C$16*Auxiliares!$N$4+Auxiliares!$N$5*'Datos Consumo '!$C$18))</f>
        <v>16.680649970068842</v>
      </c>
      <c r="S8" s="186">
        <f ca="1">IF(Auxiliares!$D20&lt;(Producción!R11*$B47),Auxiliares!$D20,Producción!R11*$B47)*Auxiliares!$J$15*Auxiliares!$J$16*IF('Datos Consumo '!$C$12="Si",'Datos Consumo '!$C24,IF('Datos Consumo '!$C$11="No",'Datos Consumo '!$C$14,'Datos Consumo '!$C$16*Auxiliares!$N$4+Auxiliares!$N$5*'Datos Consumo '!$C$18))</f>
        <v>16.680649970068842</v>
      </c>
      <c r="T8" s="186">
        <f ca="1">IF(Auxiliares!$D20&lt;(Producción!S11*$B47),Auxiliares!$D20,Producción!S11*$B47)*Auxiliares!$J$15*Auxiliares!$J$16*IF('Datos Consumo '!$C$12="Si",'Datos Consumo '!$C24,IF('Datos Consumo '!$C$11="No",'Datos Consumo '!$C$14,'Datos Consumo '!$C$16*Auxiliares!$N$4+Auxiliares!$N$5*'Datos Consumo '!$C$18))</f>
        <v>16.680649970068842</v>
      </c>
      <c r="U8" s="186">
        <f ca="1">IF(Auxiliares!$D20&lt;(Producción!T11*$B47),Auxiliares!$D20,Producción!T11*$B47)*Auxiliares!$J$15*Auxiliares!$J$16*IF('Datos Consumo '!$C$12="Si",'Datos Consumo '!$C24,IF('Datos Consumo '!$C$11="No",'Datos Consumo '!$C$14,'Datos Consumo '!$C$16*Auxiliares!$N$4+Auxiliares!$N$5*'Datos Consumo '!$C$18))</f>
        <v>16.680649970068842</v>
      </c>
      <c r="V8" s="186">
        <f ca="1">IF(Auxiliares!$D20&lt;(Producción!U11*$B47),Auxiliares!$D20,Producción!U11*$B47)*Auxiliares!$J$15*Auxiliares!$J$16*IF('Datos Consumo '!$C$12="Si",'Datos Consumo '!$C24,IF('Datos Consumo '!$C$11="No",'Datos Consumo '!$C$14,'Datos Consumo '!$C$16*Auxiliares!$N$4+Auxiliares!$N$5*'Datos Consumo '!$C$18))</f>
        <v>16.680649970068842</v>
      </c>
      <c r="W8" s="186">
        <f ca="1">IF(Auxiliares!$D20&lt;(Producción!V11*$B47),Auxiliares!$D20,Producción!V11*$B47)*Auxiliares!$J$15*Auxiliares!$J$16*IF('Datos Consumo '!$C$12="Si",'Datos Consumo '!$C24,IF('Datos Consumo '!$C$11="No",'Datos Consumo '!$C$14,'Datos Consumo '!$C$16*Auxiliares!$N$4+Auxiliares!$N$5*'Datos Consumo '!$C$18))</f>
        <v>16.680649970068842</v>
      </c>
      <c r="X8" s="186">
        <f ca="1">IF(Auxiliares!$D20&lt;(Producción!W11*$B47),Auxiliares!$D20,Producción!W11*$B47)*Auxiliares!$J$15*Auxiliares!$J$16*IF('Datos Consumo '!$C$12="Si",'Datos Consumo '!$C24,IF('Datos Consumo '!$C$11="No",'Datos Consumo '!$C$14,'Datos Consumo '!$C$16*Auxiliares!$N$4+Auxiliares!$N$5*'Datos Consumo '!$C$18))</f>
        <v>16.680649970068842</v>
      </c>
      <c r="Y8" s="186">
        <f ca="1">IF(Auxiliares!$D20&lt;(Producción!X11*$B47),Auxiliares!$D20,Producción!X11*$B47)*Auxiliares!$J$15*Auxiliares!$J$16*IF('Datos Consumo '!$C$12="Si",'Datos Consumo '!$C24,IF('Datos Consumo '!$C$11="No",'Datos Consumo '!$C$14,'Datos Consumo '!$C$16*Auxiliares!$N$4+Auxiliares!$N$5*'Datos Consumo '!$C$18))</f>
        <v>16.680649970068842</v>
      </c>
      <c r="Z8" s="186">
        <f ca="1">IF(Auxiliares!$D20&lt;(Producción!Y11*$B47),Auxiliares!$D20,Producción!Y11*$B47)*Auxiliares!$J$15*Auxiliares!$J$16*IF('Datos Consumo '!$C$12="Si",'Datos Consumo '!$C24,IF('Datos Consumo '!$C$11="No",'Datos Consumo '!$C$14,'Datos Consumo '!$C$16*Auxiliares!$N$4+Auxiliares!$N$5*'Datos Consumo '!$C$18))</f>
        <v>16.680649970068842</v>
      </c>
      <c r="AA8" s="186">
        <f ca="1">IF(Auxiliares!$D20&lt;(Producción!Z11*$B47),Auxiliares!$D20,Producción!Z11*$B47)*Auxiliares!$J$15*Auxiliares!$J$16*IF('Datos Consumo '!$C$12="Si",'Datos Consumo '!$C24,IF('Datos Consumo '!$C$11="No",'Datos Consumo '!$C$14,'Datos Consumo '!$C$16*Auxiliares!$N$4+Auxiliares!$N$5*'Datos Consumo '!$C$18))</f>
        <v>16.680649970068842</v>
      </c>
      <c r="AB8" s="186">
        <f ca="1">IF(Auxiliares!$D20&lt;(Producción!AA11*$B47),Auxiliares!$D20,Producción!AA11*$B47)*Auxiliares!$J$15*Auxiliares!$J$16*IF('Datos Consumo '!$C$12="Si",'Datos Consumo '!$C24,IF('Datos Consumo '!$C$11="No",'Datos Consumo '!$C$14,'Datos Consumo '!$C$16*Auxiliares!$N$4+Auxiliares!$N$5*'Datos Consumo '!$C$18))</f>
        <v>16.680649970068842</v>
      </c>
      <c r="AC8" s="186">
        <f ca="1">IF(Auxiliares!$D20&lt;(Producción!AB11*$B47),Auxiliares!$D20,Producción!AB11*$B47)*Auxiliares!$J$15*Auxiliares!$J$16*IF('Datos Consumo '!$C$12="Si",'Datos Consumo '!$C24,IF('Datos Consumo '!$C$11="No",'Datos Consumo '!$C$14,'Datos Consumo '!$C$16*Auxiliares!$N$4+Auxiliares!$N$5*'Datos Consumo '!$C$18))</f>
        <v>16.680649970068842</v>
      </c>
      <c r="AD8" s="186">
        <f ca="1">IF(Auxiliares!$D20&lt;(Producción!AC11*$B47),Auxiliares!$D20,Producción!AC11*$B47)*Auxiliares!$J$15*Auxiliares!$J$16*IF('Datos Consumo '!$C$12="Si",'Datos Consumo '!$C24,IF('Datos Consumo '!$C$11="No",'Datos Consumo '!$C$14,'Datos Consumo '!$C$16*Auxiliares!$N$4+Auxiliares!$N$5*'Datos Consumo '!$C$18))</f>
        <v>16.680649970068842</v>
      </c>
      <c r="AE8" s="186">
        <f ca="1">IF(Auxiliares!$D20&lt;(Producción!AD11*$B47),Auxiliares!$D20,Producción!AD11*$B47)*Auxiliares!$J$15*Auxiliares!$J$16*IF('Datos Consumo '!$C$12="Si",'Datos Consumo '!$C24,IF('Datos Consumo '!$C$11="No",'Datos Consumo '!$C$14,'Datos Consumo '!$C$16*Auxiliares!$N$4+Auxiliares!$N$5*'Datos Consumo '!$C$18))</f>
        <v>16.680649970068842</v>
      </c>
      <c r="AF8" s="186">
        <f ca="1">IF(Auxiliares!$D20&lt;(Producción!AE11*$B47),Auxiliares!$D20,Producción!AE11*$B47)*Auxiliares!$J$15*Auxiliares!$J$16*IF('Datos Consumo '!$C$12="Si",'Datos Consumo '!$C24,IF('Datos Consumo '!$C$11="No",'Datos Consumo '!$C$14,'Datos Consumo '!$C$16*Auxiliares!$N$4+Auxiliares!$N$5*'Datos Consumo '!$C$18))</f>
        <v>16.680649970068842</v>
      </c>
      <c r="AG8" s="186">
        <f ca="1">IF(Auxiliares!$D20&lt;(Producción!AF11*$B47),Auxiliares!$D20,Producción!AF11*$B47)*Auxiliares!$J$15*Auxiliares!$J$16*IF('Datos Consumo '!$C$12="Si",'Datos Consumo '!$C24,IF('Datos Consumo '!$C$11="No",'Datos Consumo '!$C$14,'Datos Consumo '!$C$16*Auxiliares!$N$4+Auxiliares!$N$5*'Datos Consumo '!$C$18))</f>
        <v>16.680649970068842</v>
      </c>
      <c r="AH8" s="186">
        <f ca="1">IF(Auxiliares!$D20&lt;(Producción!AG11*$B47),Auxiliares!$D20,Producción!AG11*$B47)*Auxiliares!$J$15*Auxiliares!$J$16*IF('Datos Consumo '!$C$12="Si",'Datos Consumo '!$C24,IF('Datos Consumo '!$C$11="No",'Datos Consumo '!$C$14,'Datos Consumo '!$C$16*Auxiliares!$N$4+Auxiliares!$N$5*'Datos Consumo '!$C$18))</f>
        <v>16.680649970068842</v>
      </c>
    </row>
    <row r="9" spans="2:34">
      <c r="C9" s="12" t="s">
        <v>9</v>
      </c>
      <c r="D9" s="186">
        <f ca="1">IF(Auxiliares!$D21&lt;(Producción!C12*$B48),Auxiliares!$D21,Producción!C12*$B48)*Auxiliares!$J$15*Auxiliares!$J$16*IF('Datos Consumo '!$C$12="Si",'Datos Consumo '!$C25,IF('Datos Consumo '!$C$11="No",'Datos Consumo '!$C$14,'Datos Consumo '!$C$16*Auxiliares!$N$4+Auxiliares!$N$5*'Datos Consumo '!$C$18))</f>
        <v>17.021071398029434</v>
      </c>
      <c r="E9" s="186">
        <f ca="1">IF(Auxiliares!$D21&lt;(Producción!D12*$B48),Auxiliares!$D21,Producción!D12*$B48)*Auxiliares!$J$15*Auxiliares!$J$16*IF('Datos Consumo '!$C$12="Si",'Datos Consumo '!$C25,IF('Datos Consumo '!$C$11="No",'Datos Consumo '!$C$14,'Datos Consumo '!$C$16*Auxiliares!$N$4+Auxiliares!$N$5*'Datos Consumo '!$C$18))</f>
        <v>17.021071398029434</v>
      </c>
      <c r="F9" s="186">
        <f ca="1">IF(Auxiliares!$D21&lt;(Producción!E12*$B48),Auxiliares!$D21,Producción!E12*$B48)*Auxiliares!$J$15*Auxiliares!$J$16*IF('Datos Consumo '!$C$12="Si",'Datos Consumo '!$C25,IF('Datos Consumo '!$C$11="No",'Datos Consumo '!$C$14,'Datos Consumo '!$C$16*Auxiliares!$N$4+Auxiliares!$N$5*'Datos Consumo '!$C$18))</f>
        <v>17.021071398029434</v>
      </c>
      <c r="G9" s="186">
        <f ca="1">IF(Auxiliares!$D21&lt;(Producción!F12*$B48),Auxiliares!$D21,Producción!F12*$B48)*Auxiliares!$J$15*Auxiliares!$J$16*IF('Datos Consumo '!$C$12="Si",'Datos Consumo '!$C25,IF('Datos Consumo '!$C$11="No",'Datos Consumo '!$C$14,'Datos Consumo '!$C$16*Auxiliares!$N$4+Auxiliares!$N$5*'Datos Consumo '!$C$18))</f>
        <v>17.021071398029434</v>
      </c>
      <c r="H9" s="186">
        <f ca="1">IF(Auxiliares!$D21&lt;(Producción!G12*$B48),Auxiliares!$D21,Producción!G12*$B48)*Auxiliares!$J$15*Auxiliares!$J$16*IF('Datos Consumo '!$C$12="Si",'Datos Consumo '!$C25,IF('Datos Consumo '!$C$11="No",'Datos Consumo '!$C$14,'Datos Consumo '!$C$16*Auxiliares!$N$4+Auxiliares!$N$5*'Datos Consumo '!$C$18))</f>
        <v>17.021071398029434</v>
      </c>
      <c r="I9" s="186">
        <f ca="1">IF(Auxiliares!$D21&lt;(Producción!H12*$B48),Auxiliares!$D21,Producción!H12*$B48)*Auxiliares!$J$15*Auxiliares!$J$16*IF('Datos Consumo '!$C$12="Si",'Datos Consumo '!$C25,IF('Datos Consumo '!$C$11="No",'Datos Consumo '!$C$14,'Datos Consumo '!$C$16*Auxiliares!$N$4+Auxiliares!$N$5*'Datos Consumo '!$C$18))</f>
        <v>17.021071398029434</v>
      </c>
      <c r="J9" s="186">
        <f ca="1">IF(Auxiliares!$D21&lt;(Producción!I12*$B48),Auxiliares!$D21,Producción!I12*$B48)*Auxiliares!$J$15*Auxiliares!$J$16*IF('Datos Consumo '!$C$12="Si",'Datos Consumo '!$C25,IF('Datos Consumo '!$C$11="No",'Datos Consumo '!$C$14,'Datos Consumo '!$C$16*Auxiliares!$N$4+Auxiliares!$N$5*'Datos Consumo '!$C$18))</f>
        <v>17.021071398029434</v>
      </c>
      <c r="K9" s="186">
        <f ca="1">IF(Auxiliares!$D21&lt;(Producción!J12*$B48),Auxiliares!$D21,Producción!J12*$B48)*Auxiliares!$J$15*Auxiliares!$J$16*IF('Datos Consumo '!$C$12="Si",'Datos Consumo '!$C25,IF('Datos Consumo '!$C$11="No",'Datos Consumo '!$C$14,'Datos Consumo '!$C$16*Auxiliares!$N$4+Auxiliares!$N$5*'Datos Consumo '!$C$18))</f>
        <v>17.021071398029434</v>
      </c>
      <c r="L9" s="186">
        <f ca="1">IF(Auxiliares!$D21&lt;(Producción!K12*$B48),Auxiliares!$D21,Producción!K12*$B48)*Auxiliares!$J$15*Auxiliares!$J$16*IF('Datos Consumo '!$C$12="Si",'Datos Consumo '!$C25,IF('Datos Consumo '!$C$11="No",'Datos Consumo '!$C$14,'Datos Consumo '!$C$16*Auxiliares!$N$4+Auxiliares!$N$5*'Datos Consumo '!$C$18))</f>
        <v>17.021071398029434</v>
      </c>
      <c r="M9" s="186">
        <f ca="1">IF(Auxiliares!$D21&lt;(Producción!L12*$B48),Auxiliares!$D21,Producción!L12*$B48)*Auxiliares!$J$15*Auxiliares!$J$16*IF('Datos Consumo '!$C$12="Si",'Datos Consumo '!$C25,IF('Datos Consumo '!$C$11="No",'Datos Consumo '!$C$14,'Datos Consumo '!$C$16*Auxiliares!$N$4+Auxiliares!$N$5*'Datos Consumo '!$C$18))</f>
        <v>17.021071398029434</v>
      </c>
      <c r="N9" s="186">
        <f ca="1">IF(Auxiliares!$D21&lt;(Producción!M12*$B48),Auxiliares!$D21,Producción!M12*$B48)*Auxiliares!$J$15*Auxiliares!$J$16*IF('Datos Consumo '!$C$12="Si",'Datos Consumo '!$C25,IF('Datos Consumo '!$C$11="No",'Datos Consumo '!$C$14,'Datos Consumo '!$C$16*Auxiliares!$N$4+Auxiliares!$N$5*'Datos Consumo '!$C$18))</f>
        <v>17.021071398029434</v>
      </c>
      <c r="O9" s="186">
        <f ca="1">IF(Auxiliares!$D21&lt;(Producción!N12*$B48),Auxiliares!$D21,Producción!N12*$B48)*Auxiliares!$J$15*Auxiliares!$J$16*IF('Datos Consumo '!$C$12="Si",'Datos Consumo '!$C25,IF('Datos Consumo '!$C$11="No",'Datos Consumo '!$C$14,'Datos Consumo '!$C$16*Auxiliares!$N$4+Auxiliares!$N$5*'Datos Consumo '!$C$18))</f>
        <v>17.021071398029434</v>
      </c>
      <c r="P9" s="186">
        <f ca="1">IF(Auxiliares!$D21&lt;(Producción!O12*$B48),Auxiliares!$D21,Producción!O12*$B48)*Auxiliares!$J$15*Auxiliares!$J$16*IF('Datos Consumo '!$C$12="Si",'Datos Consumo '!$C25,IF('Datos Consumo '!$C$11="No",'Datos Consumo '!$C$14,'Datos Consumo '!$C$16*Auxiliares!$N$4+Auxiliares!$N$5*'Datos Consumo '!$C$18))</f>
        <v>17.021071398029434</v>
      </c>
      <c r="Q9" s="186">
        <f ca="1">IF(Auxiliares!$D21&lt;(Producción!P12*$B48),Auxiliares!$D21,Producción!P12*$B48)*Auxiliares!$J$15*Auxiliares!$J$16*IF('Datos Consumo '!$C$12="Si",'Datos Consumo '!$C25,IF('Datos Consumo '!$C$11="No",'Datos Consumo '!$C$14,'Datos Consumo '!$C$16*Auxiliares!$N$4+Auxiliares!$N$5*'Datos Consumo '!$C$18))</f>
        <v>17.021071398029434</v>
      </c>
      <c r="R9" s="186">
        <f ca="1">IF(Auxiliares!$D21&lt;(Producción!Q12*$B48),Auxiliares!$D21,Producción!Q12*$B48)*Auxiliares!$J$15*Auxiliares!$J$16*IF('Datos Consumo '!$C$12="Si",'Datos Consumo '!$C25,IF('Datos Consumo '!$C$11="No",'Datos Consumo '!$C$14,'Datos Consumo '!$C$16*Auxiliares!$N$4+Auxiliares!$N$5*'Datos Consumo '!$C$18))</f>
        <v>17.021071398029434</v>
      </c>
      <c r="S9" s="186">
        <f ca="1">IF(Auxiliares!$D21&lt;(Producción!R12*$B48),Auxiliares!$D21,Producción!R12*$B48)*Auxiliares!$J$15*Auxiliares!$J$16*IF('Datos Consumo '!$C$12="Si",'Datos Consumo '!$C25,IF('Datos Consumo '!$C$11="No",'Datos Consumo '!$C$14,'Datos Consumo '!$C$16*Auxiliares!$N$4+Auxiliares!$N$5*'Datos Consumo '!$C$18))</f>
        <v>17.021071398029434</v>
      </c>
      <c r="T9" s="186">
        <f ca="1">IF(Auxiliares!$D21&lt;(Producción!S12*$B48),Auxiliares!$D21,Producción!S12*$B48)*Auxiliares!$J$15*Auxiliares!$J$16*IF('Datos Consumo '!$C$12="Si",'Datos Consumo '!$C25,IF('Datos Consumo '!$C$11="No",'Datos Consumo '!$C$14,'Datos Consumo '!$C$16*Auxiliares!$N$4+Auxiliares!$N$5*'Datos Consumo '!$C$18))</f>
        <v>17.021071398029434</v>
      </c>
      <c r="U9" s="186">
        <f ca="1">IF(Auxiliares!$D21&lt;(Producción!T12*$B48),Auxiliares!$D21,Producción!T12*$B48)*Auxiliares!$J$15*Auxiliares!$J$16*IF('Datos Consumo '!$C$12="Si",'Datos Consumo '!$C25,IF('Datos Consumo '!$C$11="No",'Datos Consumo '!$C$14,'Datos Consumo '!$C$16*Auxiliares!$N$4+Auxiliares!$N$5*'Datos Consumo '!$C$18))</f>
        <v>17.021071398029434</v>
      </c>
      <c r="V9" s="186">
        <f ca="1">IF(Auxiliares!$D21&lt;(Producción!U12*$B48),Auxiliares!$D21,Producción!U12*$B48)*Auxiliares!$J$15*Auxiliares!$J$16*IF('Datos Consumo '!$C$12="Si",'Datos Consumo '!$C25,IF('Datos Consumo '!$C$11="No",'Datos Consumo '!$C$14,'Datos Consumo '!$C$16*Auxiliares!$N$4+Auxiliares!$N$5*'Datos Consumo '!$C$18))</f>
        <v>17.021071398029434</v>
      </c>
      <c r="W9" s="186">
        <f ca="1">IF(Auxiliares!$D21&lt;(Producción!V12*$B48),Auxiliares!$D21,Producción!V12*$B48)*Auxiliares!$J$15*Auxiliares!$J$16*IF('Datos Consumo '!$C$12="Si",'Datos Consumo '!$C25,IF('Datos Consumo '!$C$11="No",'Datos Consumo '!$C$14,'Datos Consumo '!$C$16*Auxiliares!$N$4+Auxiliares!$N$5*'Datos Consumo '!$C$18))</f>
        <v>17.021071398029434</v>
      </c>
      <c r="X9" s="186">
        <f ca="1">IF(Auxiliares!$D21&lt;(Producción!W12*$B48),Auxiliares!$D21,Producción!W12*$B48)*Auxiliares!$J$15*Auxiliares!$J$16*IF('Datos Consumo '!$C$12="Si",'Datos Consumo '!$C25,IF('Datos Consumo '!$C$11="No",'Datos Consumo '!$C$14,'Datos Consumo '!$C$16*Auxiliares!$N$4+Auxiliares!$N$5*'Datos Consumo '!$C$18))</f>
        <v>17.021071398029434</v>
      </c>
      <c r="Y9" s="186">
        <f ca="1">IF(Auxiliares!$D21&lt;(Producción!X12*$B48),Auxiliares!$D21,Producción!X12*$B48)*Auxiliares!$J$15*Auxiliares!$J$16*IF('Datos Consumo '!$C$12="Si",'Datos Consumo '!$C25,IF('Datos Consumo '!$C$11="No",'Datos Consumo '!$C$14,'Datos Consumo '!$C$16*Auxiliares!$N$4+Auxiliares!$N$5*'Datos Consumo '!$C$18))</f>
        <v>17.021071398029434</v>
      </c>
      <c r="Z9" s="186">
        <f ca="1">IF(Auxiliares!$D21&lt;(Producción!Y12*$B48),Auxiliares!$D21,Producción!Y12*$B48)*Auxiliares!$J$15*Auxiliares!$J$16*IF('Datos Consumo '!$C$12="Si",'Datos Consumo '!$C25,IF('Datos Consumo '!$C$11="No",'Datos Consumo '!$C$14,'Datos Consumo '!$C$16*Auxiliares!$N$4+Auxiliares!$N$5*'Datos Consumo '!$C$18))</f>
        <v>17.021071398029434</v>
      </c>
      <c r="AA9" s="186">
        <f ca="1">IF(Auxiliares!$D21&lt;(Producción!Z12*$B48),Auxiliares!$D21,Producción!Z12*$B48)*Auxiliares!$J$15*Auxiliares!$J$16*IF('Datos Consumo '!$C$12="Si",'Datos Consumo '!$C25,IF('Datos Consumo '!$C$11="No",'Datos Consumo '!$C$14,'Datos Consumo '!$C$16*Auxiliares!$N$4+Auxiliares!$N$5*'Datos Consumo '!$C$18))</f>
        <v>17.021071398029434</v>
      </c>
      <c r="AB9" s="186">
        <f ca="1">IF(Auxiliares!$D21&lt;(Producción!AA12*$B48),Auxiliares!$D21,Producción!AA12*$B48)*Auxiliares!$J$15*Auxiliares!$J$16*IF('Datos Consumo '!$C$12="Si",'Datos Consumo '!$C25,IF('Datos Consumo '!$C$11="No",'Datos Consumo '!$C$14,'Datos Consumo '!$C$16*Auxiliares!$N$4+Auxiliares!$N$5*'Datos Consumo '!$C$18))</f>
        <v>17.021071398029434</v>
      </c>
      <c r="AC9" s="186">
        <f ca="1">IF(Auxiliares!$D21&lt;(Producción!AB12*$B48),Auxiliares!$D21,Producción!AB12*$B48)*Auxiliares!$J$15*Auxiliares!$J$16*IF('Datos Consumo '!$C$12="Si",'Datos Consumo '!$C25,IF('Datos Consumo '!$C$11="No",'Datos Consumo '!$C$14,'Datos Consumo '!$C$16*Auxiliares!$N$4+Auxiliares!$N$5*'Datos Consumo '!$C$18))</f>
        <v>17.021071398029434</v>
      </c>
      <c r="AD9" s="186">
        <f ca="1">IF(Auxiliares!$D21&lt;(Producción!AC12*$B48),Auxiliares!$D21,Producción!AC12*$B48)*Auxiliares!$J$15*Auxiliares!$J$16*IF('Datos Consumo '!$C$12="Si",'Datos Consumo '!$C25,IF('Datos Consumo '!$C$11="No",'Datos Consumo '!$C$14,'Datos Consumo '!$C$16*Auxiliares!$N$4+Auxiliares!$N$5*'Datos Consumo '!$C$18))</f>
        <v>17.021071398029434</v>
      </c>
      <c r="AE9" s="186">
        <f ca="1">IF(Auxiliares!$D21&lt;(Producción!AD12*$B48),Auxiliares!$D21,Producción!AD12*$B48)*Auxiliares!$J$15*Auxiliares!$J$16*IF('Datos Consumo '!$C$12="Si",'Datos Consumo '!$C25,IF('Datos Consumo '!$C$11="No",'Datos Consumo '!$C$14,'Datos Consumo '!$C$16*Auxiliares!$N$4+Auxiliares!$N$5*'Datos Consumo '!$C$18))</f>
        <v>17.021071398029434</v>
      </c>
      <c r="AF9" s="186">
        <f ca="1">IF(Auxiliares!$D21&lt;(Producción!AE12*$B48),Auxiliares!$D21,Producción!AE12*$B48)*Auxiliares!$J$15*Auxiliares!$J$16*IF('Datos Consumo '!$C$12="Si",'Datos Consumo '!$C25,IF('Datos Consumo '!$C$11="No",'Datos Consumo '!$C$14,'Datos Consumo '!$C$16*Auxiliares!$N$4+Auxiliares!$N$5*'Datos Consumo '!$C$18))</f>
        <v>17.021071398029434</v>
      </c>
      <c r="AG9" s="186">
        <f ca="1">IF(Auxiliares!$D21&lt;(Producción!AF12*$B48),Auxiliares!$D21,Producción!AF12*$B48)*Auxiliares!$J$15*Auxiliares!$J$16*IF('Datos Consumo '!$C$12="Si",'Datos Consumo '!$C25,IF('Datos Consumo '!$C$11="No",'Datos Consumo '!$C$14,'Datos Consumo '!$C$16*Auxiliares!$N$4+Auxiliares!$N$5*'Datos Consumo '!$C$18))</f>
        <v>17.021071398029434</v>
      </c>
      <c r="AH9" s="186">
        <f ca="1">IF(Auxiliares!$D21&lt;(Producción!AG12*$B48),Auxiliares!$D21,Producción!AG12*$B48)*Auxiliares!$J$15*Auxiliares!$J$16*IF('Datos Consumo '!$C$12="Si",'Datos Consumo '!$C25,IF('Datos Consumo '!$C$11="No",'Datos Consumo '!$C$14,'Datos Consumo '!$C$16*Auxiliares!$N$4+Auxiliares!$N$5*'Datos Consumo '!$C$18))</f>
        <v>17.021071398029434</v>
      </c>
    </row>
    <row r="10" spans="2:34">
      <c r="C10" s="12" t="s">
        <v>10</v>
      </c>
      <c r="D10" s="186">
        <f ca="1">IF(Auxiliares!$D22&lt;(Producción!C13*$B49),Auxiliares!$D22,Producción!C13*$B49)*Auxiliares!$J$15*Auxiliares!$J$16*IF('Datos Consumo '!$C$12="Si",'Datos Consumo '!$C26,IF('Datos Consumo '!$C$11="No",'Datos Consumo '!$C$14,'Datos Consumo '!$C$16*Auxiliares!$N$4+Auxiliares!$N$5*'Datos Consumo '!$C$18))</f>
        <v>21.1061285335565</v>
      </c>
      <c r="E10" s="186">
        <f ca="1">IF(Auxiliares!$D22&lt;(Producción!D13*$B49),Auxiliares!$D22,Producción!D13*$B49)*Auxiliares!$J$15*Auxiliares!$J$16*IF('Datos Consumo '!$C$12="Si",'Datos Consumo '!$C26,IF('Datos Consumo '!$C$11="No",'Datos Consumo '!$C$14,'Datos Consumo '!$C$16*Auxiliares!$N$4+Auxiliares!$N$5*'Datos Consumo '!$C$18))</f>
        <v>21.1061285335565</v>
      </c>
      <c r="F10" s="186">
        <f ca="1">IF(Auxiliares!$D22&lt;(Producción!E13*$B49),Auxiliares!$D22,Producción!E13*$B49)*Auxiliares!$J$15*Auxiliares!$J$16*IF('Datos Consumo '!$C$12="Si",'Datos Consumo '!$C26,IF('Datos Consumo '!$C$11="No",'Datos Consumo '!$C$14,'Datos Consumo '!$C$16*Auxiliares!$N$4+Auxiliares!$N$5*'Datos Consumo '!$C$18))</f>
        <v>21.1061285335565</v>
      </c>
      <c r="G10" s="186">
        <f ca="1">IF(Auxiliares!$D22&lt;(Producción!F13*$B49),Auxiliares!$D22,Producción!F13*$B49)*Auxiliares!$J$15*Auxiliares!$J$16*IF('Datos Consumo '!$C$12="Si",'Datos Consumo '!$C26,IF('Datos Consumo '!$C$11="No",'Datos Consumo '!$C$14,'Datos Consumo '!$C$16*Auxiliares!$N$4+Auxiliares!$N$5*'Datos Consumo '!$C$18))</f>
        <v>21.1061285335565</v>
      </c>
      <c r="H10" s="186">
        <f ca="1">IF(Auxiliares!$D22&lt;(Producción!G13*$B49),Auxiliares!$D22,Producción!G13*$B49)*Auxiliares!$J$15*Auxiliares!$J$16*IF('Datos Consumo '!$C$12="Si",'Datos Consumo '!$C26,IF('Datos Consumo '!$C$11="No",'Datos Consumo '!$C$14,'Datos Consumo '!$C$16*Auxiliares!$N$4+Auxiliares!$N$5*'Datos Consumo '!$C$18))</f>
        <v>21.1061285335565</v>
      </c>
      <c r="I10" s="186">
        <f ca="1">IF(Auxiliares!$D22&lt;(Producción!H13*$B49),Auxiliares!$D22,Producción!H13*$B49)*Auxiliares!$J$15*Auxiliares!$J$16*IF('Datos Consumo '!$C$12="Si",'Datos Consumo '!$C26,IF('Datos Consumo '!$C$11="No",'Datos Consumo '!$C$14,'Datos Consumo '!$C$16*Auxiliares!$N$4+Auxiliares!$N$5*'Datos Consumo '!$C$18))</f>
        <v>21.1061285335565</v>
      </c>
      <c r="J10" s="186">
        <f ca="1">IF(Auxiliares!$D22&lt;(Producción!I13*$B49),Auxiliares!$D22,Producción!I13*$B49)*Auxiliares!$J$15*Auxiliares!$J$16*IF('Datos Consumo '!$C$12="Si",'Datos Consumo '!$C26,IF('Datos Consumo '!$C$11="No",'Datos Consumo '!$C$14,'Datos Consumo '!$C$16*Auxiliares!$N$4+Auxiliares!$N$5*'Datos Consumo '!$C$18))</f>
        <v>21.1061285335565</v>
      </c>
      <c r="K10" s="186">
        <f ca="1">IF(Auxiliares!$D22&lt;(Producción!J13*$B49),Auxiliares!$D22,Producción!J13*$B49)*Auxiliares!$J$15*Auxiliares!$J$16*IF('Datos Consumo '!$C$12="Si",'Datos Consumo '!$C26,IF('Datos Consumo '!$C$11="No",'Datos Consumo '!$C$14,'Datos Consumo '!$C$16*Auxiliares!$N$4+Auxiliares!$N$5*'Datos Consumo '!$C$18))</f>
        <v>21.1061285335565</v>
      </c>
      <c r="L10" s="186">
        <f ca="1">IF(Auxiliares!$D22&lt;(Producción!K13*$B49),Auxiliares!$D22,Producción!K13*$B49)*Auxiliares!$J$15*Auxiliares!$J$16*IF('Datos Consumo '!$C$12="Si",'Datos Consumo '!$C26,IF('Datos Consumo '!$C$11="No",'Datos Consumo '!$C$14,'Datos Consumo '!$C$16*Auxiliares!$N$4+Auxiliares!$N$5*'Datos Consumo '!$C$18))</f>
        <v>21.1061285335565</v>
      </c>
      <c r="M10" s="186">
        <f ca="1">IF(Auxiliares!$D22&lt;(Producción!L13*$B49),Auxiliares!$D22,Producción!L13*$B49)*Auxiliares!$J$15*Auxiliares!$J$16*IF('Datos Consumo '!$C$12="Si",'Datos Consumo '!$C26,IF('Datos Consumo '!$C$11="No",'Datos Consumo '!$C$14,'Datos Consumo '!$C$16*Auxiliares!$N$4+Auxiliares!$N$5*'Datos Consumo '!$C$18))</f>
        <v>21.1061285335565</v>
      </c>
      <c r="N10" s="186">
        <f ca="1">IF(Auxiliares!$D22&lt;(Producción!M13*$B49),Auxiliares!$D22,Producción!M13*$B49)*Auxiliares!$J$15*Auxiliares!$J$16*IF('Datos Consumo '!$C$12="Si",'Datos Consumo '!$C26,IF('Datos Consumo '!$C$11="No",'Datos Consumo '!$C$14,'Datos Consumo '!$C$16*Auxiliares!$N$4+Auxiliares!$N$5*'Datos Consumo '!$C$18))</f>
        <v>21.1061285335565</v>
      </c>
      <c r="O10" s="186">
        <f ca="1">IF(Auxiliares!$D22&lt;(Producción!N13*$B49),Auxiliares!$D22,Producción!N13*$B49)*Auxiliares!$J$15*Auxiliares!$J$16*IF('Datos Consumo '!$C$12="Si",'Datos Consumo '!$C26,IF('Datos Consumo '!$C$11="No",'Datos Consumo '!$C$14,'Datos Consumo '!$C$16*Auxiliares!$N$4+Auxiliares!$N$5*'Datos Consumo '!$C$18))</f>
        <v>21.1061285335565</v>
      </c>
      <c r="P10" s="186">
        <f ca="1">IF(Auxiliares!$D22&lt;(Producción!O13*$B49),Auxiliares!$D22,Producción!O13*$B49)*Auxiliares!$J$15*Auxiliares!$J$16*IF('Datos Consumo '!$C$12="Si",'Datos Consumo '!$C26,IF('Datos Consumo '!$C$11="No",'Datos Consumo '!$C$14,'Datos Consumo '!$C$16*Auxiliares!$N$4+Auxiliares!$N$5*'Datos Consumo '!$C$18))</f>
        <v>21.1061285335565</v>
      </c>
      <c r="Q10" s="186">
        <f ca="1">IF(Auxiliares!$D22&lt;(Producción!P13*$B49),Auxiliares!$D22,Producción!P13*$B49)*Auxiliares!$J$15*Auxiliares!$J$16*IF('Datos Consumo '!$C$12="Si",'Datos Consumo '!$C26,IF('Datos Consumo '!$C$11="No",'Datos Consumo '!$C$14,'Datos Consumo '!$C$16*Auxiliares!$N$4+Auxiliares!$N$5*'Datos Consumo '!$C$18))</f>
        <v>21.1061285335565</v>
      </c>
      <c r="R10" s="186">
        <f ca="1">IF(Auxiliares!$D22&lt;(Producción!Q13*$B49),Auxiliares!$D22,Producción!Q13*$B49)*Auxiliares!$J$15*Auxiliares!$J$16*IF('Datos Consumo '!$C$12="Si",'Datos Consumo '!$C26,IF('Datos Consumo '!$C$11="No",'Datos Consumo '!$C$14,'Datos Consumo '!$C$16*Auxiliares!$N$4+Auxiliares!$N$5*'Datos Consumo '!$C$18))</f>
        <v>21.1061285335565</v>
      </c>
      <c r="S10" s="186">
        <f ca="1">IF(Auxiliares!$D22&lt;(Producción!R13*$B49),Auxiliares!$D22,Producción!R13*$B49)*Auxiliares!$J$15*Auxiliares!$J$16*IF('Datos Consumo '!$C$12="Si",'Datos Consumo '!$C26,IF('Datos Consumo '!$C$11="No",'Datos Consumo '!$C$14,'Datos Consumo '!$C$16*Auxiliares!$N$4+Auxiliares!$N$5*'Datos Consumo '!$C$18))</f>
        <v>21.1061285335565</v>
      </c>
      <c r="T10" s="186">
        <f ca="1">IF(Auxiliares!$D22&lt;(Producción!S13*$B49),Auxiliares!$D22,Producción!S13*$B49)*Auxiliares!$J$15*Auxiliares!$J$16*IF('Datos Consumo '!$C$12="Si",'Datos Consumo '!$C26,IF('Datos Consumo '!$C$11="No",'Datos Consumo '!$C$14,'Datos Consumo '!$C$16*Auxiliares!$N$4+Auxiliares!$N$5*'Datos Consumo '!$C$18))</f>
        <v>21.1061285335565</v>
      </c>
      <c r="U10" s="186">
        <f ca="1">IF(Auxiliares!$D22&lt;(Producción!T13*$B49),Auxiliares!$D22,Producción!T13*$B49)*Auxiliares!$J$15*Auxiliares!$J$16*IF('Datos Consumo '!$C$12="Si",'Datos Consumo '!$C26,IF('Datos Consumo '!$C$11="No",'Datos Consumo '!$C$14,'Datos Consumo '!$C$16*Auxiliares!$N$4+Auxiliares!$N$5*'Datos Consumo '!$C$18))</f>
        <v>21.1061285335565</v>
      </c>
      <c r="V10" s="186">
        <f ca="1">IF(Auxiliares!$D22&lt;(Producción!U13*$B49),Auxiliares!$D22,Producción!U13*$B49)*Auxiliares!$J$15*Auxiliares!$J$16*IF('Datos Consumo '!$C$12="Si",'Datos Consumo '!$C26,IF('Datos Consumo '!$C$11="No",'Datos Consumo '!$C$14,'Datos Consumo '!$C$16*Auxiliares!$N$4+Auxiliares!$N$5*'Datos Consumo '!$C$18))</f>
        <v>21.1061285335565</v>
      </c>
      <c r="W10" s="186">
        <f ca="1">IF(Auxiliares!$D22&lt;(Producción!V13*$B49),Auxiliares!$D22,Producción!V13*$B49)*Auxiliares!$J$15*Auxiliares!$J$16*IF('Datos Consumo '!$C$12="Si",'Datos Consumo '!$C26,IF('Datos Consumo '!$C$11="No",'Datos Consumo '!$C$14,'Datos Consumo '!$C$16*Auxiliares!$N$4+Auxiliares!$N$5*'Datos Consumo '!$C$18))</f>
        <v>21.1061285335565</v>
      </c>
      <c r="X10" s="186">
        <f ca="1">IF(Auxiliares!$D22&lt;(Producción!W13*$B49),Auxiliares!$D22,Producción!W13*$B49)*Auxiliares!$J$15*Auxiliares!$J$16*IF('Datos Consumo '!$C$12="Si",'Datos Consumo '!$C26,IF('Datos Consumo '!$C$11="No",'Datos Consumo '!$C$14,'Datos Consumo '!$C$16*Auxiliares!$N$4+Auxiliares!$N$5*'Datos Consumo '!$C$18))</f>
        <v>21.1061285335565</v>
      </c>
      <c r="Y10" s="186">
        <f ca="1">IF(Auxiliares!$D22&lt;(Producción!X13*$B49),Auxiliares!$D22,Producción!X13*$B49)*Auxiliares!$J$15*Auxiliares!$J$16*IF('Datos Consumo '!$C$12="Si",'Datos Consumo '!$C26,IF('Datos Consumo '!$C$11="No",'Datos Consumo '!$C$14,'Datos Consumo '!$C$16*Auxiliares!$N$4+Auxiliares!$N$5*'Datos Consumo '!$C$18))</f>
        <v>21.1061285335565</v>
      </c>
      <c r="Z10" s="186">
        <f ca="1">IF(Auxiliares!$D22&lt;(Producción!Y13*$B49),Auxiliares!$D22,Producción!Y13*$B49)*Auxiliares!$J$15*Auxiliares!$J$16*IF('Datos Consumo '!$C$12="Si",'Datos Consumo '!$C26,IF('Datos Consumo '!$C$11="No",'Datos Consumo '!$C$14,'Datos Consumo '!$C$16*Auxiliares!$N$4+Auxiliares!$N$5*'Datos Consumo '!$C$18))</f>
        <v>21.1061285335565</v>
      </c>
      <c r="AA10" s="186">
        <f ca="1">IF(Auxiliares!$D22&lt;(Producción!Z13*$B49),Auxiliares!$D22,Producción!Z13*$B49)*Auxiliares!$J$15*Auxiliares!$J$16*IF('Datos Consumo '!$C$12="Si",'Datos Consumo '!$C26,IF('Datos Consumo '!$C$11="No",'Datos Consumo '!$C$14,'Datos Consumo '!$C$16*Auxiliares!$N$4+Auxiliares!$N$5*'Datos Consumo '!$C$18))</f>
        <v>21.1061285335565</v>
      </c>
      <c r="AB10" s="186">
        <f ca="1">IF(Auxiliares!$D22&lt;(Producción!AA13*$B49),Auxiliares!$D22,Producción!AA13*$B49)*Auxiliares!$J$15*Auxiliares!$J$16*IF('Datos Consumo '!$C$12="Si",'Datos Consumo '!$C26,IF('Datos Consumo '!$C$11="No",'Datos Consumo '!$C$14,'Datos Consumo '!$C$16*Auxiliares!$N$4+Auxiliares!$N$5*'Datos Consumo '!$C$18))</f>
        <v>21.1061285335565</v>
      </c>
      <c r="AC10" s="186">
        <f ca="1">IF(Auxiliares!$D22&lt;(Producción!AB13*$B49),Auxiliares!$D22,Producción!AB13*$B49)*Auxiliares!$J$15*Auxiliares!$J$16*IF('Datos Consumo '!$C$12="Si",'Datos Consumo '!$C26,IF('Datos Consumo '!$C$11="No",'Datos Consumo '!$C$14,'Datos Consumo '!$C$16*Auxiliares!$N$4+Auxiliares!$N$5*'Datos Consumo '!$C$18))</f>
        <v>21.1061285335565</v>
      </c>
      <c r="AD10" s="186">
        <f ca="1">IF(Auxiliares!$D22&lt;(Producción!AC13*$B49),Auxiliares!$D22,Producción!AC13*$B49)*Auxiliares!$J$15*Auxiliares!$J$16*IF('Datos Consumo '!$C$12="Si",'Datos Consumo '!$C26,IF('Datos Consumo '!$C$11="No",'Datos Consumo '!$C$14,'Datos Consumo '!$C$16*Auxiliares!$N$4+Auxiliares!$N$5*'Datos Consumo '!$C$18))</f>
        <v>21.1061285335565</v>
      </c>
      <c r="AE10" s="186">
        <f ca="1">IF(Auxiliares!$D22&lt;(Producción!AD13*$B49),Auxiliares!$D22,Producción!AD13*$B49)*Auxiliares!$J$15*Auxiliares!$J$16*IF('Datos Consumo '!$C$12="Si",'Datos Consumo '!$C26,IF('Datos Consumo '!$C$11="No",'Datos Consumo '!$C$14,'Datos Consumo '!$C$16*Auxiliares!$N$4+Auxiliares!$N$5*'Datos Consumo '!$C$18))</f>
        <v>21.1061285335565</v>
      </c>
      <c r="AF10" s="186">
        <f ca="1">IF(Auxiliares!$D22&lt;(Producción!AE13*$B49),Auxiliares!$D22,Producción!AE13*$B49)*Auxiliares!$J$15*Auxiliares!$J$16*IF('Datos Consumo '!$C$12="Si",'Datos Consumo '!$C26,IF('Datos Consumo '!$C$11="No",'Datos Consumo '!$C$14,'Datos Consumo '!$C$16*Auxiliares!$N$4+Auxiliares!$N$5*'Datos Consumo '!$C$18))</f>
        <v>21.1061285335565</v>
      </c>
      <c r="AG10" s="186">
        <f ca="1">IF(Auxiliares!$D22&lt;(Producción!AF13*$B49),Auxiliares!$D22,Producción!AF13*$B49)*Auxiliares!$J$15*Auxiliares!$J$16*IF('Datos Consumo '!$C$12="Si",'Datos Consumo '!$C26,IF('Datos Consumo '!$C$11="No",'Datos Consumo '!$C$14,'Datos Consumo '!$C$16*Auxiliares!$N$4+Auxiliares!$N$5*'Datos Consumo '!$C$18))</f>
        <v>21.1061285335565</v>
      </c>
      <c r="AH10" s="186">
        <f ca="1">IF(Auxiliares!$D22&lt;(Producción!AG13*$B49),Auxiliares!$D22,Producción!AG13*$B49)*Auxiliares!$J$15*Auxiliares!$J$16*IF('Datos Consumo '!$C$12="Si",'Datos Consumo '!$C26,IF('Datos Consumo '!$C$11="No",'Datos Consumo '!$C$14,'Datos Consumo '!$C$16*Auxiliares!$N$4+Auxiliares!$N$5*'Datos Consumo '!$C$18))</f>
        <v>21.1061285335565</v>
      </c>
    </row>
    <row r="11" spans="2:34">
      <c r="C11" s="12" t="s">
        <v>11</v>
      </c>
      <c r="D11" s="186">
        <f ca="1">IF(Auxiliares!$D23&lt;(Producción!C14*$B50),Auxiliares!$D23,Producción!C14*$B50)*Auxiliares!$J$15*Auxiliares!$J$16*IF('Datos Consumo '!$C$12="Si",'Datos Consumo '!$C27,IF('Datos Consumo '!$C$11="No",'Datos Consumo '!$C$14,'Datos Consumo '!$C$16*Auxiliares!$N$4+Auxiliares!$N$5*'Datos Consumo '!$C$18))</f>
        <v>18.042335681911201</v>
      </c>
      <c r="E11" s="186">
        <f ca="1">IF(Auxiliares!$D23&lt;(Producción!D14*$B50),Auxiliares!$D23,Producción!D14*$B50)*Auxiliares!$J$15*Auxiliares!$J$16*IF('Datos Consumo '!$C$12="Si",'Datos Consumo '!$C27,IF('Datos Consumo '!$C$11="No",'Datos Consumo '!$C$14,'Datos Consumo '!$C$16*Auxiliares!$N$4+Auxiliares!$N$5*'Datos Consumo '!$C$18))</f>
        <v>18.042335681911201</v>
      </c>
      <c r="F11" s="186">
        <f ca="1">IF(Auxiliares!$D23&lt;(Producción!E14*$B50),Auxiliares!$D23,Producción!E14*$B50)*Auxiliares!$J$15*Auxiliares!$J$16*IF('Datos Consumo '!$C$12="Si",'Datos Consumo '!$C27,IF('Datos Consumo '!$C$11="No",'Datos Consumo '!$C$14,'Datos Consumo '!$C$16*Auxiliares!$N$4+Auxiliares!$N$5*'Datos Consumo '!$C$18))</f>
        <v>18.042335681911201</v>
      </c>
      <c r="G11" s="186">
        <f ca="1">IF(Auxiliares!$D23&lt;(Producción!F14*$B50),Auxiliares!$D23,Producción!F14*$B50)*Auxiliares!$J$15*Auxiliares!$J$16*IF('Datos Consumo '!$C$12="Si",'Datos Consumo '!$C27,IF('Datos Consumo '!$C$11="No",'Datos Consumo '!$C$14,'Datos Consumo '!$C$16*Auxiliares!$N$4+Auxiliares!$N$5*'Datos Consumo '!$C$18))</f>
        <v>18.042335681911201</v>
      </c>
      <c r="H11" s="186">
        <f ca="1">IF(Auxiliares!$D23&lt;(Producción!G14*$B50),Auxiliares!$D23,Producción!G14*$B50)*Auxiliares!$J$15*Auxiliares!$J$16*IF('Datos Consumo '!$C$12="Si",'Datos Consumo '!$C27,IF('Datos Consumo '!$C$11="No",'Datos Consumo '!$C$14,'Datos Consumo '!$C$16*Auxiliares!$N$4+Auxiliares!$N$5*'Datos Consumo '!$C$18))</f>
        <v>18.042335681911201</v>
      </c>
      <c r="I11" s="186">
        <f ca="1">IF(Auxiliares!$D23&lt;(Producción!H14*$B50),Auxiliares!$D23,Producción!H14*$B50)*Auxiliares!$J$15*Auxiliares!$J$16*IF('Datos Consumo '!$C$12="Si",'Datos Consumo '!$C27,IF('Datos Consumo '!$C$11="No",'Datos Consumo '!$C$14,'Datos Consumo '!$C$16*Auxiliares!$N$4+Auxiliares!$N$5*'Datos Consumo '!$C$18))</f>
        <v>18.042335681911201</v>
      </c>
      <c r="J11" s="186">
        <f ca="1">IF(Auxiliares!$D23&lt;(Producción!I14*$B50),Auxiliares!$D23,Producción!I14*$B50)*Auxiliares!$J$15*Auxiliares!$J$16*IF('Datos Consumo '!$C$12="Si",'Datos Consumo '!$C27,IF('Datos Consumo '!$C$11="No",'Datos Consumo '!$C$14,'Datos Consumo '!$C$16*Auxiliares!$N$4+Auxiliares!$N$5*'Datos Consumo '!$C$18))</f>
        <v>18.042335681911201</v>
      </c>
      <c r="K11" s="186">
        <f ca="1">IF(Auxiliares!$D23&lt;(Producción!J14*$B50),Auxiliares!$D23,Producción!J14*$B50)*Auxiliares!$J$15*Auxiliares!$J$16*IF('Datos Consumo '!$C$12="Si",'Datos Consumo '!$C27,IF('Datos Consumo '!$C$11="No",'Datos Consumo '!$C$14,'Datos Consumo '!$C$16*Auxiliares!$N$4+Auxiliares!$N$5*'Datos Consumo '!$C$18))</f>
        <v>18.042335681911201</v>
      </c>
      <c r="L11" s="186">
        <f ca="1">IF(Auxiliares!$D23&lt;(Producción!K14*$B50),Auxiliares!$D23,Producción!K14*$B50)*Auxiliares!$J$15*Auxiliares!$J$16*IF('Datos Consumo '!$C$12="Si",'Datos Consumo '!$C27,IF('Datos Consumo '!$C$11="No",'Datos Consumo '!$C$14,'Datos Consumo '!$C$16*Auxiliares!$N$4+Auxiliares!$N$5*'Datos Consumo '!$C$18))</f>
        <v>18.042335681911201</v>
      </c>
      <c r="M11" s="186">
        <f ca="1">IF(Auxiliares!$D23&lt;(Producción!L14*$B50),Auxiliares!$D23,Producción!L14*$B50)*Auxiliares!$J$15*Auxiliares!$J$16*IF('Datos Consumo '!$C$12="Si",'Datos Consumo '!$C27,IF('Datos Consumo '!$C$11="No",'Datos Consumo '!$C$14,'Datos Consumo '!$C$16*Auxiliares!$N$4+Auxiliares!$N$5*'Datos Consumo '!$C$18))</f>
        <v>18.042335681911201</v>
      </c>
      <c r="N11" s="186">
        <f ca="1">IF(Auxiliares!$D23&lt;(Producción!M14*$B50),Auxiliares!$D23,Producción!M14*$B50)*Auxiliares!$J$15*Auxiliares!$J$16*IF('Datos Consumo '!$C$12="Si",'Datos Consumo '!$C27,IF('Datos Consumo '!$C$11="No",'Datos Consumo '!$C$14,'Datos Consumo '!$C$16*Auxiliares!$N$4+Auxiliares!$N$5*'Datos Consumo '!$C$18))</f>
        <v>18.042335681911201</v>
      </c>
      <c r="O11" s="186">
        <f ca="1">IF(Auxiliares!$D23&lt;(Producción!N14*$B50),Auxiliares!$D23,Producción!N14*$B50)*Auxiliares!$J$15*Auxiliares!$J$16*IF('Datos Consumo '!$C$12="Si",'Datos Consumo '!$C27,IF('Datos Consumo '!$C$11="No",'Datos Consumo '!$C$14,'Datos Consumo '!$C$16*Auxiliares!$N$4+Auxiliares!$N$5*'Datos Consumo '!$C$18))</f>
        <v>18.042335681911201</v>
      </c>
      <c r="P11" s="186">
        <f ca="1">IF(Auxiliares!$D23&lt;(Producción!O14*$B50),Auxiliares!$D23,Producción!O14*$B50)*Auxiliares!$J$15*Auxiliares!$J$16*IF('Datos Consumo '!$C$12="Si",'Datos Consumo '!$C27,IF('Datos Consumo '!$C$11="No",'Datos Consumo '!$C$14,'Datos Consumo '!$C$16*Auxiliares!$N$4+Auxiliares!$N$5*'Datos Consumo '!$C$18))</f>
        <v>18.042335681911201</v>
      </c>
      <c r="Q11" s="186">
        <f ca="1">IF(Auxiliares!$D23&lt;(Producción!P14*$B50),Auxiliares!$D23,Producción!P14*$B50)*Auxiliares!$J$15*Auxiliares!$J$16*IF('Datos Consumo '!$C$12="Si",'Datos Consumo '!$C27,IF('Datos Consumo '!$C$11="No",'Datos Consumo '!$C$14,'Datos Consumo '!$C$16*Auxiliares!$N$4+Auxiliares!$N$5*'Datos Consumo '!$C$18))</f>
        <v>18.042335681911201</v>
      </c>
      <c r="R11" s="186">
        <f ca="1">IF(Auxiliares!$D23&lt;(Producción!Q14*$B50),Auxiliares!$D23,Producción!Q14*$B50)*Auxiliares!$J$15*Auxiliares!$J$16*IF('Datos Consumo '!$C$12="Si",'Datos Consumo '!$C27,IF('Datos Consumo '!$C$11="No",'Datos Consumo '!$C$14,'Datos Consumo '!$C$16*Auxiliares!$N$4+Auxiliares!$N$5*'Datos Consumo '!$C$18))</f>
        <v>18.042335681911201</v>
      </c>
      <c r="S11" s="186">
        <f ca="1">IF(Auxiliares!$D23&lt;(Producción!R14*$B50),Auxiliares!$D23,Producción!R14*$B50)*Auxiliares!$J$15*Auxiliares!$J$16*IF('Datos Consumo '!$C$12="Si",'Datos Consumo '!$C27,IF('Datos Consumo '!$C$11="No",'Datos Consumo '!$C$14,'Datos Consumo '!$C$16*Auxiliares!$N$4+Auxiliares!$N$5*'Datos Consumo '!$C$18))</f>
        <v>18.042335681911201</v>
      </c>
      <c r="T11" s="186">
        <f ca="1">IF(Auxiliares!$D23&lt;(Producción!S14*$B50),Auxiliares!$D23,Producción!S14*$B50)*Auxiliares!$J$15*Auxiliares!$J$16*IF('Datos Consumo '!$C$12="Si",'Datos Consumo '!$C27,IF('Datos Consumo '!$C$11="No",'Datos Consumo '!$C$14,'Datos Consumo '!$C$16*Auxiliares!$N$4+Auxiliares!$N$5*'Datos Consumo '!$C$18))</f>
        <v>18.042335681911201</v>
      </c>
      <c r="U11" s="186">
        <f ca="1">IF(Auxiliares!$D23&lt;(Producción!T14*$B50),Auxiliares!$D23,Producción!T14*$B50)*Auxiliares!$J$15*Auxiliares!$J$16*IF('Datos Consumo '!$C$12="Si",'Datos Consumo '!$C27,IF('Datos Consumo '!$C$11="No",'Datos Consumo '!$C$14,'Datos Consumo '!$C$16*Auxiliares!$N$4+Auxiliares!$N$5*'Datos Consumo '!$C$18))</f>
        <v>18.042335681911201</v>
      </c>
      <c r="V11" s="186">
        <f ca="1">IF(Auxiliares!$D23&lt;(Producción!U14*$B50),Auxiliares!$D23,Producción!U14*$B50)*Auxiliares!$J$15*Auxiliares!$J$16*IF('Datos Consumo '!$C$12="Si",'Datos Consumo '!$C27,IF('Datos Consumo '!$C$11="No",'Datos Consumo '!$C$14,'Datos Consumo '!$C$16*Auxiliares!$N$4+Auxiliares!$N$5*'Datos Consumo '!$C$18))</f>
        <v>18.042335681911201</v>
      </c>
      <c r="W11" s="186">
        <f ca="1">IF(Auxiliares!$D23&lt;(Producción!V14*$B50),Auxiliares!$D23,Producción!V14*$B50)*Auxiliares!$J$15*Auxiliares!$J$16*IF('Datos Consumo '!$C$12="Si",'Datos Consumo '!$C27,IF('Datos Consumo '!$C$11="No",'Datos Consumo '!$C$14,'Datos Consumo '!$C$16*Auxiliares!$N$4+Auxiliares!$N$5*'Datos Consumo '!$C$18))</f>
        <v>18.042335681911201</v>
      </c>
      <c r="X11" s="186">
        <f ca="1">IF(Auxiliares!$D23&lt;(Producción!W14*$B50),Auxiliares!$D23,Producción!W14*$B50)*Auxiliares!$J$15*Auxiliares!$J$16*IF('Datos Consumo '!$C$12="Si",'Datos Consumo '!$C27,IF('Datos Consumo '!$C$11="No",'Datos Consumo '!$C$14,'Datos Consumo '!$C$16*Auxiliares!$N$4+Auxiliares!$N$5*'Datos Consumo '!$C$18))</f>
        <v>18.042335681911201</v>
      </c>
      <c r="Y11" s="186">
        <f ca="1">IF(Auxiliares!$D23&lt;(Producción!X14*$B50),Auxiliares!$D23,Producción!X14*$B50)*Auxiliares!$J$15*Auxiliares!$J$16*IF('Datos Consumo '!$C$12="Si",'Datos Consumo '!$C27,IF('Datos Consumo '!$C$11="No",'Datos Consumo '!$C$14,'Datos Consumo '!$C$16*Auxiliares!$N$4+Auxiliares!$N$5*'Datos Consumo '!$C$18))</f>
        <v>18.042335681911201</v>
      </c>
      <c r="Z11" s="186">
        <f ca="1">IF(Auxiliares!$D23&lt;(Producción!Y14*$B50),Auxiliares!$D23,Producción!Y14*$B50)*Auxiliares!$J$15*Auxiliares!$J$16*IF('Datos Consumo '!$C$12="Si",'Datos Consumo '!$C27,IF('Datos Consumo '!$C$11="No",'Datos Consumo '!$C$14,'Datos Consumo '!$C$16*Auxiliares!$N$4+Auxiliares!$N$5*'Datos Consumo '!$C$18))</f>
        <v>18.042335681911201</v>
      </c>
      <c r="AA11" s="186">
        <f ca="1">IF(Auxiliares!$D23&lt;(Producción!Z14*$B50),Auxiliares!$D23,Producción!Z14*$B50)*Auxiliares!$J$15*Auxiliares!$J$16*IF('Datos Consumo '!$C$12="Si",'Datos Consumo '!$C27,IF('Datos Consumo '!$C$11="No",'Datos Consumo '!$C$14,'Datos Consumo '!$C$16*Auxiliares!$N$4+Auxiliares!$N$5*'Datos Consumo '!$C$18))</f>
        <v>18.042335681911201</v>
      </c>
      <c r="AB11" s="186">
        <f ca="1">IF(Auxiliares!$D23&lt;(Producción!AA14*$B50),Auxiliares!$D23,Producción!AA14*$B50)*Auxiliares!$J$15*Auxiliares!$J$16*IF('Datos Consumo '!$C$12="Si",'Datos Consumo '!$C27,IF('Datos Consumo '!$C$11="No",'Datos Consumo '!$C$14,'Datos Consumo '!$C$16*Auxiliares!$N$4+Auxiliares!$N$5*'Datos Consumo '!$C$18))</f>
        <v>18.042335681911201</v>
      </c>
      <c r="AC11" s="186">
        <f ca="1">IF(Auxiliares!$D23&lt;(Producción!AB14*$B50),Auxiliares!$D23,Producción!AB14*$B50)*Auxiliares!$J$15*Auxiliares!$J$16*IF('Datos Consumo '!$C$12="Si",'Datos Consumo '!$C27,IF('Datos Consumo '!$C$11="No",'Datos Consumo '!$C$14,'Datos Consumo '!$C$16*Auxiliares!$N$4+Auxiliares!$N$5*'Datos Consumo '!$C$18))</f>
        <v>18.042335681911201</v>
      </c>
      <c r="AD11" s="186">
        <f ca="1">IF(Auxiliares!$D23&lt;(Producción!AC14*$B50),Auxiliares!$D23,Producción!AC14*$B50)*Auxiliares!$J$15*Auxiliares!$J$16*IF('Datos Consumo '!$C$12="Si",'Datos Consumo '!$C27,IF('Datos Consumo '!$C$11="No",'Datos Consumo '!$C$14,'Datos Consumo '!$C$16*Auxiliares!$N$4+Auxiliares!$N$5*'Datos Consumo '!$C$18))</f>
        <v>18.042335681911201</v>
      </c>
      <c r="AE11" s="186">
        <f ca="1">IF(Auxiliares!$D23&lt;(Producción!AD14*$B50),Auxiliares!$D23,Producción!AD14*$B50)*Auxiliares!$J$15*Auxiliares!$J$16*IF('Datos Consumo '!$C$12="Si",'Datos Consumo '!$C27,IF('Datos Consumo '!$C$11="No",'Datos Consumo '!$C$14,'Datos Consumo '!$C$16*Auxiliares!$N$4+Auxiliares!$N$5*'Datos Consumo '!$C$18))</f>
        <v>18.042335681911201</v>
      </c>
      <c r="AF11" s="186">
        <f ca="1">IF(Auxiliares!$D23&lt;(Producción!AE14*$B50),Auxiliares!$D23,Producción!AE14*$B50)*Auxiliares!$J$15*Auxiliares!$J$16*IF('Datos Consumo '!$C$12="Si",'Datos Consumo '!$C27,IF('Datos Consumo '!$C$11="No",'Datos Consumo '!$C$14,'Datos Consumo '!$C$16*Auxiliares!$N$4+Auxiliares!$N$5*'Datos Consumo '!$C$18))</f>
        <v>18.042335681911201</v>
      </c>
      <c r="AG11" s="186">
        <f ca="1">IF(Auxiliares!$D23&lt;(Producción!AF14*$B50),Auxiliares!$D23,Producción!AF14*$B50)*Auxiliares!$J$15*Auxiliares!$J$16*IF('Datos Consumo '!$C$12="Si",'Datos Consumo '!$C27,IF('Datos Consumo '!$C$11="No",'Datos Consumo '!$C$14,'Datos Consumo '!$C$16*Auxiliares!$N$4+Auxiliares!$N$5*'Datos Consumo '!$C$18))</f>
        <v>18.042335681911201</v>
      </c>
      <c r="AH11" s="186">
        <f ca="1">IF(Auxiliares!$D23&lt;(Producción!AG14*$B50),Auxiliares!$D23,Producción!AG14*$B50)*Auxiliares!$J$15*Auxiliares!$J$16*IF('Datos Consumo '!$C$12="Si",'Datos Consumo '!$C27,IF('Datos Consumo '!$C$11="No",'Datos Consumo '!$C$14,'Datos Consumo '!$C$16*Auxiliares!$N$4+Auxiliares!$N$5*'Datos Consumo '!$C$18))</f>
        <v>18.042335681911201</v>
      </c>
    </row>
    <row r="12" spans="2:34">
      <c r="C12" s="12" t="s">
        <v>12</v>
      </c>
      <c r="D12" s="186">
        <f ca="1">IF(Auxiliares!$D24&lt;(Producción!C15*$B51),Auxiliares!$D24,Producción!C15*$B51)*Auxiliares!$J$15*Auxiliares!$J$16*IF('Datos Consumo '!$C$12="Si",'Datos Consumo '!$C28,IF('Datos Consumo '!$C$11="No",'Datos Consumo '!$C$14,'Datos Consumo '!$C$16*Auxiliares!$N$4+Auxiliares!$N$5*'Datos Consumo '!$C$18))</f>
        <v>17.021071398029434</v>
      </c>
      <c r="E12" s="186">
        <f ca="1">IF(Auxiliares!$D24&lt;(Producción!D15*$B51),Auxiliares!$D24,Producción!D15*$B51)*Auxiliares!$J$15*Auxiliares!$J$16*IF('Datos Consumo '!$C$12="Si",'Datos Consumo '!$C28,IF('Datos Consumo '!$C$11="No",'Datos Consumo '!$C$14,'Datos Consumo '!$C$16*Auxiliares!$N$4+Auxiliares!$N$5*'Datos Consumo '!$C$18))</f>
        <v>17.021071398029434</v>
      </c>
      <c r="F12" s="186">
        <f ca="1">IF(Auxiliares!$D24&lt;(Producción!E15*$B51),Auxiliares!$D24,Producción!E15*$B51)*Auxiliares!$J$15*Auxiliares!$J$16*IF('Datos Consumo '!$C$12="Si",'Datos Consumo '!$C28,IF('Datos Consumo '!$C$11="No",'Datos Consumo '!$C$14,'Datos Consumo '!$C$16*Auxiliares!$N$4+Auxiliares!$N$5*'Datos Consumo '!$C$18))</f>
        <v>17.021071398029434</v>
      </c>
      <c r="G12" s="186">
        <f ca="1">IF(Auxiliares!$D24&lt;(Producción!F15*$B51),Auxiliares!$D24,Producción!F15*$B51)*Auxiliares!$J$15*Auxiliares!$J$16*IF('Datos Consumo '!$C$12="Si",'Datos Consumo '!$C28,IF('Datos Consumo '!$C$11="No",'Datos Consumo '!$C$14,'Datos Consumo '!$C$16*Auxiliares!$N$4+Auxiliares!$N$5*'Datos Consumo '!$C$18))</f>
        <v>17.021071398029434</v>
      </c>
      <c r="H12" s="186">
        <f ca="1">IF(Auxiliares!$D24&lt;(Producción!G15*$B51),Auxiliares!$D24,Producción!G15*$B51)*Auxiliares!$J$15*Auxiliares!$J$16*IF('Datos Consumo '!$C$12="Si",'Datos Consumo '!$C28,IF('Datos Consumo '!$C$11="No",'Datos Consumo '!$C$14,'Datos Consumo '!$C$16*Auxiliares!$N$4+Auxiliares!$N$5*'Datos Consumo '!$C$18))</f>
        <v>17.021071398029434</v>
      </c>
      <c r="I12" s="186">
        <f ca="1">IF(Auxiliares!$D24&lt;(Producción!H15*$B51),Auxiliares!$D24,Producción!H15*$B51)*Auxiliares!$J$15*Auxiliares!$J$16*IF('Datos Consumo '!$C$12="Si",'Datos Consumo '!$C28,IF('Datos Consumo '!$C$11="No",'Datos Consumo '!$C$14,'Datos Consumo '!$C$16*Auxiliares!$N$4+Auxiliares!$N$5*'Datos Consumo '!$C$18))</f>
        <v>17.021071398029434</v>
      </c>
      <c r="J12" s="186">
        <f ca="1">IF(Auxiliares!$D24&lt;(Producción!I15*$B51),Auxiliares!$D24,Producción!I15*$B51)*Auxiliares!$J$15*Auxiliares!$J$16*IF('Datos Consumo '!$C$12="Si",'Datos Consumo '!$C28,IF('Datos Consumo '!$C$11="No",'Datos Consumo '!$C$14,'Datos Consumo '!$C$16*Auxiliares!$N$4+Auxiliares!$N$5*'Datos Consumo '!$C$18))</f>
        <v>17.021071398029434</v>
      </c>
      <c r="K12" s="186">
        <f ca="1">IF(Auxiliares!$D24&lt;(Producción!J15*$B51),Auxiliares!$D24,Producción!J15*$B51)*Auxiliares!$J$15*Auxiliares!$J$16*IF('Datos Consumo '!$C$12="Si",'Datos Consumo '!$C28,IF('Datos Consumo '!$C$11="No",'Datos Consumo '!$C$14,'Datos Consumo '!$C$16*Auxiliares!$N$4+Auxiliares!$N$5*'Datos Consumo '!$C$18))</f>
        <v>17.021071398029434</v>
      </c>
      <c r="L12" s="186">
        <f ca="1">IF(Auxiliares!$D24&lt;(Producción!K15*$B51),Auxiliares!$D24,Producción!K15*$B51)*Auxiliares!$J$15*Auxiliares!$J$16*IF('Datos Consumo '!$C$12="Si",'Datos Consumo '!$C28,IF('Datos Consumo '!$C$11="No",'Datos Consumo '!$C$14,'Datos Consumo '!$C$16*Auxiliares!$N$4+Auxiliares!$N$5*'Datos Consumo '!$C$18))</f>
        <v>17.021071398029434</v>
      </c>
      <c r="M12" s="186">
        <f ca="1">IF(Auxiliares!$D24&lt;(Producción!L15*$B51),Auxiliares!$D24,Producción!L15*$B51)*Auxiliares!$J$15*Auxiliares!$J$16*IF('Datos Consumo '!$C$12="Si",'Datos Consumo '!$C28,IF('Datos Consumo '!$C$11="No",'Datos Consumo '!$C$14,'Datos Consumo '!$C$16*Auxiliares!$N$4+Auxiliares!$N$5*'Datos Consumo '!$C$18))</f>
        <v>17.021071398029434</v>
      </c>
      <c r="N12" s="186">
        <f ca="1">IF(Auxiliares!$D24&lt;(Producción!M15*$B51),Auxiliares!$D24,Producción!M15*$B51)*Auxiliares!$J$15*Auxiliares!$J$16*IF('Datos Consumo '!$C$12="Si",'Datos Consumo '!$C28,IF('Datos Consumo '!$C$11="No",'Datos Consumo '!$C$14,'Datos Consumo '!$C$16*Auxiliares!$N$4+Auxiliares!$N$5*'Datos Consumo '!$C$18))</f>
        <v>17.021071398029434</v>
      </c>
      <c r="O12" s="186">
        <f ca="1">IF(Auxiliares!$D24&lt;(Producción!N15*$B51),Auxiliares!$D24,Producción!N15*$B51)*Auxiliares!$J$15*Auxiliares!$J$16*IF('Datos Consumo '!$C$12="Si",'Datos Consumo '!$C28,IF('Datos Consumo '!$C$11="No",'Datos Consumo '!$C$14,'Datos Consumo '!$C$16*Auxiliares!$N$4+Auxiliares!$N$5*'Datos Consumo '!$C$18))</f>
        <v>17.021071398029434</v>
      </c>
      <c r="P12" s="186">
        <f ca="1">IF(Auxiliares!$D24&lt;(Producción!O15*$B51),Auxiliares!$D24,Producción!O15*$B51)*Auxiliares!$J$15*Auxiliares!$J$16*IF('Datos Consumo '!$C$12="Si",'Datos Consumo '!$C28,IF('Datos Consumo '!$C$11="No",'Datos Consumo '!$C$14,'Datos Consumo '!$C$16*Auxiliares!$N$4+Auxiliares!$N$5*'Datos Consumo '!$C$18))</f>
        <v>17.021071398029434</v>
      </c>
      <c r="Q12" s="186">
        <f ca="1">IF(Auxiliares!$D24&lt;(Producción!P15*$B51),Auxiliares!$D24,Producción!P15*$B51)*Auxiliares!$J$15*Auxiliares!$J$16*IF('Datos Consumo '!$C$12="Si",'Datos Consumo '!$C28,IF('Datos Consumo '!$C$11="No",'Datos Consumo '!$C$14,'Datos Consumo '!$C$16*Auxiliares!$N$4+Auxiliares!$N$5*'Datos Consumo '!$C$18))</f>
        <v>17.021071398029434</v>
      </c>
      <c r="R12" s="186">
        <f ca="1">IF(Auxiliares!$D24&lt;(Producción!Q15*$B51),Auxiliares!$D24,Producción!Q15*$B51)*Auxiliares!$J$15*Auxiliares!$J$16*IF('Datos Consumo '!$C$12="Si",'Datos Consumo '!$C28,IF('Datos Consumo '!$C$11="No",'Datos Consumo '!$C$14,'Datos Consumo '!$C$16*Auxiliares!$N$4+Auxiliares!$N$5*'Datos Consumo '!$C$18))</f>
        <v>17.021071398029434</v>
      </c>
      <c r="S12" s="186">
        <f ca="1">IF(Auxiliares!$D24&lt;(Producción!R15*$B51),Auxiliares!$D24,Producción!R15*$B51)*Auxiliares!$J$15*Auxiliares!$J$16*IF('Datos Consumo '!$C$12="Si",'Datos Consumo '!$C28,IF('Datos Consumo '!$C$11="No",'Datos Consumo '!$C$14,'Datos Consumo '!$C$16*Auxiliares!$N$4+Auxiliares!$N$5*'Datos Consumo '!$C$18))</f>
        <v>17.021071398029434</v>
      </c>
      <c r="T12" s="186">
        <f ca="1">IF(Auxiliares!$D24&lt;(Producción!S15*$B51),Auxiliares!$D24,Producción!S15*$B51)*Auxiliares!$J$15*Auxiliares!$J$16*IF('Datos Consumo '!$C$12="Si",'Datos Consumo '!$C28,IF('Datos Consumo '!$C$11="No",'Datos Consumo '!$C$14,'Datos Consumo '!$C$16*Auxiliares!$N$4+Auxiliares!$N$5*'Datos Consumo '!$C$18))</f>
        <v>17.021071398029434</v>
      </c>
      <c r="U12" s="186">
        <f ca="1">IF(Auxiliares!$D24&lt;(Producción!T15*$B51),Auxiliares!$D24,Producción!T15*$B51)*Auxiliares!$J$15*Auxiliares!$J$16*IF('Datos Consumo '!$C$12="Si",'Datos Consumo '!$C28,IF('Datos Consumo '!$C$11="No",'Datos Consumo '!$C$14,'Datos Consumo '!$C$16*Auxiliares!$N$4+Auxiliares!$N$5*'Datos Consumo '!$C$18))</f>
        <v>17.021071398029434</v>
      </c>
      <c r="V12" s="186">
        <f ca="1">IF(Auxiliares!$D24&lt;(Producción!U15*$B51),Auxiliares!$D24,Producción!U15*$B51)*Auxiliares!$J$15*Auxiliares!$J$16*IF('Datos Consumo '!$C$12="Si",'Datos Consumo '!$C28,IF('Datos Consumo '!$C$11="No",'Datos Consumo '!$C$14,'Datos Consumo '!$C$16*Auxiliares!$N$4+Auxiliares!$N$5*'Datos Consumo '!$C$18))</f>
        <v>17.021071398029434</v>
      </c>
      <c r="W12" s="186">
        <f ca="1">IF(Auxiliares!$D24&lt;(Producción!V15*$B51),Auxiliares!$D24,Producción!V15*$B51)*Auxiliares!$J$15*Auxiliares!$J$16*IF('Datos Consumo '!$C$12="Si",'Datos Consumo '!$C28,IF('Datos Consumo '!$C$11="No",'Datos Consumo '!$C$14,'Datos Consumo '!$C$16*Auxiliares!$N$4+Auxiliares!$N$5*'Datos Consumo '!$C$18))</f>
        <v>17.021071398029434</v>
      </c>
      <c r="X12" s="186">
        <f ca="1">IF(Auxiliares!$D24&lt;(Producción!W15*$B51),Auxiliares!$D24,Producción!W15*$B51)*Auxiliares!$J$15*Auxiliares!$J$16*IF('Datos Consumo '!$C$12="Si",'Datos Consumo '!$C28,IF('Datos Consumo '!$C$11="No",'Datos Consumo '!$C$14,'Datos Consumo '!$C$16*Auxiliares!$N$4+Auxiliares!$N$5*'Datos Consumo '!$C$18))</f>
        <v>17.021071398029434</v>
      </c>
      <c r="Y12" s="186">
        <f ca="1">IF(Auxiliares!$D24&lt;(Producción!X15*$B51),Auxiliares!$D24,Producción!X15*$B51)*Auxiliares!$J$15*Auxiliares!$J$16*IF('Datos Consumo '!$C$12="Si",'Datos Consumo '!$C28,IF('Datos Consumo '!$C$11="No",'Datos Consumo '!$C$14,'Datos Consumo '!$C$16*Auxiliares!$N$4+Auxiliares!$N$5*'Datos Consumo '!$C$18))</f>
        <v>17.021071398029434</v>
      </c>
      <c r="Z12" s="186">
        <f ca="1">IF(Auxiliares!$D24&lt;(Producción!Y15*$B51),Auxiliares!$D24,Producción!Y15*$B51)*Auxiliares!$J$15*Auxiliares!$J$16*IF('Datos Consumo '!$C$12="Si",'Datos Consumo '!$C28,IF('Datos Consumo '!$C$11="No",'Datos Consumo '!$C$14,'Datos Consumo '!$C$16*Auxiliares!$N$4+Auxiliares!$N$5*'Datos Consumo '!$C$18))</f>
        <v>17.021071398029434</v>
      </c>
      <c r="AA12" s="186">
        <f ca="1">IF(Auxiliares!$D24&lt;(Producción!Z15*$B51),Auxiliares!$D24,Producción!Z15*$B51)*Auxiliares!$J$15*Auxiliares!$J$16*IF('Datos Consumo '!$C$12="Si",'Datos Consumo '!$C28,IF('Datos Consumo '!$C$11="No",'Datos Consumo '!$C$14,'Datos Consumo '!$C$16*Auxiliares!$N$4+Auxiliares!$N$5*'Datos Consumo '!$C$18))</f>
        <v>17.021071398029434</v>
      </c>
      <c r="AB12" s="186">
        <f ca="1">IF(Auxiliares!$D24&lt;(Producción!AA15*$B51),Auxiliares!$D24,Producción!AA15*$B51)*Auxiliares!$J$15*Auxiliares!$J$16*IF('Datos Consumo '!$C$12="Si",'Datos Consumo '!$C28,IF('Datos Consumo '!$C$11="No",'Datos Consumo '!$C$14,'Datos Consumo '!$C$16*Auxiliares!$N$4+Auxiliares!$N$5*'Datos Consumo '!$C$18))</f>
        <v>17.021071398029434</v>
      </c>
      <c r="AC12" s="186">
        <f ca="1">IF(Auxiliares!$D24&lt;(Producción!AB15*$B51),Auxiliares!$D24,Producción!AB15*$B51)*Auxiliares!$J$15*Auxiliares!$J$16*IF('Datos Consumo '!$C$12="Si",'Datos Consumo '!$C28,IF('Datos Consumo '!$C$11="No",'Datos Consumo '!$C$14,'Datos Consumo '!$C$16*Auxiliares!$N$4+Auxiliares!$N$5*'Datos Consumo '!$C$18))</f>
        <v>17.021071398029434</v>
      </c>
      <c r="AD12" s="186">
        <f ca="1">IF(Auxiliares!$D24&lt;(Producción!AC15*$B51),Auxiliares!$D24,Producción!AC15*$B51)*Auxiliares!$J$15*Auxiliares!$J$16*IF('Datos Consumo '!$C$12="Si",'Datos Consumo '!$C28,IF('Datos Consumo '!$C$11="No",'Datos Consumo '!$C$14,'Datos Consumo '!$C$16*Auxiliares!$N$4+Auxiliares!$N$5*'Datos Consumo '!$C$18))</f>
        <v>17.021071398029434</v>
      </c>
      <c r="AE12" s="186">
        <f ca="1">IF(Auxiliares!$D24&lt;(Producción!AD15*$B51),Auxiliares!$D24,Producción!AD15*$B51)*Auxiliares!$J$15*Auxiliares!$J$16*IF('Datos Consumo '!$C$12="Si",'Datos Consumo '!$C28,IF('Datos Consumo '!$C$11="No",'Datos Consumo '!$C$14,'Datos Consumo '!$C$16*Auxiliares!$N$4+Auxiliares!$N$5*'Datos Consumo '!$C$18))</f>
        <v>17.021071398029434</v>
      </c>
      <c r="AF12" s="186">
        <f ca="1">IF(Auxiliares!$D24&lt;(Producción!AE15*$B51),Auxiliares!$D24,Producción!AE15*$B51)*Auxiliares!$J$15*Auxiliares!$J$16*IF('Datos Consumo '!$C$12="Si",'Datos Consumo '!$C28,IF('Datos Consumo '!$C$11="No",'Datos Consumo '!$C$14,'Datos Consumo '!$C$16*Auxiliares!$N$4+Auxiliares!$N$5*'Datos Consumo '!$C$18))</f>
        <v>17.021071398029434</v>
      </c>
      <c r="AG12" s="186">
        <f ca="1">IF(Auxiliares!$D24&lt;(Producción!AF15*$B51),Auxiliares!$D24,Producción!AF15*$B51)*Auxiliares!$J$15*Auxiliares!$J$16*IF('Datos Consumo '!$C$12="Si",'Datos Consumo '!$C28,IF('Datos Consumo '!$C$11="No",'Datos Consumo '!$C$14,'Datos Consumo '!$C$16*Auxiliares!$N$4+Auxiliares!$N$5*'Datos Consumo '!$C$18))</f>
        <v>17.021071398029434</v>
      </c>
      <c r="AH12" s="186">
        <f ca="1">IF(Auxiliares!$D24&lt;(Producción!AG15*$B51),Auxiliares!$D24,Producción!AG15*$B51)*Auxiliares!$J$15*Auxiliares!$J$16*IF('Datos Consumo '!$C$12="Si",'Datos Consumo '!$C28,IF('Datos Consumo '!$C$11="No",'Datos Consumo '!$C$14,'Datos Consumo '!$C$16*Auxiliares!$N$4+Auxiliares!$N$5*'Datos Consumo '!$C$18))</f>
        <v>17.021071398029434</v>
      </c>
    </row>
    <row r="13" spans="2:34">
      <c r="C13" s="12" t="s">
        <v>13</v>
      </c>
      <c r="D13" s="186">
        <f ca="1">IF(Auxiliares!$D25&lt;(Producción!C16*$B52),Auxiliares!$D25,Producción!C16*$B52)*Auxiliares!$J$15*Auxiliares!$J$16*IF('Datos Consumo '!$C$12="Si",'Datos Consumo '!$C29,IF('Datos Consumo '!$C$11="No",'Datos Consumo '!$C$14,'Datos Consumo '!$C$16*Auxiliares!$N$4+Auxiliares!$N$5*'Datos Consumo '!$C$18))</f>
        <v>17.701914253950612</v>
      </c>
      <c r="E13" s="186">
        <f ca="1">IF(Auxiliares!$D25&lt;(Producción!D16*$B52),Auxiliares!$D25,Producción!D16*$B52)*Auxiliares!$J$15*Auxiliares!$J$16*IF('Datos Consumo '!$C$12="Si",'Datos Consumo '!$C29,IF('Datos Consumo '!$C$11="No",'Datos Consumo '!$C$14,'Datos Consumo '!$C$16*Auxiliares!$N$4+Auxiliares!$N$5*'Datos Consumo '!$C$18))</f>
        <v>17.701914253950612</v>
      </c>
      <c r="F13" s="186">
        <f ca="1">IF(Auxiliares!$D25&lt;(Producción!E16*$B52),Auxiliares!$D25,Producción!E16*$B52)*Auxiliares!$J$15*Auxiliares!$J$16*IF('Datos Consumo '!$C$12="Si",'Datos Consumo '!$C29,IF('Datos Consumo '!$C$11="No",'Datos Consumo '!$C$14,'Datos Consumo '!$C$16*Auxiliares!$N$4+Auxiliares!$N$5*'Datos Consumo '!$C$18))</f>
        <v>17.701914253950612</v>
      </c>
      <c r="G13" s="186">
        <f ca="1">IF(Auxiliares!$D25&lt;(Producción!F16*$B52),Auxiliares!$D25,Producción!F16*$B52)*Auxiliares!$J$15*Auxiliares!$J$16*IF('Datos Consumo '!$C$12="Si",'Datos Consumo '!$C29,IF('Datos Consumo '!$C$11="No",'Datos Consumo '!$C$14,'Datos Consumo '!$C$16*Auxiliares!$N$4+Auxiliares!$N$5*'Datos Consumo '!$C$18))</f>
        <v>17.701914253950612</v>
      </c>
      <c r="H13" s="186">
        <f ca="1">IF(Auxiliares!$D25&lt;(Producción!G16*$B52),Auxiliares!$D25,Producción!G16*$B52)*Auxiliares!$J$15*Auxiliares!$J$16*IF('Datos Consumo '!$C$12="Si",'Datos Consumo '!$C29,IF('Datos Consumo '!$C$11="No",'Datos Consumo '!$C$14,'Datos Consumo '!$C$16*Auxiliares!$N$4+Auxiliares!$N$5*'Datos Consumo '!$C$18))</f>
        <v>17.701914253950612</v>
      </c>
      <c r="I13" s="186">
        <f ca="1">IF(Auxiliares!$D25&lt;(Producción!H16*$B52),Auxiliares!$D25,Producción!H16*$B52)*Auxiliares!$J$15*Auxiliares!$J$16*IF('Datos Consumo '!$C$12="Si",'Datos Consumo '!$C29,IF('Datos Consumo '!$C$11="No",'Datos Consumo '!$C$14,'Datos Consumo '!$C$16*Auxiliares!$N$4+Auxiliares!$N$5*'Datos Consumo '!$C$18))</f>
        <v>17.701914253950612</v>
      </c>
      <c r="J13" s="186">
        <f ca="1">IF(Auxiliares!$D25&lt;(Producción!I16*$B52),Auxiliares!$D25,Producción!I16*$B52)*Auxiliares!$J$15*Auxiliares!$J$16*IF('Datos Consumo '!$C$12="Si",'Datos Consumo '!$C29,IF('Datos Consumo '!$C$11="No",'Datos Consumo '!$C$14,'Datos Consumo '!$C$16*Auxiliares!$N$4+Auxiliares!$N$5*'Datos Consumo '!$C$18))</f>
        <v>17.701914253950612</v>
      </c>
      <c r="K13" s="186">
        <f ca="1">IF(Auxiliares!$D25&lt;(Producción!J16*$B52),Auxiliares!$D25,Producción!J16*$B52)*Auxiliares!$J$15*Auxiliares!$J$16*IF('Datos Consumo '!$C$12="Si",'Datos Consumo '!$C29,IF('Datos Consumo '!$C$11="No",'Datos Consumo '!$C$14,'Datos Consumo '!$C$16*Auxiliares!$N$4+Auxiliares!$N$5*'Datos Consumo '!$C$18))</f>
        <v>17.701914253950612</v>
      </c>
      <c r="L13" s="186">
        <f ca="1">IF(Auxiliares!$D25&lt;(Producción!K16*$B52),Auxiliares!$D25,Producción!K16*$B52)*Auxiliares!$J$15*Auxiliares!$J$16*IF('Datos Consumo '!$C$12="Si",'Datos Consumo '!$C29,IF('Datos Consumo '!$C$11="No",'Datos Consumo '!$C$14,'Datos Consumo '!$C$16*Auxiliares!$N$4+Auxiliares!$N$5*'Datos Consumo '!$C$18))</f>
        <v>17.701914253950612</v>
      </c>
      <c r="M13" s="186">
        <f ca="1">IF(Auxiliares!$D25&lt;(Producción!L16*$B52),Auxiliares!$D25,Producción!L16*$B52)*Auxiliares!$J$15*Auxiliares!$J$16*IF('Datos Consumo '!$C$12="Si",'Datos Consumo '!$C29,IF('Datos Consumo '!$C$11="No",'Datos Consumo '!$C$14,'Datos Consumo '!$C$16*Auxiliares!$N$4+Auxiliares!$N$5*'Datos Consumo '!$C$18))</f>
        <v>17.701914253950612</v>
      </c>
      <c r="N13" s="186">
        <f ca="1">IF(Auxiliares!$D25&lt;(Producción!M16*$B52),Auxiliares!$D25,Producción!M16*$B52)*Auxiliares!$J$15*Auxiliares!$J$16*IF('Datos Consumo '!$C$12="Si",'Datos Consumo '!$C29,IF('Datos Consumo '!$C$11="No",'Datos Consumo '!$C$14,'Datos Consumo '!$C$16*Auxiliares!$N$4+Auxiliares!$N$5*'Datos Consumo '!$C$18))</f>
        <v>17.701914253950612</v>
      </c>
      <c r="O13" s="186">
        <f ca="1">IF(Auxiliares!$D25&lt;(Producción!N16*$B52),Auxiliares!$D25,Producción!N16*$B52)*Auxiliares!$J$15*Auxiliares!$J$16*IF('Datos Consumo '!$C$12="Si",'Datos Consumo '!$C29,IF('Datos Consumo '!$C$11="No",'Datos Consumo '!$C$14,'Datos Consumo '!$C$16*Auxiliares!$N$4+Auxiliares!$N$5*'Datos Consumo '!$C$18))</f>
        <v>17.701914253950612</v>
      </c>
      <c r="P13" s="186">
        <f ca="1">IF(Auxiliares!$D25&lt;(Producción!O16*$B52),Auxiliares!$D25,Producción!O16*$B52)*Auxiliares!$J$15*Auxiliares!$J$16*IF('Datos Consumo '!$C$12="Si",'Datos Consumo '!$C29,IF('Datos Consumo '!$C$11="No",'Datos Consumo '!$C$14,'Datos Consumo '!$C$16*Auxiliares!$N$4+Auxiliares!$N$5*'Datos Consumo '!$C$18))</f>
        <v>17.701914253950612</v>
      </c>
      <c r="Q13" s="186">
        <f ca="1">IF(Auxiliares!$D25&lt;(Producción!P16*$B52),Auxiliares!$D25,Producción!P16*$B52)*Auxiliares!$J$15*Auxiliares!$J$16*IF('Datos Consumo '!$C$12="Si",'Datos Consumo '!$C29,IF('Datos Consumo '!$C$11="No",'Datos Consumo '!$C$14,'Datos Consumo '!$C$16*Auxiliares!$N$4+Auxiliares!$N$5*'Datos Consumo '!$C$18))</f>
        <v>17.701914253950612</v>
      </c>
      <c r="R13" s="186">
        <f ca="1">IF(Auxiliares!$D25&lt;(Producción!Q16*$B52),Auxiliares!$D25,Producción!Q16*$B52)*Auxiliares!$J$15*Auxiliares!$J$16*IF('Datos Consumo '!$C$12="Si",'Datos Consumo '!$C29,IF('Datos Consumo '!$C$11="No",'Datos Consumo '!$C$14,'Datos Consumo '!$C$16*Auxiliares!$N$4+Auxiliares!$N$5*'Datos Consumo '!$C$18))</f>
        <v>17.701914253950612</v>
      </c>
      <c r="S13" s="186">
        <f ca="1">IF(Auxiliares!$D25&lt;(Producción!R16*$B52),Auxiliares!$D25,Producción!R16*$B52)*Auxiliares!$J$15*Auxiliares!$J$16*IF('Datos Consumo '!$C$12="Si",'Datos Consumo '!$C29,IF('Datos Consumo '!$C$11="No",'Datos Consumo '!$C$14,'Datos Consumo '!$C$16*Auxiliares!$N$4+Auxiliares!$N$5*'Datos Consumo '!$C$18))</f>
        <v>17.701914253950612</v>
      </c>
      <c r="T13" s="186">
        <f ca="1">IF(Auxiliares!$D25&lt;(Producción!S16*$B52),Auxiliares!$D25,Producción!S16*$B52)*Auxiliares!$J$15*Auxiliares!$J$16*IF('Datos Consumo '!$C$12="Si",'Datos Consumo '!$C29,IF('Datos Consumo '!$C$11="No",'Datos Consumo '!$C$14,'Datos Consumo '!$C$16*Auxiliares!$N$4+Auxiliares!$N$5*'Datos Consumo '!$C$18))</f>
        <v>17.701914253950612</v>
      </c>
      <c r="U13" s="186">
        <f ca="1">IF(Auxiliares!$D25&lt;(Producción!T16*$B52),Auxiliares!$D25,Producción!T16*$B52)*Auxiliares!$J$15*Auxiliares!$J$16*IF('Datos Consumo '!$C$12="Si",'Datos Consumo '!$C29,IF('Datos Consumo '!$C$11="No",'Datos Consumo '!$C$14,'Datos Consumo '!$C$16*Auxiliares!$N$4+Auxiliares!$N$5*'Datos Consumo '!$C$18))</f>
        <v>17.701914253950612</v>
      </c>
      <c r="V13" s="186">
        <f ca="1">IF(Auxiliares!$D25&lt;(Producción!U16*$B52),Auxiliares!$D25,Producción!U16*$B52)*Auxiliares!$J$15*Auxiliares!$J$16*IF('Datos Consumo '!$C$12="Si",'Datos Consumo '!$C29,IF('Datos Consumo '!$C$11="No",'Datos Consumo '!$C$14,'Datos Consumo '!$C$16*Auxiliares!$N$4+Auxiliares!$N$5*'Datos Consumo '!$C$18))</f>
        <v>17.701914253950612</v>
      </c>
      <c r="W13" s="186">
        <f ca="1">IF(Auxiliares!$D25&lt;(Producción!V16*$B52),Auxiliares!$D25,Producción!V16*$B52)*Auxiliares!$J$15*Auxiliares!$J$16*IF('Datos Consumo '!$C$12="Si",'Datos Consumo '!$C29,IF('Datos Consumo '!$C$11="No",'Datos Consumo '!$C$14,'Datos Consumo '!$C$16*Auxiliares!$N$4+Auxiliares!$N$5*'Datos Consumo '!$C$18))</f>
        <v>17.701914253950612</v>
      </c>
      <c r="X13" s="186">
        <f ca="1">IF(Auxiliares!$D25&lt;(Producción!W16*$B52),Auxiliares!$D25,Producción!W16*$B52)*Auxiliares!$J$15*Auxiliares!$J$16*IF('Datos Consumo '!$C$12="Si",'Datos Consumo '!$C29,IF('Datos Consumo '!$C$11="No",'Datos Consumo '!$C$14,'Datos Consumo '!$C$16*Auxiliares!$N$4+Auxiliares!$N$5*'Datos Consumo '!$C$18))</f>
        <v>17.701914253950612</v>
      </c>
      <c r="Y13" s="186">
        <f ca="1">IF(Auxiliares!$D25&lt;(Producción!X16*$B52),Auxiliares!$D25,Producción!X16*$B52)*Auxiliares!$J$15*Auxiliares!$J$16*IF('Datos Consumo '!$C$12="Si",'Datos Consumo '!$C29,IF('Datos Consumo '!$C$11="No",'Datos Consumo '!$C$14,'Datos Consumo '!$C$16*Auxiliares!$N$4+Auxiliares!$N$5*'Datos Consumo '!$C$18))</f>
        <v>17.701914253950612</v>
      </c>
      <c r="Z13" s="186">
        <f ca="1">IF(Auxiliares!$D25&lt;(Producción!Y16*$B52),Auxiliares!$D25,Producción!Y16*$B52)*Auxiliares!$J$15*Auxiliares!$J$16*IF('Datos Consumo '!$C$12="Si",'Datos Consumo '!$C29,IF('Datos Consumo '!$C$11="No",'Datos Consumo '!$C$14,'Datos Consumo '!$C$16*Auxiliares!$N$4+Auxiliares!$N$5*'Datos Consumo '!$C$18))</f>
        <v>17.701914253950612</v>
      </c>
      <c r="AA13" s="186">
        <f ca="1">IF(Auxiliares!$D25&lt;(Producción!Z16*$B52),Auxiliares!$D25,Producción!Z16*$B52)*Auxiliares!$J$15*Auxiliares!$J$16*IF('Datos Consumo '!$C$12="Si",'Datos Consumo '!$C29,IF('Datos Consumo '!$C$11="No",'Datos Consumo '!$C$14,'Datos Consumo '!$C$16*Auxiliares!$N$4+Auxiliares!$N$5*'Datos Consumo '!$C$18))</f>
        <v>17.701914253950612</v>
      </c>
      <c r="AB13" s="186">
        <f ca="1">IF(Auxiliares!$D25&lt;(Producción!AA16*$B52),Auxiliares!$D25,Producción!AA16*$B52)*Auxiliares!$J$15*Auxiliares!$J$16*IF('Datos Consumo '!$C$12="Si",'Datos Consumo '!$C29,IF('Datos Consumo '!$C$11="No",'Datos Consumo '!$C$14,'Datos Consumo '!$C$16*Auxiliares!$N$4+Auxiliares!$N$5*'Datos Consumo '!$C$18))</f>
        <v>17.701914253950612</v>
      </c>
      <c r="AC13" s="186">
        <f ca="1">IF(Auxiliares!$D25&lt;(Producción!AB16*$B52),Auxiliares!$D25,Producción!AB16*$B52)*Auxiliares!$J$15*Auxiliares!$J$16*IF('Datos Consumo '!$C$12="Si",'Datos Consumo '!$C29,IF('Datos Consumo '!$C$11="No",'Datos Consumo '!$C$14,'Datos Consumo '!$C$16*Auxiliares!$N$4+Auxiliares!$N$5*'Datos Consumo '!$C$18))</f>
        <v>17.701914253950612</v>
      </c>
      <c r="AD13" s="186">
        <f ca="1">IF(Auxiliares!$D25&lt;(Producción!AC16*$B52),Auxiliares!$D25,Producción!AC16*$B52)*Auxiliares!$J$15*Auxiliares!$J$16*IF('Datos Consumo '!$C$12="Si",'Datos Consumo '!$C29,IF('Datos Consumo '!$C$11="No",'Datos Consumo '!$C$14,'Datos Consumo '!$C$16*Auxiliares!$N$4+Auxiliares!$N$5*'Datos Consumo '!$C$18))</f>
        <v>17.701914253950612</v>
      </c>
      <c r="AE13" s="186">
        <f ca="1">IF(Auxiliares!$D25&lt;(Producción!AD16*$B52),Auxiliares!$D25,Producción!AD16*$B52)*Auxiliares!$J$15*Auxiliares!$J$16*IF('Datos Consumo '!$C$12="Si",'Datos Consumo '!$C29,IF('Datos Consumo '!$C$11="No",'Datos Consumo '!$C$14,'Datos Consumo '!$C$16*Auxiliares!$N$4+Auxiliares!$N$5*'Datos Consumo '!$C$18))</f>
        <v>17.701914253950612</v>
      </c>
      <c r="AF13" s="186">
        <f ca="1">IF(Auxiliares!$D25&lt;(Producción!AE16*$B52),Auxiliares!$D25,Producción!AE16*$B52)*Auxiliares!$J$15*Auxiliares!$J$16*IF('Datos Consumo '!$C$12="Si",'Datos Consumo '!$C29,IF('Datos Consumo '!$C$11="No",'Datos Consumo '!$C$14,'Datos Consumo '!$C$16*Auxiliares!$N$4+Auxiliares!$N$5*'Datos Consumo '!$C$18))</f>
        <v>17.701914253950612</v>
      </c>
      <c r="AG13" s="186">
        <f ca="1">IF(Auxiliares!$D25&lt;(Producción!AF16*$B52),Auxiliares!$D25,Producción!AF16*$B52)*Auxiliares!$J$15*Auxiliares!$J$16*IF('Datos Consumo '!$C$12="Si",'Datos Consumo '!$C29,IF('Datos Consumo '!$C$11="No",'Datos Consumo '!$C$14,'Datos Consumo '!$C$16*Auxiliares!$N$4+Auxiliares!$N$5*'Datos Consumo '!$C$18))</f>
        <v>17.701914253950612</v>
      </c>
      <c r="AH13" s="186">
        <f ca="1">IF(Auxiliares!$D25&lt;(Producción!AG16*$B52),Auxiliares!$D25,Producción!AG16*$B52)*Auxiliares!$J$15*Auxiliares!$J$16*IF('Datos Consumo '!$C$12="Si",'Datos Consumo '!$C29,IF('Datos Consumo '!$C$11="No",'Datos Consumo '!$C$14,'Datos Consumo '!$C$16*Auxiliares!$N$4+Auxiliares!$N$5*'Datos Consumo '!$C$18))</f>
        <v>17.701914253950612</v>
      </c>
    </row>
    <row r="14" spans="2:34">
      <c r="C14" s="12" t="s">
        <v>14</v>
      </c>
      <c r="D14" s="186">
        <f ca="1">IF(Auxiliares!$D26&lt;(Producción!C17*$B53),Auxiliares!$D26,Producción!C17*$B53)*Auxiliares!$J$15*Auxiliares!$J$16*IF('Datos Consumo '!$C$12="Si",'Datos Consumo '!$C30,IF('Datos Consumo '!$C$11="No",'Datos Consumo '!$C$14,'Datos Consumo '!$C$16*Auxiliares!$N$4+Auxiliares!$N$5*'Datos Consumo '!$C$18))</f>
        <v>17.021071398029434</v>
      </c>
      <c r="E14" s="186">
        <f ca="1">IF(Auxiliares!$D26&lt;(Producción!D17*$B53),Auxiliares!$D26,Producción!D17*$B53)*Auxiliares!$J$15*Auxiliares!$J$16*IF('Datos Consumo '!$C$12="Si",'Datos Consumo '!$C30,IF('Datos Consumo '!$C$11="No",'Datos Consumo '!$C$14,'Datos Consumo '!$C$16*Auxiliares!$N$4+Auxiliares!$N$5*'Datos Consumo '!$C$18))</f>
        <v>17.021071398029434</v>
      </c>
      <c r="F14" s="186">
        <f ca="1">IF(Auxiliares!$D26&lt;(Producción!E17*$B53),Auxiliares!$D26,Producción!E17*$B53)*Auxiliares!$J$15*Auxiliares!$J$16*IF('Datos Consumo '!$C$12="Si",'Datos Consumo '!$C30,IF('Datos Consumo '!$C$11="No",'Datos Consumo '!$C$14,'Datos Consumo '!$C$16*Auxiliares!$N$4+Auxiliares!$N$5*'Datos Consumo '!$C$18))</f>
        <v>17.021071398029434</v>
      </c>
      <c r="G14" s="186">
        <f ca="1">IF(Auxiliares!$D26&lt;(Producción!F17*$B53),Auxiliares!$D26,Producción!F17*$B53)*Auxiliares!$J$15*Auxiliares!$J$16*IF('Datos Consumo '!$C$12="Si",'Datos Consumo '!$C30,IF('Datos Consumo '!$C$11="No",'Datos Consumo '!$C$14,'Datos Consumo '!$C$16*Auxiliares!$N$4+Auxiliares!$N$5*'Datos Consumo '!$C$18))</f>
        <v>17.021071398029434</v>
      </c>
      <c r="H14" s="186">
        <f ca="1">IF(Auxiliares!$D26&lt;(Producción!G17*$B53),Auxiliares!$D26,Producción!G17*$B53)*Auxiliares!$J$15*Auxiliares!$J$16*IF('Datos Consumo '!$C$12="Si",'Datos Consumo '!$C30,IF('Datos Consumo '!$C$11="No",'Datos Consumo '!$C$14,'Datos Consumo '!$C$16*Auxiliares!$N$4+Auxiliares!$N$5*'Datos Consumo '!$C$18))</f>
        <v>17.021071398029434</v>
      </c>
      <c r="I14" s="186">
        <f ca="1">IF(Auxiliares!$D26&lt;(Producción!H17*$B53),Auxiliares!$D26,Producción!H17*$B53)*Auxiliares!$J$15*Auxiliares!$J$16*IF('Datos Consumo '!$C$12="Si",'Datos Consumo '!$C30,IF('Datos Consumo '!$C$11="No",'Datos Consumo '!$C$14,'Datos Consumo '!$C$16*Auxiliares!$N$4+Auxiliares!$N$5*'Datos Consumo '!$C$18))</f>
        <v>17.021071398029434</v>
      </c>
      <c r="J14" s="186">
        <f ca="1">IF(Auxiliares!$D26&lt;(Producción!I17*$B53),Auxiliares!$D26,Producción!I17*$B53)*Auxiliares!$J$15*Auxiliares!$J$16*IF('Datos Consumo '!$C$12="Si",'Datos Consumo '!$C30,IF('Datos Consumo '!$C$11="No",'Datos Consumo '!$C$14,'Datos Consumo '!$C$16*Auxiliares!$N$4+Auxiliares!$N$5*'Datos Consumo '!$C$18))</f>
        <v>17.021071398029434</v>
      </c>
      <c r="K14" s="186">
        <f ca="1">IF(Auxiliares!$D26&lt;(Producción!J17*$B53),Auxiliares!$D26,Producción!J17*$B53)*Auxiliares!$J$15*Auxiliares!$J$16*IF('Datos Consumo '!$C$12="Si",'Datos Consumo '!$C30,IF('Datos Consumo '!$C$11="No",'Datos Consumo '!$C$14,'Datos Consumo '!$C$16*Auxiliares!$N$4+Auxiliares!$N$5*'Datos Consumo '!$C$18))</f>
        <v>17.021071398029434</v>
      </c>
      <c r="L14" s="186">
        <f ca="1">IF(Auxiliares!$D26&lt;(Producción!K17*$B53),Auxiliares!$D26,Producción!K17*$B53)*Auxiliares!$J$15*Auxiliares!$J$16*IF('Datos Consumo '!$C$12="Si",'Datos Consumo '!$C30,IF('Datos Consumo '!$C$11="No",'Datos Consumo '!$C$14,'Datos Consumo '!$C$16*Auxiliares!$N$4+Auxiliares!$N$5*'Datos Consumo '!$C$18))</f>
        <v>17.021071398029434</v>
      </c>
      <c r="M14" s="186">
        <f ca="1">IF(Auxiliares!$D26&lt;(Producción!L17*$B53),Auxiliares!$D26,Producción!L17*$B53)*Auxiliares!$J$15*Auxiliares!$J$16*IF('Datos Consumo '!$C$12="Si",'Datos Consumo '!$C30,IF('Datos Consumo '!$C$11="No",'Datos Consumo '!$C$14,'Datos Consumo '!$C$16*Auxiliares!$N$4+Auxiliares!$N$5*'Datos Consumo '!$C$18))</f>
        <v>17.021071398029434</v>
      </c>
      <c r="N14" s="186">
        <f ca="1">IF(Auxiliares!$D26&lt;(Producción!M17*$B53),Auxiliares!$D26,Producción!M17*$B53)*Auxiliares!$J$15*Auxiliares!$J$16*IF('Datos Consumo '!$C$12="Si",'Datos Consumo '!$C30,IF('Datos Consumo '!$C$11="No",'Datos Consumo '!$C$14,'Datos Consumo '!$C$16*Auxiliares!$N$4+Auxiliares!$N$5*'Datos Consumo '!$C$18))</f>
        <v>17.021071398029434</v>
      </c>
      <c r="O14" s="186">
        <f ca="1">IF(Auxiliares!$D26&lt;(Producción!N17*$B53),Auxiliares!$D26,Producción!N17*$B53)*Auxiliares!$J$15*Auxiliares!$J$16*IF('Datos Consumo '!$C$12="Si",'Datos Consumo '!$C30,IF('Datos Consumo '!$C$11="No",'Datos Consumo '!$C$14,'Datos Consumo '!$C$16*Auxiliares!$N$4+Auxiliares!$N$5*'Datos Consumo '!$C$18))</f>
        <v>17.021071398029434</v>
      </c>
      <c r="P14" s="186">
        <f ca="1">IF(Auxiliares!$D26&lt;(Producción!O17*$B53),Auxiliares!$D26,Producción!O17*$B53)*Auxiliares!$J$15*Auxiliares!$J$16*IF('Datos Consumo '!$C$12="Si",'Datos Consumo '!$C30,IF('Datos Consumo '!$C$11="No",'Datos Consumo '!$C$14,'Datos Consumo '!$C$16*Auxiliares!$N$4+Auxiliares!$N$5*'Datos Consumo '!$C$18))</f>
        <v>17.021071398029434</v>
      </c>
      <c r="Q14" s="186">
        <f ca="1">IF(Auxiliares!$D26&lt;(Producción!P17*$B53),Auxiliares!$D26,Producción!P17*$B53)*Auxiliares!$J$15*Auxiliares!$J$16*IF('Datos Consumo '!$C$12="Si",'Datos Consumo '!$C30,IF('Datos Consumo '!$C$11="No",'Datos Consumo '!$C$14,'Datos Consumo '!$C$16*Auxiliares!$N$4+Auxiliares!$N$5*'Datos Consumo '!$C$18))</f>
        <v>17.021071398029434</v>
      </c>
      <c r="R14" s="186">
        <f ca="1">IF(Auxiliares!$D26&lt;(Producción!Q17*$B53),Auxiliares!$D26,Producción!Q17*$B53)*Auxiliares!$J$15*Auxiliares!$J$16*IF('Datos Consumo '!$C$12="Si",'Datos Consumo '!$C30,IF('Datos Consumo '!$C$11="No",'Datos Consumo '!$C$14,'Datos Consumo '!$C$16*Auxiliares!$N$4+Auxiliares!$N$5*'Datos Consumo '!$C$18))</f>
        <v>17.021071398029434</v>
      </c>
      <c r="S14" s="186">
        <f ca="1">IF(Auxiliares!$D26&lt;(Producción!R17*$B53),Auxiliares!$D26,Producción!R17*$B53)*Auxiliares!$J$15*Auxiliares!$J$16*IF('Datos Consumo '!$C$12="Si",'Datos Consumo '!$C30,IF('Datos Consumo '!$C$11="No",'Datos Consumo '!$C$14,'Datos Consumo '!$C$16*Auxiliares!$N$4+Auxiliares!$N$5*'Datos Consumo '!$C$18))</f>
        <v>17.021071398029434</v>
      </c>
      <c r="T14" s="186">
        <f ca="1">IF(Auxiliares!$D26&lt;(Producción!S17*$B53),Auxiliares!$D26,Producción!S17*$B53)*Auxiliares!$J$15*Auxiliares!$J$16*IF('Datos Consumo '!$C$12="Si",'Datos Consumo '!$C30,IF('Datos Consumo '!$C$11="No",'Datos Consumo '!$C$14,'Datos Consumo '!$C$16*Auxiliares!$N$4+Auxiliares!$N$5*'Datos Consumo '!$C$18))</f>
        <v>17.021071398029434</v>
      </c>
      <c r="U14" s="186">
        <f ca="1">IF(Auxiliares!$D26&lt;(Producción!T17*$B53),Auxiliares!$D26,Producción!T17*$B53)*Auxiliares!$J$15*Auxiliares!$J$16*IF('Datos Consumo '!$C$12="Si",'Datos Consumo '!$C30,IF('Datos Consumo '!$C$11="No",'Datos Consumo '!$C$14,'Datos Consumo '!$C$16*Auxiliares!$N$4+Auxiliares!$N$5*'Datos Consumo '!$C$18))</f>
        <v>17.021071398029434</v>
      </c>
      <c r="V14" s="186">
        <f ca="1">IF(Auxiliares!$D26&lt;(Producción!U17*$B53),Auxiliares!$D26,Producción!U17*$B53)*Auxiliares!$J$15*Auxiliares!$J$16*IF('Datos Consumo '!$C$12="Si",'Datos Consumo '!$C30,IF('Datos Consumo '!$C$11="No",'Datos Consumo '!$C$14,'Datos Consumo '!$C$16*Auxiliares!$N$4+Auxiliares!$N$5*'Datos Consumo '!$C$18))</f>
        <v>17.021071398029434</v>
      </c>
      <c r="W14" s="186">
        <f ca="1">IF(Auxiliares!$D26&lt;(Producción!V17*$B53),Auxiliares!$D26,Producción!V17*$B53)*Auxiliares!$J$15*Auxiliares!$J$16*IF('Datos Consumo '!$C$12="Si",'Datos Consumo '!$C30,IF('Datos Consumo '!$C$11="No",'Datos Consumo '!$C$14,'Datos Consumo '!$C$16*Auxiliares!$N$4+Auxiliares!$N$5*'Datos Consumo '!$C$18))</f>
        <v>17.021071398029434</v>
      </c>
      <c r="X14" s="186">
        <f ca="1">IF(Auxiliares!$D26&lt;(Producción!W17*$B53),Auxiliares!$D26,Producción!W17*$B53)*Auxiliares!$J$15*Auxiliares!$J$16*IF('Datos Consumo '!$C$12="Si",'Datos Consumo '!$C30,IF('Datos Consumo '!$C$11="No",'Datos Consumo '!$C$14,'Datos Consumo '!$C$16*Auxiliares!$N$4+Auxiliares!$N$5*'Datos Consumo '!$C$18))</f>
        <v>17.021071398029434</v>
      </c>
      <c r="Y14" s="186">
        <f ca="1">IF(Auxiliares!$D26&lt;(Producción!X17*$B53),Auxiliares!$D26,Producción!X17*$B53)*Auxiliares!$J$15*Auxiliares!$J$16*IF('Datos Consumo '!$C$12="Si",'Datos Consumo '!$C30,IF('Datos Consumo '!$C$11="No",'Datos Consumo '!$C$14,'Datos Consumo '!$C$16*Auxiliares!$N$4+Auxiliares!$N$5*'Datos Consumo '!$C$18))</f>
        <v>17.021071398029434</v>
      </c>
      <c r="Z14" s="186">
        <f ca="1">IF(Auxiliares!$D26&lt;(Producción!Y17*$B53),Auxiliares!$D26,Producción!Y17*$B53)*Auxiliares!$J$15*Auxiliares!$J$16*IF('Datos Consumo '!$C$12="Si",'Datos Consumo '!$C30,IF('Datos Consumo '!$C$11="No",'Datos Consumo '!$C$14,'Datos Consumo '!$C$16*Auxiliares!$N$4+Auxiliares!$N$5*'Datos Consumo '!$C$18))</f>
        <v>17.021071398029434</v>
      </c>
      <c r="AA14" s="186">
        <f ca="1">IF(Auxiliares!$D26&lt;(Producción!Z17*$B53),Auxiliares!$D26,Producción!Z17*$B53)*Auxiliares!$J$15*Auxiliares!$J$16*IF('Datos Consumo '!$C$12="Si",'Datos Consumo '!$C30,IF('Datos Consumo '!$C$11="No",'Datos Consumo '!$C$14,'Datos Consumo '!$C$16*Auxiliares!$N$4+Auxiliares!$N$5*'Datos Consumo '!$C$18))</f>
        <v>17.021071398029434</v>
      </c>
      <c r="AB14" s="186">
        <f ca="1">IF(Auxiliares!$D26&lt;(Producción!AA17*$B53),Auxiliares!$D26,Producción!AA17*$B53)*Auxiliares!$J$15*Auxiliares!$J$16*IF('Datos Consumo '!$C$12="Si",'Datos Consumo '!$C30,IF('Datos Consumo '!$C$11="No",'Datos Consumo '!$C$14,'Datos Consumo '!$C$16*Auxiliares!$N$4+Auxiliares!$N$5*'Datos Consumo '!$C$18))</f>
        <v>17.021071398029434</v>
      </c>
      <c r="AC14" s="186">
        <f ca="1">IF(Auxiliares!$D26&lt;(Producción!AB17*$B53),Auxiliares!$D26,Producción!AB17*$B53)*Auxiliares!$J$15*Auxiliares!$J$16*IF('Datos Consumo '!$C$12="Si",'Datos Consumo '!$C30,IF('Datos Consumo '!$C$11="No",'Datos Consumo '!$C$14,'Datos Consumo '!$C$16*Auxiliares!$N$4+Auxiliares!$N$5*'Datos Consumo '!$C$18))</f>
        <v>17.021071398029434</v>
      </c>
      <c r="AD14" s="186">
        <f ca="1">IF(Auxiliares!$D26&lt;(Producción!AC17*$B53),Auxiliares!$D26,Producción!AC17*$B53)*Auxiliares!$J$15*Auxiliares!$J$16*IF('Datos Consumo '!$C$12="Si",'Datos Consumo '!$C30,IF('Datos Consumo '!$C$11="No",'Datos Consumo '!$C$14,'Datos Consumo '!$C$16*Auxiliares!$N$4+Auxiliares!$N$5*'Datos Consumo '!$C$18))</f>
        <v>17.021071398029434</v>
      </c>
      <c r="AE14" s="186">
        <f ca="1">IF(Auxiliares!$D26&lt;(Producción!AD17*$B53),Auxiliares!$D26,Producción!AD17*$B53)*Auxiliares!$J$15*Auxiliares!$J$16*IF('Datos Consumo '!$C$12="Si",'Datos Consumo '!$C30,IF('Datos Consumo '!$C$11="No",'Datos Consumo '!$C$14,'Datos Consumo '!$C$16*Auxiliares!$N$4+Auxiliares!$N$5*'Datos Consumo '!$C$18))</f>
        <v>17.021071398029434</v>
      </c>
      <c r="AF14" s="186">
        <f ca="1">IF(Auxiliares!$D26&lt;(Producción!AE17*$B53),Auxiliares!$D26,Producción!AE17*$B53)*Auxiliares!$J$15*Auxiliares!$J$16*IF('Datos Consumo '!$C$12="Si",'Datos Consumo '!$C30,IF('Datos Consumo '!$C$11="No",'Datos Consumo '!$C$14,'Datos Consumo '!$C$16*Auxiliares!$N$4+Auxiliares!$N$5*'Datos Consumo '!$C$18))</f>
        <v>17.021071398029434</v>
      </c>
      <c r="AG14" s="186">
        <f ca="1">IF(Auxiliares!$D26&lt;(Producción!AF17*$B53),Auxiliares!$D26,Producción!AF17*$B53)*Auxiliares!$J$15*Auxiliares!$J$16*IF('Datos Consumo '!$C$12="Si",'Datos Consumo '!$C30,IF('Datos Consumo '!$C$11="No",'Datos Consumo '!$C$14,'Datos Consumo '!$C$16*Auxiliares!$N$4+Auxiliares!$N$5*'Datos Consumo '!$C$18))</f>
        <v>17.021071398029434</v>
      </c>
      <c r="AH14" s="186">
        <f ca="1">IF(Auxiliares!$D26&lt;(Producción!AG17*$B53),Auxiliares!$D26,Producción!AG17*$B53)*Auxiliares!$J$15*Auxiliares!$J$16*IF('Datos Consumo '!$C$12="Si",'Datos Consumo '!$C30,IF('Datos Consumo '!$C$11="No",'Datos Consumo '!$C$14,'Datos Consumo '!$C$16*Auxiliares!$N$4+Auxiliares!$N$5*'Datos Consumo '!$C$18))</f>
        <v>17.021071398029434</v>
      </c>
    </row>
    <row r="15" spans="2:34">
      <c r="C15" s="12" t="s">
        <v>15</v>
      </c>
      <c r="D15" s="186">
        <f ca="1">IF(Auxiliares!$D27&lt;(Producción!C18*$B54),Auxiliares!$D27,Producción!C18*$B54)*Auxiliares!$J$15*Auxiliares!$J$16*IF('Datos Consumo '!$C$12="Si",'Datos Consumo '!$C31,IF('Datos Consumo '!$C$11="No",'Datos Consumo '!$C$14,'Datos Consumo '!$C$16*Auxiliares!$N$4+Auxiliares!$N$5*'Datos Consumo '!$C$18))</f>
        <v>23.829499957241211</v>
      </c>
      <c r="E15" s="186">
        <f ca="1">IF(Auxiliares!$D27&lt;(Producción!D18*$B54),Auxiliares!$D27,Producción!D18*$B54)*Auxiliares!$J$15*Auxiliares!$J$16*IF('Datos Consumo '!$C$12="Si",'Datos Consumo '!$C31,IF('Datos Consumo '!$C$11="No",'Datos Consumo '!$C$14,'Datos Consumo '!$C$16*Auxiliares!$N$4+Auxiliares!$N$5*'Datos Consumo '!$C$18))</f>
        <v>23.829499957241211</v>
      </c>
      <c r="F15" s="186">
        <f ca="1">IF(Auxiliares!$D27&lt;(Producción!E18*$B54),Auxiliares!$D27,Producción!E18*$B54)*Auxiliares!$J$15*Auxiliares!$J$16*IF('Datos Consumo '!$C$12="Si",'Datos Consumo '!$C31,IF('Datos Consumo '!$C$11="No",'Datos Consumo '!$C$14,'Datos Consumo '!$C$16*Auxiliares!$N$4+Auxiliares!$N$5*'Datos Consumo '!$C$18))</f>
        <v>23.829499957241211</v>
      </c>
      <c r="G15" s="186">
        <f ca="1">IF(Auxiliares!$D27&lt;(Producción!F18*$B54),Auxiliares!$D27,Producción!F18*$B54)*Auxiliares!$J$15*Auxiliares!$J$16*IF('Datos Consumo '!$C$12="Si",'Datos Consumo '!$C31,IF('Datos Consumo '!$C$11="No",'Datos Consumo '!$C$14,'Datos Consumo '!$C$16*Auxiliares!$N$4+Auxiliares!$N$5*'Datos Consumo '!$C$18))</f>
        <v>23.829499957241211</v>
      </c>
      <c r="H15" s="186">
        <f ca="1">IF(Auxiliares!$D27&lt;(Producción!G18*$B54),Auxiliares!$D27,Producción!G18*$B54)*Auxiliares!$J$15*Auxiliares!$J$16*IF('Datos Consumo '!$C$12="Si",'Datos Consumo '!$C31,IF('Datos Consumo '!$C$11="No",'Datos Consumo '!$C$14,'Datos Consumo '!$C$16*Auxiliares!$N$4+Auxiliares!$N$5*'Datos Consumo '!$C$18))</f>
        <v>23.829499957241211</v>
      </c>
      <c r="I15" s="186">
        <f ca="1">IF(Auxiliares!$D27&lt;(Producción!H18*$B54),Auxiliares!$D27,Producción!H18*$B54)*Auxiliares!$J$15*Auxiliares!$J$16*IF('Datos Consumo '!$C$12="Si",'Datos Consumo '!$C31,IF('Datos Consumo '!$C$11="No",'Datos Consumo '!$C$14,'Datos Consumo '!$C$16*Auxiliares!$N$4+Auxiliares!$N$5*'Datos Consumo '!$C$18))</f>
        <v>23.829499957241211</v>
      </c>
      <c r="J15" s="186">
        <f ca="1">IF(Auxiliares!$D27&lt;(Producción!I18*$B54),Auxiliares!$D27,Producción!I18*$B54)*Auxiliares!$J$15*Auxiliares!$J$16*IF('Datos Consumo '!$C$12="Si",'Datos Consumo '!$C31,IF('Datos Consumo '!$C$11="No",'Datos Consumo '!$C$14,'Datos Consumo '!$C$16*Auxiliares!$N$4+Auxiliares!$N$5*'Datos Consumo '!$C$18))</f>
        <v>23.829499957241211</v>
      </c>
      <c r="K15" s="186">
        <f ca="1">IF(Auxiliares!$D27&lt;(Producción!J18*$B54),Auxiliares!$D27,Producción!J18*$B54)*Auxiliares!$J$15*Auxiliares!$J$16*IF('Datos Consumo '!$C$12="Si",'Datos Consumo '!$C31,IF('Datos Consumo '!$C$11="No",'Datos Consumo '!$C$14,'Datos Consumo '!$C$16*Auxiliares!$N$4+Auxiliares!$N$5*'Datos Consumo '!$C$18))</f>
        <v>23.829499957241211</v>
      </c>
      <c r="L15" s="186">
        <f ca="1">IF(Auxiliares!$D27&lt;(Producción!K18*$B54),Auxiliares!$D27,Producción!K18*$B54)*Auxiliares!$J$15*Auxiliares!$J$16*IF('Datos Consumo '!$C$12="Si",'Datos Consumo '!$C31,IF('Datos Consumo '!$C$11="No",'Datos Consumo '!$C$14,'Datos Consumo '!$C$16*Auxiliares!$N$4+Auxiliares!$N$5*'Datos Consumo '!$C$18))</f>
        <v>23.829499957241211</v>
      </c>
      <c r="M15" s="186">
        <f ca="1">IF(Auxiliares!$D27&lt;(Producción!L18*$B54),Auxiliares!$D27,Producción!L18*$B54)*Auxiliares!$J$15*Auxiliares!$J$16*IF('Datos Consumo '!$C$12="Si",'Datos Consumo '!$C31,IF('Datos Consumo '!$C$11="No",'Datos Consumo '!$C$14,'Datos Consumo '!$C$16*Auxiliares!$N$4+Auxiliares!$N$5*'Datos Consumo '!$C$18))</f>
        <v>23.829499957241211</v>
      </c>
      <c r="N15" s="186">
        <f ca="1">IF(Auxiliares!$D27&lt;(Producción!M18*$B54),Auxiliares!$D27,Producción!M18*$B54)*Auxiliares!$J$15*Auxiliares!$J$16*IF('Datos Consumo '!$C$12="Si",'Datos Consumo '!$C31,IF('Datos Consumo '!$C$11="No",'Datos Consumo '!$C$14,'Datos Consumo '!$C$16*Auxiliares!$N$4+Auxiliares!$N$5*'Datos Consumo '!$C$18))</f>
        <v>23.829499957241211</v>
      </c>
      <c r="O15" s="186">
        <f ca="1">IF(Auxiliares!$D27&lt;(Producción!N18*$B54),Auxiliares!$D27,Producción!N18*$B54)*Auxiliares!$J$15*Auxiliares!$J$16*IF('Datos Consumo '!$C$12="Si",'Datos Consumo '!$C31,IF('Datos Consumo '!$C$11="No",'Datos Consumo '!$C$14,'Datos Consumo '!$C$16*Auxiliares!$N$4+Auxiliares!$N$5*'Datos Consumo '!$C$18))</f>
        <v>23.829499957241211</v>
      </c>
      <c r="P15" s="186">
        <f ca="1">IF(Auxiliares!$D27&lt;(Producción!O18*$B54),Auxiliares!$D27,Producción!O18*$B54)*Auxiliares!$J$15*Auxiliares!$J$16*IF('Datos Consumo '!$C$12="Si",'Datos Consumo '!$C31,IF('Datos Consumo '!$C$11="No",'Datos Consumo '!$C$14,'Datos Consumo '!$C$16*Auxiliares!$N$4+Auxiliares!$N$5*'Datos Consumo '!$C$18))</f>
        <v>23.829499957241211</v>
      </c>
      <c r="Q15" s="186">
        <f ca="1">IF(Auxiliares!$D27&lt;(Producción!P18*$B54),Auxiliares!$D27,Producción!P18*$B54)*Auxiliares!$J$15*Auxiliares!$J$16*IF('Datos Consumo '!$C$12="Si",'Datos Consumo '!$C31,IF('Datos Consumo '!$C$11="No",'Datos Consumo '!$C$14,'Datos Consumo '!$C$16*Auxiliares!$N$4+Auxiliares!$N$5*'Datos Consumo '!$C$18))</f>
        <v>23.829499957241211</v>
      </c>
      <c r="R15" s="186">
        <f ca="1">IF(Auxiliares!$D27&lt;(Producción!Q18*$B54),Auxiliares!$D27,Producción!Q18*$B54)*Auxiliares!$J$15*Auxiliares!$J$16*IF('Datos Consumo '!$C$12="Si",'Datos Consumo '!$C31,IF('Datos Consumo '!$C$11="No",'Datos Consumo '!$C$14,'Datos Consumo '!$C$16*Auxiliares!$N$4+Auxiliares!$N$5*'Datos Consumo '!$C$18))</f>
        <v>23.829499957241211</v>
      </c>
      <c r="S15" s="186">
        <f ca="1">IF(Auxiliares!$D27&lt;(Producción!R18*$B54),Auxiliares!$D27,Producción!R18*$B54)*Auxiliares!$J$15*Auxiliares!$J$16*IF('Datos Consumo '!$C$12="Si",'Datos Consumo '!$C31,IF('Datos Consumo '!$C$11="No",'Datos Consumo '!$C$14,'Datos Consumo '!$C$16*Auxiliares!$N$4+Auxiliares!$N$5*'Datos Consumo '!$C$18))</f>
        <v>23.829499957241211</v>
      </c>
      <c r="T15" s="186">
        <f ca="1">IF(Auxiliares!$D27&lt;(Producción!S18*$B54),Auxiliares!$D27,Producción!S18*$B54)*Auxiliares!$J$15*Auxiliares!$J$16*IF('Datos Consumo '!$C$12="Si",'Datos Consumo '!$C31,IF('Datos Consumo '!$C$11="No",'Datos Consumo '!$C$14,'Datos Consumo '!$C$16*Auxiliares!$N$4+Auxiliares!$N$5*'Datos Consumo '!$C$18))</f>
        <v>23.829499957241211</v>
      </c>
      <c r="U15" s="186">
        <f ca="1">IF(Auxiliares!$D27&lt;(Producción!T18*$B54),Auxiliares!$D27,Producción!T18*$B54)*Auxiliares!$J$15*Auxiliares!$J$16*IF('Datos Consumo '!$C$12="Si",'Datos Consumo '!$C31,IF('Datos Consumo '!$C$11="No",'Datos Consumo '!$C$14,'Datos Consumo '!$C$16*Auxiliares!$N$4+Auxiliares!$N$5*'Datos Consumo '!$C$18))</f>
        <v>23.829499957241211</v>
      </c>
      <c r="V15" s="186">
        <f ca="1">IF(Auxiliares!$D27&lt;(Producción!U18*$B54),Auxiliares!$D27,Producción!U18*$B54)*Auxiliares!$J$15*Auxiliares!$J$16*IF('Datos Consumo '!$C$12="Si",'Datos Consumo '!$C31,IF('Datos Consumo '!$C$11="No",'Datos Consumo '!$C$14,'Datos Consumo '!$C$16*Auxiliares!$N$4+Auxiliares!$N$5*'Datos Consumo '!$C$18))</f>
        <v>23.829499957241211</v>
      </c>
      <c r="W15" s="186">
        <f ca="1">IF(Auxiliares!$D27&lt;(Producción!V18*$B54),Auxiliares!$D27,Producción!V18*$B54)*Auxiliares!$J$15*Auxiliares!$J$16*IF('Datos Consumo '!$C$12="Si",'Datos Consumo '!$C31,IF('Datos Consumo '!$C$11="No",'Datos Consumo '!$C$14,'Datos Consumo '!$C$16*Auxiliares!$N$4+Auxiliares!$N$5*'Datos Consumo '!$C$18))</f>
        <v>23.829499957241211</v>
      </c>
      <c r="X15" s="186">
        <f ca="1">IF(Auxiliares!$D27&lt;(Producción!W18*$B54),Auxiliares!$D27,Producción!W18*$B54)*Auxiliares!$J$15*Auxiliares!$J$16*IF('Datos Consumo '!$C$12="Si",'Datos Consumo '!$C31,IF('Datos Consumo '!$C$11="No",'Datos Consumo '!$C$14,'Datos Consumo '!$C$16*Auxiliares!$N$4+Auxiliares!$N$5*'Datos Consumo '!$C$18))</f>
        <v>23.829499957241211</v>
      </c>
      <c r="Y15" s="186">
        <f ca="1">IF(Auxiliares!$D27&lt;(Producción!X18*$B54),Auxiliares!$D27,Producción!X18*$B54)*Auxiliares!$J$15*Auxiliares!$J$16*IF('Datos Consumo '!$C$12="Si",'Datos Consumo '!$C31,IF('Datos Consumo '!$C$11="No",'Datos Consumo '!$C$14,'Datos Consumo '!$C$16*Auxiliares!$N$4+Auxiliares!$N$5*'Datos Consumo '!$C$18))</f>
        <v>23.829499957241211</v>
      </c>
      <c r="Z15" s="186">
        <f ca="1">IF(Auxiliares!$D27&lt;(Producción!Y18*$B54),Auxiliares!$D27,Producción!Y18*$B54)*Auxiliares!$J$15*Auxiliares!$J$16*IF('Datos Consumo '!$C$12="Si",'Datos Consumo '!$C31,IF('Datos Consumo '!$C$11="No",'Datos Consumo '!$C$14,'Datos Consumo '!$C$16*Auxiliares!$N$4+Auxiliares!$N$5*'Datos Consumo '!$C$18))</f>
        <v>23.829499957241211</v>
      </c>
      <c r="AA15" s="186">
        <f ca="1">IF(Auxiliares!$D27&lt;(Producción!Z18*$B54),Auxiliares!$D27,Producción!Z18*$B54)*Auxiliares!$J$15*Auxiliares!$J$16*IF('Datos Consumo '!$C$12="Si",'Datos Consumo '!$C31,IF('Datos Consumo '!$C$11="No",'Datos Consumo '!$C$14,'Datos Consumo '!$C$16*Auxiliares!$N$4+Auxiliares!$N$5*'Datos Consumo '!$C$18))</f>
        <v>23.829499957241211</v>
      </c>
      <c r="AB15" s="186">
        <f ca="1">IF(Auxiliares!$D27&lt;(Producción!AA18*$B54),Auxiliares!$D27,Producción!AA18*$B54)*Auxiliares!$J$15*Auxiliares!$J$16*IF('Datos Consumo '!$C$12="Si",'Datos Consumo '!$C31,IF('Datos Consumo '!$C$11="No",'Datos Consumo '!$C$14,'Datos Consumo '!$C$16*Auxiliares!$N$4+Auxiliares!$N$5*'Datos Consumo '!$C$18))</f>
        <v>23.829499957241211</v>
      </c>
      <c r="AC15" s="186">
        <f ca="1">IF(Auxiliares!$D27&lt;(Producción!AB18*$B54),Auxiliares!$D27,Producción!AB18*$B54)*Auxiliares!$J$15*Auxiliares!$J$16*IF('Datos Consumo '!$C$12="Si",'Datos Consumo '!$C31,IF('Datos Consumo '!$C$11="No",'Datos Consumo '!$C$14,'Datos Consumo '!$C$16*Auxiliares!$N$4+Auxiliares!$N$5*'Datos Consumo '!$C$18))</f>
        <v>23.829499957241211</v>
      </c>
      <c r="AD15" s="186">
        <f ca="1">IF(Auxiliares!$D27&lt;(Producción!AC18*$B54),Auxiliares!$D27,Producción!AC18*$B54)*Auxiliares!$J$15*Auxiliares!$J$16*IF('Datos Consumo '!$C$12="Si",'Datos Consumo '!$C31,IF('Datos Consumo '!$C$11="No",'Datos Consumo '!$C$14,'Datos Consumo '!$C$16*Auxiliares!$N$4+Auxiliares!$N$5*'Datos Consumo '!$C$18))</f>
        <v>23.829499957241211</v>
      </c>
      <c r="AE15" s="186">
        <f ca="1">IF(Auxiliares!$D27&lt;(Producción!AD18*$B54),Auxiliares!$D27,Producción!AD18*$B54)*Auxiliares!$J$15*Auxiliares!$J$16*IF('Datos Consumo '!$C$12="Si",'Datos Consumo '!$C31,IF('Datos Consumo '!$C$11="No",'Datos Consumo '!$C$14,'Datos Consumo '!$C$16*Auxiliares!$N$4+Auxiliares!$N$5*'Datos Consumo '!$C$18))</f>
        <v>23.829499957241211</v>
      </c>
      <c r="AF15" s="186">
        <f ca="1">IF(Auxiliares!$D27&lt;(Producción!AE18*$B54),Auxiliares!$D27,Producción!AE18*$B54)*Auxiliares!$J$15*Auxiliares!$J$16*IF('Datos Consumo '!$C$12="Si",'Datos Consumo '!$C31,IF('Datos Consumo '!$C$11="No",'Datos Consumo '!$C$14,'Datos Consumo '!$C$16*Auxiliares!$N$4+Auxiliares!$N$5*'Datos Consumo '!$C$18))</f>
        <v>23.829499957241211</v>
      </c>
      <c r="AG15" s="186">
        <f ca="1">IF(Auxiliares!$D27&lt;(Producción!AF18*$B54),Auxiliares!$D27,Producción!AF18*$B54)*Auxiliares!$J$15*Auxiliares!$J$16*IF('Datos Consumo '!$C$12="Si",'Datos Consumo '!$C31,IF('Datos Consumo '!$C$11="No",'Datos Consumo '!$C$14,'Datos Consumo '!$C$16*Auxiliares!$N$4+Auxiliares!$N$5*'Datos Consumo '!$C$18))</f>
        <v>23.829499957241211</v>
      </c>
      <c r="AH15" s="186">
        <f ca="1">IF(Auxiliares!$D27&lt;(Producción!AG18*$B54),Auxiliares!$D27,Producción!AG18*$B54)*Auxiliares!$J$15*Auxiliares!$J$16*IF('Datos Consumo '!$C$12="Si",'Datos Consumo '!$C31,IF('Datos Consumo '!$C$11="No",'Datos Consumo '!$C$14,'Datos Consumo '!$C$16*Auxiliares!$N$4+Auxiliares!$N$5*'Datos Consumo '!$C$18))</f>
        <v>23.829499957241211</v>
      </c>
    </row>
    <row r="16" spans="2:34">
      <c r="B16" s="14" t="s">
        <v>338</v>
      </c>
      <c r="C16" s="12"/>
      <c r="D16">
        <f t="shared" ref="D16:W16" ca="1" si="14">SUM(D4:D15)</f>
        <v>228.76319958951555</v>
      </c>
      <c r="E16">
        <f t="shared" ca="1" si="14"/>
        <v>228.76319958951555</v>
      </c>
      <c r="F16">
        <f t="shared" ca="1" si="14"/>
        <v>228.76319958951555</v>
      </c>
      <c r="G16">
        <f t="shared" ca="1" si="14"/>
        <v>228.76319958951555</v>
      </c>
      <c r="H16">
        <f t="shared" ca="1" si="14"/>
        <v>228.76319958951555</v>
      </c>
      <c r="I16">
        <f t="shared" ca="1" si="14"/>
        <v>228.76319958951555</v>
      </c>
      <c r="J16">
        <f t="shared" ca="1" si="14"/>
        <v>228.76319958951555</v>
      </c>
      <c r="K16">
        <f t="shared" ca="1" si="14"/>
        <v>228.76319958951555</v>
      </c>
      <c r="L16">
        <f t="shared" ca="1" si="14"/>
        <v>228.76319958951555</v>
      </c>
      <c r="M16">
        <f t="shared" ca="1" si="14"/>
        <v>228.76319958951555</v>
      </c>
      <c r="N16">
        <f t="shared" ca="1" si="14"/>
        <v>228.76319958951555</v>
      </c>
      <c r="O16">
        <f t="shared" ca="1" si="14"/>
        <v>228.76319958951555</v>
      </c>
      <c r="P16">
        <f t="shared" ca="1" si="14"/>
        <v>228.76319958951555</v>
      </c>
      <c r="Q16">
        <f t="shared" ca="1" si="14"/>
        <v>228.76319958951555</v>
      </c>
      <c r="R16">
        <f t="shared" ca="1" si="14"/>
        <v>228.76319958951555</v>
      </c>
      <c r="S16">
        <f t="shared" ca="1" si="14"/>
        <v>228.76319958951555</v>
      </c>
      <c r="T16">
        <f t="shared" ca="1" si="14"/>
        <v>228.76319958951555</v>
      </c>
      <c r="U16">
        <f t="shared" ca="1" si="14"/>
        <v>228.76319958951555</v>
      </c>
      <c r="V16">
        <f t="shared" ca="1" si="14"/>
        <v>228.76319958951555</v>
      </c>
      <c r="W16">
        <f t="shared" ca="1" si="14"/>
        <v>228.76319958951555</v>
      </c>
    </row>
    <row r="21" spans="3:34" ht="28.8">
      <c r="C21" s="107" t="s">
        <v>323</v>
      </c>
    </row>
    <row r="22" spans="3:34">
      <c r="D22" s="24">
        <f>D3</f>
        <v>2020</v>
      </c>
      <c r="E22" s="24">
        <f t="shared" ref="E22:AH22" si="15">E3</f>
        <v>2021</v>
      </c>
      <c r="F22" s="24">
        <f t="shared" si="15"/>
        <v>2022</v>
      </c>
      <c r="G22" s="24">
        <f t="shared" si="15"/>
        <v>2023</v>
      </c>
      <c r="H22" s="24">
        <f t="shared" si="15"/>
        <v>2024</v>
      </c>
      <c r="I22" s="24">
        <f t="shared" si="15"/>
        <v>2025</v>
      </c>
      <c r="J22" s="24">
        <f t="shared" si="15"/>
        <v>2026</v>
      </c>
      <c r="K22" s="24">
        <f t="shared" si="15"/>
        <v>2027</v>
      </c>
      <c r="L22" s="24">
        <f t="shared" si="15"/>
        <v>2028</v>
      </c>
      <c r="M22" s="24">
        <f t="shared" si="15"/>
        <v>2029</v>
      </c>
      <c r="N22" s="24">
        <f t="shared" si="15"/>
        <v>2030</v>
      </c>
      <c r="O22" s="24">
        <f t="shared" si="15"/>
        <v>2031</v>
      </c>
      <c r="P22" s="24">
        <f t="shared" si="15"/>
        <v>2032</v>
      </c>
      <c r="Q22" s="24">
        <f t="shared" si="15"/>
        <v>2033</v>
      </c>
      <c r="R22" s="24">
        <f t="shared" si="15"/>
        <v>2034</v>
      </c>
      <c r="S22" s="24">
        <f t="shared" si="15"/>
        <v>2035</v>
      </c>
      <c r="T22" s="24">
        <f t="shared" si="15"/>
        <v>2036</v>
      </c>
      <c r="U22" s="24">
        <f t="shared" si="15"/>
        <v>2037</v>
      </c>
      <c r="V22" s="24">
        <f t="shared" si="15"/>
        <v>2038</v>
      </c>
      <c r="W22" s="24">
        <f t="shared" si="15"/>
        <v>2039</v>
      </c>
      <c r="X22" s="24">
        <f t="shared" si="15"/>
        <v>2040</v>
      </c>
      <c r="Y22" s="24">
        <f t="shared" si="15"/>
        <v>2041</v>
      </c>
      <c r="Z22" s="24">
        <f t="shared" si="15"/>
        <v>2042</v>
      </c>
      <c r="AA22" s="24">
        <f t="shared" si="15"/>
        <v>2043</v>
      </c>
      <c r="AB22" s="24">
        <f t="shared" si="15"/>
        <v>2044</v>
      </c>
      <c r="AC22" s="24">
        <f t="shared" si="15"/>
        <v>2045</v>
      </c>
      <c r="AD22" s="24">
        <f t="shared" si="15"/>
        <v>2046</v>
      </c>
      <c r="AE22" s="24">
        <f t="shared" si="15"/>
        <v>2047</v>
      </c>
      <c r="AF22" s="24">
        <f t="shared" si="15"/>
        <v>2048</v>
      </c>
      <c r="AG22" s="24">
        <f t="shared" si="15"/>
        <v>2049</v>
      </c>
      <c r="AH22" s="24">
        <f t="shared" si="15"/>
        <v>2050</v>
      </c>
    </row>
    <row r="23" spans="3:34">
      <c r="C23" s="24" t="str">
        <f>C4</f>
        <v>Enero</v>
      </c>
      <c r="D23">
        <f ca="1">IF(Auxiliares!$D16&lt;(Producción!C26*$B43),Auxiliares!$D16,Producción!C26*$B43)*Auxiliares!$J$15*Auxiliares!$J$16*IF('Datos Consumo '!$C$12="Si",'Datos Consumo '!$C20,IF('Datos Consumo '!$C$11="No",'Datos Consumo '!$C$14,'Datos Consumo '!$C$16*Auxiliares!$N$4+Auxiliares!$N$5*'Datos Consumo '!$C$18))</f>
        <v>23.829499957241211</v>
      </c>
      <c r="E23">
        <f ca="1">IF(Auxiliares!$D16&lt;(Producción!D26*$B43),Auxiliares!$D16,Producción!D26*$B43)*Auxiliares!$J$15*Auxiliares!$J$16*IF('Datos Consumo '!$C$12="Si",'Datos Consumo '!$C20,IF('Datos Consumo '!$C$11="No",'Datos Consumo '!$C$14,'Datos Consumo '!$C$16*Auxiliares!$N$4+Auxiliares!$N$5*'Datos Consumo '!$C$18))</f>
        <v>23.829499957241211</v>
      </c>
      <c r="F23">
        <f ca="1">IF(Auxiliares!$D16&lt;(Producción!E26*$B43),Auxiliares!$D16,Producción!E26*$B43)*Auxiliares!$J$15*Auxiliares!$J$16*IF('Datos Consumo '!$C$12="Si",'Datos Consumo '!$C20,IF('Datos Consumo '!$C$11="No",'Datos Consumo '!$C$14,'Datos Consumo '!$C$16*Auxiliares!$N$4+Auxiliares!$N$5*'Datos Consumo '!$C$18))</f>
        <v>23.829499957241211</v>
      </c>
      <c r="G23">
        <f ca="1">IF(Auxiliares!$D16&lt;(Producción!F26*$B43),Auxiliares!$D16,Producción!F26*$B43)*Auxiliares!$J$15*Auxiliares!$J$16*IF('Datos Consumo '!$C$12="Si",'Datos Consumo '!$C20,IF('Datos Consumo '!$C$11="No",'Datos Consumo '!$C$14,'Datos Consumo '!$C$16*Auxiliares!$N$4+Auxiliares!$N$5*'Datos Consumo '!$C$18))</f>
        <v>23.829499957241211</v>
      </c>
      <c r="H23">
        <f ca="1">IF(Auxiliares!$D16&lt;(Producción!G26*$B43),Auxiliares!$D16,Producción!G26*$B43)*Auxiliares!$J$15*Auxiliares!$J$16*IF('Datos Consumo '!$C$12="Si",'Datos Consumo '!$C20,IF('Datos Consumo '!$C$11="No",'Datos Consumo '!$C$14,'Datos Consumo '!$C$16*Auxiliares!$N$4+Auxiliares!$N$5*'Datos Consumo '!$C$18))</f>
        <v>23.829499957241211</v>
      </c>
      <c r="I23">
        <f ca="1">IF(Auxiliares!$D16&lt;(Producción!H26*$B43),Auxiliares!$D16,Producción!H26*$B43)*Auxiliares!$J$15*Auxiliares!$J$16*IF('Datos Consumo '!$C$12="Si",'Datos Consumo '!$C20,IF('Datos Consumo '!$C$11="No",'Datos Consumo '!$C$14,'Datos Consumo '!$C$16*Auxiliares!$N$4+Auxiliares!$N$5*'Datos Consumo '!$C$18))</f>
        <v>23.829499957241211</v>
      </c>
      <c r="J23">
        <f ca="1">IF(Auxiliares!$D16&lt;(Producción!I26*$B43),Auxiliares!$D16,Producción!I26*$B43)*Auxiliares!$J$15*Auxiliares!$J$16*IF('Datos Consumo '!$C$12="Si",'Datos Consumo '!$C20,IF('Datos Consumo '!$C$11="No",'Datos Consumo '!$C$14,'Datos Consumo '!$C$16*Auxiliares!$N$4+Auxiliares!$N$5*'Datos Consumo '!$C$18))</f>
        <v>23.829499957241211</v>
      </c>
      <c r="K23">
        <f ca="1">IF(Auxiliares!$D16&lt;(Producción!J26*$B43),Auxiliares!$D16,Producción!J26*$B43)*Auxiliares!$J$15*Auxiliares!$J$16*IF('Datos Consumo '!$C$12="Si",'Datos Consumo '!$C20,IF('Datos Consumo '!$C$11="No",'Datos Consumo '!$C$14,'Datos Consumo '!$C$16*Auxiliares!$N$4+Auxiliares!$N$5*'Datos Consumo '!$C$18))</f>
        <v>23.829499957241211</v>
      </c>
      <c r="L23">
        <f ca="1">IF(Auxiliares!$D16&lt;(Producción!K26*$B43),Auxiliares!$D16,Producción!K26*$B43)*Auxiliares!$J$15*Auxiliares!$J$16*IF('Datos Consumo '!$C$12="Si",'Datos Consumo '!$C20,IF('Datos Consumo '!$C$11="No",'Datos Consumo '!$C$14,'Datos Consumo '!$C$16*Auxiliares!$N$4+Auxiliares!$N$5*'Datos Consumo '!$C$18))</f>
        <v>23.829499957241211</v>
      </c>
      <c r="M23">
        <f ca="1">IF(Auxiliares!$D16&lt;(Producción!L26*$B43),Auxiliares!$D16,Producción!L26*$B43)*Auxiliares!$J$15*Auxiliares!$J$16*IF('Datos Consumo '!$C$12="Si",'Datos Consumo '!$C20,IF('Datos Consumo '!$C$11="No",'Datos Consumo '!$C$14,'Datos Consumo '!$C$16*Auxiliares!$N$4+Auxiliares!$N$5*'Datos Consumo '!$C$18))</f>
        <v>23.829499957241211</v>
      </c>
      <c r="N23">
        <f ca="1">IF(Auxiliares!$D16&lt;(Producción!M26*$B43),Auxiliares!$D16,Producción!M26*$B43)*Auxiliares!$J$15*Auxiliares!$J$16*IF('Datos Consumo '!$C$12="Si",'Datos Consumo '!$C20,IF('Datos Consumo '!$C$11="No",'Datos Consumo '!$C$14,'Datos Consumo '!$C$16*Auxiliares!$N$4+Auxiliares!$N$5*'Datos Consumo '!$C$18))</f>
        <v>23.829499957241211</v>
      </c>
      <c r="O23">
        <f ca="1">IF(Auxiliares!$D16&lt;(Producción!N26*$B43),Auxiliares!$D16,Producción!N26*$B43)*Auxiliares!$J$15*Auxiliares!$J$16*IF('Datos Consumo '!$C$12="Si",'Datos Consumo '!$C20,IF('Datos Consumo '!$C$11="No",'Datos Consumo '!$C$14,'Datos Consumo '!$C$16*Auxiliares!$N$4+Auxiliares!$N$5*'Datos Consumo '!$C$18))</f>
        <v>23.829499957241211</v>
      </c>
      <c r="P23">
        <f ca="1">IF(Auxiliares!$D16&lt;(Producción!O26*$B43),Auxiliares!$D16,Producción!O26*$B43)*Auxiliares!$J$15*Auxiliares!$J$16*IF('Datos Consumo '!$C$12="Si",'Datos Consumo '!$C20,IF('Datos Consumo '!$C$11="No",'Datos Consumo '!$C$14,'Datos Consumo '!$C$16*Auxiliares!$N$4+Auxiliares!$N$5*'Datos Consumo '!$C$18))</f>
        <v>23.829499957241211</v>
      </c>
      <c r="Q23">
        <f ca="1">IF(Auxiliares!$D16&lt;(Producción!P26*$B43),Auxiliares!$D16,Producción!P26*$B43)*Auxiliares!$J$15*Auxiliares!$J$16*IF('Datos Consumo '!$C$12="Si",'Datos Consumo '!$C20,IF('Datos Consumo '!$C$11="No",'Datos Consumo '!$C$14,'Datos Consumo '!$C$16*Auxiliares!$N$4+Auxiliares!$N$5*'Datos Consumo '!$C$18))</f>
        <v>23.829499957241211</v>
      </c>
      <c r="R23">
        <f ca="1">IF(Auxiliares!$D16&lt;(Producción!Q26*$B43),Auxiliares!$D16,Producción!Q26*$B43)*Auxiliares!$J$15*Auxiliares!$J$16*IF('Datos Consumo '!$C$12="Si",'Datos Consumo '!$C20,IF('Datos Consumo '!$C$11="No",'Datos Consumo '!$C$14,'Datos Consumo '!$C$16*Auxiliares!$N$4+Auxiliares!$N$5*'Datos Consumo '!$C$18))</f>
        <v>23.829499957241211</v>
      </c>
      <c r="S23">
        <f ca="1">IF(Auxiliares!$D16&lt;(Producción!R26*$B43),Auxiliares!$D16,Producción!R26*$B43)*Auxiliares!$J$15*Auxiliares!$J$16*IF('Datos Consumo '!$C$12="Si",'Datos Consumo '!$C20,IF('Datos Consumo '!$C$11="No",'Datos Consumo '!$C$14,'Datos Consumo '!$C$16*Auxiliares!$N$4+Auxiliares!$N$5*'Datos Consumo '!$C$18))</f>
        <v>23.829499957241211</v>
      </c>
      <c r="T23">
        <f ca="1">IF(Auxiliares!$D16&lt;(Producción!S26*$B43),Auxiliares!$D16,Producción!S26*$B43)*Auxiliares!$J$15*Auxiliares!$J$16*IF('Datos Consumo '!$C$12="Si",'Datos Consumo '!$C20,IF('Datos Consumo '!$C$11="No",'Datos Consumo '!$C$14,'Datos Consumo '!$C$16*Auxiliares!$N$4+Auxiliares!$N$5*'Datos Consumo '!$C$18))</f>
        <v>23.829499957241211</v>
      </c>
      <c r="U23">
        <f ca="1">IF(Auxiliares!$D16&lt;(Producción!T26*$B43),Auxiliares!$D16,Producción!T26*$B43)*Auxiliares!$J$15*Auxiliares!$J$16*IF('Datos Consumo '!$C$12="Si",'Datos Consumo '!$C20,IF('Datos Consumo '!$C$11="No",'Datos Consumo '!$C$14,'Datos Consumo '!$C$16*Auxiliares!$N$4+Auxiliares!$N$5*'Datos Consumo '!$C$18))</f>
        <v>23.829499957241211</v>
      </c>
      <c r="V23">
        <f ca="1">IF(Auxiliares!$D16&lt;(Producción!U26*$B43),Auxiliares!$D16,Producción!U26*$B43)*Auxiliares!$J$15*Auxiliares!$J$16*IF('Datos Consumo '!$C$12="Si",'Datos Consumo '!$C20,IF('Datos Consumo '!$C$11="No",'Datos Consumo '!$C$14,'Datos Consumo '!$C$16*Auxiliares!$N$4+Auxiliares!$N$5*'Datos Consumo '!$C$18))</f>
        <v>23.829499957241211</v>
      </c>
      <c r="W23">
        <f ca="1">IF(Auxiliares!$D16&lt;(Producción!V26*$B43),Auxiliares!$D16,Producción!V26*$B43)*Auxiliares!$J$15*Auxiliares!$J$16*IF('Datos Consumo '!$C$12="Si",'Datos Consumo '!$C20,IF('Datos Consumo '!$C$11="No",'Datos Consumo '!$C$14,'Datos Consumo '!$C$16*Auxiliares!$N$4+Auxiliares!$N$5*'Datos Consumo '!$C$18))</f>
        <v>23.829499957241211</v>
      </c>
      <c r="X23">
        <f ca="1">IF(Auxiliares!$D16&lt;(Producción!W26*$B43),Auxiliares!$D16,Producción!W26*$B43)*Auxiliares!$J$15*Auxiliares!$J$16*IF('Datos Consumo '!$C$12="Si",'Datos Consumo '!$C20,IF('Datos Consumo '!$C$11="No",'Datos Consumo '!$C$14,'Datos Consumo '!$C$16*Auxiliares!$N$4+Auxiliares!$N$5*'Datos Consumo '!$C$18))</f>
        <v>23.829499957241211</v>
      </c>
      <c r="Y23">
        <f ca="1">IF(Auxiliares!$D16&lt;(Producción!X26*$B43),Auxiliares!$D16,Producción!X26*$B43)*Auxiliares!$J$15*Auxiliares!$J$16*IF('Datos Consumo '!$C$12="Si",'Datos Consumo '!$C20,IF('Datos Consumo '!$C$11="No",'Datos Consumo '!$C$14,'Datos Consumo '!$C$16*Auxiliares!$N$4+Auxiliares!$N$5*'Datos Consumo '!$C$18))</f>
        <v>23.829499957241211</v>
      </c>
      <c r="Z23">
        <f ca="1">IF(Auxiliares!$D16&lt;(Producción!Y26*$B43),Auxiliares!$D16,Producción!Y26*$B43)*Auxiliares!$J$15*Auxiliares!$J$16*IF('Datos Consumo '!$C$12="Si",'Datos Consumo '!$C20,IF('Datos Consumo '!$C$11="No",'Datos Consumo '!$C$14,'Datos Consumo '!$C$16*Auxiliares!$N$4+Auxiliares!$N$5*'Datos Consumo '!$C$18))</f>
        <v>23.829499957241211</v>
      </c>
      <c r="AA23">
        <f ca="1">IF(Auxiliares!$D16&lt;(Producción!Z26*$B43),Auxiliares!$D16,Producción!Z26*$B43)*Auxiliares!$J$15*Auxiliares!$J$16*IF('Datos Consumo '!$C$12="Si",'Datos Consumo '!$C20,IF('Datos Consumo '!$C$11="No",'Datos Consumo '!$C$14,'Datos Consumo '!$C$16*Auxiliares!$N$4+Auxiliares!$N$5*'Datos Consumo '!$C$18))</f>
        <v>23.829499957241211</v>
      </c>
      <c r="AB23">
        <f ca="1">IF(Auxiliares!$D16&lt;(Producción!AA26*$B43),Auxiliares!$D16,Producción!AA26*$B43)*Auxiliares!$J$15*Auxiliares!$J$16*IF('Datos Consumo '!$C$12="Si",'Datos Consumo '!$C20,IF('Datos Consumo '!$C$11="No",'Datos Consumo '!$C$14,'Datos Consumo '!$C$16*Auxiliares!$N$4+Auxiliares!$N$5*'Datos Consumo '!$C$18))</f>
        <v>23.829499957241211</v>
      </c>
      <c r="AC23">
        <f ca="1">IF(Auxiliares!$D16&lt;(Producción!AB26*$B43),Auxiliares!$D16,Producción!AB26*$B43)*Auxiliares!$J$15*Auxiliares!$J$16*IF('Datos Consumo '!$C$12="Si",'Datos Consumo '!$C20,IF('Datos Consumo '!$C$11="No",'Datos Consumo '!$C$14,'Datos Consumo '!$C$16*Auxiliares!$N$4+Auxiliares!$N$5*'Datos Consumo '!$C$18))</f>
        <v>23.829499957241211</v>
      </c>
      <c r="AD23">
        <f ca="1">IF(Auxiliares!$D16&lt;(Producción!AC26*$B43),Auxiliares!$D16,Producción!AC26*$B43)*Auxiliares!$J$15*Auxiliares!$J$16*IF('Datos Consumo '!$C$12="Si",'Datos Consumo '!$C20,IF('Datos Consumo '!$C$11="No",'Datos Consumo '!$C$14,'Datos Consumo '!$C$16*Auxiliares!$N$4+Auxiliares!$N$5*'Datos Consumo '!$C$18))</f>
        <v>23.829499957241211</v>
      </c>
      <c r="AE23">
        <f ca="1">IF(Auxiliares!$D16&lt;(Producción!AD26*$B43),Auxiliares!$D16,Producción!AD26*$B43)*Auxiliares!$J$15*Auxiliares!$J$16*IF('Datos Consumo '!$C$12="Si",'Datos Consumo '!$C20,IF('Datos Consumo '!$C$11="No",'Datos Consumo '!$C$14,'Datos Consumo '!$C$16*Auxiliares!$N$4+Auxiliares!$N$5*'Datos Consumo '!$C$18))</f>
        <v>23.829499957241211</v>
      </c>
      <c r="AF23">
        <f ca="1">IF(Auxiliares!$D16&lt;(Producción!AE26*$B43),Auxiliares!$D16,Producción!AE26*$B43)*Auxiliares!$J$15*Auxiliares!$J$16*IF('Datos Consumo '!$C$12="Si",'Datos Consumo '!$C20,IF('Datos Consumo '!$C$11="No",'Datos Consumo '!$C$14,'Datos Consumo '!$C$16*Auxiliares!$N$4+Auxiliares!$N$5*'Datos Consumo '!$C$18))</f>
        <v>23.829499957241211</v>
      </c>
      <c r="AG23">
        <f ca="1">IF(Auxiliares!$D16&lt;(Producción!AF26*$B43),Auxiliares!$D16,Producción!AF26*$B43)*Auxiliares!$J$15*Auxiliares!$J$16*IF('Datos Consumo '!$C$12="Si",'Datos Consumo '!$C20,IF('Datos Consumo '!$C$11="No",'Datos Consumo '!$C$14,'Datos Consumo '!$C$16*Auxiliares!$N$4+Auxiliares!$N$5*'Datos Consumo '!$C$18))</f>
        <v>23.829499957241211</v>
      </c>
      <c r="AH23">
        <f ca="1">IF(Auxiliares!$D16&lt;(Producción!AG26*$B43),Auxiliares!$D16,Producción!AG26*$B43)*Auxiliares!$J$15*Auxiliares!$J$16*IF('Datos Consumo '!$C$12="Si",'Datos Consumo '!$C20,IF('Datos Consumo '!$C$11="No",'Datos Consumo '!$C$14,'Datos Consumo '!$C$16*Auxiliares!$N$4+Auxiliares!$N$5*'Datos Consumo '!$C$18))</f>
        <v>23.829499957241211</v>
      </c>
    </row>
    <row r="24" spans="3:34">
      <c r="C24" s="24" t="str">
        <f t="shared" ref="C24:C34" si="16">C5</f>
        <v>Febrero</v>
      </c>
      <c r="D24">
        <f ca="1">IF(Auxiliares!$D17&lt;(Producción!C27*$B44),Auxiliares!$D17,Producción!C27*$B44)*Auxiliares!$J$15*Auxiliares!$J$16*IF('Datos Consumo '!$C$12="Si",'Datos Consumo '!$C21,IF('Datos Consumo '!$C$11="No",'Datos Consumo '!$C$14,'Datos Consumo '!$C$16*Auxiliares!$N$4+Auxiliares!$N$5*'Datos Consumo '!$C$18))</f>
        <v>21.786971389477674</v>
      </c>
      <c r="E24">
        <f ca="1">IF(Auxiliares!$D17&lt;(Producción!D27*$B44),Auxiliares!$D17,Producción!D27*$B44)*Auxiliares!$J$15*Auxiliares!$J$16*IF('Datos Consumo '!$C$12="Si",'Datos Consumo '!$C21,IF('Datos Consumo '!$C$11="No",'Datos Consumo '!$C$14,'Datos Consumo '!$C$16*Auxiliares!$N$4+Auxiliares!$N$5*'Datos Consumo '!$C$18))</f>
        <v>21.786971389477674</v>
      </c>
      <c r="F24">
        <f ca="1">IF(Auxiliares!$D17&lt;(Producción!E27*$B44),Auxiliares!$D17,Producción!E27*$B44)*Auxiliares!$J$15*Auxiliares!$J$16*IF('Datos Consumo '!$C$12="Si",'Datos Consumo '!$C21,IF('Datos Consumo '!$C$11="No",'Datos Consumo '!$C$14,'Datos Consumo '!$C$16*Auxiliares!$N$4+Auxiliares!$N$5*'Datos Consumo '!$C$18))</f>
        <v>21.786971389477674</v>
      </c>
      <c r="G24">
        <f ca="1">IF(Auxiliares!$D17&lt;(Producción!F27*$B44),Auxiliares!$D17,Producción!F27*$B44)*Auxiliares!$J$15*Auxiliares!$J$16*IF('Datos Consumo '!$C$12="Si",'Datos Consumo '!$C21,IF('Datos Consumo '!$C$11="No",'Datos Consumo '!$C$14,'Datos Consumo '!$C$16*Auxiliares!$N$4+Auxiliares!$N$5*'Datos Consumo '!$C$18))</f>
        <v>21.786971389477674</v>
      </c>
      <c r="H24">
        <f ca="1">IF(Auxiliares!$D17&lt;(Producción!G27*$B44),Auxiliares!$D17,Producción!G27*$B44)*Auxiliares!$J$15*Auxiliares!$J$16*IF('Datos Consumo '!$C$12="Si",'Datos Consumo '!$C21,IF('Datos Consumo '!$C$11="No",'Datos Consumo '!$C$14,'Datos Consumo '!$C$16*Auxiliares!$N$4+Auxiliares!$N$5*'Datos Consumo '!$C$18))</f>
        <v>21.786971389477674</v>
      </c>
      <c r="I24">
        <f ca="1">IF(Auxiliares!$D17&lt;(Producción!H27*$B44),Auxiliares!$D17,Producción!H27*$B44)*Auxiliares!$J$15*Auxiliares!$J$16*IF('Datos Consumo '!$C$12="Si",'Datos Consumo '!$C21,IF('Datos Consumo '!$C$11="No",'Datos Consumo '!$C$14,'Datos Consumo '!$C$16*Auxiliares!$N$4+Auxiliares!$N$5*'Datos Consumo '!$C$18))</f>
        <v>21.786971389477674</v>
      </c>
      <c r="J24">
        <f ca="1">IF(Auxiliares!$D17&lt;(Producción!I27*$B44),Auxiliares!$D17,Producción!I27*$B44)*Auxiliares!$J$15*Auxiliares!$J$16*IF('Datos Consumo '!$C$12="Si",'Datos Consumo '!$C21,IF('Datos Consumo '!$C$11="No",'Datos Consumo '!$C$14,'Datos Consumo '!$C$16*Auxiliares!$N$4+Auxiliares!$N$5*'Datos Consumo '!$C$18))</f>
        <v>21.786971389477674</v>
      </c>
      <c r="K24">
        <f ca="1">IF(Auxiliares!$D17&lt;(Producción!J27*$B44),Auxiliares!$D17,Producción!J27*$B44)*Auxiliares!$J$15*Auxiliares!$J$16*IF('Datos Consumo '!$C$12="Si",'Datos Consumo '!$C21,IF('Datos Consumo '!$C$11="No",'Datos Consumo '!$C$14,'Datos Consumo '!$C$16*Auxiliares!$N$4+Auxiliares!$N$5*'Datos Consumo '!$C$18))</f>
        <v>21.786971389477674</v>
      </c>
      <c r="L24">
        <f ca="1">IF(Auxiliares!$D17&lt;(Producción!K27*$B44),Auxiliares!$D17,Producción!K27*$B44)*Auxiliares!$J$15*Auxiliares!$J$16*IF('Datos Consumo '!$C$12="Si",'Datos Consumo '!$C21,IF('Datos Consumo '!$C$11="No",'Datos Consumo '!$C$14,'Datos Consumo '!$C$16*Auxiliares!$N$4+Auxiliares!$N$5*'Datos Consumo '!$C$18))</f>
        <v>21.786971389477674</v>
      </c>
      <c r="M24">
        <f ca="1">IF(Auxiliares!$D17&lt;(Producción!L27*$B44),Auxiliares!$D17,Producción!L27*$B44)*Auxiliares!$J$15*Auxiliares!$J$16*IF('Datos Consumo '!$C$12="Si",'Datos Consumo '!$C21,IF('Datos Consumo '!$C$11="No",'Datos Consumo '!$C$14,'Datos Consumo '!$C$16*Auxiliares!$N$4+Auxiliares!$N$5*'Datos Consumo '!$C$18))</f>
        <v>21.786971389477674</v>
      </c>
      <c r="N24">
        <f ca="1">IF(Auxiliares!$D17&lt;(Producción!M27*$B44),Auxiliares!$D17,Producción!M27*$B44)*Auxiliares!$J$15*Auxiliares!$J$16*IF('Datos Consumo '!$C$12="Si",'Datos Consumo '!$C21,IF('Datos Consumo '!$C$11="No",'Datos Consumo '!$C$14,'Datos Consumo '!$C$16*Auxiliares!$N$4+Auxiliares!$N$5*'Datos Consumo '!$C$18))</f>
        <v>21.786971389477674</v>
      </c>
      <c r="O24">
        <f ca="1">IF(Auxiliares!$D17&lt;(Producción!N27*$B44),Auxiliares!$D17,Producción!N27*$B44)*Auxiliares!$J$15*Auxiliares!$J$16*IF('Datos Consumo '!$C$12="Si",'Datos Consumo '!$C21,IF('Datos Consumo '!$C$11="No",'Datos Consumo '!$C$14,'Datos Consumo '!$C$16*Auxiliares!$N$4+Auxiliares!$N$5*'Datos Consumo '!$C$18))</f>
        <v>21.786971389477674</v>
      </c>
      <c r="P24">
        <f ca="1">IF(Auxiliares!$D17&lt;(Producción!O27*$B44),Auxiliares!$D17,Producción!O27*$B44)*Auxiliares!$J$15*Auxiliares!$J$16*IF('Datos Consumo '!$C$12="Si",'Datos Consumo '!$C21,IF('Datos Consumo '!$C$11="No",'Datos Consumo '!$C$14,'Datos Consumo '!$C$16*Auxiliares!$N$4+Auxiliares!$N$5*'Datos Consumo '!$C$18))</f>
        <v>21.786971389477674</v>
      </c>
      <c r="Q24">
        <f ca="1">IF(Auxiliares!$D17&lt;(Producción!P27*$B44),Auxiliares!$D17,Producción!P27*$B44)*Auxiliares!$J$15*Auxiliares!$J$16*IF('Datos Consumo '!$C$12="Si",'Datos Consumo '!$C21,IF('Datos Consumo '!$C$11="No",'Datos Consumo '!$C$14,'Datos Consumo '!$C$16*Auxiliares!$N$4+Auxiliares!$N$5*'Datos Consumo '!$C$18))</f>
        <v>21.786971389477674</v>
      </c>
      <c r="R24">
        <f ca="1">IF(Auxiliares!$D17&lt;(Producción!Q27*$B44),Auxiliares!$D17,Producción!Q27*$B44)*Auxiliares!$J$15*Auxiliares!$J$16*IF('Datos Consumo '!$C$12="Si",'Datos Consumo '!$C21,IF('Datos Consumo '!$C$11="No",'Datos Consumo '!$C$14,'Datos Consumo '!$C$16*Auxiliares!$N$4+Auxiliares!$N$5*'Datos Consumo '!$C$18))</f>
        <v>21.786971389477674</v>
      </c>
      <c r="S24">
        <f ca="1">IF(Auxiliares!$D17&lt;(Producción!R27*$B44),Auxiliares!$D17,Producción!R27*$B44)*Auxiliares!$J$15*Auxiliares!$J$16*IF('Datos Consumo '!$C$12="Si",'Datos Consumo '!$C21,IF('Datos Consumo '!$C$11="No",'Datos Consumo '!$C$14,'Datos Consumo '!$C$16*Auxiliares!$N$4+Auxiliares!$N$5*'Datos Consumo '!$C$18))</f>
        <v>21.786971389477674</v>
      </c>
      <c r="T24">
        <f ca="1">IF(Auxiliares!$D17&lt;(Producción!S27*$B44),Auxiliares!$D17,Producción!S27*$B44)*Auxiliares!$J$15*Auxiliares!$J$16*IF('Datos Consumo '!$C$12="Si",'Datos Consumo '!$C21,IF('Datos Consumo '!$C$11="No",'Datos Consumo '!$C$14,'Datos Consumo '!$C$16*Auxiliares!$N$4+Auxiliares!$N$5*'Datos Consumo '!$C$18))</f>
        <v>21.786971389477674</v>
      </c>
      <c r="U24">
        <f ca="1">IF(Auxiliares!$D17&lt;(Producción!T27*$B44),Auxiliares!$D17,Producción!T27*$B44)*Auxiliares!$J$15*Auxiliares!$J$16*IF('Datos Consumo '!$C$12="Si",'Datos Consumo '!$C21,IF('Datos Consumo '!$C$11="No",'Datos Consumo '!$C$14,'Datos Consumo '!$C$16*Auxiliares!$N$4+Auxiliares!$N$5*'Datos Consumo '!$C$18))</f>
        <v>21.786971389477674</v>
      </c>
      <c r="V24">
        <f ca="1">IF(Auxiliares!$D17&lt;(Producción!U27*$B44),Auxiliares!$D17,Producción!U27*$B44)*Auxiliares!$J$15*Auxiliares!$J$16*IF('Datos Consumo '!$C$12="Si",'Datos Consumo '!$C21,IF('Datos Consumo '!$C$11="No",'Datos Consumo '!$C$14,'Datos Consumo '!$C$16*Auxiliares!$N$4+Auxiliares!$N$5*'Datos Consumo '!$C$18))</f>
        <v>21.786971389477674</v>
      </c>
      <c r="W24">
        <f ca="1">IF(Auxiliares!$D17&lt;(Producción!V27*$B44),Auxiliares!$D17,Producción!V27*$B44)*Auxiliares!$J$15*Auxiliares!$J$16*IF('Datos Consumo '!$C$12="Si",'Datos Consumo '!$C21,IF('Datos Consumo '!$C$11="No",'Datos Consumo '!$C$14,'Datos Consumo '!$C$16*Auxiliares!$N$4+Auxiliares!$N$5*'Datos Consumo '!$C$18))</f>
        <v>21.786971389477674</v>
      </c>
      <c r="X24">
        <f ca="1">IF(Auxiliares!$D17&lt;(Producción!W27*$B44),Auxiliares!$D17,Producción!W27*$B44)*Auxiliares!$J$15*Auxiliares!$J$16*IF('Datos Consumo '!$C$12="Si",'Datos Consumo '!$C21,IF('Datos Consumo '!$C$11="No",'Datos Consumo '!$C$14,'Datos Consumo '!$C$16*Auxiliares!$N$4+Auxiliares!$N$5*'Datos Consumo '!$C$18))</f>
        <v>21.786971389477674</v>
      </c>
      <c r="Y24">
        <f ca="1">IF(Auxiliares!$D17&lt;(Producción!X27*$B44),Auxiliares!$D17,Producción!X27*$B44)*Auxiliares!$J$15*Auxiliares!$J$16*IF('Datos Consumo '!$C$12="Si",'Datos Consumo '!$C21,IF('Datos Consumo '!$C$11="No",'Datos Consumo '!$C$14,'Datos Consumo '!$C$16*Auxiliares!$N$4+Auxiliares!$N$5*'Datos Consumo '!$C$18))</f>
        <v>21.786971389477674</v>
      </c>
      <c r="Z24">
        <f ca="1">IF(Auxiliares!$D17&lt;(Producción!Y27*$B44),Auxiliares!$D17,Producción!Y27*$B44)*Auxiliares!$J$15*Auxiliares!$J$16*IF('Datos Consumo '!$C$12="Si",'Datos Consumo '!$C21,IF('Datos Consumo '!$C$11="No",'Datos Consumo '!$C$14,'Datos Consumo '!$C$16*Auxiliares!$N$4+Auxiliares!$N$5*'Datos Consumo '!$C$18))</f>
        <v>21.786971389477674</v>
      </c>
      <c r="AA24">
        <f ca="1">IF(Auxiliares!$D17&lt;(Producción!Z27*$B44),Auxiliares!$D17,Producción!Z27*$B44)*Auxiliares!$J$15*Auxiliares!$J$16*IF('Datos Consumo '!$C$12="Si",'Datos Consumo '!$C21,IF('Datos Consumo '!$C$11="No",'Datos Consumo '!$C$14,'Datos Consumo '!$C$16*Auxiliares!$N$4+Auxiliares!$N$5*'Datos Consumo '!$C$18))</f>
        <v>21.786971389477674</v>
      </c>
      <c r="AB24">
        <f ca="1">IF(Auxiliares!$D17&lt;(Producción!AA27*$B44),Auxiliares!$D17,Producción!AA27*$B44)*Auxiliares!$J$15*Auxiliares!$J$16*IF('Datos Consumo '!$C$12="Si",'Datos Consumo '!$C21,IF('Datos Consumo '!$C$11="No",'Datos Consumo '!$C$14,'Datos Consumo '!$C$16*Auxiliares!$N$4+Auxiliares!$N$5*'Datos Consumo '!$C$18))</f>
        <v>21.786971389477674</v>
      </c>
      <c r="AC24">
        <f ca="1">IF(Auxiliares!$D17&lt;(Producción!AB27*$B44),Auxiliares!$D17,Producción!AB27*$B44)*Auxiliares!$J$15*Auxiliares!$J$16*IF('Datos Consumo '!$C$12="Si",'Datos Consumo '!$C21,IF('Datos Consumo '!$C$11="No",'Datos Consumo '!$C$14,'Datos Consumo '!$C$16*Auxiliares!$N$4+Auxiliares!$N$5*'Datos Consumo '!$C$18))</f>
        <v>21.786971389477674</v>
      </c>
      <c r="AD24">
        <f ca="1">IF(Auxiliares!$D17&lt;(Producción!AC27*$B44),Auxiliares!$D17,Producción!AC27*$B44)*Auxiliares!$J$15*Auxiliares!$J$16*IF('Datos Consumo '!$C$12="Si",'Datos Consumo '!$C21,IF('Datos Consumo '!$C$11="No",'Datos Consumo '!$C$14,'Datos Consumo '!$C$16*Auxiliares!$N$4+Auxiliares!$N$5*'Datos Consumo '!$C$18))</f>
        <v>21.786971389477674</v>
      </c>
      <c r="AE24">
        <f ca="1">IF(Auxiliares!$D17&lt;(Producción!AD27*$B44),Auxiliares!$D17,Producción!AD27*$B44)*Auxiliares!$J$15*Auxiliares!$J$16*IF('Datos Consumo '!$C$12="Si",'Datos Consumo '!$C21,IF('Datos Consumo '!$C$11="No",'Datos Consumo '!$C$14,'Datos Consumo '!$C$16*Auxiliares!$N$4+Auxiliares!$N$5*'Datos Consumo '!$C$18))</f>
        <v>21.786971389477674</v>
      </c>
      <c r="AF24">
        <f ca="1">IF(Auxiliares!$D17&lt;(Producción!AE27*$B44),Auxiliares!$D17,Producción!AE27*$B44)*Auxiliares!$J$15*Auxiliares!$J$16*IF('Datos Consumo '!$C$12="Si",'Datos Consumo '!$C21,IF('Datos Consumo '!$C$11="No",'Datos Consumo '!$C$14,'Datos Consumo '!$C$16*Auxiliares!$N$4+Auxiliares!$N$5*'Datos Consumo '!$C$18))</f>
        <v>21.786971389477674</v>
      </c>
      <c r="AG24">
        <f ca="1">IF(Auxiliares!$D17&lt;(Producción!AF27*$B44),Auxiliares!$D17,Producción!AF27*$B44)*Auxiliares!$J$15*Auxiliares!$J$16*IF('Datos Consumo '!$C$12="Si",'Datos Consumo '!$C21,IF('Datos Consumo '!$C$11="No",'Datos Consumo '!$C$14,'Datos Consumo '!$C$16*Auxiliares!$N$4+Auxiliares!$N$5*'Datos Consumo '!$C$18))</f>
        <v>21.786971389477674</v>
      </c>
      <c r="AH24">
        <f ca="1">IF(Auxiliares!$D17&lt;(Producción!AG27*$B44),Auxiliares!$D17,Producción!AG27*$B44)*Auxiliares!$J$15*Auxiliares!$J$16*IF('Datos Consumo '!$C$12="Si",'Datos Consumo '!$C21,IF('Datos Consumo '!$C$11="No",'Datos Consumo '!$C$14,'Datos Consumo '!$C$16*Auxiliares!$N$4+Auxiliares!$N$5*'Datos Consumo '!$C$18))</f>
        <v>21.786971389477674</v>
      </c>
    </row>
    <row r="25" spans="3:34">
      <c r="C25" s="24" t="str">
        <f t="shared" si="16"/>
        <v>Marzo</v>
      </c>
      <c r="D25">
        <f ca="1">IF(Auxiliares!$D18&lt;(Producción!C28*$B45),Auxiliares!$D18,Producción!C28*$B45)*Auxiliares!$J$15*Auxiliares!$J$16*IF('Datos Consumo '!$C$12="Si",'Datos Consumo '!$C22,IF('Datos Consumo '!$C$11="No",'Datos Consumo '!$C$14,'Datos Consumo '!$C$16*Auxiliares!$N$4+Auxiliares!$N$5*'Datos Consumo '!$C$18))</f>
        <v>18.38275710987179</v>
      </c>
      <c r="E25">
        <f ca="1">IF(Auxiliares!$D18&lt;(Producción!D28*$B45),Auxiliares!$D18,Producción!D28*$B45)*Auxiliares!$J$15*Auxiliares!$J$16*IF('Datos Consumo '!$C$12="Si",'Datos Consumo '!$C22,IF('Datos Consumo '!$C$11="No",'Datos Consumo '!$C$14,'Datos Consumo '!$C$16*Auxiliares!$N$4+Auxiliares!$N$5*'Datos Consumo '!$C$18))</f>
        <v>18.38275710987179</v>
      </c>
      <c r="F25">
        <f ca="1">IF(Auxiliares!$D18&lt;(Producción!E28*$B45),Auxiliares!$D18,Producción!E28*$B45)*Auxiliares!$J$15*Auxiliares!$J$16*IF('Datos Consumo '!$C$12="Si",'Datos Consumo '!$C22,IF('Datos Consumo '!$C$11="No",'Datos Consumo '!$C$14,'Datos Consumo '!$C$16*Auxiliares!$N$4+Auxiliares!$N$5*'Datos Consumo '!$C$18))</f>
        <v>18.38275710987179</v>
      </c>
      <c r="G25">
        <f ca="1">IF(Auxiliares!$D18&lt;(Producción!F28*$B45),Auxiliares!$D18,Producción!F28*$B45)*Auxiliares!$J$15*Auxiliares!$J$16*IF('Datos Consumo '!$C$12="Si",'Datos Consumo '!$C22,IF('Datos Consumo '!$C$11="No",'Datos Consumo '!$C$14,'Datos Consumo '!$C$16*Auxiliares!$N$4+Auxiliares!$N$5*'Datos Consumo '!$C$18))</f>
        <v>18.38275710987179</v>
      </c>
      <c r="H25">
        <f ca="1">IF(Auxiliares!$D18&lt;(Producción!G28*$B45),Auxiliares!$D18,Producción!G28*$B45)*Auxiliares!$J$15*Auxiliares!$J$16*IF('Datos Consumo '!$C$12="Si",'Datos Consumo '!$C22,IF('Datos Consumo '!$C$11="No",'Datos Consumo '!$C$14,'Datos Consumo '!$C$16*Auxiliares!$N$4+Auxiliares!$N$5*'Datos Consumo '!$C$18))</f>
        <v>18.38275710987179</v>
      </c>
      <c r="I25">
        <f ca="1">IF(Auxiliares!$D18&lt;(Producción!H28*$B45),Auxiliares!$D18,Producción!H28*$B45)*Auxiliares!$J$15*Auxiliares!$J$16*IF('Datos Consumo '!$C$12="Si",'Datos Consumo '!$C22,IF('Datos Consumo '!$C$11="No",'Datos Consumo '!$C$14,'Datos Consumo '!$C$16*Auxiliares!$N$4+Auxiliares!$N$5*'Datos Consumo '!$C$18))</f>
        <v>18.38275710987179</v>
      </c>
      <c r="J25">
        <f ca="1">IF(Auxiliares!$D18&lt;(Producción!I28*$B45),Auxiliares!$D18,Producción!I28*$B45)*Auxiliares!$J$15*Auxiliares!$J$16*IF('Datos Consumo '!$C$12="Si",'Datos Consumo '!$C22,IF('Datos Consumo '!$C$11="No",'Datos Consumo '!$C$14,'Datos Consumo '!$C$16*Auxiliares!$N$4+Auxiliares!$N$5*'Datos Consumo '!$C$18))</f>
        <v>18.38275710987179</v>
      </c>
      <c r="K25">
        <f ca="1">IF(Auxiliares!$D18&lt;(Producción!J28*$B45),Auxiliares!$D18,Producción!J28*$B45)*Auxiliares!$J$15*Auxiliares!$J$16*IF('Datos Consumo '!$C$12="Si",'Datos Consumo '!$C22,IF('Datos Consumo '!$C$11="No",'Datos Consumo '!$C$14,'Datos Consumo '!$C$16*Auxiliares!$N$4+Auxiliares!$N$5*'Datos Consumo '!$C$18))</f>
        <v>18.38275710987179</v>
      </c>
      <c r="L25">
        <f ca="1">IF(Auxiliares!$D18&lt;(Producción!K28*$B45),Auxiliares!$D18,Producción!K28*$B45)*Auxiliares!$J$15*Auxiliares!$J$16*IF('Datos Consumo '!$C$12="Si",'Datos Consumo '!$C22,IF('Datos Consumo '!$C$11="No",'Datos Consumo '!$C$14,'Datos Consumo '!$C$16*Auxiliares!$N$4+Auxiliares!$N$5*'Datos Consumo '!$C$18))</f>
        <v>18.38275710987179</v>
      </c>
      <c r="M25">
        <f ca="1">IF(Auxiliares!$D18&lt;(Producción!L28*$B45),Auxiliares!$D18,Producción!L28*$B45)*Auxiliares!$J$15*Auxiliares!$J$16*IF('Datos Consumo '!$C$12="Si",'Datos Consumo '!$C22,IF('Datos Consumo '!$C$11="No",'Datos Consumo '!$C$14,'Datos Consumo '!$C$16*Auxiliares!$N$4+Auxiliares!$N$5*'Datos Consumo '!$C$18))</f>
        <v>18.38275710987179</v>
      </c>
      <c r="N25">
        <f ca="1">IF(Auxiliares!$D18&lt;(Producción!M28*$B45),Auxiliares!$D18,Producción!M28*$B45)*Auxiliares!$J$15*Auxiliares!$J$16*IF('Datos Consumo '!$C$12="Si",'Datos Consumo '!$C22,IF('Datos Consumo '!$C$11="No",'Datos Consumo '!$C$14,'Datos Consumo '!$C$16*Auxiliares!$N$4+Auxiliares!$N$5*'Datos Consumo '!$C$18))</f>
        <v>18.38275710987179</v>
      </c>
      <c r="O25">
        <f ca="1">IF(Auxiliares!$D18&lt;(Producción!N28*$B45),Auxiliares!$D18,Producción!N28*$B45)*Auxiliares!$J$15*Auxiliares!$J$16*IF('Datos Consumo '!$C$12="Si",'Datos Consumo '!$C22,IF('Datos Consumo '!$C$11="No",'Datos Consumo '!$C$14,'Datos Consumo '!$C$16*Auxiliares!$N$4+Auxiliares!$N$5*'Datos Consumo '!$C$18))</f>
        <v>18.38275710987179</v>
      </c>
      <c r="P25">
        <f ca="1">IF(Auxiliares!$D18&lt;(Producción!O28*$B45),Auxiliares!$D18,Producción!O28*$B45)*Auxiliares!$J$15*Auxiliares!$J$16*IF('Datos Consumo '!$C$12="Si",'Datos Consumo '!$C22,IF('Datos Consumo '!$C$11="No",'Datos Consumo '!$C$14,'Datos Consumo '!$C$16*Auxiliares!$N$4+Auxiliares!$N$5*'Datos Consumo '!$C$18))</f>
        <v>18.38275710987179</v>
      </c>
      <c r="Q25">
        <f ca="1">IF(Auxiliares!$D18&lt;(Producción!P28*$B45),Auxiliares!$D18,Producción!P28*$B45)*Auxiliares!$J$15*Auxiliares!$J$16*IF('Datos Consumo '!$C$12="Si",'Datos Consumo '!$C22,IF('Datos Consumo '!$C$11="No",'Datos Consumo '!$C$14,'Datos Consumo '!$C$16*Auxiliares!$N$4+Auxiliares!$N$5*'Datos Consumo '!$C$18))</f>
        <v>18.38275710987179</v>
      </c>
      <c r="R25">
        <f ca="1">IF(Auxiliares!$D18&lt;(Producción!Q28*$B45),Auxiliares!$D18,Producción!Q28*$B45)*Auxiliares!$J$15*Auxiliares!$J$16*IF('Datos Consumo '!$C$12="Si",'Datos Consumo '!$C22,IF('Datos Consumo '!$C$11="No",'Datos Consumo '!$C$14,'Datos Consumo '!$C$16*Auxiliares!$N$4+Auxiliares!$N$5*'Datos Consumo '!$C$18))</f>
        <v>18.38275710987179</v>
      </c>
      <c r="S25">
        <f ca="1">IF(Auxiliares!$D18&lt;(Producción!R28*$B45),Auxiliares!$D18,Producción!R28*$B45)*Auxiliares!$J$15*Auxiliares!$J$16*IF('Datos Consumo '!$C$12="Si",'Datos Consumo '!$C22,IF('Datos Consumo '!$C$11="No",'Datos Consumo '!$C$14,'Datos Consumo '!$C$16*Auxiliares!$N$4+Auxiliares!$N$5*'Datos Consumo '!$C$18))</f>
        <v>18.38275710987179</v>
      </c>
      <c r="T25">
        <f ca="1">IF(Auxiliares!$D18&lt;(Producción!S28*$B45),Auxiliares!$D18,Producción!S28*$B45)*Auxiliares!$J$15*Auxiliares!$J$16*IF('Datos Consumo '!$C$12="Si",'Datos Consumo '!$C22,IF('Datos Consumo '!$C$11="No",'Datos Consumo '!$C$14,'Datos Consumo '!$C$16*Auxiliares!$N$4+Auxiliares!$N$5*'Datos Consumo '!$C$18))</f>
        <v>18.38275710987179</v>
      </c>
      <c r="U25">
        <f ca="1">IF(Auxiliares!$D18&lt;(Producción!T28*$B45),Auxiliares!$D18,Producción!T28*$B45)*Auxiliares!$J$15*Auxiliares!$J$16*IF('Datos Consumo '!$C$12="Si",'Datos Consumo '!$C22,IF('Datos Consumo '!$C$11="No",'Datos Consumo '!$C$14,'Datos Consumo '!$C$16*Auxiliares!$N$4+Auxiliares!$N$5*'Datos Consumo '!$C$18))</f>
        <v>18.38275710987179</v>
      </c>
      <c r="V25">
        <f ca="1">IF(Auxiliares!$D18&lt;(Producción!U28*$B45),Auxiliares!$D18,Producción!U28*$B45)*Auxiliares!$J$15*Auxiliares!$J$16*IF('Datos Consumo '!$C$12="Si",'Datos Consumo '!$C22,IF('Datos Consumo '!$C$11="No",'Datos Consumo '!$C$14,'Datos Consumo '!$C$16*Auxiliares!$N$4+Auxiliares!$N$5*'Datos Consumo '!$C$18))</f>
        <v>18.38275710987179</v>
      </c>
      <c r="W25">
        <f ca="1">IF(Auxiliares!$D18&lt;(Producción!V28*$B45),Auxiliares!$D18,Producción!V28*$B45)*Auxiliares!$J$15*Auxiliares!$J$16*IF('Datos Consumo '!$C$12="Si",'Datos Consumo '!$C22,IF('Datos Consumo '!$C$11="No",'Datos Consumo '!$C$14,'Datos Consumo '!$C$16*Auxiliares!$N$4+Auxiliares!$N$5*'Datos Consumo '!$C$18))</f>
        <v>18.38275710987179</v>
      </c>
      <c r="X25">
        <f ca="1">IF(Auxiliares!$D18&lt;(Producción!W28*$B45),Auxiliares!$D18,Producción!W28*$B45)*Auxiliares!$J$15*Auxiliares!$J$16*IF('Datos Consumo '!$C$12="Si",'Datos Consumo '!$C22,IF('Datos Consumo '!$C$11="No",'Datos Consumo '!$C$14,'Datos Consumo '!$C$16*Auxiliares!$N$4+Auxiliares!$N$5*'Datos Consumo '!$C$18))</f>
        <v>18.38275710987179</v>
      </c>
      <c r="Y25">
        <f ca="1">IF(Auxiliares!$D18&lt;(Producción!X28*$B45),Auxiliares!$D18,Producción!X28*$B45)*Auxiliares!$J$15*Auxiliares!$J$16*IF('Datos Consumo '!$C$12="Si",'Datos Consumo '!$C22,IF('Datos Consumo '!$C$11="No",'Datos Consumo '!$C$14,'Datos Consumo '!$C$16*Auxiliares!$N$4+Auxiliares!$N$5*'Datos Consumo '!$C$18))</f>
        <v>18.38275710987179</v>
      </c>
      <c r="Z25">
        <f ca="1">IF(Auxiliares!$D18&lt;(Producción!Y28*$B45),Auxiliares!$D18,Producción!Y28*$B45)*Auxiliares!$J$15*Auxiliares!$J$16*IF('Datos Consumo '!$C$12="Si",'Datos Consumo '!$C22,IF('Datos Consumo '!$C$11="No",'Datos Consumo '!$C$14,'Datos Consumo '!$C$16*Auxiliares!$N$4+Auxiliares!$N$5*'Datos Consumo '!$C$18))</f>
        <v>18.38275710987179</v>
      </c>
      <c r="AA25">
        <f ca="1">IF(Auxiliares!$D18&lt;(Producción!Z28*$B45),Auxiliares!$D18,Producción!Z28*$B45)*Auxiliares!$J$15*Auxiliares!$J$16*IF('Datos Consumo '!$C$12="Si",'Datos Consumo '!$C22,IF('Datos Consumo '!$C$11="No",'Datos Consumo '!$C$14,'Datos Consumo '!$C$16*Auxiliares!$N$4+Auxiliares!$N$5*'Datos Consumo '!$C$18))</f>
        <v>18.38275710987179</v>
      </c>
      <c r="AB25">
        <f ca="1">IF(Auxiliares!$D18&lt;(Producción!AA28*$B45),Auxiliares!$D18,Producción!AA28*$B45)*Auxiliares!$J$15*Auxiliares!$J$16*IF('Datos Consumo '!$C$12="Si",'Datos Consumo '!$C22,IF('Datos Consumo '!$C$11="No",'Datos Consumo '!$C$14,'Datos Consumo '!$C$16*Auxiliares!$N$4+Auxiliares!$N$5*'Datos Consumo '!$C$18))</f>
        <v>18.38275710987179</v>
      </c>
      <c r="AC25">
        <f ca="1">IF(Auxiliares!$D18&lt;(Producción!AB28*$B45),Auxiliares!$D18,Producción!AB28*$B45)*Auxiliares!$J$15*Auxiliares!$J$16*IF('Datos Consumo '!$C$12="Si",'Datos Consumo '!$C22,IF('Datos Consumo '!$C$11="No",'Datos Consumo '!$C$14,'Datos Consumo '!$C$16*Auxiliares!$N$4+Auxiliares!$N$5*'Datos Consumo '!$C$18))</f>
        <v>18.38275710987179</v>
      </c>
      <c r="AD25">
        <f ca="1">IF(Auxiliares!$D18&lt;(Producción!AC28*$B45),Auxiliares!$D18,Producción!AC28*$B45)*Auxiliares!$J$15*Auxiliares!$J$16*IF('Datos Consumo '!$C$12="Si",'Datos Consumo '!$C22,IF('Datos Consumo '!$C$11="No",'Datos Consumo '!$C$14,'Datos Consumo '!$C$16*Auxiliares!$N$4+Auxiliares!$N$5*'Datos Consumo '!$C$18))</f>
        <v>18.38275710987179</v>
      </c>
      <c r="AE25">
        <f ca="1">IF(Auxiliares!$D18&lt;(Producción!AD28*$B45),Auxiliares!$D18,Producción!AD28*$B45)*Auxiliares!$J$15*Auxiliares!$J$16*IF('Datos Consumo '!$C$12="Si",'Datos Consumo '!$C22,IF('Datos Consumo '!$C$11="No",'Datos Consumo '!$C$14,'Datos Consumo '!$C$16*Auxiliares!$N$4+Auxiliares!$N$5*'Datos Consumo '!$C$18))</f>
        <v>18.38275710987179</v>
      </c>
      <c r="AF25">
        <f ca="1">IF(Auxiliares!$D18&lt;(Producción!AE28*$B45),Auxiliares!$D18,Producción!AE28*$B45)*Auxiliares!$J$15*Auxiliares!$J$16*IF('Datos Consumo '!$C$12="Si",'Datos Consumo '!$C22,IF('Datos Consumo '!$C$11="No",'Datos Consumo '!$C$14,'Datos Consumo '!$C$16*Auxiliares!$N$4+Auxiliares!$N$5*'Datos Consumo '!$C$18))</f>
        <v>18.38275710987179</v>
      </c>
      <c r="AG25">
        <f ca="1">IF(Auxiliares!$D18&lt;(Producción!AF28*$B45),Auxiliares!$D18,Producción!AF28*$B45)*Auxiliares!$J$15*Auxiliares!$J$16*IF('Datos Consumo '!$C$12="Si",'Datos Consumo '!$C22,IF('Datos Consumo '!$C$11="No",'Datos Consumo '!$C$14,'Datos Consumo '!$C$16*Auxiliares!$N$4+Auxiliares!$N$5*'Datos Consumo '!$C$18))</f>
        <v>18.38275710987179</v>
      </c>
      <c r="AH25">
        <f ca="1">IF(Auxiliares!$D18&lt;(Producción!AG28*$B45),Auxiliares!$D18,Producción!AG28*$B45)*Auxiliares!$J$15*Auxiliares!$J$16*IF('Datos Consumo '!$C$12="Si",'Datos Consumo '!$C22,IF('Datos Consumo '!$C$11="No",'Datos Consumo '!$C$14,'Datos Consumo '!$C$16*Auxiliares!$N$4+Auxiliares!$N$5*'Datos Consumo '!$C$18))</f>
        <v>18.38275710987179</v>
      </c>
    </row>
    <row r="26" spans="3:34">
      <c r="C26" s="24" t="str">
        <f t="shared" si="16"/>
        <v>Abril</v>
      </c>
      <c r="D26">
        <f ca="1">IF(Auxiliares!$D19&lt;(Producción!C29*$B46),Auxiliares!$D19,Producción!C29*$B46)*Auxiliares!$J$15*Auxiliares!$J$16*IF('Datos Consumo '!$C$12="Si",'Datos Consumo '!$C23,IF('Datos Consumo '!$C$11="No",'Datos Consumo '!$C$14,'Datos Consumo '!$C$16*Auxiliares!$N$4+Auxiliares!$N$5*'Datos Consumo '!$C$18))</f>
        <v>16.340228542108253</v>
      </c>
      <c r="E26">
        <f ca="1">IF(Auxiliares!$D19&lt;(Producción!D29*$B46),Auxiliares!$D19,Producción!D29*$B46)*Auxiliares!$J$15*Auxiliares!$J$16*IF('Datos Consumo '!$C$12="Si",'Datos Consumo '!$C23,IF('Datos Consumo '!$C$11="No",'Datos Consumo '!$C$14,'Datos Consumo '!$C$16*Auxiliares!$N$4+Auxiliares!$N$5*'Datos Consumo '!$C$18))</f>
        <v>16.340228542108253</v>
      </c>
      <c r="F26">
        <f ca="1">IF(Auxiliares!$D19&lt;(Producción!E29*$B46),Auxiliares!$D19,Producción!E29*$B46)*Auxiliares!$J$15*Auxiliares!$J$16*IF('Datos Consumo '!$C$12="Si",'Datos Consumo '!$C23,IF('Datos Consumo '!$C$11="No",'Datos Consumo '!$C$14,'Datos Consumo '!$C$16*Auxiliares!$N$4+Auxiliares!$N$5*'Datos Consumo '!$C$18))</f>
        <v>16.340228542108253</v>
      </c>
      <c r="G26">
        <f ca="1">IF(Auxiliares!$D19&lt;(Producción!F29*$B46),Auxiliares!$D19,Producción!F29*$B46)*Auxiliares!$J$15*Auxiliares!$J$16*IF('Datos Consumo '!$C$12="Si",'Datos Consumo '!$C23,IF('Datos Consumo '!$C$11="No",'Datos Consumo '!$C$14,'Datos Consumo '!$C$16*Auxiliares!$N$4+Auxiliares!$N$5*'Datos Consumo '!$C$18))</f>
        <v>16.340228542108253</v>
      </c>
      <c r="H26">
        <f ca="1">IF(Auxiliares!$D19&lt;(Producción!G29*$B46),Auxiliares!$D19,Producción!G29*$B46)*Auxiliares!$J$15*Auxiliares!$J$16*IF('Datos Consumo '!$C$12="Si",'Datos Consumo '!$C23,IF('Datos Consumo '!$C$11="No",'Datos Consumo '!$C$14,'Datos Consumo '!$C$16*Auxiliares!$N$4+Auxiliares!$N$5*'Datos Consumo '!$C$18))</f>
        <v>16.340228542108253</v>
      </c>
      <c r="I26">
        <f ca="1">IF(Auxiliares!$D19&lt;(Producción!H29*$B46),Auxiliares!$D19,Producción!H29*$B46)*Auxiliares!$J$15*Auxiliares!$J$16*IF('Datos Consumo '!$C$12="Si",'Datos Consumo '!$C23,IF('Datos Consumo '!$C$11="No",'Datos Consumo '!$C$14,'Datos Consumo '!$C$16*Auxiliares!$N$4+Auxiliares!$N$5*'Datos Consumo '!$C$18))</f>
        <v>16.340228542108253</v>
      </c>
      <c r="J26">
        <f ca="1">IF(Auxiliares!$D19&lt;(Producción!I29*$B46),Auxiliares!$D19,Producción!I29*$B46)*Auxiliares!$J$15*Auxiliares!$J$16*IF('Datos Consumo '!$C$12="Si",'Datos Consumo '!$C23,IF('Datos Consumo '!$C$11="No",'Datos Consumo '!$C$14,'Datos Consumo '!$C$16*Auxiliares!$N$4+Auxiliares!$N$5*'Datos Consumo '!$C$18))</f>
        <v>16.340228542108253</v>
      </c>
      <c r="K26">
        <f ca="1">IF(Auxiliares!$D19&lt;(Producción!J29*$B46),Auxiliares!$D19,Producción!J29*$B46)*Auxiliares!$J$15*Auxiliares!$J$16*IF('Datos Consumo '!$C$12="Si",'Datos Consumo '!$C23,IF('Datos Consumo '!$C$11="No",'Datos Consumo '!$C$14,'Datos Consumo '!$C$16*Auxiliares!$N$4+Auxiliares!$N$5*'Datos Consumo '!$C$18))</f>
        <v>16.340228542108253</v>
      </c>
      <c r="L26">
        <f ca="1">IF(Auxiliares!$D19&lt;(Producción!K29*$B46),Auxiliares!$D19,Producción!K29*$B46)*Auxiliares!$J$15*Auxiliares!$J$16*IF('Datos Consumo '!$C$12="Si",'Datos Consumo '!$C23,IF('Datos Consumo '!$C$11="No",'Datos Consumo '!$C$14,'Datos Consumo '!$C$16*Auxiliares!$N$4+Auxiliares!$N$5*'Datos Consumo '!$C$18))</f>
        <v>16.340228542108253</v>
      </c>
      <c r="M26">
        <f ca="1">IF(Auxiliares!$D19&lt;(Producción!L29*$B46),Auxiliares!$D19,Producción!L29*$B46)*Auxiliares!$J$15*Auxiliares!$J$16*IF('Datos Consumo '!$C$12="Si",'Datos Consumo '!$C23,IF('Datos Consumo '!$C$11="No",'Datos Consumo '!$C$14,'Datos Consumo '!$C$16*Auxiliares!$N$4+Auxiliares!$N$5*'Datos Consumo '!$C$18))</f>
        <v>16.340228542108253</v>
      </c>
      <c r="N26">
        <f ca="1">IF(Auxiliares!$D19&lt;(Producción!M29*$B46),Auxiliares!$D19,Producción!M29*$B46)*Auxiliares!$J$15*Auxiliares!$J$16*IF('Datos Consumo '!$C$12="Si",'Datos Consumo '!$C23,IF('Datos Consumo '!$C$11="No",'Datos Consumo '!$C$14,'Datos Consumo '!$C$16*Auxiliares!$N$4+Auxiliares!$N$5*'Datos Consumo '!$C$18))</f>
        <v>16.340228542108253</v>
      </c>
      <c r="O26">
        <f ca="1">IF(Auxiliares!$D19&lt;(Producción!N29*$B46),Auxiliares!$D19,Producción!N29*$B46)*Auxiliares!$J$15*Auxiliares!$J$16*IF('Datos Consumo '!$C$12="Si",'Datos Consumo '!$C23,IF('Datos Consumo '!$C$11="No",'Datos Consumo '!$C$14,'Datos Consumo '!$C$16*Auxiliares!$N$4+Auxiliares!$N$5*'Datos Consumo '!$C$18))</f>
        <v>16.340228542108253</v>
      </c>
      <c r="P26">
        <f ca="1">IF(Auxiliares!$D19&lt;(Producción!O29*$B46),Auxiliares!$D19,Producción!O29*$B46)*Auxiliares!$J$15*Auxiliares!$J$16*IF('Datos Consumo '!$C$12="Si",'Datos Consumo '!$C23,IF('Datos Consumo '!$C$11="No",'Datos Consumo '!$C$14,'Datos Consumo '!$C$16*Auxiliares!$N$4+Auxiliares!$N$5*'Datos Consumo '!$C$18))</f>
        <v>16.340228542108253</v>
      </c>
      <c r="Q26">
        <f ca="1">IF(Auxiliares!$D19&lt;(Producción!P29*$B46),Auxiliares!$D19,Producción!P29*$B46)*Auxiliares!$J$15*Auxiliares!$J$16*IF('Datos Consumo '!$C$12="Si",'Datos Consumo '!$C23,IF('Datos Consumo '!$C$11="No",'Datos Consumo '!$C$14,'Datos Consumo '!$C$16*Auxiliares!$N$4+Auxiliares!$N$5*'Datos Consumo '!$C$18))</f>
        <v>16.340228542108253</v>
      </c>
      <c r="R26">
        <f ca="1">IF(Auxiliares!$D19&lt;(Producción!Q29*$B46),Auxiliares!$D19,Producción!Q29*$B46)*Auxiliares!$J$15*Auxiliares!$J$16*IF('Datos Consumo '!$C$12="Si",'Datos Consumo '!$C23,IF('Datos Consumo '!$C$11="No",'Datos Consumo '!$C$14,'Datos Consumo '!$C$16*Auxiliares!$N$4+Auxiliares!$N$5*'Datos Consumo '!$C$18))</f>
        <v>16.340228542108253</v>
      </c>
      <c r="S26">
        <f ca="1">IF(Auxiliares!$D19&lt;(Producción!R29*$B46),Auxiliares!$D19,Producción!R29*$B46)*Auxiliares!$J$15*Auxiliares!$J$16*IF('Datos Consumo '!$C$12="Si",'Datos Consumo '!$C23,IF('Datos Consumo '!$C$11="No",'Datos Consumo '!$C$14,'Datos Consumo '!$C$16*Auxiliares!$N$4+Auxiliares!$N$5*'Datos Consumo '!$C$18))</f>
        <v>16.340228542108253</v>
      </c>
      <c r="T26">
        <f ca="1">IF(Auxiliares!$D19&lt;(Producción!S29*$B46),Auxiliares!$D19,Producción!S29*$B46)*Auxiliares!$J$15*Auxiliares!$J$16*IF('Datos Consumo '!$C$12="Si",'Datos Consumo '!$C23,IF('Datos Consumo '!$C$11="No",'Datos Consumo '!$C$14,'Datos Consumo '!$C$16*Auxiliares!$N$4+Auxiliares!$N$5*'Datos Consumo '!$C$18))</f>
        <v>16.340228542108253</v>
      </c>
      <c r="U26">
        <f ca="1">IF(Auxiliares!$D19&lt;(Producción!T29*$B46),Auxiliares!$D19,Producción!T29*$B46)*Auxiliares!$J$15*Auxiliares!$J$16*IF('Datos Consumo '!$C$12="Si",'Datos Consumo '!$C23,IF('Datos Consumo '!$C$11="No",'Datos Consumo '!$C$14,'Datos Consumo '!$C$16*Auxiliares!$N$4+Auxiliares!$N$5*'Datos Consumo '!$C$18))</f>
        <v>16.340228542108253</v>
      </c>
      <c r="V26">
        <f ca="1">IF(Auxiliares!$D19&lt;(Producción!U29*$B46),Auxiliares!$D19,Producción!U29*$B46)*Auxiliares!$J$15*Auxiliares!$J$16*IF('Datos Consumo '!$C$12="Si",'Datos Consumo '!$C23,IF('Datos Consumo '!$C$11="No",'Datos Consumo '!$C$14,'Datos Consumo '!$C$16*Auxiliares!$N$4+Auxiliares!$N$5*'Datos Consumo '!$C$18))</f>
        <v>16.340228542108253</v>
      </c>
      <c r="W26">
        <f ca="1">IF(Auxiliares!$D19&lt;(Producción!V29*$B46),Auxiliares!$D19,Producción!V29*$B46)*Auxiliares!$J$15*Auxiliares!$J$16*IF('Datos Consumo '!$C$12="Si",'Datos Consumo '!$C23,IF('Datos Consumo '!$C$11="No",'Datos Consumo '!$C$14,'Datos Consumo '!$C$16*Auxiliares!$N$4+Auxiliares!$N$5*'Datos Consumo '!$C$18))</f>
        <v>16.340228542108253</v>
      </c>
      <c r="X26">
        <f ca="1">IF(Auxiliares!$D19&lt;(Producción!W29*$B46),Auxiliares!$D19,Producción!W29*$B46)*Auxiliares!$J$15*Auxiliares!$J$16*IF('Datos Consumo '!$C$12="Si",'Datos Consumo '!$C23,IF('Datos Consumo '!$C$11="No",'Datos Consumo '!$C$14,'Datos Consumo '!$C$16*Auxiliares!$N$4+Auxiliares!$N$5*'Datos Consumo '!$C$18))</f>
        <v>16.340228542108253</v>
      </c>
      <c r="Y26">
        <f ca="1">IF(Auxiliares!$D19&lt;(Producción!X29*$B46),Auxiliares!$D19,Producción!X29*$B46)*Auxiliares!$J$15*Auxiliares!$J$16*IF('Datos Consumo '!$C$12="Si",'Datos Consumo '!$C23,IF('Datos Consumo '!$C$11="No",'Datos Consumo '!$C$14,'Datos Consumo '!$C$16*Auxiliares!$N$4+Auxiliares!$N$5*'Datos Consumo '!$C$18))</f>
        <v>16.340228542108253</v>
      </c>
      <c r="Z26">
        <f ca="1">IF(Auxiliares!$D19&lt;(Producción!Y29*$B46),Auxiliares!$D19,Producción!Y29*$B46)*Auxiliares!$J$15*Auxiliares!$J$16*IF('Datos Consumo '!$C$12="Si",'Datos Consumo '!$C23,IF('Datos Consumo '!$C$11="No",'Datos Consumo '!$C$14,'Datos Consumo '!$C$16*Auxiliares!$N$4+Auxiliares!$N$5*'Datos Consumo '!$C$18))</f>
        <v>16.340228542108253</v>
      </c>
      <c r="AA26">
        <f ca="1">IF(Auxiliares!$D19&lt;(Producción!Z29*$B46),Auxiliares!$D19,Producción!Z29*$B46)*Auxiliares!$J$15*Auxiliares!$J$16*IF('Datos Consumo '!$C$12="Si",'Datos Consumo '!$C23,IF('Datos Consumo '!$C$11="No",'Datos Consumo '!$C$14,'Datos Consumo '!$C$16*Auxiliares!$N$4+Auxiliares!$N$5*'Datos Consumo '!$C$18))</f>
        <v>16.340228542108253</v>
      </c>
      <c r="AB26">
        <f ca="1">IF(Auxiliares!$D19&lt;(Producción!AA29*$B46),Auxiliares!$D19,Producción!AA29*$B46)*Auxiliares!$J$15*Auxiliares!$J$16*IF('Datos Consumo '!$C$12="Si",'Datos Consumo '!$C23,IF('Datos Consumo '!$C$11="No",'Datos Consumo '!$C$14,'Datos Consumo '!$C$16*Auxiliares!$N$4+Auxiliares!$N$5*'Datos Consumo '!$C$18))</f>
        <v>16.340228542108253</v>
      </c>
      <c r="AC26">
        <f ca="1">IF(Auxiliares!$D19&lt;(Producción!AB29*$B46),Auxiliares!$D19,Producción!AB29*$B46)*Auxiliares!$J$15*Auxiliares!$J$16*IF('Datos Consumo '!$C$12="Si",'Datos Consumo '!$C23,IF('Datos Consumo '!$C$11="No",'Datos Consumo '!$C$14,'Datos Consumo '!$C$16*Auxiliares!$N$4+Auxiliares!$N$5*'Datos Consumo '!$C$18))</f>
        <v>16.340228542108253</v>
      </c>
      <c r="AD26">
        <f ca="1">IF(Auxiliares!$D19&lt;(Producción!AC29*$B46),Auxiliares!$D19,Producción!AC29*$B46)*Auxiliares!$J$15*Auxiliares!$J$16*IF('Datos Consumo '!$C$12="Si",'Datos Consumo '!$C23,IF('Datos Consumo '!$C$11="No",'Datos Consumo '!$C$14,'Datos Consumo '!$C$16*Auxiliares!$N$4+Auxiliares!$N$5*'Datos Consumo '!$C$18))</f>
        <v>16.340228542108253</v>
      </c>
      <c r="AE26">
        <f ca="1">IF(Auxiliares!$D19&lt;(Producción!AD29*$B46),Auxiliares!$D19,Producción!AD29*$B46)*Auxiliares!$J$15*Auxiliares!$J$16*IF('Datos Consumo '!$C$12="Si",'Datos Consumo '!$C23,IF('Datos Consumo '!$C$11="No",'Datos Consumo '!$C$14,'Datos Consumo '!$C$16*Auxiliares!$N$4+Auxiliares!$N$5*'Datos Consumo '!$C$18))</f>
        <v>16.340228542108253</v>
      </c>
      <c r="AF26">
        <f ca="1">IF(Auxiliares!$D19&lt;(Producción!AE29*$B46),Auxiliares!$D19,Producción!AE29*$B46)*Auxiliares!$J$15*Auxiliares!$J$16*IF('Datos Consumo '!$C$12="Si",'Datos Consumo '!$C23,IF('Datos Consumo '!$C$11="No",'Datos Consumo '!$C$14,'Datos Consumo '!$C$16*Auxiliares!$N$4+Auxiliares!$N$5*'Datos Consumo '!$C$18))</f>
        <v>16.340228542108253</v>
      </c>
      <c r="AG26">
        <f ca="1">IF(Auxiliares!$D19&lt;(Producción!AF29*$B46),Auxiliares!$D19,Producción!AF29*$B46)*Auxiliares!$J$15*Auxiliares!$J$16*IF('Datos Consumo '!$C$12="Si",'Datos Consumo '!$C23,IF('Datos Consumo '!$C$11="No",'Datos Consumo '!$C$14,'Datos Consumo '!$C$16*Auxiliares!$N$4+Auxiliares!$N$5*'Datos Consumo '!$C$18))</f>
        <v>16.340228542108253</v>
      </c>
      <c r="AH26">
        <f ca="1">IF(Auxiliares!$D19&lt;(Producción!AG29*$B46),Auxiliares!$D19,Producción!AG29*$B46)*Auxiliares!$J$15*Auxiliares!$J$16*IF('Datos Consumo '!$C$12="Si",'Datos Consumo '!$C23,IF('Datos Consumo '!$C$11="No",'Datos Consumo '!$C$14,'Datos Consumo '!$C$16*Auxiliares!$N$4+Auxiliares!$N$5*'Datos Consumo '!$C$18))</f>
        <v>16.340228542108253</v>
      </c>
    </row>
    <row r="27" spans="3:34">
      <c r="C27" s="24" t="str">
        <f t="shared" si="16"/>
        <v>Mayo</v>
      </c>
      <c r="D27">
        <f ca="1">IF(Auxiliares!$D20&lt;(Producción!C30*$B47),Auxiliares!$D20,Producción!C30*$B47)*Auxiliares!$J$15*Auxiliares!$J$16*IF('Datos Consumo '!$C$12="Si",'Datos Consumo '!$C24,IF('Datos Consumo '!$C$11="No",'Datos Consumo '!$C$14,'Datos Consumo '!$C$16*Auxiliares!$N$4+Auxiliares!$N$5*'Datos Consumo '!$C$18))</f>
        <v>16.680649970068842</v>
      </c>
      <c r="E27">
        <f ca="1">IF(Auxiliares!$D20&lt;(Producción!D30*$B47),Auxiliares!$D20,Producción!D30*$B47)*Auxiliares!$J$15*Auxiliares!$J$16*IF('Datos Consumo '!$C$12="Si",'Datos Consumo '!$C24,IF('Datos Consumo '!$C$11="No",'Datos Consumo '!$C$14,'Datos Consumo '!$C$16*Auxiliares!$N$4+Auxiliares!$N$5*'Datos Consumo '!$C$18))</f>
        <v>16.680649970068842</v>
      </c>
      <c r="F27">
        <f ca="1">IF(Auxiliares!$D20&lt;(Producción!E30*$B47),Auxiliares!$D20,Producción!E30*$B47)*Auxiliares!$J$15*Auxiliares!$J$16*IF('Datos Consumo '!$C$12="Si",'Datos Consumo '!$C24,IF('Datos Consumo '!$C$11="No",'Datos Consumo '!$C$14,'Datos Consumo '!$C$16*Auxiliares!$N$4+Auxiliares!$N$5*'Datos Consumo '!$C$18))</f>
        <v>16.680649970068842</v>
      </c>
      <c r="G27">
        <f ca="1">IF(Auxiliares!$D20&lt;(Producción!F30*$B47),Auxiliares!$D20,Producción!F30*$B47)*Auxiliares!$J$15*Auxiliares!$J$16*IF('Datos Consumo '!$C$12="Si",'Datos Consumo '!$C24,IF('Datos Consumo '!$C$11="No",'Datos Consumo '!$C$14,'Datos Consumo '!$C$16*Auxiliares!$N$4+Auxiliares!$N$5*'Datos Consumo '!$C$18))</f>
        <v>16.680649970068842</v>
      </c>
      <c r="H27">
        <f ca="1">IF(Auxiliares!$D20&lt;(Producción!G30*$B47),Auxiliares!$D20,Producción!G30*$B47)*Auxiliares!$J$15*Auxiliares!$J$16*IF('Datos Consumo '!$C$12="Si",'Datos Consumo '!$C24,IF('Datos Consumo '!$C$11="No",'Datos Consumo '!$C$14,'Datos Consumo '!$C$16*Auxiliares!$N$4+Auxiliares!$N$5*'Datos Consumo '!$C$18))</f>
        <v>16.680649970068842</v>
      </c>
      <c r="I27">
        <f ca="1">IF(Auxiliares!$D20&lt;(Producción!H30*$B47),Auxiliares!$D20,Producción!H30*$B47)*Auxiliares!$J$15*Auxiliares!$J$16*IF('Datos Consumo '!$C$12="Si",'Datos Consumo '!$C24,IF('Datos Consumo '!$C$11="No",'Datos Consumo '!$C$14,'Datos Consumo '!$C$16*Auxiliares!$N$4+Auxiliares!$N$5*'Datos Consumo '!$C$18))</f>
        <v>16.680649970068842</v>
      </c>
      <c r="J27">
        <f ca="1">IF(Auxiliares!$D20&lt;(Producción!I30*$B47),Auxiliares!$D20,Producción!I30*$B47)*Auxiliares!$J$15*Auxiliares!$J$16*IF('Datos Consumo '!$C$12="Si",'Datos Consumo '!$C24,IF('Datos Consumo '!$C$11="No",'Datos Consumo '!$C$14,'Datos Consumo '!$C$16*Auxiliares!$N$4+Auxiliares!$N$5*'Datos Consumo '!$C$18))</f>
        <v>16.680649970068842</v>
      </c>
      <c r="K27">
        <f ca="1">IF(Auxiliares!$D20&lt;(Producción!J30*$B47),Auxiliares!$D20,Producción!J30*$B47)*Auxiliares!$J$15*Auxiliares!$J$16*IF('Datos Consumo '!$C$12="Si",'Datos Consumo '!$C24,IF('Datos Consumo '!$C$11="No",'Datos Consumo '!$C$14,'Datos Consumo '!$C$16*Auxiliares!$N$4+Auxiliares!$N$5*'Datos Consumo '!$C$18))</f>
        <v>16.680649970068842</v>
      </c>
      <c r="L27">
        <f ca="1">IF(Auxiliares!$D20&lt;(Producción!K30*$B47),Auxiliares!$D20,Producción!K30*$B47)*Auxiliares!$J$15*Auxiliares!$J$16*IF('Datos Consumo '!$C$12="Si",'Datos Consumo '!$C24,IF('Datos Consumo '!$C$11="No",'Datos Consumo '!$C$14,'Datos Consumo '!$C$16*Auxiliares!$N$4+Auxiliares!$N$5*'Datos Consumo '!$C$18))</f>
        <v>16.680649970068842</v>
      </c>
      <c r="M27">
        <f ca="1">IF(Auxiliares!$D20&lt;(Producción!L30*$B47),Auxiliares!$D20,Producción!L30*$B47)*Auxiliares!$J$15*Auxiliares!$J$16*IF('Datos Consumo '!$C$12="Si",'Datos Consumo '!$C24,IF('Datos Consumo '!$C$11="No",'Datos Consumo '!$C$14,'Datos Consumo '!$C$16*Auxiliares!$N$4+Auxiliares!$N$5*'Datos Consumo '!$C$18))</f>
        <v>16.680649970068842</v>
      </c>
      <c r="N27">
        <f ca="1">IF(Auxiliares!$D20&lt;(Producción!M30*$B47),Auxiliares!$D20,Producción!M30*$B47)*Auxiliares!$J$15*Auxiliares!$J$16*IF('Datos Consumo '!$C$12="Si",'Datos Consumo '!$C24,IF('Datos Consumo '!$C$11="No",'Datos Consumo '!$C$14,'Datos Consumo '!$C$16*Auxiliares!$N$4+Auxiliares!$N$5*'Datos Consumo '!$C$18))</f>
        <v>16.680649970068842</v>
      </c>
      <c r="O27">
        <f ca="1">IF(Auxiliares!$D20&lt;(Producción!N30*$B47),Auxiliares!$D20,Producción!N30*$B47)*Auxiliares!$J$15*Auxiliares!$J$16*IF('Datos Consumo '!$C$12="Si",'Datos Consumo '!$C24,IF('Datos Consumo '!$C$11="No",'Datos Consumo '!$C$14,'Datos Consumo '!$C$16*Auxiliares!$N$4+Auxiliares!$N$5*'Datos Consumo '!$C$18))</f>
        <v>16.680649970068842</v>
      </c>
      <c r="P27">
        <f ca="1">IF(Auxiliares!$D20&lt;(Producción!O30*$B47),Auxiliares!$D20,Producción!O30*$B47)*Auxiliares!$J$15*Auxiliares!$J$16*IF('Datos Consumo '!$C$12="Si",'Datos Consumo '!$C24,IF('Datos Consumo '!$C$11="No",'Datos Consumo '!$C$14,'Datos Consumo '!$C$16*Auxiliares!$N$4+Auxiliares!$N$5*'Datos Consumo '!$C$18))</f>
        <v>16.680649970068842</v>
      </c>
      <c r="Q27">
        <f ca="1">IF(Auxiliares!$D20&lt;(Producción!P30*$B47),Auxiliares!$D20,Producción!P30*$B47)*Auxiliares!$J$15*Auxiliares!$J$16*IF('Datos Consumo '!$C$12="Si",'Datos Consumo '!$C24,IF('Datos Consumo '!$C$11="No",'Datos Consumo '!$C$14,'Datos Consumo '!$C$16*Auxiliares!$N$4+Auxiliares!$N$5*'Datos Consumo '!$C$18))</f>
        <v>16.680649970068842</v>
      </c>
      <c r="R27">
        <f ca="1">IF(Auxiliares!$D20&lt;(Producción!Q30*$B47),Auxiliares!$D20,Producción!Q30*$B47)*Auxiliares!$J$15*Auxiliares!$J$16*IF('Datos Consumo '!$C$12="Si",'Datos Consumo '!$C24,IF('Datos Consumo '!$C$11="No",'Datos Consumo '!$C$14,'Datos Consumo '!$C$16*Auxiliares!$N$4+Auxiliares!$N$5*'Datos Consumo '!$C$18))</f>
        <v>16.680649970068842</v>
      </c>
      <c r="S27">
        <f ca="1">IF(Auxiliares!$D20&lt;(Producción!R30*$B47),Auxiliares!$D20,Producción!R30*$B47)*Auxiliares!$J$15*Auxiliares!$J$16*IF('Datos Consumo '!$C$12="Si",'Datos Consumo '!$C24,IF('Datos Consumo '!$C$11="No",'Datos Consumo '!$C$14,'Datos Consumo '!$C$16*Auxiliares!$N$4+Auxiliares!$N$5*'Datos Consumo '!$C$18))</f>
        <v>16.680649970068842</v>
      </c>
      <c r="T27">
        <f ca="1">IF(Auxiliares!$D20&lt;(Producción!S30*$B47),Auxiliares!$D20,Producción!S30*$B47)*Auxiliares!$J$15*Auxiliares!$J$16*IF('Datos Consumo '!$C$12="Si",'Datos Consumo '!$C24,IF('Datos Consumo '!$C$11="No",'Datos Consumo '!$C$14,'Datos Consumo '!$C$16*Auxiliares!$N$4+Auxiliares!$N$5*'Datos Consumo '!$C$18))</f>
        <v>16.680649970068842</v>
      </c>
      <c r="U27">
        <f ca="1">IF(Auxiliares!$D20&lt;(Producción!T30*$B47),Auxiliares!$D20,Producción!T30*$B47)*Auxiliares!$J$15*Auxiliares!$J$16*IF('Datos Consumo '!$C$12="Si",'Datos Consumo '!$C24,IF('Datos Consumo '!$C$11="No",'Datos Consumo '!$C$14,'Datos Consumo '!$C$16*Auxiliares!$N$4+Auxiliares!$N$5*'Datos Consumo '!$C$18))</f>
        <v>16.680649970068842</v>
      </c>
      <c r="V27">
        <f ca="1">IF(Auxiliares!$D20&lt;(Producción!U30*$B47),Auxiliares!$D20,Producción!U30*$B47)*Auxiliares!$J$15*Auxiliares!$J$16*IF('Datos Consumo '!$C$12="Si",'Datos Consumo '!$C24,IF('Datos Consumo '!$C$11="No",'Datos Consumo '!$C$14,'Datos Consumo '!$C$16*Auxiliares!$N$4+Auxiliares!$N$5*'Datos Consumo '!$C$18))</f>
        <v>16.680649970068842</v>
      </c>
      <c r="W27">
        <f ca="1">IF(Auxiliares!$D20&lt;(Producción!V30*$B47),Auxiliares!$D20,Producción!V30*$B47)*Auxiliares!$J$15*Auxiliares!$J$16*IF('Datos Consumo '!$C$12="Si",'Datos Consumo '!$C24,IF('Datos Consumo '!$C$11="No",'Datos Consumo '!$C$14,'Datos Consumo '!$C$16*Auxiliares!$N$4+Auxiliares!$N$5*'Datos Consumo '!$C$18))</f>
        <v>16.680649970068842</v>
      </c>
      <c r="X27">
        <f ca="1">IF(Auxiliares!$D20&lt;(Producción!W30*$B47),Auxiliares!$D20,Producción!W30*$B47)*Auxiliares!$J$15*Auxiliares!$J$16*IF('Datos Consumo '!$C$12="Si",'Datos Consumo '!$C24,IF('Datos Consumo '!$C$11="No",'Datos Consumo '!$C$14,'Datos Consumo '!$C$16*Auxiliares!$N$4+Auxiliares!$N$5*'Datos Consumo '!$C$18))</f>
        <v>16.680649970068842</v>
      </c>
      <c r="Y27">
        <f ca="1">IF(Auxiliares!$D20&lt;(Producción!X30*$B47),Auxiliares!$D20,Producción!X30*$B47)*Auxiliares!$J$15*Auxiliares!$J$16*IF('Datos Consumo '!$C$12="Si",'Datos Consumo '!$C24,IF('Datos Consumo '!$C$11="No",'Datos Consumo '!$C$14,'Datos Consumo '!$C$16*Auxiliares!$N$4+Auxiliares!$N$5*'Datos Consumo '!$C$18))</f>
        <v>16.680649970068842</v>
      </c>
      <c r="Z27">
        <f ca="1">IF(Auxiliares!$D20&lt;(Producción!Y30*$B47),Auxiliares!$D20,Producción!Y30*$B47)*Auxiliares!$J$15*Auxiliares!$J$16*IF('Datos Consumo '!$C$12="Si",'Datos Consumo '!$C24,IF('Datos Consumo '!$C$11="No",'Datos Consumo '!$C$14,'Datos Consumo '!$C$16*Auxiliares!$N$4+Auxiliares!$N$5*'Datos Consumo '!$C$18))</f>
        <v>16.680649970068842</v>
      </c>
      <c r="AA27">
        <f ca="1">IF(Auxiliares!$D20&lt;(Producción!Z30*$B47),Auxiliares!$D20,Producción!Z30*$B47)*Auxiliares!$J$15*Auxiliares!$J$16*IF('Datos Consumo '!$C$12="Si",'Datos Consumo '!$C24,IF('Datos Consumo '!$C$11="No",'Datos Consumo '!$C$14,'Datos Consumo '!$C$16*Auxiliares!$N$4+Auxiliares!$N$5*'Datos Consumo '!$C$18))</f>
        <v>16.680649970068842</v>
      </c>
      <c r="AB27">
        <f ca="1">IF(Auxiliares!$D20&lt;(Producción!AA30*$B47),Auxiliares!$D20,Producción!AA30*$B47)*Auxiliares!$J$15*Auxiliares!$J$16*IF('Datos Consumo '!$C$12="Si",'Datos Consumo '!$C24,IF('Datos Consumo '!$C$11="No",'Datos Consumo '!$C$14,'Datos Consumo '!$C$16*Auxiliares!$N$4+Auxiliares!$N$5*'Datos Consumo '!$C$18))</f>
        <v>16.680649970068842</v>
      </c>
      <c r="AC27">
        <f ca="1">IF(Auxiliares!$D20&lt;(Producción!AB30*$B47),Auxiliares!$D20,Producción!AB30*$B47)*Auxiliares!$J$15*Auxiliares!$J$16*IF('Datos Consumo '!$C$12="Si",'Datos Consumo '!$C24,IF('Datos Consumo '!$C$11="No",'Datos Consumo '!$C$14,'Datos Consumo '!$C$16*Auxiliares!$N$4+Auxiliares!$N$5*'Datos Consumo '!$C$18))</f>
        <v>16.680649970068842</v>
      </c>
      <c r="AD27">
        <f ca="1">IF(Auxiliares!$D20&lt;(Producción!AC30*$B47),Auxiliares!$D20,Producción!AC30*$B47)*Auxiliares!$J$15*Auxiliares!$J$16*IF('Datos Consumo '!$C$12="Si",'Datos Consumo '!$C24,IF('Datos Consumo '!$C$11="No",'Datos Consumo '!$C$14,'Datos Consumo '!$C$16*Auxiliares!$N$4+Auxiliares!$N$5*'Datos Consumo '!$C$18))</f>
        <v>16.680649970068842</v>
      </c>
      <c r="AE27">
        <f ca="1">IF(Auxiliares!$D20&lt;(Producción!AD30*$B47),Auxiliares!$D20,Producción!AD30*$B47)*Auxiliares!$J$15*Auxiliares!$J$16*IF('Datos Consumo '!$C$12="Si",'Datos Consumo '!$C24,IF('Datos Consumo '!$C$11="No",'Datos Consumo '!$C$14,'Datos Consumo '!$C$16*Auxiliares!$N$4+Auxiliares!$N$5*'Datos Consumo '!$C$18))</f>
        <v>16.680649970068842</v>
      </c>
      <c r="AF27">
        <f ca="1">IF(Auxiliares!$D20&lt;(Producción!AE30*$B47),Auxiliares!$D20,Producción!AE30*$B47)*Auxiliares!$J$15*Auxiliares!$J$16*IF('Datos Consumo '!$C$12="Si",'Datos Consumo '!$C24,IF('Datos Consumo '!$C$11="No",'Datos Consumo '!$C$14,'Datos Consumo '!$C$16*Auxiliares!$N$4+Auxiliares!$N$5*'Datos Consumo '!$C$18))</f>
        <v>16.680649970068842</v>
      </c>
      <c r="AG27">
        <f ca="1">IF(Auxiliares!$D20&lt;(Producción!AF30*$B47),Auxiliares!$D20,Producción!AF30*$B47)*Auxiliares!$J$15*Auxiliares!$J$16*IF('Datos Consumo '!$C$12="Si",'Datos Consumo '!$C24,IF('Datos Consumo '!$C$11="No",'Datos Consumo '!$C$14,'Datos Consumo '!$C$16*Auxiliares!$N$4+Auxiliares!$N$5*'Datos Consumo '!$C$18))</f>
        <v>16.680649970068842</v>
      </c>
      <c r="AH27">
        <f ca="1">IF(Auxiliares!$D20&lt;(Producción!AG30*$B47),Auxiliares!$D20,Producción!AG30*$B47)*Auxiliares!$J$15*Auxiliares!$J$16*IF('Datos Consumo '!$C$12="Si",'Datos Consumo '!$C24,IF('Datos Consumo '!$C$11="No",'Datos Consumo '!$C$14,'Datos Consumo '!$C$16*Auxiliares!$N$4+Auxiliares!$N$5*'Datos Consumo '!$C$18))</f>
        <v>16.680649970068842</v>
      </c>
    </row>
    <row r="28" spans="3:34">
      <c r="C28" s="24" t="str">
        <f t="shared" si="16"/>
        <v>Junio</v>
      </c>
      <c r="D28" s="186">
        <f ca="1">IF(Auxiliares!$D21&lt;(Producción!C31*$B48),Auxiliares!$D21,Producción!C31*$B48)*Auxiliares!$J$15*Auxiliares!$J$16*IF('Datos Consumo '!$C$12="Si",'Datos Consumo '!$C25,IF('Datos Consumo '!$C$11="No",'Datos Consumo '!$C$14,'Datos Consumo '!$C$16*Auxiliares!$N$4+Auxiliares!$N$5*'Datos Consumo '!$C$18))</f>
        <v>17.021071398029434</v>
      </c>
      <c r="E28">
        <f ca="1">IF(Auxiliares!$D21&lt;(Producción!D31*$B48),Auxiliares!$D21,Producción!D31*$B48)*Auxiliares!$J$15*Auxiliares!$J$16*IF('Datos Consumo '!$C$12="Si",'Datos Consumo '!$C25,IF('Datos Consumo '!$C$11="No",'Datos Consumo '!$C$14,'Datos Consumo '!$C$16*Auxiliares!$N$4+Auxiliares!$N$5*'Datos Consumo '!$C$18))</f>
        <v>17.021071398029434</v>
      </c>
      <c r="F28">
        <f ca="1">IF(Auxiliares!$D21&lt;(Producción!E31*$B48),Auxiliares!$D21,Producción!E31*$B48)*Auxiliares!$J$15*Auxiliares!$J$16*IF('Datos Consumo '!$C$12="Si",'Datos Consumo '!$C25,IF('Datos Consumo '!$C$11="No",'Datos Consumo '!$C$14,'Datos Consumo '!$C$16*Auxiliares!$N$4+Auxiliares!$N$5*'Datos Consumo '!$C$18))</f>
        <v>17.021071398029434</v>
      </c>
      <c r="G28">
        <f ca="1">IF(Auxiliares!$D21&lt;(Producción!F31*$B48),Auxiliares!$D21,Producción!F31*$B48)*Auxiliares!$J$15*Auxiliares!$J$16*IF('Datos Consumo '!$C$12="Si",'Datos Consumo '!$C25,IF('Datos Consumo '!$C$11="No",'Datos Consumo '!$C$14,'Datos Consumo '!$C$16*Auxiliares!$N$4+Auxiliares!$N$5*'Datos Consumo '!$C$18))</f>
        <v>17.021071398029434</v>
      </c>
      <c r="H28">
        <f ca="1">IF(Auxiliares!$D21&lt;(Producción!G31*$B48),Auxiliares!$D21,Producción!G31*$B48)*Auxiliares!$J$15*Auxiliares!$J$16*IF('Datos Consumo '!$C$12="Si",'Datos Consumo '!$C25,IF('Datos Consumo '!$C$11="No",'Datos Consumo '!$C$14,'Datos Consumo '!$C$16*Auxiliares!$N$4+Auxiliares!$N$5*'Datos Consumo '!$C$18))</f>
        <v>17.021071398029434</v>
      </c>
      <c r="I28">
        <f ca="1">IF(Auxiliares!$D21&lt;(Producción!H31*$B48),Auxiliares!$D21,Producción!H31*$B48)*Auxiliares!$J$15*Auxiliares!$J$16*IF('Datos Consumo '!$C$12="Si",'Datos Consumo '!$C25,IF('Datos Consumo '!$C$11="No",'Datos Consumo '!$C$14,'Datos Consumo '!$C$16*Auxiliares!$N$4+Auxiliares!$N$5*'Datos Consumo '!$C$18))</f>
        <v>17.021071398029434</v>
      </c>
      <c r="J28">
        <f ca="1">IF(Auxiliares!$D21&lt;(Producción!I31*$B48),Auxiliares!$D21,Producción!I31*$B48)*Auxiliares!$J$15*Auxiliares!$J$16*IF('Datos Consumo '!$C$12="Si",'Datos Consumo '!$C25,IF('Datos Consumo '!$C$11="No",'Datos Consumo '!$C$14,'Datos Consumo '!$C$16*Auxiliares!$N$4+Auxiliares!$N$5*'Datos Consumo '!$C$18))</f>
        <v>17.021071398029434</v>
      </c>
      <c r="K28">
        <f ca="1">IF(Auxiliares!$D21&lt;(Producción!J31*$B48),Auxiliares!$D21,Producción!J31*$B48)*Auxiliares!$J$15*Auxiliares!$J$16*IF('Datos Consumo '!$C$12="Si",'Datos Consumo '!$C25,IF('Datos Consumo '!$C$11="No",'Datos Consumo '!$C$14,'Datos Consumo '!$C$16*Auxiliares!$N$4+Auxiliares!$N$5*'Datos Consumo '!$C$18))</f>
        <v>17.021071398029434</v>
      </c>
      <c r="L28">
        <f ca="1">IF(Auxiliares!$D21&lt;(Producción!K31*$B48),Auxiliares!$D21,Producción!K31*$B48)*Auxiliares!$J$15*Auxiliares!$J$16*IF('Datos Consumo '!$C$12="Si",'Datos Consumo '!$C25,IF('Datos Consumo '!$C$11="No",'Datos Consumo '!$C$14,'Datos Consumo '!$C$16*Auxiliares!$N$4+Auxiliares!$N$5*'Datos Consumo '!$C$18))</f>
        <v>17.021071398029434</v>
      </c>
      <c r="M28">
        <f ca="1">IF(Auxiliares!$D21&lt;(Producción!L31*$B48),Auxiliares!$D21,Producción!L31*$B48)*Auxiliares!$J$15*Auxiliares!$J$16*IF('Datos Consumo '!$C$12="Si",'Datos Consumo '!$C25,IF('Datos Consumo '!$C$11="No",'Datos Consumo '!$C$14,'Datos Consumo '!$C$16*Auxiliares!$N$4+Auxiliares!$N$5*'Datos Consumo '!$C$18))</f>
        <v>17.021071398029434</v>
      </c>
      <c r="N28">
        <f ca="1">IF(Auxiliares!$D21&lt;(Producción!M31*$B48),Auxiliares!$D21,Producción!M31*$B48)*Auxiliares!$J$15*Auxiliares!$J$16*IF('Datos Consumo '!$C$12="Si",'Datos Consumo '!$C25,IF('Datos Consumo '!$C$11="No",'Datos Consumo '!$C$14,'Datos Consumo '!$C$16*Auxiliares!$N$4+Auxiliares!$N$5*'Datos Consumo '!$C$18))</f>
        <v>17.021071398029434</v>
      </c>
      <c r="O28">
        <f ca="1">IF(Auxiliares!$D21&lt;(Producción!N31*$B48),Auxiliares!$D21,Producción!N31*$B48)*Auxiliares!$J$15*Auxiliares!$J$16*IF('Datos Consumo '!$C$12="Si",'Datos Consumo '!$C25,IF('Datos Consumo '!$C$11="No",'Datos Consumo '!$C$14,'Datos Consumo '!$C$16*Auxiliares!$N$4+Auxiliares!$N$5*'Datos Consumo '!$C$18))</f>
        <v>17.021071398029434</v>
      </c>
      <c r="P28">
        <f ca="1">IF(Auxiliares!$D21&lt;(Producción!O31*$B48),Auxiliares!$D21,Producción!O31*$B48)*Auxiliares!$J$15*Auxiliares!$J$16*IF('Datos Consumo '!$C$12="Si",'Datos Consumo '!$C25,IF('Datos Consumo '!$C$11="No",'Datos Consumo '!$C$14,'Datos Consumo '!$C$16*Auxiliares!$N$4+Auxiliares!$N$5*'Datos Consumo '!$C$18))</f>
        <v>17.021071398029434</v>
      </c>
      <c r="Q28">
        <f ca="1">IF(Auxiliares!$D21&lt;(Producción!P31*$B48),Auxiliares!$D21,Producción!P31*$B48)*Auxiliares!$J$15*Auxiliares!$J$16*IF('Datos Consumo '!$C$12="Si",'Datos Consumo '!$C25,IF('Datos Consumo '!$C$11="No",'Datos Consumo '!$C$14,'Datos Consumo '!$C$16*Auxiliares!$N$4+Auxiliares!$N$5*'Datos Consumo '!$C$18))</f>
        <v>17.021071398029434</v>
      </c>
      <c r="R28">
        <f ca="1">IF(Auxiliares!$D21&lt;(Producción!Q31*$B48),Auxiliares!$D21,Producción!Q31*$B48)*Auxiliares!$J$15*Auxiliares!$J$16*IF('Datos Consumo '!$C$12="Si",'Datos Consumo '!$C25,IF('Datos Consumo '!$C$11="No",'Datos Consumo '!$C$14,'Datos Consumo '!$C$16*Auxiliares!$N$4+Auxiliares!$N$5*'Datos Consumo '!$C$18))</f>
        <v>17.021071398029434</v>
      </c>
      <c r="S28">
        <f ca="1">IF(Auxiliares!$D21&lt;(Producción!R31*$B48),Auxiliares!$D21,Producción!R31*$B48)*Auxiliares!$J$15*Auxiliares!$J$16*IF('Datos Consumo '!$C$12="Si",'Datos Consumo '!$C25,IF('Datos Consumo '!$C$11="No",'Datos Consumo '!$C$14,'Datos Consumo '!$C$16*Auxiliares!$N$4+Auxiliares!$N$5*'Datos Consumo '!$C$18))</f>
        <v>17.021071398029434</v>
      </c>
      <c r="T28">
        <f ca="1">IF(Auxiliares!$D21&lt;(Producción!S31*$B48),Auxiliares!$D21,Producción!S31*$B48)*Auxiliares!$J$15*Auxiliares!$J$16*IF('Datos Consumo '!$C$12="Si",'Datos Consumo '!$C25,IF('Datos Consumo '!$C$11="No",'Datos Consumo '!$C$14,'Datos Consumo '!$C$16*Auxiliares!$N$4+Auxiliares!$N$5*'Datos Consumo '!$C$18))</f>
        <v>17.021071398029434</v>
      </c>
      <c r="U28">
        <f ca="1">IF(Auxiliares!$D21&lt;(Producción!T31*$B48),Auxiliares!$D21,Producción!T31*$B48)*Auxiliares!$J$15*Auxiliares!$J$16*IF('Datos Consumo '!$C$12="Si",'Datos Consumo '!$C25,IF('Datos Consumo '!$C$11="No",'Datos Consumo '!$C$14,'Datos Consumo '!$C$16*Auxiliares!$N$4+Auxiliares!$N$5*'Datos Consumo '!$C$18))</f>
        <v>17.021071398029434</v>
      </c>
      <c r="V28">
        <f ca="1">IF(Auxiliares!$D21&lt;(Producción!U31*$B48),Auxiliares!$D21,Producción!U31*$B48)*Auxiliares!$J$15*Auxiliares!$J$16*IF('Datos Consumo '!$C$12="Si",'Datos Consumo '!$C25,IF('Datos Consumo '!$C$11="No",'Datos Consumo '!$C$14,'Datos Consumo '!$C$16*Auxiliares!$N$4+Auxiliares!$N$5*'Datos Consumo '!$C$18))</f>
        <v>17.021071398029434</v>
      </c>
      <c r="W28">
        <f ca="1">IF(Auxiliares!$D21&lt;(Producción!V31*$B48),Auxiliares!$D21,Producción!V31*$B48)*Auxiliares!$J$15*Auxiliares!$J$16*IF('Datos Consumo '!$C$12="Si",'Datos Consumo '!$C25,IF('Datos Consumo '!$C$11="No",'Datos Consumo '!$C$14,'Datos Consumo '!$C$16*Auxiliares!$N$4+Auxiliares!$N$5*'Datos Consumo '!$C$18))</f>
        <v>17.021071398029434</v>
      </c>
      <c r="X28">
        <f ca="1">IF(Auxiliares!$D21&lt;(Producción!W31*$B48),Auxiliares!$D21,Producción!W31*$B48)*Auxiliares!$J$15*Auxiliares!$J$16*IF('Datos Consumo '!$C$12="Si",'Datos Consumo '!$C25,IF('Datos Consumo '!$C$11="No",'Datos Consumo '!$C$14,'Datos Consumo '!$C$16*Auxiliares!$N$4+Auxiliares!$N$5*'Datos Consumo '!$C$18))</f>
        <v>17.021071398029434</v>
      </c>
      <c r="Y28">
        <f ca="1">IF(Auxiliares!$D21&lt;(Producción!X31*$B48),Auxiliares!$D21,Producción!X31*$B48)*Auxiliares!$J$15*Auxiliares!$J$16*IF('Datos Consumo '!$C$12="Si",'Datos Consumo '!$C25,IF('Datos Consumo '!$C$11="No",'Datos Consumo '!$C$14,'Datos Consumo '!$C$16*Auxiliares!$N$4+Auxiliares!$N$5*'Datos Consumo '!$C$18))</f>
        <v>17.021071398029434</v>
      </c>
      <c r="Z28">
        <f ca="1">IF(Auxiliares!$D21&lt;(Producción!Y31*$B48),Auxiliares!$D21,Producción!Y31*$B48)*Auxiliares!$J$15*Auxiliares!$J$16*IF('Datos Consumo '!$C$12="Si",'Datos Consumo '!$C25,IF('Datos Consumo '!$C$11="No",'Datos Consumo '!$C$14,'Datos Consumo '!$C$16*Auxiliares!$N$4+Auxiliares!$N$5*'Datos Consumo '!$C$18))</f>
        <v>17.021071398029434</v>
      </c>
      <c r="AA28">
        <f ca="1">IF(Auxiliares!$D21&lt;(Producción!Z31*$B48),Auxiliares!$D21,Producción!Z31*$B48)*Auxiliares!$J$15*Auxiliares!$J$16*IF('Datos Consumo '!$C$12="Si",'Datos Consumo '!$C25,IF('Datos Consumo '!$C$11="No",'Datos Consumo '!$C$14,'Datos Consumo '!$C$16*Auxiliares!$N$4+Auxiliares!$N$5*'Datos Consumo '!$C$18))</f>
        <v>17.021071398029434</v>
      </c>
      <c r="AB28">
        <f ca="1">IF(Auxiliares!$D21&lt;(Producción!AA31*$B48),Auxiliares!$D21,Producción!AA31*$B48)*Auxiliares!$J$15*Auxiliares!$J$16*IF('Datos Consumo '!$C$12="Si",'Datos Consumo '!$C25,IF('Datos Consumo '!$C$11="No",'Datos Consumo '!$C$14,'Datos Consumo '!$C$16*Auxiliares!$N$4+Auxiliares!$N$5*'Datos Consumo '!$C$18))</f>
        <v>17.021071398029434</v>
      </c>
      <c r="AC28">
        <f ca="1">IF(Auxiliares!$D21&lt;(Producción!AB31*$B48),Auxiliares!$D21,Producción!AB31*$B48)*Auxiliares!$J$15*Auxiliares!$J$16*IF('Datos Consumo '!$C$12="Si",'Datos Consumo '!$C25,IF('Datos Consumo '!$C$11="No",'Datos Consumo '!$C$14,'Datos Consumo '!$C$16*Auxiliares!$N$4+Auxiliares!$N$5*'Datos Consumo '!$C$18))</f>
        <v>17.021071398029434</v>
      </c>
      <c r="AD28">
        <f ca="1">IF(Auxiliares!$D21&lt;(Producción!AC31*$B48),Auxiliares!$D21,Producción!AC31*$B48)*Auxiliares!$J$15*Auxiliares!$J$16*IF('Datos Consumo '!$C$12="Si",'Datos Consumo '!$C25,IF('Datos Consumo '!$C$11="No",'Datos Consumo '!$C$14,'Datos Consumo '!$C$16*Auxiliares!$N$4+Auxiliares!$N$5*'Datos Consumo '!$C$18))</f>
        <v>17.021071398029434</v>
      </c>
      <c r="AE28">
        <f ca="1">IF(Auxiliares!$D21&lt;(Producción!AD31*$B48),Auxiliares!$D21,Producción!AD31*$B48)*Auxiliares!$J$15*Auxiliares!$J$16*IF('Datos Consumo '!$C$12="Si",'Datos Consumo '!$C25,IF('Datos Consumo '!$C$11="No",'Datos Consumo '!$C$14,'Datos Consumo '!$C$16*Auxiliares!$N$4+Auxiliares!$N$5*'Datos Consumo '!$C$18))</f>
        <v>17.021071398029434</v>
      </c>
      <c r="AF28">
        <f ca="1">IF(Auxiliares!$D21&lt;(Producción!AE31*$B48),Auxiliares!$D21,Producción!AE31*$B48)*Auxiliares!$J$15*Auxiliares!$J$16*IF('Datos Consumo '!$C$12="Si",'Datos Consumo '!$C25,IF('Datos Consumo '!$C$11="No",'Datos Consumo '!$C$14,'Datos Consumo '!$C$16*Auxiliares!$N$4+Auxiliares!$N$5*'Datos Consumo '!$C$18))</f>
        <v>17.021071398029434</v>
      </c>
      <c r="AG28">
        <f ca="1">IF(Auxiliares!$D21&lt;(Producción!AF31*$B48),Auxiliares!$D21,Producción!AF31*$B48)*Auxiliares!$J$15*Auxiliares!$J$16*IF('Datos Consumo '!$C$12="Si",'Datos Consumo '!$C25,IF('Datos Consumo '!$C$11="No",'Datos Consumo '!$C$14,'Datos Consumo '!$C$16*Auxiliares!$N$4+Auxiliares!$N$5*'Datos Consumo '!$C$18))</f>
        <v>17.021071398029434</v>
      </c>
      <c r="AH28">
        <f ca="1">IF(Auxiliares!$D21&lt;(Producción!AG31*$B48),Auxiliares!$D21,Producción!AG31*$B48)*Auxiliares!$J$15*Auxiliares!$J$16*IF('Datos Consumo '!$C$12="Si",'Datos Consumo '!$C25,IF('Datos Consumo '!$C$11="No",'Datos Consumo '!$C$14,'Datos Consumo '!$C$16*Auxiliares!$N$4+Auxiliares!$N$5*'Datos Consumo '!$C$18))</f>
        <v>17.021071398029434</v>
      </c>
    </row>
    <row r="29" spans="3:34">
      <c r="C29" s="24" t="str">
        <f t="shared" si="16"/>
        <v>Julio</v>
      </c>
      <c r="D29" s="186">
        <f ca="1">IF(Auxiliares!$D22&lt;(Producción!C32*$B49),Auxiliares!$D22,Producción!C32*$B49)*Auxiliares!$J$15*Auxiliares!$J$16*IF('Datos Consumo '!$C$12="Si",'Datos Consumo '!$C26,IF('Datos Consumo '!$C$11="No",'Datos Consumo '!$C$14,'Datos Consumo '!$C$16*Auxiliares!$N$4+Auxiliares!$N$5*'Datos Consumo '!$C$18))</f>
        <v>21.1061285335565</v>
      </c>
      <c r="E29">
        <f ca="1">IF(Auxiliares!$D22&lt;(Producción!D32*$B49),Auxiliares!$D22,Producción!D32*$B49)*Auxiliares!$J$15*Auxiliares!$J$16*IF('Datos Consumo '!$C$12="Si",'Datos Consumo '!$C26,IF('Datos Consumo '!$C$11="No",'Datos Consumo '!$C$14,'Datos Consumo '!$C$16*Auxiliares!$N$4+Auxiliares!$N$5*'Datos Consumo '!$C$18))</f>
        <v>21.1061285335565</v>
      </c>
      <c r="F29">
        <f ca="1">IF(Auxiliares!$D22&lt;(Producción!E32*$B49),Auxiliares!$D22,Producción!E32*$B49)*Auxiliares!$J$15*Auxiliares!$J$16*IF('Datos Consumo '!$C$12="Si",'Datos Consumo '!$C26,IF('Datos Consumo '!$C$11="No",'Datos Consumo '!$C$14,'Datos Consumo '!$C$16*Auxiliares!$N$4+Auxiliares!$N$5*'Datos Consumo '!$C$18))</f>
        <v>21.1061285335565</v>
      </c>
      <c r="G29">
        <f ca="1">IF(Auxiliares!$D22&lt;(Producción!F32*$B49),Auxiliares!$D22,Producción!F32*$B49)*Auxiliares!$J$15*Auxiliares!$J$16*IF('Datos Consumo '!$C$12="Si",'Datos Consumo '!$C26,IF('Datos Consumo '!$C$11="No",'Datos Consumo '!$C$14,'Datos Consumo '!$C$16*Auxiliares!$N$4+Auxiliares!$N$5*'Datos Consumo '!$C$18))</f>
        <v>21.1061285335565</v>
      </c>
      <c r="H29">
        <f ca="1">IF(Auxiliares!$D22&lt;(Producción!G32*$B49),Auxiliares!$D22,Producción!G32*$B49)*Auxiliares!$J$15*Auxiliares!$J$16*IF('Datos Consumo '!$C$12="Si",'Datos Consumo '!$C26,IF('Datos Consumo '!$C$11="No",'Datos Consumo '!$C$14,'Datos Consumo '!$C$16*Auxiliares!$N$4+Auxiliares!$N$5*'Datos Consumo '!$C$18))</f>
        <v>21.1061285335565</v>
      </c>
      <c r="I29">
        <f ca="1">IF(Auxiliares!$D22&lt;(Producción!H32*$B49),Auxiliares!$D22,Producción!H32*$B49)*Auxiliares!$J$15*Auxiliares!$J$16*IF('Datos Consumo '!$C$12="Si",'Datos Consumo '!$C26,IF('Datos Consumo '!$C$11="No",'Datos Consumo '!$C$14,'Datos Consumo '!$C$16*Auxiliares!$N$4+Auxiliares!$N$5*'Datos Consumo '!$C$18))</f>
        <v>21.1061285335565</v>
      </c>
      <c r="J29">
        <f ca="1">IF(Auxiliares!$D22&lt;(Producción!I32*$B49),Auxiliares!$D22,Producción!I32*$B49)*Auxiliares!$J$15*Auxiliares!$J$16*IF('Datos Consumo '!$C$12="Si",'Datos Consumo '!$C26,IF('Datos Consumo '!$C$11="No",'Datos Consumo '!$C$14,'Datos Consumo '!$C$16*Auxiliares!$N$4+Auxiliares!$N$5*'Datos Consumo '!$C$18))</f>
        <v>21.1061285335565</v>
      </c>
      <c r="K29">
        <f ca="1">IF(Auxiliares!$D22&lt;(Producción!J32*$B49),Auxiliares!$D22,Producción!J32*$B49)*Auxiliares!$J$15*Auxiliares!$J$16*IF('Datos Consumo '!$C$12="Si",'Datos Consumo '!$C26,IF('Datos Consumo '!$C$11="No",'Datos Consumo '!$C$14,'Datos Consumo '!$C$16*Auxiliares!$N$4+Auxiliares!$N$5*'Datos Consumo '!$C$18))</f>
        <v>21.1061285335565</v>
      </c>
      <c r="L29">
        <f ca="1">IF(Auxiliares!$D22&lt;(Producción!K32*$B49),Auxiliares!$D22,Producción!K32*$B49)*Auxiliares!$J$15*Auxiliares!$J$16*IF('Datos Consumo '!$C$12="Si",'Datos Consumo '!$C26,IF('Datos Consumo '!$C$11="No",'Datos Consumo '!$C$14,'Datos Consumo '!$C$16*Auxiliares!$N$4+Auxiliares!$N$5*'Datos Consumo '!$C$18))</f>
        <v>21.1061285335565</v>
      </c>
      <c r="M29">
        <f ca="1">IF(Auxiliares!$D22&lt;(Producción!L32*$B49),Auxiliares!$D22,Producción!L32*$B49)*Auxiliares!$J$15*Auxiliares!$J$16*IF('Datos Consumo '!$C$12="Si",'Datos Consumo '!$C26,IF('Datos Consumo '!$C$11="No",'Datos Consumo '!$C$14,'Datos Consumo '!$C$16*Auxiliares!$N$4+Auxiliares!$N$5*'Datos Consumo '!$C$18))</f>
        <v>21.1061285335565</v>
      </c>
      <c r="N29">
        <f ca="1">IF(Auxiliares!$D22&lt;(Producción!M32*$B49),Auxiliares!$D22,Producción!M32*$B49)*Auxiliares!$J$15*Auxiliares!$J$16*IF('Datos Consumo '!$C$12="Si",'Datos Consumo '!$C26,IF('Datos Consumo '!$C$11="No",'Datos Consumo '!$C$14,'Datos Consumo '!$C$16*Auxiliares!$N$4+Auxiliares!$N$5*'Datos Consumo '!$C$18))</f>
        <v>21.1061285335565</v>
      </c>
      <c r="O29">
        <f ca="1">IF(Auxiliares!$D22&lt;(Producción!N32*$B49),Auxiliares!$D22,Producción!N32*$B49)*Auxiliares!$J$15*Auxiliares!$J$16*IF('Datos Consumo '!$C$12="Si",'Datos Consumo '!$C26,IF('Datos Consumo '!$C$11="No",'Datos Consumo '!$C$14,'Datos Consumo '!$C$16*Auxiliares!$N$4+Auxiliares!$N$5*'Datos Consumo '!$C$18))</f>
        <v>21.1061285335565</v>
      </c>
      <c r="P29">
        <f ca="1">IF(Auxiliares!$D22&lt;(Producción!O32*$B49),Auxiliares!$D22,Producción!O32*$B49)*Auxiliares!$J$15*Auxiliares!$J$16*IF('Datos Consumo '!$C$12="Si",'Datos Consumo '!$C26,IF('Datos Consumo '!$C$11="No",'Datos Consumo '!$C$14,'Datos Consumo '!$C$16*Auxiliares!$N$4+Auxiliares!$N$5*'Datos Consumo '!$C$18))</f>
        <v>21.1061285335565</v>
      </c>
      <c r="Q29">
        <f ca="1">IF(Auxiliares!$D22&lt;(Producción!P32*$B49),Auxiliares!$D22,Producción!P32*$B49)*Auxiliares!$J$15*Auxiliares!$J$16*IF('Datos Consumo '!$C$12="Si",'Datos Consumo '!$C26,IF('Datos Consumo '!$C$11="No",'Datos Consumo '!$C$14,'Datos Consumo '!$C$16*Auxiliares!$N$4+Auxiliares!$N$5*'Datos Consumo '!$C$18))</f>
        <v>21.1061285335565</v>
      </c>
      <c r="R29">
        <f ca="1">IF(Auxiliares!$D22&lt;(Producción!Q32*$B49),Auxiliares!$D22,Producción!Q32*$B49)*Auxiliares!$J$15*Auxiliares!$J$16*IF('Datos Consumo '!$C$12="Si",'Datos Consumo '!$C26,IF('Datos Consumo '!$C$11="No",'Datos Consumo '!$C$14,'Datos Consumo '!$C$16*Auxiliares!$N$4+Auxiliares!$N$5*'Datos Consumo '!$C$18))</f>
        <v>21.1061285335565</v>
      </c>
      <c r="S29">
        <f ca="1">IF(Auxiliares!$D22&lt;(Producción!R32*$B49),Auxiliares!$D22,Producción!R32*$B49)*Auxiliares!$J$15*Auxiliares!$J$16*IF('Datos Consumo '!$C$12="Si",'Datos Consumo '!$C26,IF('Datos Consumo '!$C$11="No",'Datos Consumo '!$C$14,'Datos Consumo '!$C$16*Auxiliares!$N$4+Auxiliares!$N$5*'Datos Consumo '!$C$18))</f>
        <v>21.1061285335565</v>
      </c>
      <c r="T29">
        <f ca="1">IF(Auxiliares!$D22&lt;(Producción!S32*$B49),Auxiliares!$D22,Producción!S32*$B49)*Auxiliares!$J$15*Auxiliares!$J$16*IF('Datos Consumo '!$C$12="Si",'Datos Consumo '!$C26,IF('Datos Consumo '!$C$11="No",'Datos Consumo '!$C$14,'Datos Consumo '!$C$16*Auxiliares!$N$4+Auxiliares!$N$5*'Datos Consumo '!$C$18))</f>
        <v>21.1061285335565</v>
      </c>
      <c r="U29">
        <f ca="1">IF(Auxiliares!$D22&lt;(Producción!T32*$B49),Auxiliares!$D22,Producción!T32*$B49)*Auxiliares!$J$15*Auxiliares!$J$16*IF('Datos Consumo '!$C$12="Si",'Datos Consumo '!$C26,IF('Datos Consumo '!$C$11="No",'Datos Consumo '!$C$14,'Datos Consumo '!$C$16*Auxiliares!$N$4+Auxiliares!$N$5*'Datos Consumo '!$C$18))</f>
        <v>21.1061285335565</v>
      </c>
      <c r="V29">
        <f ca="1">IF(Auxiliares!$D22&lt;(Producción!U32*$B49),Auxiliares!$D22,Producción!U32*$B49)*Auxiliares!$J$15*Auxiliares!$J$16*IF('Datos Consumo '!$C$12="Si",'Datos Consumo '!$C26,IF('Datos Consumo '!$C$11="No",'Datos Consumo '!$C$14,'Datos Consumo '!$C$16*Auxiliares!$N$4+Auxiliares!$N$5*'Datos Consumo '!$C$18))</f>
        <v>21.1061285335565</v>
      </c>
      <c r="W29">
        <f ca="1">IF(Auxiliares!$D22&lt;(Producción!V32*$B49),Auxiliares!$D22,Producción!V32*$B49)*Auxiliares!$J$15*Auxiliares!$J$16*IF('Datos Consumo '!$C$12="Si",'Datos Consumo '!$C26,IF('Datos Consumo '!$C$11="No",'Datos Consumo '!$C$14,'Datos Consumo '!$C$16*Auxiliares!$N$4+Auxiliares!$N$5*'Datos Consumo '!$C$18))</f>
        <v>21.1061285335565</v>
      </c>
      <c r="X29">
        <f ca="1">IF(Auxiliares!$D22&lt;(Producción!W32*$B49),Auxiliares!$D22,Producción!W32*$B49)*Auxiliares!$J$15*Auxiliares!$J$16*IF('Datos Consumo '!$C$12="Si",'Datos Consumo '!$C26,IF('Datos Consumo '!$C$11="No",'Datos Consumo '!$C$14,'Datos Consumo '!$C$16*Auxiliares!$N$4+Auxiliares!$N$5*'Datos Consumo '!$C$18))</f>
        <v>21.1061285335565</v>
      </c>
      <c r="Y29">
        <f ca="1">IF(Auxiliares!$D22&lt;(Producción!X32*$B49),Auxiliares!$D22,Producción!X32*$B49)*Auxiliares!$J$15*Auxiliares!$J$16*IF('Datos Consumo '!$C$12="Si",'Datos Consumo '!$C26,IF('Datos Consumo '!$C$11="No",'Datos Consumo '!$C$14,'Datos Consumo '!$C$16*Auxiliares!$N$4+Auxiliares!$N$5*'Datos Consumo '!$C$18))</f>
        <v>21.1061285335565</v>
      </c>
      <c r="Z29">
        <f ca="1">IF(Auxiliares!$D22&lt;(Producción!Y32*$B49),Auxiliares!$D22,Producción!Y32*$B49)*Auxiliares!$J$15*Auxiliares!$J$16*IF('Datos Consumo '!$C$12="Si",'Datos Consumo '!$C26,IF('Datos Consumo '!$C$11="No",'Datos Consumo '!$C$14,'Datos Consumo '!$C$16*Auxiliares!$N$4+Auxiliares!$N$5*'Datos Consumo '!$C$18))</f>
        <v>21.1061285335565</v>
      </c>
      <c r="AA29">
        <f ca="1">IF(Auxiliares!$D22&lt;(Producción!Z32*$B49),Auxiliares!$D22,Producción!Z32*$B49)*Auxiliares!$J$15*Auxiliares!$J$16*IF('Datos Consumo '!$C$12="Si",'Datos Consumo '!$C26,IF('Datos Consumo '!$C$11="No",'Datos Consumo '!$C$14,'Datos Consumo '!$C$16*Auxiliares!$N$4+Auxiliares!$N$5*'Datos Consumo '!$C$18))</f>
        <v>21.1061285335565</v>
      </c>
      <c r="AB29">
        <f ca="1">IF(Auxiliares!$D22&lt;(Producción!AA32*$B49),Auxiliares!$D22,Producción!AA32*$B49)*Auxiliares!$J$15*Auxiliares!$J$16*IF('Datos Consumo '!$C$12="Si",'Datos Consumo '!$C26,IF('Datos Consumo '!$C$11="No",'Datos Consumo '!$C$14,'Datos Consumo '!$C$16*Auxiliares!$N$4+Auxiliares!$N$5*'Datos Consumo '!$C$18))</f>
        <v>21.1061285335565</v>
      </c>
      <c r="AC29">
        <f ca="1">IF(Auxiliares!$D22&lt;(Producción!AB32*$B49),Auxiliares!$D22,Producción!AB32*$B49)*Auxiliares!$J$15*Auxiliares!$J$16*IF('Datos Consumo '!$C$12="Si",'Datos Consumo '!$C26,IF('Datos Consumo '!$C$11="No",'Datos Consumo '!$C$14,'Datos Consumo '!$C$16*Auxiliares!$N$4+Auxiliares!$N$5*'Datos Consumo '!$C$18))</f>
        <v>21.1061285335565</v>
      </c>
      <c r="AD29">
        <f ca="1">IF(Auxiliares!$D22&lt;(Producción!AC32*$B49),Auxiliares!$D22,Producción!AC32*$B49)*Auxiliares!$J$15*Auxiliares!$J$16*IF('Datos Consumo '!$C$12="Si",'Datos Consumo '!$C26,IF('Datos Consumo '!$C$11="No",'Datos Consumo '!$C$14,'Datos Consumo '!$C$16*Auxiliares!$N$4+Auxiliares!$N$5*'Datos Consumo '!$C$18))</f>
        <v>21.1061285335565</v>
      </c>
      <c r="AE29">
        <f ca="1">IF(Auxiliares!$D22&lt;(Producción!AD32*$B49),Auxiliares!$D22,Producción!AD32*$B49)*Auxiliares!$J$15*Auxiliares!$J$16*IF('Datos Consumo '!$C$12="Si",'Datos Consumo '!$C26,IF('Datos Consumo '!$C$11="No",'Datos Consumo '!$C$14,'Datos Consumo '!$C$16*Auxiliares!$N$4+Auxiliares!$N$5*'Datos Consumo '!$C$18))</f>
        <v>21.1061285335565</v>
      </c>
      <c r="AF29">
        <f ca="1">IF(Auxiliares!$D22&lt;(Producción!AE32*$B49),Auxiliares!$D22,Producción!AE32*$B49)*Auxiliares!$J$15*Auxiliares!$J$16*IF('Datos Consumo '!$C$12="Si",'Datos Consumo '!$C26,IF('Datos Consumo '!$C$11="No",'Datos Consumo '!$C$14,'Datos Consumo '!$C$16*Auxiliares!$N$4+Auxiliares!$N$5*'Datos Consumo '!$C$18))</f>
        <v>21.1061285335565</v>
      </c>
      <c r="AG29">
        <f ca="1">IF(Auxiliares!$D22&lt;(Producción!AF32*$B49),Auxiliares!$D22,Producción!AF32*$B49)*Auxiliares!$J$15*Auxiliares!$J$16*IF('Datos Consumo '!$C$12="Si",'Datos Consumo '!$C26,IF('Datos Consumo '!$C$11="No",'Datos Consumo '!$C$14,'Datos Consumo '!$C$16*Auxiliares!$N$4+Auxiliares!$N$5*'Datos Consumo '!$C$18))</f>
        <v>21.1061285335565</v>
      </c>
      <c r="AH29">
        <f ca="1">IF(Auxiliares!$D22&lt;(Producción!AG32*$B49),Auxiliares!$D22,Producción!AG32*$B49)*Auxiliares!$J$15*Auxiliares!$J$16*IF('Datos Consumo '!$C$12="Si",'Datos Consumo '!$C26,IF('Datos Consumo '!$C$11="No",'Datos Consumo '!$C$14,'Datos Consumo '!$C$16*Auxiliares!$N$4+Auxiliares!$N$5*'Datos Consumo '!$C$18))</f>
        <v>21.1061285335565</v>
      </c>
    </row>
    <row r="30" spans="3:34">
      <c r="C30" s="24" t="str">
        <f t="shared" si="16"/>
        <v>Agosto</v>
      </c>
      <c r="D30" s="186">
        <f ca="1">IF(Auxiliares!$D23&lt;(Producción!C33*$B50),Auxiliares!$D23,Producción!C33*$B50)*Auxiliares!$J$15*Auxiliares!$J$16*IF('Datos Consumo '!$C$12="Si",'Datos Consumo '!$C27,IF('Datos Consumo '!$C$11="No",'Datos Consumo '!$C$14,'Datos Consumo '!$C$16*Auxiliares!$N$4+Auxiliares!$N$5*'Datos Consumo '!$C$18))</f>
        <v>18.042335681911201</v>
      </c>
      <c r="E30">
        <f ca="1">IF(Auxiliares!$D23&lt;(Producción!D33*$B50),Auxiliares!$D23,Producción!D33*$B50)*Auxiliares!$J$15*Auxiliares!$J$16*IF('Datos Consumo '!$C$12="Si",'Datos Consumo '!$C27,IF('Datos Consumo '!$C$11="No",'Datos Consumo '!$C$14,'Datos Consumo '!$C$16*Auxiliares!$N$4+Auxiliares!$N$5*'Datos Consumo '!$C$18))</f>
        <v>18.042335681911201</v>
      </c>
      <c r="F30">
        <f ca="1">IF(Auxiliares!$D23&lt;(Producción!E33*$B50),Auxiliares!$D23,Producción!E33*$B50)*Auxiliares!$J$15*Auxiliares!$J$16*IF('Datos Consumo '!$C$12="Si",'Datos Consumo '!$C27,IF('Datos Consumo '!$C$11="No",'Datos Consumo '!$C$14,'Datos Consumo '!$C$16*Auxiliares!$N$4+Auxiliares!$N$5*'Datos Consumo '!$C$18))</f>
        <v>18.042335681911201</v>
      </c>
      <c r="G30">
        <f ca="1">IF(Auxiliares!$D23&lt;(Producción!F33*$B50),Auxiliares!$D23,Producción!F33*$B50)*Auxiliares!$J$15*Auxiliares!$J$16*IF('Datos Consumo '!$C$12="Si",'Datos Consumo '!$C27,IF('Datos Consumo '!$C$11="No",'Datos Consumo '!$C$14,'Datos Consumo '!$C$16*Auxiliares!$N$4+Auxiliares!$N$5*'Datos Consumo '!$C$18))</f>
        <v>18.042335681911201</v>
      </c>
      <c r="H30">
        <f ca="1">IF(Auxiliares!$D23&lt;(Producción!G33*$B50),Auxiliares!$D23,Producción!G33*$B50)*Auxiliares!$J$15*Auxiliares!$J$16*IF('Datos Consumo '!$C$12="Si",'Datos Consumo '!$C27,IF('Datos Consumo '!$C$11="No",'Datos Consumo '!$C$14,'Datos Consumo '!$C$16*Auxiliares!$N$4+Auxiliares!$N$5*'Datos Consumo '!$C$18))</f>
        <v>18.042335681911201</v>
      </c>
      <c r="I30">
        <f ca="1">IF(Auxiliares!$D23&lt;(Producción!H33*$B50),Auxiliares!$D23,Producción!H33*$B50)*Auxiliares!$J$15*Auxiliares!$J$16*IF('Datos Consumo '!$C$12="Si",'Datos Consumo '!$C27,IF('Datos Consumo '!$C$11="No",'Datos Consumo '!$C$14,'Datos Consumo '!$C$16*Auxiliares!$N$4+Auxiliares!$N$5*'Datos Consumo '!$C$18))</f>
        <v>18.042335681911201</v>
      </c>
      <c r="J30">
        <f ca="1">IF(Auxiliares!$D23&lt;(Producción!I33*$B50),Auxiliares!$D23,Producción!I33*$B50)*Auxiliares!$J$15*Auxiliares!$J$16*IF('Datos Consumo '!$C$12="Si",'Datos Consumo '!$C27,IF('Datos Consumo '!$C$11="No",'Datos Consumo '!$C$14,'Datos Consumo '!$C$16*Auxiliares!$N$4+Auxiliares!$N$5*'Datos Consumo '!$C$18))</f>
        <v>18.042335681911201</v>
      </c>
      <c r="K30">
        <f ca="1">IF(Auxiliares!$D23&lt;(Producción!J33*$B50),Auxiliares!$D23,Producción!J33*$B50)*Auxiliares!$J$15*Auxiliares!$J$16*IF('Datos Consumo '!$C$12="Si",'Datos Consumo '!$C27,IF('Datos Consumo '!$C$11="No",'Datos Consumo '!$C$14,'Datos Consumo '!$C$16*Auxiliares!$N$4+Auxiliares!$N$5*'Datos Consumo '!$C$18))</f>
        <v>18.042335681911201</v>
      </c>
      <c r="L30">
        <f ca="1">IF(Auxiliares!$D23&lt;(Producción!K33*$B50),Auxiliares!$D23,Producción!K33*$B50)*Auxiliares!$J$15*Auxiliares!$J$16*IF('Datos Consumo '!$C$12="Si",'Datos Consumo '!$C27,IF('Datos Consumo '!$C$11="No",'Datos Consumo '!$C$14,'Datos Consumo '!$C$16*Auxiliares!$N$4+Auxiliares!$N$5*'Datos Consumo '!$C$18))</f>
        <v>18.042335681911201</v>
      </c>
      <c r="M30">
        <f ca="1">IF(Auxiliares!$D23&lt;(Producción!L33*$B50),Auxiliares!$D23,Producción!L33*$B50)*Auxiliares!$J$15*Auxiliares!$J$16*IF('Datos Consumo '!$C$12="Si",'Datos Consumo '!$C27,IF('Datos Consumo '!$C$11="No",'Datos Consumo '!$C$14,'Datos Consumo '!$C$16*Auxiliares!$N$4+Auxiliares!$N$5*'Datos Consumo '!$C$18))</f>
        <v>18.042335681911201</v>
      </c>
      <c r="N30">
        <f ca="1">IF(Auxiliares!$D23&lt;(Producción!M33*$B50),Auxiliares!$D23,Producción!M33*$B50)*Auxiliares!$J$15*Auxiliares!$J$16*IF('Datos Consumo '!$C$12="Si",'Datos Consumo '!$C27,IF('Datos Consumo '!$C$11="No",'Datos Consumo '!$C$14,'Datos Consumo '!$C$16*Auxiliares!$N$4+Auxiliares!$N$5*'Datos Consumo '!$C$18))</f>
        <v>18.042335681911201</v>
      </c>
      <c r="O30">
        <f ca="1">IF(Auxiliares!$D23&lt;(Producción!N33*$B50),Auxiliares!$D23,Producción!N33*$B50)*Auxiliares!$J$15*Auxiliares!$J$16*IF('Datos Consumo '!$C$12="Si",'Datos Consumo '!$C27,IF('Datos Consumo '!$C$11="No",'Datos Consumo '!$C$14,'Datos Consumo '!$C$16*Auxiliares!$N$4+Auxiliares!$N$5*'Datos Consumo '!$C$18))</f>
        <v>18.042335681911201</v>
      </c>
      <c r="P30">
        <f ca="1">IF(Auxiliares!$D23&lt;(Producción!O33*$B50),Auxiliares!$D23,Producción!O33*$B50)*Auxiliares!$J$15*Auxiliares!$J$16*IF('Datos Consumo '!$C$12="Si",'Datos Consumo '!$C27,IF('Datos Consumo '!$C$11="No",'Datos Consumo '!$C$14,'Datos Consumo '!$C$16*Auxiliares!$N$4+Auxiliares!$N$5*'Datos Consumo '!$C$18))</f>
        <v>18.042335681911201</v>
      </c>
      <c r="Q30">
        <f ca="1">IF(Auxiliares!$D23&lt;(Producción!P33*$B50),Auxiliares!$D23,Producción!P33*$B50)*Auxiliares!$J$15*Auxiliares!$J$16*IF('Datos Consumo '!$C$12="Si",'Datos Consumo '!$C27,IF('Datos Consumo '!$C$11="No",'Datos Consumo '!$C$14,'Datos Consumo '!$C$16*Auxiliares!$N$4+Auxiliares!$N$5*'Datos Consumo '!$C$18))</f>
        <v>18.042335681911201</v>
      </c>
      <c r="R30">
        <f ca="1">IF(Auxiliares!$D23&lt;(Producción!Q33*$B50),Auxiliares!$D23,Producción!Q33*$B50)*Auxiliares!$J$15*Auxiliares!$J$16*IF('Datos Consumo '!$C$12="Si",'Datos Consumo '!$C27,IF('Datos Consumo '!$C$11="No",'Datos Consumo '!$C$14,'Datos Consumo '!$C$16*Auxiliares!$N$4+Auxiliares!$N$5*'Datos Consumo '!$C$18))</f>
        <v>18.042335681911201</v>
      </c>
      <c r="S30">
        <f ca="1">IF(Auxiliares!$D23&lt;(Producción!R33*$B50),Auxiliares!$D23,Producción!R33*$B50)*Auxiliares!$J$15*Auxiliares!$J$16*IF('Datos Consumo '!$C$12="Si",'Datos Consumo '!$C27,IF('Datos Consumo '!$C$11="No",'Datos Consumo '!$C$14,'Datos Consumo '!$C$16*Auxiliares!$N$4+Auxiliares!$N$5*'Datos Consumo '!$C$18))</f>
        <v>18.042335681911201</v>
      </c>
      <c r="T30">
        <f ca="1">IF(Auxiliares!$D23&lt;(Producción!S33*$B50),Auxiliares!$D23,Producción!S33*$B50)*Auxiliares!$J$15*Auxiliares!$J$16*IF('Datos Consumo '!$C$12="Si",'Datos Consumo '!$C27,IF('Datos Consumo '!$C$11="No",'Datos Consumo '!$C$14,'Datos Consumo '!$C$16*Auxiliares!$N$4+Auxiliares!$N$5*'Datos Consumo '!$C$18))</f>
        <v>18.042335681911201</v>
      </c>
      <c r="U30">
        <f ca="1">IF(Auxiliares!$D23&lt;(Producción!T33*$B50),Auxiliares!$D23,Producción!T33*$B50)*Auxiliares!$J$15*Auxiliares!$J$16*IF('Datos Consumo '!$C$12="Si",'Datos Consumo '!$C27,IF('Datos Consumo '!$C$11="No",'Datos Consumo '!$C$14,'Datos Consumo '!$C$16*Auxiliares!$N$4+Auxiliares!$N$5*'Datos Consumo '!$C$18))</f>
        <v>18.042335681911201</v>
      </c>
      <c r="V30">
        <f ca="1">IF(Auxiliares!$D23&lt;(Producción!U33*$B50),Auxiliares!$D23,Producción!U33*$B50)*Auxiliares!$J$15*Auxiliares!$J$16*IF('Datos Consumo '!$C$12="Si",'Datos Consumo '!$C27,IF('Datos Consumo '!$C$11="No",'Datos Consumo '!$C$14,'Datos Consumo '!$C$16*Auxiliares!$N$4+Auxiliares!$N$5*'Datos Consumo '!$C$18))</f>
        <v>18.042335681911201</v>
      </c>
      <c r="W30">
        <f ca="1">IF(Auxiliares!$D23&lt;(Producción!V33*$B50),Auxiliares!$D23,Producción!V33*$B50)*Auxiliares!$J$15*Auxiliares!$J$16*IF('Datos Consumo '!$C$12="Si",'Datos Consumo '!$C27,IF('Datos Consumo '!$C$11="No",'Datos Consumo '!$C$14,'Datos Consumo '!$C$16*Auxiliares!$N$4+Auxiliares!$N$5*'Datos Consumo '!$C$18))</f>
        <v>18.042335681911201</v>
      </c>
      <c r="X30">
        <f ca="1">IF(Auxiliares!$D23&lt;(Producción!W33*$B50),Auxiliares!$D23,Producción!W33*$B50)*Auxiliares!$J$15*Auxiliares!$J$16*IF('Datos Consumo '!$C$12="Si",'Datos Consumo '!$C27,IF('Datos Consumo '!$C$11="No",'Datos Consumo '!$C$14,'Datos Consumo '!$C$16*Auxiliares!$N$4+Auxiliares!$N$5*'Datos Consumo '!$C$18))</f>
        <v>18.042335681911201</v>
      </c>
      <c r="Y30">
        <f ca="1">IF(Auxiliares!$D23&lt;(Producción!X33*$B50),Auxiliares!$D23,Producción!X33*$B50)*Auxiliares!$J$15*Auxiliares!$J$16*IF('Datos Consumo '!$C$12="Si",'Datos Consumo '!$C27,IF('Datos Consumo '!$C$11="No",'Datos Consumo '!$C$14,'Datos Consumo '!$C$16*Auxiliares!$N$4+Auxiliares!$N$5*'Datos Consumo '!$C$18))</f>
        <v>18.042335681911201</v>
      </c>
      <c r="Z30">
        <f ca="1">IF(Auxiliares!$D23&lt;(Producción!Y33*$B50),Auxiliares!$D23,Producción!Y33*$B50)*Auxiliares!$J$15*Auxiliares!$J$16*IF('Datos Consumo '!$C$12="Si",'Datos Consumo '!$C27,IF('Datos Consumo '!$C$11="No",'Datos Consumo '!$C$14,'Datos Consumo '!$C$16*Auxiliares!$N$4+Auxiliares!$N$5*'Datos Consumo '!$C$18))</f>
        <v>18.042335681911201</v>
      </c>
      <c r="AA30">
        <f ca="1">IF(Auxiliares!$D23&lt;(Producción!Z33*$B50),Auxiliares!$D23,Producción!Z33*$B50)*Auxiliares!$J$15*Auxiliares!$J$16*IF('Datos Consumo '!$C$12="Si",'Datos Consumo '!$C27,IF('Datos Consumo '!$C$11="No",'Datos Consumo '!$C$14,'Datos Consumo '!$C$16*Auxiliares!$N$4+Auxiliares!$N$5*'Datos Consumo '!$C$18))</f>
        <v>18.042335681911201</v>
      </c>
      <c r="AB30">
        <f ca="1">IF(Auxiliares!$D23&lt;(Producción!AA33*$B50),Auxiliares!$D23,Producción!AA33*$B50)*Auxiliares!$J$15*Auxiliares!$J$16*IF('Datos Consumo '!$C$12="Si",'Datos Consumo '!$C27,IF('Datos Consumo '!$C$11="No",'Datos Consumo '!$C$14,'Datos Consumo '!$C$16*Auxiliares!$N$4+Auxiliares!$N$5*'Datos Consumo '!$C$18))</f>
        <v>18.042335681911201</v>
      </c>
      <c r="AC30">
        <f ca="1">IF(Auxiliares!$D23&lt;(Producción!AB33*$B50),Auxiliares!$D23,Producción!AB33*$B50)*Auxiliares!$J$15*Auxiliares!$J$16*IF('Datos Consumo '!$C$12="Si",'Datos Consumo '!$C27,IF('Datos Consumo '!$C$11="No",'Datos Consumo '!$C$14,'Datos Consumo '!$C$16*Auxiliares!$N$4+Auxiliares!$N$5*'Datos Consumo '!$C$18))</f>
        <v>18.042335681911201</v>
      </c>
      <c r="AD30">
        <f ca="1">IF(Auxiliares!$D23&lt;(Producción!AC33*$B50),Auxiliares!$D23,Producción!AC33*$B50)*Auxiliares!$J$15*Auxiliares!$J$16*IF('Datos Consumo '!$C$12="Si",'Datos Consumo '!$C27,IF('Datos Consumo '!$C$11="No",'Datos Consumo '!$C$14,'Datos Consumo '!$C$16*Auxiliares!$N$4+Auxiliares!$N$5*'Datos Consumo '!$C$18))</f>
        <v>18.042335681911201</v>
      </c>
      <c r="AE30">
        <f ca="1">IF(Auxiliares!$D23&lt;(Producción!AD33*$B50),Auxiliares!$D23,Producción!AD33*$B50)*Auxiliares!$J$15*Auxiliares!$J$16*IF('Datos Consumo '!$C$12="Si",'Datos Consumo '!$C27,IF('Datos Consumo '!$C$11="No",'Datos Consumo '!$C$14,'Datos Consumo '!$C$16*Auxiliares!$N$4+Auxiliares!$N$5*'Datos Consumo '!$C$18))</f>
        <v>18.042335681911201</v>
      </c>
      <c r="AF30">
        <f ca="1">IF(Auxiliares!$D23&lt;(Producción!AE33*$B50),Auxiliares!$D23,Producción!AE33*$B50)*Auxiliares!$J$15*Auxiliares!$J$16*IF('Datos Consumo '!$C$12="Si",'Datos Consumo '!$C27,IF('Datos Consumo '!$C$11="No",'Datos Consumo '!$C$14,'Datos Consumo '!$C$16*Auxiliares!$N$4+Auxiliares!$N$5*'Datos Consumo '!$C$18))</f>
        <v>18.042335681911201</v>
      </c>
      <c r="AG30">
        <f ca="1">IF(Auxiliares!$D23&lt;(Producción!AF33*$B50),Auxiliares!$D23,Producción!AF33*$B50)*Auxiliares!$J$15*Auxiliares!$J$16*IF('Datos Consumo '!$C$12="Si",'Datos Consumo '!$C27,IF('Datos Consumo '!$C$11="No",'Datos Consumo '!$C$14,'Datos Consumo '!$C$16*Auxiliares!$N$4+Auxiliares!$N$5*'Datos Consumo '!$C$18))</f>
        <v>18.042335681911201</v>
      </c>
      <c r="AH30">
        <f ca="1">IF(Auxiliares!$D23&lt;(Producción!AG33*$B50),Auxiliares!$D23,Producción!AG33*$B50)*Auxiliares!$J$15*Auxiliares!$J$16*IF('Datos Consumo '!$C$12="Si",'Datos Consumo '!$C27,IF('Datos Consumo '!$C$11="No",'Datos Consumo '!$C$14,'Datos Consumo '!$C$16*Auxiliares!$N$4+Auxiliares!$N$5*'Datos Consumo '!$C$18))</f>
        <v>18.042335681911201</v>
      </c>
    </row>
    <row r="31" spans="3:34">
      <c r="C31" s="24" t="str">
        <f t="shared" si="16"/>
        <v>Septiembre</v>
      </c>
      <c r="D31" s="186">
        <f ca="1">IF(Auxiliares!$D24&lt;(Producción!C34*$B51),Auxiliares!$D24,Producción!C34*$B51)*Auxiliares!$J$15*Auxiliares!$J$16*IF('Datos Consumo '!$C$12="Si",'Datos Consumo '!$C28,IF('Datos Consumo '!$C$11="No",'Datos Consumo '!$C$14,'Datos Consumo '!$C$16*Auxiliares!$N$4+Auxiliares!$N$5*'Datos Consumo '!$C$18))</f>
        <v>17.021071398029434</v>
      </c>
      <c r="E31">
        <f ca="1">IF(Auxiliares!$D24&lt;(Producción!D34*$B51),Auxiliares!$D24,Producción!D34*$B51)*Auxiliares!$J$15*Auxiliares!$J$16*IF('Datos Consumo '!$C$12="Si",'Datos Consumo '!$C28,IF('Datos Consumo '!$C$11="No",'Datos Consumo '!$C$14,'Datos Consumo '!$C$16*Auxiliares!$N$4+Auxiliares!$N$5*'Datos Consumo '!$C$18))</f>
        <v>17.021071398029434</v>
      </c>
      <c r="F31">
        <f ca="1">IF(Auxiliares!$D24&lt;(Producción!E34*$B51),Auxiliares!$D24,Producción!E34*$B51)*Auxiliares!$J$15*Auxiliares!$J$16*IF('Datos Consumo '!$C$12="Si",'Datos Consumo '!$C28,IF('Datos Consumo '!$C$11="No",'Datos Consumo '!$C$14,'Datos Consumo '!$C$16*Auxiliares!$N$4+Auxiliares!$N$5*'Datos Consumo '!$C$18))</f>
        <v>17.021071398029434</v>
      </c>
      <c r="G31">
        <f ca="1">IF(Auxiliares!$D24&lt;(Producción!F34*$B51),Auxiliares!$D24,Producción!F34*$B51)*Auxiliares!$J$15*Auxiliares!$J$16*IF('Datos Consumo '!$C$12="Si",'Datos Consumo '!$C28,IF('Datos Consumo '!$C$11="No",'Datos Consumo '!$C$14,'Datos Consumo '!$C$16*Auxiliares!$N$4+Auxiliares!$N$5*'Datos Consumo '!$C$18))</f>
        <v>17.021071398029434</v>
      </c>
      <c r="H31">
        <f ca="1">IF(Auxiliares!$D24&lt;(Producción!G34*$B51),Auxiliares!$D24,Producción!G34*$B51)*Auxiliares!$J$15*Auxiliares!$J$16*IF('Datos Consumo '!$C$12="Si",'Datos Consumo '!$C28,IF('Datos Consumo '!$C$11="No",'Datos Consumo '!$C$14,'Datos Consumo '!$C$16*Auxiliares!$N$4+Auxiliares!$N$5*'Datos Consumo '!$C$18))</f>
        <v>17.021071398029434</v>
      </c>
      <c r="I31">
        <f ca="1">IF(Auxiliares!$D24&lt;(Producción!H34*$B51),Auxiliares!$D24,Producción!H34*$B51)*Auxiliares!$J$15*Auxiliares!$J$16*IF('Datos Consumo '!$C$12="Si",'Datos Consumo '!$C28,IF('Datos Consumo '!$C$11="No",'Datos Consumo '!$C$14,'Datos Consumo '!$C$16*Auxiliares!$N$4+Auxiliares!$N$5*'Datos Consumo '!$C$18))</f>
        <v>17.021071398029434</v>
      </c>
      <c r="J31">
        <f ca="1">IF(Auxiliares!$D24&lt;(Producción!I34*$B51),Auxiliares!$D24,Producción!I34*$B51)*Auxiliares!$J$15*Auxiliares!$J$16*IF('Datos Consumo '!$C$12="Si",'Datos Consumo '!$C28,IF('Datos Consumo '!$C$11="No",'Datos Consumo '!$C$14,'Datos Consumo '!$C$16*Auxiliares!$N$4+Auxiliares!$N$5*'Datos Consumo '!$C$18))</f>
        <v>17.021071398029434</v>
      </c>
      <c r="K31">
        <f ca="1">IF(Auxiliares!$D24&lt;(Producción!J34*$B51),Auxiliares!$D24,Producción!J34*$B51)*Auxiliares!$J$15*Auxiliares!$J$16*IF('Datos Consumo '!$C$12="Si",'Datos Consumo '!$C28,IF('Datos Consumo '!$C$11="No",'Datos Consumo '!$C$14,'Datos Consumo '!$C$16*Auxiliares!$N$4+Auxiliares!$N$5*'Datos Consumo '!$C$18))</f>
        <v>17.021071398029434</v>
      </c>
      <c r="L31">
        <f ca="1">IF(Auxiliares!$D24&lt;(Producción!K34*$B51),Auxiliares!$D24,Producción!K34*$B51)*Auxiliares!$J$15*Auxiliares!$J$16*IF('Datos Consumo '!$C$12="Si",'Datos Consumo '!$C28,IF('Datos Consumo '!$C$11="No",'Datos Consumo '!$C$14,'Datos Consumo '!$C$16*Auxiliares!$N$4+Auxiliares!$N$5*'Datos Consumo '!$C$18))</f>
        <v>17.021071398029434</v>
      </c>
      <c r="M31">
        <f ca="1">IF(Auxiliares!$D24&lt;(Producción!L34*$B51),Auxiliares!$D24,Producción!L34*$B51)*Auxiliares!$J$15*Auxiliares!$J$16*IF('Datos Consumo '!$C$12="Si",'Datos Consumo '!$C28,IF('Datos Consumo '!$C$11="No",'Datos Consumo '!$C$14,'Datos Consumo '!$C$16*Auxiliares!$N$4+Auxiliares!$N$5*'Datos Consumo '!$C$18))</f>
        <v>17.021071398029434</v>
      </c>
      <c r="N31">
        <f ca="1">IF(Auxiliares!$D24&lt;(Producción!M34*$B51),Auxiliares!$D24,Producción!M34*$B51)*Auxiliares!$J$15*Auxiliares!$J$16*IF('Datos Consumo '!$C$12="Si",'Datos Consumo '!$C28,IF('Datos Consumo '!$C$11="No",'Datos Consumo '!$C$14,'Datos Consumo '!$C$16*Auxiliares!$N$4+Auxiliares!$N$5*'Datos Consumo '!$C$18))</f>
        <v>17.021071398029434</v>
      </c>
      <c r="O31">
        <f ca="1">IF(Auxiliares!$D24&lt;(Producción!N34*$B51),Auxiliares!$D24,Producción!N34*$B51)*Auxiliares!$J$15*Auxiliares!$J$16*IF('Datos Consumo '!$C$12="Si",'Datos Consumo '!$C28,IF('Datos Consumo '!$C$11="No",'Datos Consumo '!$C$14,'Datos Consumo '!$C$16*Auxiliares!$N$4+Auxiliares!$N$5*'Datos Consumo '!$C$18))</f>
        <v>17.021071398029434</v>
      </c>
      <c r="P31">
        <f ca="1">IF(Auxiliares!$D24&lt;(Producción!O34*$B51),Auxiliares!$D24,Producción!O34*$B51)*Auxiliares!$J$15*Auxiliares!$J$16*IF('Datos Consumo '!$C$12="Si",'Datos Consumo '!$C28,IF('Datos Consumo '!$C$11="No",'Datos Consumo '!$C$14,'Datos Consumo '!$C$16*Auxiliares!$N$4+Auxiliares!$N$5*'Datos Consumo '!$C$18))</f>
        <v>17.021071398029434</v>
      </c>
      <c r="Q31">
        <f ca="1">IF(Auxiliares!$D24&lt;(Producción!P34*$B51),Auxiliares!$D24,Producción!P34*$B51)*Auxiliares!$J$15*Auxiliares!$J$16*IF('Datos Consumo '!$C$12="Si",'Datos Consumo '!$C28,IF('Datos Consumo '!$C$11="No",'Datos Consumo '!$C$14,'Datos Consumo '!$C$16*Auxiliares!$N$4+Auxiliares!$N$5*'Datos Consumo '!$C$18))</f>
        <v>17.021071398029434</v>
      </c>
      <c r="R31">
        <f ca="1">IF(Auxiliares!$D24&lt;(Producción!Q34*$B51),Auxiliares!$D24,Producción!Q34*$B51)*Auxiliares!$J$15*Auxiliares!$J$16*IF('Datos Consumo '!$C$12="Si",'Datos Consumo '!$C28,IF('Datos Consumo '!$C$11="No",'Datos Consumo '!$C$14,'Datos Consumo '!$C$16*Auxiliares!$N$4+Auxiliares!$N$5*'Datos Consumo '!$C$18))</f>
        <v>17.021071398029434</v>
      </c>
      <c r="S31">
        <f ca="1">IF(Auxiliares!$D24&lt;(Producción!R34*$B51),Auxiliares!$D24,Producción!R34*$B51)*Auxiliares!$J$15*Auxiliares!$J$16*IF('Datos Consumo '!$C$12="Si",'Datos Consumo '!$C28,IF('Datos Consumo '!$C$11="No",'Datos Consumo '!$C$14,'Datos Consumo '!$C$16*Auxiliares!$N$4+Auxiliares!$N$5*'Datos Consumo '!$C$18))</f>
        <v>17.021071398029434</v>
      </c>
      <c r="T31">
        <f ca="1">IF(Auxiliares!$D24&lt;(Producción!S34*$B51),Auxiliares!$D24,Producción!S34*$B51)*Auxiliares!$J$15*Auxiliares!$J$16*IF('Datos Consumo '!$C$12="Si",'Datos Consumo '!$C28,IF('Datos Consumo '!$C$11="No",'Datos Consumo '!$C$14,'Datos Consumo '!$C$16*Auxiliares!$N$4+Auxiliares!$N$5*'Datos Consumo '!$C$18))</f>
        <v>17.021071398029434</v>
      </c>
      <c r="U31">
        <f ca="1">IF(Auxiliares!$D24&lt;(Producción!T34*$B51),Auxiliares!$D24,Producción!T34*$B51)*Auxiliares!$J$15*Auxiliares!$J$16*IF('Datos Consumo '!$C$12="Si",'Datos Consumo '!$C28,IF('Datos Consumo '!$C$11="No",'Datos Consumo '!$C$14,'Datos Consumo '!$C$16*Auxiliares!$N$4+Auxiliares!$N$5*'Datos Consumo '!$C$18))</f>
        <v>17.021071398029434</v>
      </c>
      <c r="V31">
        <f ca="1">IF(Auxiliares!$D24&lt;(Producción!U34*$B51),Auxiliares!$D24,Producción!U34*$B51)*Auxiliares!$J$15*Auxiliares!$J$16*IF('Datos Consumo '!$C$12="Si",'Datos Consumo '!$C28,IF('Datos Consumo '!$C$11="No",'Datos Consumo '!$C$14,'Datos Consumo '!$C$16*Auxiliares!$N$4+Auxiliares!$N$5*'Datos Consumo '!$C$18))</f>
        <v>17.021071398029434</v>
      </c>
      <c r="W31">
        <f ca="1">IF(Auxiliares!$D24&lt;(Producción!V34*$B51),Auxiliares!$D24,Producción!V34*$B51)*Auxiliares!$J$15*Auxiliares!$J$16*IF('Datos Consumo '!$C$12="Si",'Datos Consumo '!$C28,IF('Datos Consumo '!$C$11="No",'Datos Consumo '!$C$14,'Datos Consumo '!$C$16*Auxiliares!$N$4+Auxiliares!$N$5*'Datos Consumo '!$C$18))</f>
        <v>17.021071398029434</v>
      </c>
      <c r="X31">
        <f ca="1">IF(Auxiliares!$D24&lt;(Producción!W34*$B51),Auxiliares!$D24,Producción!W34*$B51)*Auxiliares!$J$15*Auxiliares!$J$16*IF('Datos Consumo '!$C$12="Si",'Datos Consumo '!$C28,IF('Datos Consumo '!$C$11="No",'Datos Consumo '!$C$14,'Datos Consumo '!$C$16*Auxiliares!$N$4+Auxiliares!$N$5*'Datos Consumo '!$C$18))</f>
        <v>17.021071398029434</v>
      </c>
      <c r="Y31">
        <f ca="1">IF(Auxiliares!$D24&lt;(Producción!X34*$B51),Auxiliares!$D24,Producción!X34*$B51)*Auxiliares!$J$15*Auxiliares!$J$16*IF('Datos Consumo '!$C$12="Si",'Datos Consumo '!$C28,IF('Datos Consumo '!$C$11="No",'Datos Consumo '!$C$14,'Datos Consumo '!$C$16*Auxiliares!$N$4+Auxiliares!$N$5*'Datos Consumo '!$C$18))</f>
        <v>17.021071398029434</v>
      </c>
      <c r="Z31">
        <f ca="1">IF(Auxiliares!$D24&lt;(Producción!Y34*$B51),Auxiliares!$D24,Producción!Y34*$B51)*Auxiliares!$J$15*Auxiliares!$J$16*IF('Datos Consumo '!$C$12="Si",'Datos Consumo '!$C28,IF('Datos Consumo '!$C$11="No",'Datos Consumo '!$C$14,'Datos Consumo '!$C$16*Auxiliares!$N$4+Auxiliares!$N$5*'Datos Consumo '!$C$18))</f>
        <v>17.021071398029434</v>
      </c>
      <c r="AA31">
        <f ca="1">IF(Auxiliares!$D24&lt;(Producción!Z34*$B51),Auxiliares!$D24,Producción!Z34*$B51)*Auxiliares!$J$15*Auxiliares!$J$16*IF('Datos Consumo '!$C$12="Si",'Datos Consumo '!$C28,IF('Datos Consumo '!$C$11="No",'Datos Consumo '!$C$14,'Datos Consumo '!$C$16*Auxiliares!$N$4+Auxiliares!$N$5*'Datos Consumo '!$C$18))</f>
        <v>17.021071398029434</v>
      </c>
      <c r="AB31">
        <f ca="1">IF(Auxiliares!$D24&lt;(Producción!AA34*$B51),Auxiliares!$D24,Producción!AA34*$B51)*Auxiliares!$J$15*Auxiliares!$J$16*IF('Datos Consumo '!$C$12="Si",'Datos Consumo '!$C28,IF('Datos Consumo '!$C$11="No",'Datos Consumo '!$C$14,'Datos Consumo '!$C$16*Auxiliares!$N$4+Auxiliares!$N$5*'Datos Consumo '!$C$18))</f>
        <v>17.021071398029434</v>
      </c>
      <c r="AC31">
        <f ca="1">IF(Auxiliares!$D24&lt;(Producción!AB34*$B51),Auxiliares!$D24,Producción!AB34*$B51)*Auxiliares!$J$15*Auxiliares!$J$16*IF('Datos Consumo '!$C$12="Si",'Datos Consumo '!$C28,IF('Datos Consumo '!$C$11="No",'Datos Consumo '!$C$14,'Datos Consumo '!$C$16*Auxiliares!$N$4+Auxiliares!$N$5*'Datos Consumo '!$C$18))</f>
        <v>17.021071398029434</v>
      </c>
      <c r="AD31">
        <f ca="1">IF(Auxiliares!$D24&lt;(Producción!AC34*$B51),Auxiliares!$D24,Producción!AC34*$B51)*Auxiliares!$J$15*Auxiliares!$J$16*IF('Datos Consumo '!$C$12="Si",'Datos Consumo '!$C28,IF('Datos Consumo '!$C$11="No",'Datos Consumo '!$C$14,'Datos Consumo '!$C$16*Auxiliares!$N$4+Auxiliares!$N$5*'Datos Consumo '!$C$18))</f>
        <v>17.021071398029434</v>
      </c>
      <c r="AE31">
        <f ca="1">IF(Auxiliares!$D24&lt;(Producción!AD34*$B51),Auxiliares!$D24,Producción!AD34*$B51)*Auxiliares!$J$15*Auxiliares!$J$16*IF('Datos Consumo '!$C$12="Si",'Datos Consumo '!$C28,IF('Datos Consumo '!$C$11="No",'Datos Consumo '!$C$14,'Datos Consumo '!$C$16*Auxiliares!$N$4+Auxiliares!$N$5*'Datos Consumo '!$C$18))</f>
        <v>17.021071398029434</v>
      </c>
      <c r="AF31">
        <f ca="1">IF(Auxiliares!$D24&lt;(Producción!AE34*$B51),Auxiliares!$D24,Producción!AE34*$B51)*Auxiliares!$J$15*Auxiliares!$J$16*IF('Datos Consumo '!$C$12="Si",'Datos Consumo '!$C28,IF('Datos Consumo '!$C$11="No",'Datos Consumo '!$C$14,'Datos Consumo '!$C$16*Auxiliares!$N$4+Auxiliares!$N$5*'Datos Consumo '!$C$18))</f>
        <v>17.021071398029434</v>
      </c>
      <c r="AG31">
        <f ca="1">IF(Auxiliares!$D24&lt;(Producción!AF34*$B51),Auxiliares!$D24,Producción!AF34*$B51)*Auxiliares!$J$15*Auxiliares!$J$16*IF('Datos Consumo '!$C$12="Si",'Datos Consumo '!$C28,IF('Datos Consumo '!$C$11="No",'Datos Consumo '!$C$14,'Datos Consumo '!$C$16*Auxiliares!$N$4+Auxiliares!$N$5*'Datos Consumo '!$C$18))</f>
        <v>17.021071398029434</v>
      </c>
      <c r="AH31">
        <f ca="1">IF(Auxiliares!$D24&lt;(Producción!AG34*$B51),Auxiliares!$D24,Producción!AG34*$B51)*Auxiliares!$J$15*Auxiliares!$J$16*IF('Datos Consumo '!$C$12="Si",'Datos Consumo '!$C28,IF('Datos Consumo '!$C$11="No",'Datos Consumo '!$C$14,'Datos Consumo '!$C$16*Auxiliares!$N$4+Auxiliares!$N$5*'Datos Consumo '!$C$18))</f>
        <v>17.021071398029434</v>
      </c>
    </row>
    <row r="32" spans="3:34">
      <c r="C32" s="24" t="str">
        <f t="shared" si="16"/>
        <v xml:space="preserve">Octubre </v>
      </c>
      <c r="D32" s="186">
        <f ca="1">IF(Auxiliares!$D25&lt;(Producción!C35*$B52),Auxiliares!$D25,Producción!C35*$B52)*Auxiliares!$J$15*Auxiliares!$J$16*IF('Datos Consumo '!$C$12="Si",'Datos Consumo '!$C29,IF('Datos Consumo '!$C$11="No",'Datos Consumo '!$C$14,'Datos Consumo '!$C$16*Auxiliares!$N$4+Auxiliares!$N$5*'Datos Consumo '!$C$18))</f>
        <v>17.701914253950612</v>
      </c>
      <c r="E32">
        <f ca="1">IF(Auxiliares!$D25&lt;(Producción!D35*$B52),Auxiliares!$D25,Producción!D35*$B52)*Auxiliares!$J$15*Auxiliares!$J$16*IF('Datos Consumo '!$C$12="Si",'Datos Consumo '!$C29,IF('Datos Consumo '!$C$11="No",'Datos Consumo '!$C$14,'Datos Consumo '!$C$16*Auxiliares!$N$4+Auxiliares!$N$5*'Datos Consumo '!$C$18))</f>
        <v>17.701914253950612</v>
      </c>
      <c r="F32">
        <f ca="1">IF(Auxiliares!$D25&lt;(Producción!E35*$B52),Auxiliares!$D25,Producción!E35*$B52)*Auxiliares!$J$15*Auxiliares!$J$16*IF('Datos Consumo '!$C$12="Si",'Datos Consumo '!$C29,IF('Datos Consumo '!$C$11="No",'Datos Consumo '!$C$14,'Datos Consumo '!$C$16*Auxiliares!$N$4+Auxiliares!$N$5*'Datos Consumo '!$C$18))</f>
        <v>17.701914253950612</v>
      </c>
      <c r="G32">
        <f ca="1">IF(Auxiliares!$D25&lt;(Producción!F35*$B52),Auxiliares!$D25,Producción!F35*$B52)*Auxiliares!$J$15*Auxiliares!$J$16*IF('Datos Consumo '!$C$12="Si",'Datos Consumo '!$C29,IF('Datos Consumo '!$C$11="No",'Datos Consumo '!$C$14,'Datos Consumo '!$C$16*Auxiliares!$N$4+Auxiliares!$N$5*'Datos Consumo '!$C$18))</f>
        <v>17.701914253950612</v>
      </c>
      <c r="H32">
        <f ca="1">IF(Auxiliares!$D25&lt;(Producción!G35*$B52),Auxiliares!$D25,Producción!G35*$B52)*Auxiliares!$J$15*Auxiliares!$J$16*IF('Datos Consumo '!$C$12="Si",'Datos Consumo '!$C29,IF('Datos Consumo '!$C$11="No",'Datos Consumo '!$C$14,'Datos Consumo '!$C$16*Auxiliares!$N$4+Auxiliares!$N$5*'Datos Consumo '!$C$18))</f>
        <v>17.701914253950612</v>
      </c>
      <c r="I32">
        <f ca="1">IF(Auxiliares!$D25&lt;(Producción!H35*$B52),Auxiliares!$D25,Producción!H35*$B52)*Auxiliares!$J$15*Auxiliares!$J$16*IF('Datos Consumo '!$C$12="Si",'Datos Consumo '!$C29,IF('Datos Consumo '!$C$11="No",'Datos Consumo '!$C$14,'Datos Consumo '!$C$16*Auxiliares!$N$4+Auxiliares!$N$5*'Datos Consumo '!$C$18))</f>
        <v>17.701914253950612</v>
      </c>
      <c r="J32">
        <f ca="1">IF(Auxiliares!$D25&lt;(Producción!I35*$B52),Auxiliares!$D25,Producción!I35*$B52)*Auxiliares!$J$15*Auxiliares!$J$16*IF('Datos Consumo '!$C$12="Si",'Datos Consumo '!$C29,IF('Datos Consumo '!$C$11="No",'Datos Consumo '!$C$14,'Datos Consumo '!$C$16*Auxiliares!$N$4+Auxiliares!$N$5*'Datos Consumo '!$C$18))</f>
        <v>17.701914253950612</v>
      </c>
      <c r="K32">
        <f ca="1">IF(Auxiliares!$D25&lt;(Producción!J35*$B52),Auxiliares!$D25,Producción!J35*$B52)*Auxiliares!$J$15*Auxiliares!$J$16*IF('Datos Consumo '!$C$12="Si",'Datos Consumo '!$C29,IF('Datos Consumo '!$C$11="No",'Datos Consumo '!$C$14,'Datos Consumo '!$C$16*Auxiliares!$N$4+Auxiliares!$N$5*'Datos Consumo '!$C$18))</f>
        <v>17.701914253950612</v>
      </c>
      <c r="L32">
        <f ca="1">IF(Auxiliares!$D25&lt;(Producción!K35*$B52),Auxiliares!$D25,Producción!K35*$B52)*Auxiliares!$J$15*Auxiliares!$J$16*IF('Datos Consumo '!$C$12="Si",'Datos Consumo '!$C29,IF('Datos Consumo '!$C$11="No",'Datos Consumo '!$C$14,'Datos Consumo '!$C$16*Auxiliares!$N$4+Auxiliares!$N$5*'Datos Consumo '!$C$18))</f>
        <v>17.701914253950612</v>
      </c>
      <c r="M32">
        <f ca="1">IF(Auxiliares!$D25&lt;(Producción!L35*$B52),Auxiliares!$D25,Producción!L35*$B52)*Auxiliares!$J$15*Auxiliares!$J$16*IF('Datos Consumo '!$C$12="Si",'Datos Consumo '!$C29,IF('Datos Consumo '!$C$11="No",'Datos Consumo '!$C$14,'Datos Consumo '!$C$16*Auxiliares!$N$4+Auxiliares!$N$5*'Datos Consumo '!$C$18))</f>
        <v>17.701914253950612</v>
      </c>
      <c r="N32">
        <f ca="1">IF(Auxiliares!$D25&lt;(Producción!M35*$B52),Auxiliares!$D25,Producción!M35*$B52)*Auxiliares!$J$15*Auxiliares!$J$16*IF('Datos Consumo '!$C$12="Si",'Datos Consumo '!$C29,IF('Datos Consumo '!$C$11="No",'Datos Consumo '!$C$14,'Datos Consumo '!$C$16*Auxiliares!$N$4+Auxiliares!$N$5*'Datos Consumo '!$C$18))</f>
        <v>17.701914253950612</v>
      </c>
      <c r="O32">
        <f ca="1">IF(Auxiliares!$D25&lt;(Producción!N35*$B52),Auxiliares!$D25,Producción!N35*$B52)*Auxiliares!$J$15*Auxiliares!$J$16*IF('Datos Consumo '!$C$12="Si",'Datos Consumo '!$C29,IF('Datos Consumo '!$C$11="No",'Datos Consumo '!$C$14,'Datos Consumo '!$C$16*Auxiliares!$N$4+Auxiliares!$N$5*'Datos Consumo '!$C$18))</f>
        <v>17.701914253950612</v>
      </c>
      <c r="P32">
        <f ca="1">IF(Auxiliares!$D25&lt;(Producción!O35*$B52),Auxiliares!$D25,Producción!O35*$B52)*Auxiliares!$J$15*Auxiliares!$J$16*IF('Datos Consumo '!$C$12="Si",'Datos Consumo '!$C29,IF('Datos Consumo '!$C$11="No",'Datos Consumo '!$C$14,'Datos Consumo '!$C$16*Auxiliares!$N$4+Auxiliares!$N$5*'Datos Consumo '!$C$18))</f>
        <v>17.701914253950612</v>
      </c>
      <c r="Q32">
        <f ca="1">IF(Auxiliares!$D25&lt;(Producción!P35*$B52),Auxiliares!$D25,Producción!P35*$B52)*Auxiliares!$J$15*Auxiliares!$J$16*IF('Datos Consumo '!$C$12="Si",'Datos Consumo '!$C29,IF('Datos Consumo '!$C$11="No",'Datos Consumo '!$C$14,'Datos Consumo '!$C$16*Auxiliares!$N$4+Auxiliares!$N$5*'Datos Consumo '!$C$18))</f>
        <v>17.701914253950612</v>
      </c>
      <c r="R32">
        <f ca="1">IF(Auxiliares!$D25&lt;(Producción!Q35*$B52),Auxiliares!$D25,Producción!Q35*$B52)*Auxiliares!$J$15*Auxiliares!$J$16*IF('Datos Consumo '!$C$12="Si",'Datos Consumo '!$C29,IF('Datos Consumo '!$C$11="No",'Datos Consumo '!$C$14,'Datos Consumo '!$C$16*Auxiliares!$N$4+Auxiliares!$N$5*'Datos Consumo '!$C$18))</f>
        <v>17.701914253950612</v>
      </c>
      <c r="S32">
        <f ca="1">IF(Auxiliares!$D25&lt;(Producción!R35*$B52),Auxiliares!$D25,Producción!R35*$B52)*Auxiliares!$J$15*Auxiliares!$J$16*IF('Datos Consumo '!$C$12="Si",'Datos Consumo '!$C29,IF('Datos Consumo '!$C$11="No",'Datos Consumo '!$C$14,'Datos Consumo '!$C$16*Auxiliares!$N$4+Auxiliares!$N$5*'Datos Consumo '!$C$18))</f>
        <v>17.701914253950612</v>
      </c>
      <c r="T32">
        <f ca="1">IF(Auxiliares!$D25&lt;(Producción!S35*$B52),Auxiliares!$D25,Producción!S35*$B52)*Auxiliares!$J$15*Auxiliares!$J$16*IF('Datos Consumo '!$C$12="Si",'Datos Consumo '!$C29,IF('Datos Consumo '!$C$11="No",'Datos Consumo '!$C$14,'Datos Consumo '!$C$16*Auxiliares!$N$4+Auxiliares!$N$5*'Datos Consumo '!$C$18))</f>
        <v>17.701914253950612</v>
      </c>
      <c r="U32">
        <f ca="1">IF(Auxiliares!$D25&lt;(Producción!T35*$B52),Auxiliares!$D25,Producción!T35*$B52)*Auxiliares!$J$15*Auxiliares!$J$16*IF('Datos Consumo '!$C$12="Si",'Datos Consumo '!$C29,IF('Datos Consumo '!$C$11="No",'Datos Consumo '!$C$14,'Datos Consumo '!$C$16*Auxiliares!$N$4+Auxiliares!$N$5*'Datos Consumo '!$C$18))</f>
        <v>17.701914253950612</v>
      </c>
      <c r="V32">
        <f ca="1">IF(Auxiliares!$D25&lt;(Producción!U35*$B52),Auxiliares!$D25,Producción!U35*$B52)*Auxiliares!$J$15*Auxiliares!$J$16*IF('Datos Consumo '!$C$12="Si",'Datos Consumo '!$C29,IF('Datos Consumo '!$C$11="No",'Datos Consumo '!$C$14,'Datos Consumo '!$C$16*Auxiliares!$N$4+Auxiliares!$N$5*'Datos Consumo '!$C$18))</f>
        <v>17.701914253950612</v>
      </c>
      <c r="W32">
        <f ca="1">IF(Auxiliares!$D25&lt;(Producción!V35*$B52),Auxiliares!$D25,Producción!V35*$B52)*Auxiliares!$J$15*Auxiliares!$J$16*IF('Datos Consumo '!$C$12="Si",'Datos Consumo '!$C29,IF('Datos Consumo '!$C$11="No",'Datos Consumo '!$C$14,'Datos Consumo '!$C$16*Auxiliares!$N$4+Auxiliares!$N$5*'Datos Consumo '!$C$18))</f>
        <v>17.701914253950612</v>
      </c>
      <c r="X32">
        <f ca="1">IF(Auxiliares!$D25&lt;(Producción!W35*$B52),Auxiliares!$D25,Producción!W35*$B52)*Auxiliares!$J$15*Auxiliares!$J$16*IF('Datos Consumo '!$C$12="Si",'Datos Consumo '!$C29,IF('Datos Consumo '!$C$11="No",'Datos Consumo '!$C$14,'Datos Consumo '!$C$16*Auxiliares!$N$4+Auxiliares!$N$5*'Datos Consumo '!$C$18))</f>
        <v>17.701914253950612</v>
      </c>
      <c r="Y32">
        <f ca="1">IF(Auxiliares!$D25&lt;(Producción!X35*$B52),Auxiliares!$D25,Producción!X35*$B52)*Auxiliares!$J$15*Auxiliares!$J$16*IF('Datos Consumo '!$C$12="Si",'Datos Consumo '!$C29,IF('Datos Consumo '!$C$11="No",'Datos Consumo '!$C$14,'Datos Consumo '!$C$16*Auxiliares!$N$4+Auxiliares!$N$5*'Datos Consumo '!$C$18))</f>
        <v>17.701914253950612</v>
      </c>
      <c r="Z32">
        <f ca="1">IF(Auxiliares!$D25&lt;(Producción!Y35*$B52),Auxiliares!$D25,Producción!Y35*$B52)*Auxiliares!$J$15*Auxiliares!$J$16*IF('Datos Consumo '!$C$12="Si",'Datos Consumo '!$C29,IF('Datos Consumo '!$C$11="No",'Datos Consumo '!$C$14,'Datos Consumo '!$C$16*Auxiliares!$N$4+Auxiliares!$N$5*'Datos Consumo '!$C$18))</f>
        <v>17.701914253950612</v>
      </c>
      <c r="AA32">
        <f ca="1">IF(Auxiliares!$D25&lt;(Producción!Z35*$B52),Auxiliares!$D25,Producción!Z35*$B52)*Auxiliares!$J$15*Auxiliares!$J$16*IF('Datos Consumo '!$C$12="Si",'Datos Consumo '!$C29,IF('Datos Consumo '!$C$11="No",'Datos Consumo '!$C$14,'Datos Consumo '!$C$16*Auxiliares!$N$4+Auxiliares!$N$5*'Datos Consumo '!$C$18))</f>
        <v>17.701914253950612</v>
      </c>
      <c r="AB32">
        <f ca="1">IF(Auxiliares!$D25&lt;(Producción!AA35*$B52),Auxiliares!$D25,Producción!AA35*$B52)*Auxiliares!$J$15*Auxiliares!$J$16*IF('Datos Consumo '!$C$12="Si",'Datos Consumo '!$C29,IF('Datos Consumo '!$C$11="No",'Datos Consumo '!$C$14,'Datos Consumo '!$C$16*Auxiliares!$N$4+Auxiliares!$N$5*'Datos Consumo '!$C$18))</f>
        <v>17.701914253950612</v>
      </c>
      <c r="AC32">
        <f ca="1">IF(Auxiliares!$D25&lt;(Producción!AB35*$B52),Auxiliares!$D25,Producción!AB35*$B52)*Auxiliares!$J$15*Auxiliares!$J$16*IF('Datos Consumo '!$C$12="Si",'Datos Consumo '!$C29,IF('Datos Consumo '!$C$11="No",'Datos Consumo '!$C$14,'Datos Consumo '!$C$16*Auxiliares!$N$4+Auxiliares!$N$5*'Datos Consumo '!$C$18))</f>
        <v>17.701914253950612</v>
      </c>
      <c r="AD32">
        <f ca="1">IF(Auxiliares!$D25&lt;(Producción!AC35*$B52),Auxiliares!$D25,Producción!AC35*$B52)*Auxiliares!$J$15*Auxiliares!$J$16*IF('Datos Consumo '!$C$12="Si",'Datos Consumo '!$C29,IF('Datos Consumo '!$C$11="No",'Datos Consumo '!$C$14,'Datos Consumo '!$C$16*Auxiliares!$N$4+Auxiliares!$N$5*'Datos Consumo '!$C$18))</f>
        <v>17.701914253950612</v>
      </c>
      <c r="AE32">
        <f ca="1">IF(Auxiliares!$D25&lt;(Producción!AD35*$B52),Auxiliares!$D25,Producción!AD35*$B52)*Auxiliares!$J$15*Auxiliares!$J$16*IF('Datos Consumo '!$C$12="Si",'Datos Consumo '!$C29,IF('Datos Consumo '!$C$11="No",'Datos Consumo '!$C$14,'Datos Consumo '!$C$16*Auxiliares!$N$4+Auxiliares!$N$5*'Datos Consumo '!$C$18))</f>
        <v>17.701914253950612</v>
      </c>
      <c r="AF32">
        <f ca="1">IF(Auxiliares!$D25&lt;(Producción!AE35*$B52),Auxiliares!$D25,Producción!AE35*$B52)*Auxiliares!$J$15*Auxiliares!$J$16*IF('Datos Consumo '!$C$12="Si",'Datos Consumo '!$C29,IF('Datos Consumo '!$C$11="No",'Datos Consumo '!$C$14,'Datos Consumo '!$C$16*Auxiliares!$N$4+Auxiliares!$N$5*'Datos Consumo '!$C$18))</f>
        <v>17.701914253950612</v>
      </c>
      <c r="AG32">
        <f ca="1">IF(Auxiliares!$D25&lt;(Producción!AF35*$B52),Auxiliares!$D25,Producción!AF35*$B52)*Auxiliares!$J$15*Auxiliares!$J$16*IF('Datos Consumo '!$C$12="Si",'Datos Consumo '!$C29,IF('Datos Consumo '!$C$11="No",'Datos Consumo '!$C$14,'Datos Consumo '!$C$16*Auxiliares!$N$4+Auxiliares!$N$5*'Datos Consumo '!$C$18))</f>
        <v>17.701914253950612</v>
      </c>
      <c r="AH32">
        <f ca="1">IF(Auxiliares!$D25&lt;(Producción!AG35*$B52),Auxiliares!$D25,Producción!AG35*$B52)*Auxiliares!$J$15*Auxiliares!$J$16*IF('Datos Consumo '!$C$12="Si",'Datos Consumo '!$C29,IF('Datos Consumo '!$C$11="No",'Datos Consumo '!$C$14,'Datos Consumo '!$C$16*Auxiliares!$N$4+Auxiliares!$N$5*'Datos Consumo '!$C$18))</f>
        <v>17.701914253950612</v>
      </c>
    </row>
    <row r="33" spans="2:34">
      <c r="C33" s="24" t="str">
        <f t="shared" si="16"/>
        <v>Noviembre</v>
      </c>
      <c r="D33" s="186">
        <f ca="1">IF(Auxiliares!$D26&lt;(Producción!C36*$B53),Auxiliares!$D26,Producción!C36*$B53)*Auxiliares!$J$15*Auxiliares!$J$16*IF('Datos Consumo '!$C$12="Si",'Datos Consumo '!$C30,IF('Datos Consumo '!$C$11="No",'Datos Consumo '!$C$14,'Datos Consumo '!$C$16*Auxiliares!$N$4+Auxiliares!$N$5*'Datos Consumo '!$C$18))</f>
        <v>17.021071398029434</v>
      </c>
      <c r="E33">
        <f ca="1">IF(Auxiliares!$D26&lt;(Producción!D36*$B53),Auxiliares!$D26,Producción!D36*$B53)*Auxiliares!$J$15*Auxiliares!$J$16*IF('Datos Consumo '!$C$12="Si",'Datos Consumo '!$C30,IF('Datos Consumo '!$C$11="No",'Datos Consumo '!$C$14,'Datos Consumo '!$C$16*Auxiliares!$N$4+Auxiliares!$N$5*'Datos Consumo '!$C$18))</f>
        <v>17.021071398029434</v>
      </c>
      <c r="F33">
        <f ca="1">IF(Auxiliares!$D26&lt;(Producción!E36*$B53),Auxiliares!$D26,Producción!E36*$B53)*Auxiliares!$J$15*Auxiliares!$J$16*IF('Datos Consumo '!$C$12="Si",'Datos Consumo '!$C30,IF('Datos Consumo '!$C$11="No",'Datos Consumo '!$C$14,'Datos Consumo '!$C$16*Auxiliares!$N$4+Auxiliares!$N$5*'Datos Consumo '!$C$18))</f>
        <v>17.021071398029434</v>
      </c>
      <c r="G33">
        <f ca="1">IF(Auxiliares!$D26&lt;(Producción!F36*$B53),Auxiliares!$D26,Producción!F36*$B53)*Auxiliares!$J$15*Auxiliares!$J$16*IF('Datos Consumo '!$C$12="Si",'Datos Consumo '!$C30,IF('Datos Consumo '!$C$11="No",'Datos Consumo '!$C$14,'Datos Consumo '!$C$16*Auxiliares!$N$4+Auxiliares!$N$5*'Datos Consumo '!$C$18))</f>
        <v>17.021071398029434</v>
      </c>
      <c r="H33">
        <f ca="1">IF(Auxiliares!$D26&lt;(Producción!G36*$B53),Auxiliares!$D26,Producción!G36*$B53)*Auxiliares!$J$15*Auxiliares!$J$16*IF('Datos Consumo '!$C$12="Si",'Datos Consumo '!$C30,IF('Datos Consumo '!$C$11="No",'Datos Consumo '!$C$14,'Datos Consumo '!$C$16*Auxiliares!$N$4+Auxiliares!$N$5*'Datos Consumo '!$C$18))</f>
        <v>17.021071398029434</v>
      </c>
      <c r="I33">
        <f ca="1">IF(Auxiliares!$D26&lt;(Producción!H36*$B53),Auxiliares!$D26,Producción!H36*$B53)*Auxiliares!$J$15*Auxiliares!$J$16*IF('Datos Consumo '!$C$12="Si",'Datos Consumo '!$C30,IF('Datos Consumo '!$C$11="No",'Datos Consumo '!$C$14,'Datos Consumo '!$C$16*Auxiliares!$N$4+Auxiliares!$N$5*'Datos Consumo '!$C$18))</f>
        <v>17.021071398029434</v>
      </c>
      <c r="J33">
        <f ca="1">IF(Auxiliares!$D26&lt;(Producción!I36*$B53),Auxiliares!$D26,Producción!I36*$B53)*Auxiliares!$J$15*Auxiliares!$J$16*IF('Datos Consumo '!$C$12="Si",'Datos Consumo '!$C30,IF('Datos Consumo '!$C$11="No",'Datos Consumo '!$C$14,'Datos Consumo '!$C$16*Auxiliares!$N$4+Auxiliares!$N$5*'Datos Consumo '!$C$18))</f>
        <v>17.021071398029434</v>
      </c>
      <c r="K33">
        <f ca="1">IF(Auxiliares!$D26&lt;(Producción!J36*$B53),Auxiliares!$D26,Producción!J36*$B53)*Auxiliares!$J$15*Auxiliares!$J$16*IF('Datos Consumo '!$C$12="Si",'Datos Consumo '!$C30,IF('Datos Consumo '!$C$11="No",'Datos Consumo '!$C$14,'Datos Consumo '!$C$16*Auxiliares!$N$4+Auxiliares!$N$5*'Datos Consumo '!$C$18))</f>
        <v>17.021071398029434</v>
      </c>
      <c r="L33">
        <f ca="1">IF(Auxiliares!$D26&lt;(Producción!K36*$B53),Auxiliares!$D26,Producción!K36*$B53)*Auxiliares!$J$15*Auxiliares!$J$16*IF('Datos Consumo '!$C$12="Si",'Datos Consumo '!$C30,IF('Datos Consumo '!$C$11="No",'Datos Consumo '!$C$14,'Datos Consumo '!$C$16*Auxiliares!$N$4+Auxiliares!$N$5*'Datos Consumo '!$C$18))</f>
        <v>17.021071398029434</v>
      </c>
      <c r="M33">
        <f ca="1">IF(Auxiliares!$D26&lt;(Producción!L36*$B53),Auxiliares!$D26,Producción!L36*$B53)*Auxiliares!$J$15*Auxiliares!$J$16*IF('Datos Consumo '!$C$12="Si",'Datos Consumo '!$C30,IF('Datos Consumo '!$C$11="No",'Datos Consumo '!$C$14,'Datos Consumo '!$C$16*Auxiliares!$N$4+Auxiliares!$N$5*'Datos Consumo '!$C$18))</f>
        <v>17.021071398029434</v>
      </c>
      <c r="N33">
        <f ca="1">IF(Auxiliares!$D26&lt;(Producción!M36*$B53),Auxiliares!$D26,Producción!M36*$B53)*Auxiliares!$J$15*Auxiliares!$J$16*IF('Datos Consumo '!$C$12="Si",'Datos Consumo '!$C30,IF('Datos Consumo '!$C$11="No",'Datos Consumo '!$C$14,'Datos Consumo '!$C$16*Auxiliares!$N$4+Auxiliares!$N$5*'Datos Consumo '!$C$18))</f>
        <v>17.021071398029434</v>
      </c>
      <c r="O33">
        <f ca="1">IF(Auxiliares!$D26&lt;(Producción!N36*$B53),Auxiliares!$D26,Producción!N36*$B53)*Auxiliares!$J$15*Auxiliares!$J$16*IF('Datos Consumo '!$C$12="Si",'Datos Consumo '!$C30,IF('Datos Consumo '!$C$11="No",'Datos Consumo '!$C$14,'Datos Consumo '!$C$16*Auxiliares!$N$4+Auxiliares!$N$5*'Datos Consumo '!$C$18))</f>
        <v>17.021071398029434</v>
      </c>
      <c r="P33">
        <f ca="1">IF(Auxiliares!$D26&lt;(Producción!O36*$B53),Auxiliares!$D26,Producción!O36*$B53)*Auxiliares!$J$15*Auxiliares!$J$16*IF('Datos Consumo '!$C$12="Si",'Datos Consumo '!$C30,IF('Datos Consumo '!$C$11="No",'Datos Consumo '!$C$14,'Datos Consumo '!$C$16*Auxiliares!$N$4+Auxiliares!$N$5*'Datos Consumo '!$C$18))</f>
        <v>17.021071398029434</v>
      </c>
      <c r="Q33">
        <f ca="1">IF(Auxiliares!$D26&lt;(Producción!P36*$B53),Auxiliares!$D26,Producción!P36*$B53)*Auxiliares!$J$15*Auxiliares!$J$16*IF('Datos Consumo '!$C$12="Si",'Datos Consumo '!$C30,IF('Datos Consumo '!$C$11="No",'Datos Consumo '!$C$14,'Datos Consumo '!$C$16*Auxiliares!$N$4+Auxiliares!$N$5*'Datos Consumo '!$C$18))</f>
        <v>17.021071398029434</v>
      </c>
      <c r="R33">
        <f ca="1">IF(Auxiliares!$D26&lt;(Producción!Q36*$B53),Auxiliares!$D26,Producción!Q36*$B53)*Auxiliares!$J$15*Auxiliares!$J$16*IF('Datos Consumo '!$C$12="Si",'Datos Consumo '!$C30,IF('Datos Consumo '!$C$11="No",'Datos Consumo '!$C$14,'Datos Consumo '!$C$16*Auxiliares!$N$4+Auxiliares!$N$5*'Datos Consumo '!$C$18))</f>
        <v>17.021071398029434</v>
      </c>
      <c r="S33">
        <f ca="1">IF(Auxiliares!$D26&lt;(Producción!R36*$B53),Auxiliares!$D26,Producción!R36*$B53)*Auxiliares!$J$15*Auxiliares!$J$16*IF('Datos Consumo '!$C$12="Si",'Datos Consumo '!$C30,IF('Datos Consumo '!$C$11="No",'Datos Consumo '!$C$14,'Datos Consumo '!$C$16*Auxiliares!$N$4+Auxiliares!$N$5*'Datos Consumo '!$C$18))</f>
        <v>17.021071398029434</v>
      </c>
      <c r="T33">
        <f ca="1">IF(Auxiliares!$D26&lt;(Producción!S36*$B53),Auxiliares!$D26,Producción!S36*$B53)*Auxiliares!$J$15*Auxiliares!$J$16*IF('Datos Consumo '!$C$12="Si",'Datos Consumo '!$C30,IF('Datos Consumo '!$C$11="No",'Datos Consumo '!$C$14,'Datos Consumo '!$C$16*Auxiliares!$N$4+Auxiliares!$N$5*'Datos Consumo '!$C$18))</f>
        <v>17.021071398029434</v>
      </c>
      <c r="U33">
        <f ca="1">IF(Auxiliares!$D26&lt;(Producción!T36*$B53),Auxiliares!$D26,Producción!T36*$B53)*Auxiliares!$J$15*Auxiliares!$J$16*IF('Datos Consumo '!$C$12="Si",'Datos Consumo '!$C30,IF('Datos Consumo '!$C$11="No",'Datos Consumo '!$C$14,'Datos Consumo '!$C$16*Auxiliares!$N$4+Auxiliares!$N$5*'Datos Consumo '!$C$18))</f>
        <v>17.021071398029434</v>
      </c>
      <c r="V33">
        <f ca="1">IF(Auxiliares!$D26&lt;(Producción!U36*$B53),Auxiliares!$D26,Producción!U36*$B53)*Auxiliares!$J$15*Auxiliares!$J$16*IF('Datos Consumo '!$C$12="Si",'Datos Consumo '!$C30,IF('Datos Consumo '!$C$11="No",'Datos Consumo '!$C$14,'Datos Consumo '!$C$16*Auxiliares!$N$4+Auxiliares!$N$5*'Datos Consumo '!$C$18))</f>
        <v>17.021071398029434</v>
      </c>
      <c r="W33">
        <f ca="1">IF(Auxiliares!$D26&lt;(Producción!V36*$B53),Auxiliares!$D26,Producción!V36*$B53)*Auxiliares!$J$15*Auxiliares!$J$16*IF('Datos Consumo '!$C$12="Si",'Datos Consumo '!$C30,IF('Datos Consumo '!$C$11="No",'Datos Consumo '!$C$14,'Datos Consumo '!$C$16*Auxiliares!$N$4+Auxiliares!$N$5*'Datos Consumo '!$C$18))</f>
        <v>17.021071398029434</v>
      </c>
      <c r="X33">
        <f ca="1">IF(Auxiliares!$D26&lt;(Producción!W36*$B53),Auxiliares!$D26,Producción!W36*$B53)*Auxiliares!$J$15*Auxiliares!$J$16*IF('Datos Consumo '!$C$12="Si",'Datos Consumo '!$C30,IF('Datos Consumo '!$C$11="No",'Datos Consumo '!$C$14,'Datos Consumo '!$C$16*Auxiliares!$N$4+Auxiliares!$N$5*'Datos Consumo '!$C$18))</f>
        <v>17.021071398029434</v>
      </c>
      <c r="Y33">
        <f ca="1">IF(Auxiliares!$D26&lt;(Producción!X36*$B53),Auxiliares!$D26,Producción!X36*$B53)*Auxiliares!$J$15*Auxiliares!$J$16*IF('Datos Consumo '!$C$12="Si",'Datos Consumo '!$C30,IF('Datos Consumo '!$C$11="No",'Datos Consumo '!$C$14,'Datos Consumo '!$C$16*Auxiliares!$N$4+Auxiliares!$N$5*'Datos Consumo '!$C$18))</f>
        <v>17.021071398029434</v>
      </c>
      <c r="Z33">
        <f ca="1">IF(Auxiliares!$D26&lt;(Producción!Y36*$B53),Auxiliares!$D26,Producción!Y36*$B53)*Auxiliares!$J$15*Auxiliares!$J$16*IF('Datos Consumo '!$C$12="Si",'Datos Consumo '!$C30,IF('Datos Consumo '!$C$11="No",'Datos Consumo '!$C$14,'Datos Consumo '!$C$16*Auxiliares!$N$4+Auxiliares!$N$5*'Datos Consumo '!$C$18))</f>
        <v>17.021071398029434</v>
      </c>
      <c r="AA33">
        <f ca="1">IF(Auxiliares!$D26&lt;(Producción!Z36*$B53),Auxiliares!$D26,Producción!Z36*$B53)*Auxiliares!$J$15*Auxiliares!$J$16*IF('Datos Consumo '!$C$12="Si",'Datos Consumo '!$C30,IF('Datos Consumo '!$C$11="No",'Datos Consumo '!$C$14,'Datos Consumo '!$C$16*Auxiliares!$N$4+Auxiliares!$N$5*'Datos Consumo '!$C$18))</f>
        <v>17.021071398029434</v>
      </c>
      <c r="AB33">
        <f ca="1">IF(Auxiliares!$D26&lt;(Producción!AA36*$B53),Auxiliares!$D26,Producción!AA36*$B53)*Auxiliares!$J$15*Auxiliares!$J$16*IF('Datos Consumo '!$C$12="Si",'Datos Consumo '!$C30,IF('Datos Consumo '!$C$11="No",'Datos Consumo '!$C$14,'Datos Consumo '!$C$16*Auxiliares!$N$4+Auxiliares!$N$5*'Datos Consumo '!$C$18))</f>
        <v>17.021071398029434</v>
      </c>
      <c r="AC33">
        <f ca="1">IF(Auxiliares!$D26&lt;(Producción!AB36*$B53),Auxiliares!$D26,Producción!AB36*$B53)*Auxiliares!$J$15*Auxiliares!$J$16*IF('Datos Consumo '!$C$12="Si",'Datos Consumo '!$C30,IF('Datos Consumo '!$C$11="No",'Datos Consumo '!$C$14,'Datos Consumo '!$C$16*Auxiliares!$N$4+Auxiliares!$N$5*'Datos Consumo '!$C$18))</f>
        <v>17.021071398029434</v>
      </c>
      <c r="AD33">
        <f ca="1">IF(Auxiliares!$D26&lt;(Producción!AC36*$B53),Auxiliares!$D26,Producción!AC36*$B53)*Auxiliares!$J$15*Auxiliares!$J$16*IF('Datos Consumo '!$C$12="Si",'Datos Consumo '!$C30,IF('Datos Consumo '!$C$11="No",'Datos Consumo '!$C$14,'Datos Consumo '!$C$16*Auxiliares!$N$4+Auxiliares!$N$5*'Datos Consumo '!$C$18))</f>
        <v>17.021071398029434</v>
      </c>
      <c r="AE33">
        <f ca="1">IF(Auxiliares!$D26&lt;(Producción!AD36*$B53),Auxiliares!$D26,Producción!AD36*$B53)*Auxiliares!$J$15*Auxiliares!$J$16*IF('Datos Consumo '!$C$12="Si",'Datos Consumo '!$C30,IF('Datos Consumo '!$C$11="No",'Datos Consumo '!$C$14,'Datos Consumo '!$C$16*Auxiliares!$N$4+Auxiliares!$N$5*'Datos Consumo '!$C$18))</f>
        <v>17.021071398029434</v>
      </c>
      <c r="AF33">
        <f ca="1">IF(Auxiliares!$D26&lt;(Producción!AE36*$B53),Auxiliares!$D26,Producción!AE36*$B53)*Auxiliares!$J$15*Auxiliares!$J$16*IF('Datos Consumo '!$C$12="Si",'Datos Consumo '!$C30,IF('Datos Consumo '!$C$11="No",'Datos Consumo '!$C$14,'Datos Consumo '!$C$16*Auxiliares!$N$4+Auxiliares!$N$5*'Datos Consumo '!$C$18))</f>
        <v>17.021071398029434</v>
      </c>
      <c r="AG33">
        <f ca="1">IF(Auxiliares!$D26&lt;(Producción!AF36*$B53),Auxiliares!$D26,Producción!AF36*$B53)*Auxiliares!$J$15*Auxiliares!$J$16*IF('Datos Consumo '!$C$12="Si",'Datos Consumo '!$C30,IF('Datos Consumo '!$C$11="No",'Datos Consumo '!$C$14,'Datos Consumo '!$C$16*Auxiliares!$N$4+Auxiliares!$N$5*'Datos Consumo '!$C$18))</f>
        <v>17.021071398029434</v>
      </c>
      <c r="AH33">
        <f ca="1">IF(Auxiliares!$D26&lt;(Producción!AG36*$B53),Auxiliares!$D26,Producción!AG36*$B53)*Auxiliares!$J$15*Auxiliares!$J$16*IF('Datos Consumo '!$C$12="Si",'Datos Consumo '!$C30,IF('Datos Consumo '!$C$11="No",'Datos Consumo '!$C$14,'Datos Consumo '!$C$16*Auxiliares!$N$4+Auxiliares!$N$5*'Datos Consumo '!$C$18))</f>
        <v>17.021071398029434</v>
      </c>
    </row>
    <row r="34" spans="2:34">
      <c r="C34" s="24" t="str">
        <f t="shared" si="16"/>
        <v>Diciembre</v>
      </c>
      <c r="D34">
        <f ca="1">IF(Auxiliares!$D27&lt;(Producción!C37*$B54),Auxiliares!$D27,Producción!C37*$B54)*Auxiliares!$J$15*Auxiliares!$J$16*IF('Datos Consumo '!$C$12="Si",'Datos Consumo '!$C31,IF('Datos Consumo '!$C$11="No",'Datos Consumo '!$C$14,'Datos Consumo '!$C$16*Auxiliares!$N$4+Auxiliares!$N$5*'Datos Consumo '!$C$18))</f>
        <v>23.829499957241211</v>
      </c>
      <c r="E34">
        <f ca="1">IF(Auxiliares!$D27&lt;(Producción!D37*$B54),Auxiliares!$D27,Producción!D37*$B54)*Auxiliares!$J$15*Auxiliares!$J$16*IF('Datos Consumo '!$C$12="Si",'Datos Consumo '!$C31,IF('Datos Consumo '!$C$11="No",'Datos Consumo '!$C$14,'Datos Consumo '!$C$16*Auxiliares!$N$4+Auxiliares!$N$5*'Datos Consumo '!$C$18))</f>
        <v>23.829499957241211</v>
      </c>
      <c r="F34">
        <f ca="1">IF(Auxiliares!$D27&lt;(Producción!E37*$B54),Auxiliares!$D27,Producción!E37*$B54)*Auxiliares!$J$15*Auxiliares!$J$16*IF('Datos Consumo '!$C$12="Si",'Datos Consumo '!$C31,IF('Datos Consumo '!$C$11="No",'Datos Consumo '!$C$14,'Datos Consumo '!$C$16*Auxiliares!$N$4+Auxiliares!$N$5*'Datos Consumo '!$C$18))</f>
        <v>23.829499957241211</v>
      </c>
      <c r="G34">
        <f ca="1">IF(Auxiliares!$D27&lt;(Producción!F37*$B54),Auxiliares!$D27,Producción!F37*$B54)*Auxiliares!$J$15*Auxiliares!$J$16*IF('Datos Consumo '!$C$12="Si",'Datos Consumo '!$C31,IF('Datos Consumo '!$C$11="No",'Datos Consumo '!$C$14,'Datos Consumo '!$C$16*Auxiliares!$N$4+Auxiliares!$N$5*'Datos Consumo '!$C$18))</f>
        <v>23.829499957241211</v>
      </c>
      <c r="H34">
        <f ca="1">IF(Auxiliares!$D27&lt;(Producción!G37*$B54),Auxiliares!$D27,Producción!G37*$B54)*Auxiliares!$J$15*Auxiliares!$J$16*IF('Datos Consumo '!$C$12="Si",'Datos Consumo '!$C31,IF('Datos Consumo '!$C$11="No",'Datos Consumo '!$C$14,'Datos Consumo '!$C$16*Auxiliares!$N$4+Auxiliares!$N$5*'Datos Consumo '!$C$18))</f>
        <v>23.829499957241211</v>
      </c>
      <c r="I34">
        <f ca="1">IF(Auxiliares!$D27&lt;(Producción!H37*$B54),Auxiliares!$D27,Producción!H37*$B54)*Auxiliares!$J$15*Auxiliares!$J$16*IF('Datos Consumo '!$C$12="Si",'Datos Consumo '!$C31,IF('Datos Consumo '!$C$11="No",'Datos Consumo '!$C$14,'Datos Consumo '!$C$16*Auxiliares!$N$4+Auxiliares!$N$5*'Datos Consumo '!$C$18))</f>
        <v>23.829499957241211</v>
      </c>
      <c r="J34">
        <f ca="1">IF(Auxiliares!$D27&lt;(Producción!I37*$B54),Auxiliares!$D27,Producción!I37*$B54)*Auxiliares!$J$15*Auxiliares!$J$16*IF('Datos Consumo '!$C$12="Si",'Datos Consumo '!$C31,IF('Datos Consumo '!$C$11="No",'Datos Consumo '!$C$14,'Datos Consumo '!$C$16*Auxiliares!$N$4+Auxiliares!$N$5*'Datos Consumo '!$C$18))</f>
        <v>23.829499957241211</v>
      </c>
      <c r="K34">
        <f ca="1">IF(Auxiliares!$D27&lt;(Producción!J37*$B54),Auxiliares!$D27,Producción!J37*$B54)*Auxiliares!$J$15*Auxiliares!$J$16*IF('Datos Consumo '!$C$12="Si",'Datos Consumo '!$C31,IF('Datos Consumo '!$C$11="No",'Datos Consumo '!$C$14,'Datos Consumo '!$C$16*Auxiliares!$N$4+Auxiliares!$N$5*'Datos Consumo '!$C$18))</f>
        <v>23.829499957241211</v>
      </c>
      <c r="L34">
        <f ca="1">IF(Auxiliares!$D27&lt;(Producción!K37*$B54),Auxiliares!$D27,Producción!K37*$B54)*Auxiliares!$J$15*Auxiliares!$J$16*IF('Datos Consumo '!$C$12="Si",'Datos Consumo '!$C31,IF('Datos Consumo '!$C$11="No",'Datos Consumo '!$C$14,'Datos Consumo '!$C$16*Auxiliares!$N$4+Auxiliares!$N$5*'Datos Consumo '!$C$18))</f>
        <v>23.829499957241211</v>
      </c>
      <c r="M34">
        <f ca="1">IF(Auxiliares!$D27&lt;(Producción!L37*$B54),Auxiliares!$D27,Producción!L37*$B54)*Auxiliares!$J$15*Auxiliares!$J$16*IF('Datos Consumo '!$C$12="Si",'Datos Consumo '!$C31,IF('Datos Consumo '!$C$11="No",'Datos Consumo '!$C$14,'Datos Consumo '!$C$16*Auxiliares!$N$4+Auxiliares!$N$5*'Datos Consumo '!$C$18))</f>
        <v>23.829499957241211</v>
      </c>
      <c r="N34">
        <f ca="1">IF(Auxiliares!$D27&lt;(Producción!M37*$B54),Auxiliares!$D27,Producción!M37*$B54)*Auxiliares!$J$15*Auxiliares!$J$16*IF('Datos Consumo '!$C$12="Si",'Datos Consumo '!$C31,IF('Datos Consumo '!$C$11="No",'Datos Consumo '!$C$14,'Datos Consumo '!$C$16*Auxiliares!$N$4+Auxiliares!$N$5*'Datos Consumo '!$C$18))</f>
        <v>23.829499957241211</v>
      </c>
      <c r="O34">
        <f ca="1">IF(Auxiliares!$D27&lt;(Producción!N37*$B54),Auxiliares!$D27,Producción!N37*$B54)*Auxiliares!$J$15*Auxiliares!$J$16*IF('Datos Consumo '!$C$12="Si",'Datos Consumo '!$C31,IF('Datos Consumo '!$C$11="No",'Datos Consumo '!$C$14,'Datos Consumo '!$C$16*Auxiliares!$N$4+Auxiliares!$N$5*'Datos Consumo '!$C$18))</f>
        <v>23.829499957241211</v>
      </c>
      <c r="P34">
        <f ca="1">IF(Auxiliares!$D27&lt;(Producción!O37*$B54),Auxiliares!$D27,Producción!O37*$B54)*Auxiliares!$J$15*Auxiliares!$J$16*IF('Datos Consumo '!$C$12="Si",'Datos Consumo '!$C31,IF('Datos Consumo '!$C$11="No",'Datos Consumo '!$C$14,'Datos Consumo '!$C$16*Auxiliares!$N$4+Auxiliares!$N$5*'Datos Consumo '!$C$18))</f>
        <v>23.829499957241211</v>
      </c>
      <c r="Q34">
        <f ca="1">IF(Auxiliares!$D27&lt;(Producción!P37*$B54),Auxiliares!$D27,Producción!P37*$B54)*Auxiliares!$J$15*Auxiliares!$J$16*IF('Datos Consumo '!$C$12="Si",'Datos Consumo '!$C31,IF('Datos Consumo '!$C$11="No",'Datos Consumo '!$C$14,'Datos Consumo '!$C$16*Auxiliares!$N$4+Auxiliares!$N$5*'Datos Consumo '!$C$18))</f>
        <v>23.829499957241211</v>
      </c>
      <c r="R34">
        <f ca="1">IF(Auxiliares!$D27&lt;(Producción!Q37*$B54),Auxiliares!$D27,Producción!Q37*$B54)*Auxiliares!$J$15*Auxiliares!$J$16*IF('Datos Consumo '!$C$12="Si",'Datos Consumo '!$C31,IF('Datos Consumo '!$C$11="No",'Datos Consumo '!$C$14,'Datos Consumo '!$C$16*Auxiliares!$N$4+Auxiliares!$N$5*'Datos Consumo '!$C$18))</f>
        <v>23.829499957241211</v>
      </c>
      <c r="S34">
        <f ca="1">IF(Auxiliares!$D27&lt;(Producción!R37*$B54),Auxiliares!$D27,Producción!R37*$B54)*Auxiliares!$J$15*Auxiliares!$J$16*IF('Datos Consumo '!$C$12="Si",'Datos Consumo '!$C31,IF('Datos Consumo '!$C$11="No",'Datos Consumo '!$C$14,'Datos Consumo '!$C$16*Auxiliares!$N$4+Auxiliares!$N$5*'Datos Consumo '!$C$18))</f>
        <v>23.829499957241211</v>
      </c>
      <c r="T34">
        <f ca="1">IF(Auxiliares!$D27&lt;(Producción!S37*$B54),Auxiliares!$D27,Producción!S37*$B54)*Auxiliares!$J$15*Auxiliares!$J$16*IF('Datos Consumo '!$C$12="Si",'Datos Consumo '!$C31,IF('Datos Consumo '!$C$11="No",'Datos Consumo '!$C$14,'Datos Consumo '!$C$16*Auxiliares!$N$4+Auxiliares!$N$5*'Datos Consumo '!$C$18))</f>
        <v>23.829499957241211</v>
      </c>
      <c r="U34">
        <f ca="1">IF(Auxiliares!$D27&lt;(Producción!T37*$B54),Auxiliares!$D27,Producción!T37*$B54)*Auxiliares!$J$15*Auxiliares!$J$16*IF('Datos Consumo '!$C$12="Si",'Datos Consumo '!$C31,IF('Datos Consumo '!$C$11="No",'Datos Consumo '!$C$14,'Datos Consumo '!$C$16*Auxiliares!$N$4+Auxiliares!$N$5*'Datos Consumo '!$C$18))</f>
        <v>23.829499957241211</v>
      </c>
      <c r="V34">
        <f ca="1">IF(Auxiliares!$D27&lt;(Producción!U37*$B54),Auxiliares!$D27,Producción!U37*$B54)*Auxiliares!$J$15*Auxiliares!$J$16*IF('Datos Consumo '!$C$12="Si",'Datos Consumo '!$C31,IF('Datos Consumo '!$C$11="No",'Datos Consumo '!$C$14,'Datos Consumo '!$C$16*Auxiliares!$N$4+Auxiliares!$N$5*'Datos Consumo '!$C$18))</f>
        <v>23.829499957241211</v>
      </c>
      <c r="W34">
        <f ca="1">IF(Auxiliares!$D27&lt;(Producción!V37*$B54),Auxiliares!$D27,Producción!V37*$B54)*Auxiliares!$J$15*Auxiliares!$J$16*IF('Datos Consumo '!$C$12="Si",'Datos Consumo '!$C31,IF('Datos Consumo '!$C$11="No",'Datos Consumo '!$C$14,'Datos Consumo '!$C$16*Auxiliares!$N$4+Auxiliares!$N$5*'Datos Consumo '!$C$18))</f>
        <v>23.829499957241211</v>
      </c>
      <c r="X34">
        <f ca="1">IF(Auxiliares!$D27&lt;(Producción!W37*$B54),Auxiliares!$D27,Producción!W37*$B54)*Auxiliares!$J$15*Auxiliares!$J$16*IF('Datos Consumo '!$C$12="Si",'Datos Consumo '!$C31,IF('Datos Consumo '!$C$11="No",'Datos Consumo '!$C$14,'Datos Consumo '!$C$16*Auxiliares!$N$4+Auxiliares!$N$5*'Datos Consumo '!$C$18))</f>
        <v>23.829499957241211</v>
      </c>
      <c r="Y34">
        <f ca="1">IF(Auxiliares!$D27&lt;(Producción!X37*$B54),Auxiliares!$D27,Producción!X37*$B54)*Auxiliares!$J$15*Auxiliares!$J$16*IF('Datos Consumo '!$C$12="Si",'Datos Consumo '!$C31,IF('Datos Consumo '!$C$11="No",'Datos Consumo '!$C$14,'Datos Consumo '!$C$16*Auxiliares!$N$4+Auxiliares!$N$5*'Datos Consumo '!$C$18))</f>
        <v>23.829499957241211</v>
      </c>
      <c r="Z34">
        <f ca="1">IF(Auxiliares!$D27&lt;(Producción!Y37*$B54),Auxiliares!$D27,Producción!Y37*$B54)*Auxiliares!$J$15*Auxiliares!$J$16*IF('Datos Consumo '!$C$12="Si",'Datos Consumo '!$C31,IF('Datos Consumo '!$C$11="No",'Datos Consumo '!$C$14,'Datos Consumo '!$C$16*Auxiliares!$N$4+Auxiliares!$N$5*'Datos Consumo '!$C$18))</f>
        <v>23.829499957241211</v>
      </c>
      <c r="AA34">
        <f ca="1">IF(Auxiliares!$D27&lt;(Producción!Z37*$B54),Auxiliares!$D27,Producción!Z37*$B54)*Auxiliares!$J$15*Auxiliares!$J$16*IF('Datos Consumo '!$C$12="Si",'Datos Consumo '!$C31,IF('Datos Consumo '!$C$11="No",'Datos Consumo '!$C$14,'Datos Consumo '!$C$16*Auxiliares!$N$4+Auxiliares!$N$5*'Datos Consumo '!$C$18))</f>
        <v>23.829499957241211</v>
      </c>
      <c r="AB34">
        <f ca="1">IF(Auxiliares!$D27&lt;(Producción!AA37*$B54),Auxiliares!$D27,Producción!AA37*$B54)*Auxiliares!$J$15*Auxiliares!$J$16*IF('Datos Consumo '!$C$12="Si",'Datos Consumo '!$C31,IF('Datos Consumo '!$C$11="No",'Datos Consumo '!$C$14,'Datos Consumo '!$C$16*Auxiliares!$N$4+Auxiliares!$N$5*'Datos Consumo '!$C$18))</f>
        <v>23.829499957241211</v>
      </c>
      <c r="AC34">
        <f ca="1">IF(Auxiliares!$D27&lt;(Producción!AB37*$B54),Auxiliares!$D27,Producción!AB37*$B54)*Auxiliares!$J$15*Auxiliares!$J$16*IF('Datos Consumo '!$C$12="Si",'Datos Consumo '!$C31,IF('Datos Consumo '!$C$11="No",'Datos Consumo '!$C$14,'Datos Consumo '!$C$16*Auxiliares!$N$4+Auxiliares!$N$5*'Datos Consumo '!$C$18))</f>
        <v>23.829499957241211</v>
      </c>
      <c r="AD34">
        <f ca="1">IF(Auxiliares!$D27&lt;(Producción!AC37*$B54),Auxiliares!$D27,Producción!AC37*$B54)*Auxiliares!$J$15*Auxiliares!$J$16*IF('Datos Consumo '!$C$12="Si",'Datos Consumo '!$C31,IF('Datos Consumo '!$C$11="No",'Datos Consumo '!$C$14,'Datos Consumo '!$C$16*Auxiliares!$N$4+Auxiliares!$N$5*'Datos Consumo '!$C$18))</f>
        <v>23.829499957241211</v>
      </c>
      <c r="AE34">
        <f ca="1">IF(Auxiliares!$D27&lt;(Producción!AD37*$B54),Auxiliares!$D27,Producción!AD37*$B54)*Auxiliares!$J$15*Auxiliares!$J$16*IF('Datos Consumo '!$C$12="Si",'Datos Consumo '!$C31,IF('Datos Consumo '!$C$11="No",'Datos Consumo '!$C$14,'Datos Consumo '!$C$16*Auxiliares!$N$4+Auxiliares!$N$5*'Datos Consumo '!$C$18))</f>
        <v>23.829499957241211</v>
      </c>
      <c r="AF34">
        <f ca="1">IF(Auxiliares!$D27&lt;(Producción!AE37*$B54),Auxiliares!$D27,Producción!AE37*$B54)*Auxiliares!$J$15*Auxiliares!$J$16*IF('Datos Consumo '!$C$12="Si",'Datos Consumo '!$C31,IF('Datos Consumo '!$C$11="No",'Datos Consumo '!$C$14,'Datos Consumo '!$C$16*Auxiliares!$N$4+Auxiliares!$N$5*'Datos Consumo '!$C$18))</f>
        <v>23.829499957241211</v>
      </c>
      <c r="AG34">
        <f ca="1">IF(Auxiliares!$D27&lt;(Producción!AF37*$B54),Auxiliares!$D27,Producción!AF37*$B54)*Auxiliares!$J$15*Auxiliares!$J$16*IF('Datos Consumo '!$C$12="Si",'Datos Consumo '!$C31,IF('Datos Consumo '!$C$11="No",'Datos Consumo '!$C$14,'Datos Consumo '!$C$16*Auxiliares!$N$4+Auxiliares!$N$5*'Datos Consumo '!$C$18))</f>
        <v>23.829499957241211</v>
      </c>
      <c r="AH34">
        <f ca="1">IF(Auxiliares!$D27&lt;(Producción!AG37*$B54),Auxiliares!$D27,Producción!AG37*$B54)*Auxiliares!$J$15*Auxiliares!$J$16*IF('Datos Consumo '!$C$12="Si",'Datos Consumo '!$C31,IF('Datos Consumo '!$C$11="No",'Datos Consumo '!$C$14,'Datos Consumo '!$C$16*Auxiliares!$N$4+Auxiliares!$N$5*'Datos Consumo '!$C$18))</f>
        <v>23.829499957241211</v>
      </c>
    </row>
    <row r="41" spans="2:34">
      <c r="C41" s="24" t="s">
        <v>259</v>
      </c>
    </row>
    <row r="42" spans="2:34">
      <c r="D42" s="12">
        <v>2020</v>
      </c>
      <c r="E42" s="12">
        <f>D42+1</f>
        <v>2021</v>
      </c>
      <c r="F42" s="12">
        <f t="shared" ref="F42" si="17">E42+1</f>
        <v>2022</v>
      </c>
      <c r="G42" s="12">
        <f t="shared" ref="G42" si="18">F42+1</f>
        <v>2023</v>
      </c>
      <c r="H42" s="12">
        <f t="shared" ref="H42" si="19">G42+1</f>
        <v>2024</v>
      </c>
      <c r="I42" s="12">
        <f t="shared" ref="I42" si="20">H42+1</f>
        <v>2025</v>
      </c>
      <c r="J42" s="12">
        <f t="shared" ref="J42" si="21">I42+1</f>
        <v>2026</v>
      </c>
      <c r="K42" s="12">
        <f t="shared" ref="K42" si="22">J42+1</f>
        <v>2027</v>
      </c>
      <c r="L42" s="12">
        <f t="shared" ref="L42" si="23">K42+1</f>
        <v>2028</v>
      </c>
      <c r="M42" s="12">
        <f t="shared" ref="M42" si="24">L42+1</f>
        <v>2029</v>
      </c>
      <c r="N42" s="12">
        <f t="shared" ref="N42" si="25">M42+1</f>
        <v>2030</v>
      </c>
      <c r="O42" s="12">
        <f t="shared" ref="O42" si="26">N42+1</f>
        <v>2031</v>
      </c>
      <c r="P42" s="12">
        <f>O42+1</f>
        <v>2032</v>
      </c>
      <c r="Q42" s="12">
        <f t="shared" ref="Q42" si="27">P42+1</f>
        <v>2033</v>
      </c>
      <c r="R42" s="12">
        <f t="shared" ref="R42" si="28">Q42+1</f>
        <v>2034</v>
      </c>
      <c r="S42" s="12">
        <f t="shared" ref="S42" si="29">R42+1</f>
        <v>2035</v>
      </c>
      <c r="T42" s="12">
        <f t="shared" ref="T42" si="30">S42+1</f>
        <v>2036</v>
      </c>
      <c r="U42" s="12">
        <f>T42+1</f>
        <v>2037</v>
      </c>
      <c r="V42" s="12">
        <f>U42+1</f>
        <v>2038</v>
      </c>
      <c r="W42" s="12">
        <f t="shared" ref="W42" si="31">V42+1</f>
        <v>2039</v>
      </c>
      <c r="X42" s="12">
        <f t="shared" ref="X42" si="32">W42+1</f>
        <v>2040</v>
      </c>
      <c r="Y42" s="12">
        <f t="shared" ref="Y42" si="33">X42+1</f>
        <v>2041</v>
      </c>
      <c r="Z42" s="12">
        <f t="shared" ref="Z42" si="34">Y42+1</f>
        <v>2042</v>
      </c>
      <c r="AA42" s="12">
        <f t="shared" ref="AA42" si="35">Z42+1</f>
        <v>2043</v>
      </c>
      <c r="AB42" s="12">
        <f t="shared" ref="AB42" si="36">AA42+1</f>
        <v>2044</v>
      </c>
      <c r="AC42" s="12">
        <f t="shared" ref="AC42" si="37">AB42+1</f>
        <v>2045</v>
      </c>
      <c r="AD42" s="12">
        <f t="shared" ref="AD42" si="38">AC42+1</f>
        <v>2046</v>
      </c>
      <c r="AE42" s="12">
        <f t="shared" ref="AE42" si="39">AD42+1</f>
        <v>2047</v>
      </c>
      <c r="AF42" s="12">
        <f t="shared" ref="AF42" si="40">AE42+1</f>
        <v>2048</v>
      </c>
      <c r="AG42" s="12">
        <f t="shared" ref="AG42" si="41">AF42+1</f>
        <v>2049</v>
      </c>
      <c r="AH42" s="12">
        <f t="shared" ref="AH42" si="42">AG42+1</f>
        <v>2050</v>
      </c>
    </row>
    <row r="43" spans="2:34">
      <c r="B43">
        <v>31</v>
      </c>
      <c r="C43" s="12" t="s">
        <v>4</v>
      </c>
      <c r="D43">
        <f ca="1">IF('Datos Consumo '!$F$12&lt;1,IF(CostesNoGeneración!$C23&lt;CostesNoGeneración!C40+Ingresos!D4,CostesNoGeneración!$C23-Ingresos!D4,CostesNoGeneración!C40),IF((Producción!C43)*$B$43&lt;'Datos Consumo '!$F$12,CostesNoGeneración!C40,'Datos Consumo '!$F$12*'Datos Consumo '!$F$11))</f>
        <v>26.749683069622645</v>
      </c>
      <c r="E43">
        <f ca="1">IF('Datos Consumo '!$F$12&lt;1,IF(CostesNoGeneración!$C23&lt;CostesNoGeneración!D40+Ingresos!E4,CostesNoGeneración!$C23-Ingresos!E4,CostesNoGeneración!D40),IF((Producción!D43)*$B$43&lt;'Datos Consumo '!$F$12,CostesNoGeneración!D40,'Datos Consumo '!$F$12*'Datos Consumo '!$F$11))</f>
        <v>26.568326290480645</v>
      </c>
      <c r="F43">
        <f ca="1">IF('Datos Consumo '!$F$12&lt;1,IF(CostesNoGeneración!$C23&lt;CostesNoGeneración!E40+Ingresos!F4,CostesNoGeneración!$C23-Ingresos!F4,CostesNoGeneración!E40),IF((Producción!E43)*$B$43&lt;'Datos Consumo '!$F$12,CostesNoGeneración!E40,'Datos Consumo '!$F$12*'Datos Consumo '!$F$11))</f>
        <v>26.387948837946016</v>
      </c>
      <c r="G43">
        <f ca="1">IF('Datos Consumo '!$F$12&lt;1,IF(CostesNoGeneración!$C23&lt;CostesNoGeneración!F40+Ingresos!G4,CostesNoGeneración!$C23-Ingresos!G4,CostesNoGeneración!F40),IF((Producción!F43)*$B$43&lt;'Datos Consumo '!$F$12,CostesNoGeneración!F40,'Datos Consumo '!$F$12*'Datos Consumo '!$F$11))</f>
        <v>26.208545423655067</v>
      </c>
      <c r="H43">
        <f ca="1">IF('Datos Consumo '!$F$12&lt;1,IF(CostesNoGeneración!$C23&lt;CostesNoGeneración!G40+Ingresos!H4,CostesNoGeneración!$C23-Ingresos!H4,CostesNoGeneración!G40),IF((Producción!G43)*$B$43&lt;'Datos Consumo '!$F$12,CostesNoGeneración!G40,'Datos Consumo '!$F$12*'Datos Consumo '!$F$11))</f>
        <v>26.030110787801291</v>
      </c>
      <c r="I43">
        <f ca="1">IF('Datos Consumo '!$F$12&lt;1,IF(CostesNoGeneración!$C23&lt;CostesNoGeneración!H40+Ingresos!I4,CostesNoGeneración!$C23-Ingresos!I4,CostesNoGeneración!H40),IF((Producción!H43)*$B$43&lt;'Datos Consumo '!$F$12,CostesNoGeneración!H40,'Datos Consumo '!$F$12*'Datos Consumo '!$F$11))</f>
        <v>25.852639698981125</v>
      </c>
      <c r="J43">
        <f ca="1">IF('Datos Consumo '!$F$12&lt;1,IF(CostesNoGeneración!$C23&lt;CostesNoGeneración!I40+Ingresos!J4,CostesNoGeneración!$C23-Ingresos!J4,CostesNoGeneración!I40),IF((Producción!I43)*$B$43&lt;'Datos Consumo '!$F$12,CostesNoGeneración!I40,'Datos Consumo '!$F$12*'Datos Consumo '!$F$11))</f>
        <v>25.676126954040594</v>
      </c>
      <c r="K43">
        <f ca="1">IF('Datos Consumo '!$F$12&lt;1,IF(CostesNoGeneración!$C23&lt;CostesNoGeneración!J40+Ingresos!K4,CostesNoGeneración!$C23-Ingresos!K4,CostesNoGeneración!J40),IF((Producción!J43)*$B$43&lt;'Datos Consumo '!$F$12,CostesNoGeneración!J40,'Datos Consumo '!$F$12*'Datos Consumo '!$F$11))</f>
        <v>25.500567377922735</v>
      </c>
      <c r="L43">
        <f ca="1">IF('Datos Consumo '!$F$12&lt;1,IF(CostesNoGeneración!$C23&lt;CostesNoGeneración!K40+Ingresos!L4,CostesNoGeneración!$C23-Ingresos!L4,CostesNoGeneración!K40),IF((Producción!K43)*$B$43&lt;'Datos Consumo '!$F$12,CostesNoGeneración!K40,'Datos Consumo '!$F$12*'Datos Consumo '!$F$11))</f>
        <v>25.325955823515912</v>
      </c>
      <c r="M43">
        <f ca="1">IF('Datos Consumo '!$F$12&lt;1,IF(CostesNoGeneración!$C23&lt;CostesNoGeneración!L40+Ingresos!M4,CostesNoGeneración!$C23-Ingresos!M4,CostesNoGeneración!L40),IF((Producción!L43)*$B$43&lt;'Datos Consumo '!$F$12,CostesNoGeneración!L40,'Datos Consumo '!$F$12*'Datos Consumo '!$F$11))</f>
        <v>25.152287171502891</v>
      </c>
      <c r="N43">
        <f ca="1">IF('Datos Consumo '!$F$12&lt;1,IF(CostesNoGeneración!$C23&lt;CostesNoGeneración!M40+Ingresos!N4,CostesNoGeneración!$C23-Ingresos!N4,CostesNoGeneración!M40),IF((Producción!M43)*$B$43&lt;'Datos Consumo '!$F$12,CostesNoGeneración!M40,'Datos Consumo '!$F$12*'Datos Consumo '!$F$11))</f>
        <v>24.979556330210734</v>
      </c>
      <c r="O43">
        <f ca="1">IF('Datos Consumo '!$F$12&lt;1,IF(CostesNoGeneración!$C23&lt;CostesNoGeneración!N40+Ingresos!O4,CostesNoGeneración!$C23-Ingresos!O4,CostesNoGeneración!N40),IF((Producción!N43)*$B$43&lt;'Datos Consumo '!$F$12,CostesNoGeneración!N40,'Datos Consumo '!$F$12*'Datos Consumo '!$F$11))</f>
        <v>24.807758235461566</v>
      </c>
      <c r="P43">
        <f ca="1">IF('Datos Consumo '!$F$12&lt;1,IF(CostesNoGeneración!$C23&lt;CostesNoGeneración!O40+Ingresos!P4,CostesNoGeneración!$C23-Ingresos!P4,CostesNoGeneración!O40),IF((Producción!O43)*$B$43&lt;'Datos Consumo '!$F$12,CostesNoGeneración!O40,'Datos Consumo '!$F$12*'Datos Consumo '!$F$11))</f>
        <v>24.636887850424031</v>
      </c>
      <c r="Q43">
        <f ca="1">IF('Datos Consumo '!$F$12&lt;1,IF(CostesNoGeneración!$C23&lt;CostesNoGeneración!P40+Ingresos!Q4,CostesNoGeneración!$C23-Ingresos!Q4,CostesNoGeneración!P40),IF((Producción!P43)*$B$43&lt;'Datos Consumo '!$F$12,CostesNoGeneración!P40,'Datos Consumo '!$F$12*'Datos Consumo '!$F$11))</f>
        <v>24.466940165465701</v>
      </c>
      <c r="R43">
        <f ca="1">IF('Datos Consumo '!$F$12&lt;1,IF(CostesNoGeneración!$C23&lt;CostesNoGeneración!Q40+Ingresos!R4,CostesNoGeneración!$C23-Ingresos!R4,CostesNoGeneración!Q40),IF((Producción!Q43)*$B$43&lt;'Datos Consumo '!$F$12,CostesNoGeneración!Q40,'Datos Consumo '!$F$12*'Datos Consumo '!$F$11))</f>
        <v>24.29791019800615</v>
      </c>
      <c r="S43">
        <f ca="1">IF('Datos Consumo '!$F$12&lt;1,IF(CostesNoGeneración!$C23&lt;CostesNoGeneración!R40+Ingresos!S4,CostesNoGeneración!$C23-Ingresos!S4,CostesNoGeneración!R40),IF((Producción!R43)*$B$43&lt;'Datos Consumo '!$F$12,CostesNoGeneración!R40,'Datos Consumo '!$F$12*'Datos Consumo '!$F$11))</f>
        <v>24.129792992370881</v>
      </c>
      <c r="T43">
        <f ca="1">IF('Datos Consumo '!$F$12&lt;1,IF(CostesNoGeneración!$C23&lt;CostesNoGeneración!S40+Ingresos!T4,CostesNoGeneración!$C23-Ingresos!T4,CostesNoGeneración!S40),IF((Producción!S43)*$B$43&lt;'Datos Consumo '!$F$12,CostesNoGeneración!S40,'Datos Consumo '!$F$12*'Datos Consumo '!$F$11))</f>
        <v>23.96258361964604</v>
      </c>
      <c r="U43">
        <f ca="1">IF('Datos Consumo '!$F$12&lt;1,IF(CostesNoGeneración!$C23&lt;CostesNoGeneración!T40+Ingresos!U4,CostesNoGeneración!$C23-Ingresos!U4,CostesNoGeneración!T40),IF((Producción!T43)*$B$43&lt;'Datos Consumo '!$F$12,CostesNoGeneración!T40,'Datos Consumo '!$F$12*'Datos Consumo '!$F$11))</f>
        <v>23.796277177533913</v>
      </c>
      <c r="V43">
        <f ca="1">IF('Datos Consumo '!$F$12&lt;1,IF(CostesNoGeneración!$C23&lt;CostesNoGeneración!U40+Ingresos!V4,CostesNoGeneración!$C23-Ingresos!V4,CostesNoGeneración!U40),IF((Producción!U43)*$B$43&lt;'Datos Consumo '!$F$12,CostesNoGeneración!U40,'Datos Consumo '!$F$12*'Datos Consumo '!$F$11))</f>
        <v>23.630868790209188</v>
      </c>
      <c r="W43">
        <f ca="1">IF('Datos Consumo '!$F$12&lt;1,IF(CostesNoGeneración!$C23&lt;CostesNoGeneración!V40+Ingresos!W4,CostesNoGeneración!$C23-Ingresos!W4,CostesNoGeneración!V40),IF((Producción!V43)*$B$43&lt;'Datos Consumo '!$F$12,CostesNoGeneración!V40,'Datos Consumo '!$F$12*'Datos Consumo '!$F$11))</f>
        <v>23.466353608176021</v>
      </c>
      <c r="X43">
        <f ca="1">IF('Datos Consumo '!$F$12&lt;1,IF(CostesNoGeneración!$C23&lt;CostesNoGeneración!W40+Ingresos!X4,CostesNoGeneración!$C23-Ingresos!X4,CostesNoGeneración!W40),IF((Producción!W43)*$B$43&lt;'Datos Consumo '!$F$12,CostesNoGeneración!W40,'Datos Consumo '!$F$12*'Datos Consumo '!$F$11))</f>
        <v>23.30272680812584</v>
      </c>
      <c r="Y43">
        <f ca="1">IF('Datos Consumo '!$F$12&lt;1,IF(CostesNoGeneración!$C23&lt;CostesNoGeneración!X40+Ingresos!Y4,CostesNoGeneración!$C23-Ingresos!Y4,CostesNoGeneración!X40),IF((Producción!X43)*$B$43&lt;'Datos Consumo '!$F$12,CostesNoGeneración!X40,'Datos Consumo '!$F$12*'Datos Consumo '!$F$11))</f>
        <v>23.139983592795915</v>
      </c>
      <c r="Z43">
        <f ca="1">IF('Datos Consumo '!$F$12&lt;1,IF(CostesNoGeneración!$C23&lt;CostesNoGeneración!Y40+Ingresos!Z4,CostesNoGeneración!$C23-Ingresos!Z4,CostesNoGeneración!Y40),IF((Producción!Y43)*$B$43&lt;'Datos Consumo '!$F$12,CostesNoGeneración!Y40,'Datos Consumo '!$F$12*'Datos Consumo '!$F$11))</f>
        <v>22.978119190828785</v>
      </c>
      <c r="AA43">
        <f ca="1">IF('Datos Consumo '!$F$12&lt;1,IF(CostesNoGeneración!$C23&lt;CostesNoGeneración!Z40+Ingresos!AA4,CostesNoGeneración!$C23-Ingresos!AA4,CostesNoGeneración!Z40),IF((Producción!Z43)*$B$43&lt;'Datos Consumo '!$F$12,CostesNoGeneración!Z40,'Datos Consumo '!$F$12*'Datos Consumo '!$F$11))</f>
        <v>22.817128856632269</v>
      </c>
      <c r="AB43">
        <f ca="1">IF('Datos Consumo '!$F$12&lt;1,IF(CostesNoGeneración!$C23&lt;CostesNoGeneración!AA40+Ingresos!AB4,CostesNoGeneración!$C23-Ingresos!AB4,CostesNoGeneración!AA40),IF((Producción!AA43)*$B$43&lt;'Datos Consumo '!$F$12,CostesNoGeneración!AA40,'Datos Consumo '!$F$12*'Datos Consumo '!$F$11))</f>
        <v>22.65700787024042</v>
      </c>
      <c r="AC43">
        <f ca="1">IF('Datos Consumo '!$F$12&lt;1,IF(CostesNoGeneración!$C23&lt;CostesNoGeneración!AB40+Ingresos!AC4,CostesNoGeneración!$C23-Ingresos!AC4,CostesNoGeneración!AB40),IF((Producción!AB43)*$B$43&lt;'Datos Consumo '!$F$12,CostesNoGeneración!AB40,'Datos Consumo '!$F$12*'Datos Consumo '!$F$11))</f>
        <v>22.497751537175084</v>
      </c>
      <c r="AD43">
        <f ca="1">IF('Datos Consumo '!$F$12&lt;1,IF(CostesNoGeneración!$C23&lt;CostesNoGeneración!AC40+Ingresos!AD4,CostesNoGeneración!$C23-Ingresos!AD4,CostesNoGeneración!AC40),IF((Producción!AC43)*$B$43&lt;'Datos Consumo '!$F$12,CostesNoGeneración!AC40,'Datos Consumo '!$F$12*'Datos Consumo '!$F$11))</f>
        <v>22.3393551883083</v>
      </c>
      <c r="AE43">
        <f ca="1">IF('Datos Consumo '!$F$12&lt;1,IF(CostesNoGeneración!$C23&lt;CostesNoGeneración!AD40+Ingresos!AE4,CostesNoGeneración!$C23-Ingresos!AE4,CostesNoGeneración!AD40),IF((Producción!AD43)*$B$43&lt;'Datos Consumo '!$F$12,CostesNoGeneración!AD40,'Datos Consumo '!$F$12*'Datos Consumo '!$F$11))</f>
        <v>22.181814179725389</v>
      </c>
      <c r="AF43">
        <f ca="1">IF('Datos Consumo '!$F$12&lt;1,IF(CostesNoGeneración!$C23&lt;CostesNoGeneración!AE40+Ingresos!AF4,CostesNoGeneración!$C23-Ingresos!AF4,CostesNoGeneración!AE40),IF((Producción!AE43)*$B$43&lt;'Datos Consumo '!$F$12,CostesNoGeneración!AE40,'Datos Consumo '!$F$12*'Datos Consumo '!$F$11))</f>
        <v>22.025123892588841</v>
      </c>
      <c r="AG43">
        <f ca="1">IF('Datos Consumo '!$F$12&lt;1,IF(CostesNoGeneración!$C23&lt;CostesNoGeneración!AF40+Ingresos!AG4,CostesNoGeneración!$C23-Ingresos!AG4,CostesNoGeneración!AF40),IF((Producción!AF43)*$B$43&lt;'Datos Consumo '!$F$12,CostesNoGeneración!AF40,'Datos Consumo '!$F$12*'Datos Consumo '!$F$11))</f>
        <v>21.86927973300282</v>
      </c>
      <c r="AH43">
        <f ca="1">IF('Datos Consumo '!$F$12&lt;1,IF(CostesNoGeneración!$C23&lt;CostesNoGeneración!AG40+Ingresos!AH4,CostesNoGeneración!$C23-Ingresos!AH4,CostesNoGeneración!AG40),IF((Producción!AG43)*$B$43&lt;'Datos Consumo '!$F$12,CostesNoGeneración!AG40,'Datos Consumo '!$F$12*'Datos Consumo '!$F$11))</f>
        <v>21.714277131878575</v>
      </c>
    </row>
    <row r="44" spans="2:34">
      <c r="B44">
        <v>28</v>
      </c>
      <c r="C44" s="12" t="s">
        <v>5</v>
      </c>
      <c r="D44">
        <f ca="1">IF('Datos Consumo '!$F$12&lt;1,IF(CostesNoGeneración!$C24&lt;CostesNoGeneración!C41+Ingresos!D5,CostesNoGeneración!$C24-Ingresos!D5,CostesNoGeneración!C41),IF((Producción!C44)*$B$43&lt;'Datos Consumo '!$F$12,CostesNoGeneración!C41,'Datos Consumo '!$F$12*'Datos Consumo '!$F$11))</f>
        <v>27.178214196226413</v>
      </c>
      <c r="E44">
        <f ca="1">IF('Datos Consumo '!$F$12&lt;1,IF(CostesNoGeneración!$C24&lt;CostesNoGeneración!D41+Ingresos!E5,CostesNoGeneración!$C24-Ingresos!E5,CostesNoGeneración!D41),IF((Producción!D44)*$B$43&lt;'Datos Consumo '!$F$12,CostesNoGeneración!D41,'Datos Consumo '!$F$12*'Datos Consumo '!$F$11))</f>
        <v>26.997706933906422</v>
      </c>
      <c r="F44">
        <f ca="1">IF('Datos Consumo '!$F$12&lt;1,IF(CostesNoGeneración!$C24&lt;CostesNoGeneración!E41+Ingresos!F5,CostesNoGeneración!$C24-Ingresos!F5,CostesNoGeneración!E41),IF((Producción!E44)*$B$43&lt;'Datos Consumo '!$F$12,CostesNoGeneración!E41,'Datos Consumo '!$F$12*'Datos Consumo '!$F$11))</f>
        <v>26.818174410802939</v>
      </c>
      <c r="G44">
        <f ca="1">IF('Datos Consumo '!$F$12&lt;1,IF(CostesNoGeneración!$C24&lt;CostesNoGeneración!F41+Ingresos!G5,CostesNoGeneración!$C24-Ingresos!G5,CostesNoGeneración!F41),IF((Producción!F44)*$B$43&lt;'Datos Consumo '!$F$12,CostesNoGeneración!F41,'Datos Consumo '!$F$12*'Datos Consumo '!$F$11))</f>
        <v>26.639611363324232</v>
      </c>
      <c r="H44">
        <f ca="1">IF('Datos Consumo '!$F$12&lt;1,IF(CostesNoGeneración!$C24&lt;CostesNoGeneración!G41+Ingresos!H5,CostesNoGeneración!$C24-Ingresos!H5,CostesNoGeneración!G41),IF((Producción!G44)*$B$43&lt;'Datos Consumo '!$F$12,CostesNoGeneración!G41,'Datos Consumo '!$F$12*'Datos Consumo '!$F$11))</f>
        <v>26.4620125563019</v>
      </c>
      <c r="I44">
        <f ca="1">IF('Datos Consumo '!$F$12&lt;1,IF(CostesNoGeneración!$C24&lt;CostesNoGeneración!H41+Ingresos!I5,CostesNoGeneración!$C24-Ingresos!I5,CostesNoGeneración!H41),IF((Producción!H44)*$B$43&lt;'Datos Consumo '!$F$12,CostesNoGeneración!H41,'Datos Consumo '!$F$12*'Datos Consumo '!$F$11))</f>
        <v>26.285372782837495</v>
      </c>
      <c r="J44">
        <f ca="1">IF('Datos Consumo '!$F$12&lt;1,IF(CostesNoGeneración!$C24&lt;CostesNoGeneración!I41+Ingresos!J5,CostesNoGeneración!$C24-Ingresos!J5,CostesNoGeneración!I41),IF((Producción!I44)*$B$43&lt;'Datos Consumo '!$F$12,CostesNoGeneración!I41,'Datos Consumo '!$F$12*'Datos Consumo '!$F$11))</f>
        <v>26.109686864149797</v>
      </c>
      <c r="K44">
        <f ca="1">IF('Datos Consumo '!$F$12&lt;1,IF(CostesNoGeneración!$C24&lt;CostesNoGeneración!J41+Ingresos!K5,CostesNoGeneración!$C24-Ingresos!K5,CostesNoGeneración!J41),IF((Producción!J44)*$B$43&lt;'Datos Consumo '!$F$12,CostesNoGeneración!J41,'Datos Consumo '!$F$12*'Datos Consumo '!$F$11))</f>
        <v>25.934949649423004</v>
      </c>
      <c r="L44">
        <f ca="1">IF('Datos Consumo '!$F$12&lt;1,IF(CostesNoGeneración!$C24&lt;CostesNoGeneración!K41+Ingresos!L5,CostesNoGeneración!$C24-Ingresos!L5,CostesNoGeneración!K41),IF((Producción!K44)*$B$43&lt;'Datos Consumo '!$F$12,CostesNoGeneración!K41,'Datos Consumo '!$F$12*'Datos Consumo '!$F$11))</f>
        <v>25.761156015655743</v>
      </c>
      <c r="M44">
        <f ca="1">IF('Datos Consumo '!$F$12&lt;1,IF(CostesNoGeneración!$C24&lt;CostesNoGeneración!L41+Ingresos!M5,CostesNoGeneración!$C24-Ingresos!M5,CostesNoGeneración!L41),IF((Producción!L44)*$B$43&lt;'Datos Consumo '!$F$12,CostesNoGeneración!L41,'Datos Consumo '!$F$12*'Datos Consumo '!$F$11))</f>
        <v>25.588300867510828</v>
      </c>
      <c r="N44">
        <f ca="1">IF('Datos Consumo '!$F$12&lt;1,IF(CostesNoGeneración!$C24&lt;CostesNoGeneración!M41+Ingresos!N5,CostesNoGeneración!$C24-Ingresos!N5,CostesNoGeneración!M41),IF((Producción!M44)*$B$43&lt;'Datos Consumo '!$F$12,CostesNoGeneración!M41,'Datos Consumo '!$F$12*'Datos Consumo '!$F$11))</f>
        <v>25.416379137165897</v>
      </c>
      <c r="O44">
        <f ca="1">IF('Datos Consumo '!$F$12&lt;1,IF(CostesNoGeneración!$C24&lt;CostesNoGeneración!N41+Ingresos!O5,CostesNoGeneración!$C24-Ingresos!O5,CostesNoGeneración!N41),IF((Producción!N44)*$B$43&lt;'Datos Consumo '!$F$12,CostesNoGeneración!N41,'Datos Consumo '!$F$12*'Datos Consumo '!$F$11))</f>
        <v>25.245385784164824</v>
      </c>
      <c r="P44">
        <f ca="1">IF('Datos Consumo '!$F$12&lt;1,IF(CostesNoGeneración!$C24&lt;CostesNoGeneración!O41+Ingresos!P5,CostesNoGeneración!$C24-Ingresos!P5,CostesNoGeneración!O41),IF((Producción!O44)*$B$43&lt;'Datos Consumo '!$F$12,CostesNoGeneración!O41,'Datos Consumo '!$F$12*'Datos Consumo '!$F$11))</f>
        <v>25.075315795269958</v>
      </c>
      <c r="Q44">
        <f ca="1">IF('Datos Consumo '!$F$12&lt;1,IF(CostesNoGeneración!$C24&lt;CostesNoGeneración!P41+Ingresos!Q5,CostesNoGeneración!$C24-Ingresos!Q5,CostesNoGeneración!P41),IF((Producción!P44)*$B$43&lt;'Datos Consumo '!$F$12,CostesNoGeneración!P41,'Datos Consumo '!$F$12*'Datos Consumo '!$F$11))</f>
        <v>24.906164184315109</v>
      </c>
      <c r="R44">
        <f ca="1">IF('Datos Consumo '!$F$12&lt;1,IF(CostesNoGeneración!$C24&lt;CostesNoGeneración!Q41+Ingresos!R5,CostesNoGeneración!$C24-Ingresos!R5,CostesNoGeneración!Q41),IF((Producción!Q44)*$B$43&lt;'Datos Consumo '!$F$12,CostesNoGeneración!Q41,'Datos Consumo '!$F$12*'Datos Consumo '!$F$11))</f>
        <v>24.737925992059445</v>
      </c>
      <c r="S44">
        <f ca="1">IF('Datos Consumo '!$F$12&lt;1,IF(CostesNoGeneración!$C24&lt;CostesNoGeneración!R41+Ingresos!S5,CostesNoGeneración!$C24-Ingresos!S5,CostesNoGeneración!R41),IF((Producción!R44)*$B$43&lt;'Datos Consumo '!$F$12,CostesNoGeneración!R41,'Datos Consumo '!$F$12*'Datos Consumo '!$F$11))</f>
        <v>24.57059628604194</v>
      </c>
      <c r="T44">
        <f ca="1">IF('Datos Consumo '!$F$12&lt;1,IF(CostesNoGeneración!$C24&lt;CostesNoGeneración!S41+Ingresos!T5,CostesNoGeneración!$C24-Ingresos!T5,CostesNoGeneración!S41),IF((Producción!S44)*$B$43&lt;'Datos Consumo '!$F$12,CostesNoGeneración!S41,'Datos Consumo '!$F$12*'Datos Consumo '!$F$11))</f>
        <v>24.404170160436937</v>
      </c>
      <c r="U44">
        <f ca="1">IF('Datos Consumo '!$F$12&lt;1,IF(CostesNoGeneración!$C24&lt;CostesNoGeneración!T41+Ingresos!U5,CostesNoGeneración!$C24-Ingresos!U5,CostesNoGeneración!T41),IF((Producción!T44)*$B$43&lt;'Datos Consumo '!$F$12,CostesNoGeneración!T41,'Datos Consumo '!$F$12*'Datos Consumo '!$F$11))</f>
        <v>24.238642735910204</v>
      </c>
      <c r="V44">
        <f ca="1">IF('Datos Consumo '!$F$12&lt;1,IF(CostesNoGeneración!$C24&lt;CostesNoGeneración!U41+Ingresos!V5,CostesNoGeneración!$C24-Ingresos!V5,CostesNoGeneración!U41),IF((Producción!U44)*$B$43&lt;'Datos Consumo '!$F$12,CostesNoGeneración!U41,'Datos Consumo '!$F$12*'Datos Consumo '!$F$11))</f>
        <v>24.074009159475906</v>
      </c>
      <c r="W44">
        <f ca="1">IF('Datos Consumo '!$F$12&lt;1,IF(CostesNoGeneración!$C24&lt;CostesNoGeneración!V41+Ingresos!W5,CostesNoGeneración!$C24-Ingresos!W5,CostesNoGeneración!V41),IF((Producción!V44)*$B$43&lt;'Datos Consumo '!$F$12,CostesNoGeneración!V41,'Datos Consumo '!$F$12*'Datos Consumo '!$F$11))</f>
        <v>23.910264604354353</v>
      </c>
      <c r="X44">
        <f ca="1">IF('Datos Consumo '!$F$12&lt;1,IF(CostesNoGeneración!$C24&lt;CostesNoGeneración!W41+Ingresos!X5,CostesNoGeneración!$C24-Ingresos!X5,CostesNoGeneración!W41),IF((Producción!W44)*$B$43&lt;'Datos Consumo '!$F$12,CostesNoGeneración!W41,'Datos Consumo '!$F$12*'Datos Consumo '!$F$11))</f>
        <v>23.747404269830465</v>
      </c>
      <c r="Y44">
        <f ca="1">IF('Datos Consumo '!$F$12&lt;1,IF(CostesNoGeneración!$C24&lt;CostesNoGeneración!X41+Ingresos!Y5,CostesNoGeneración!$C24-Ingresos!Y5,CostesNoGeneración!X41),IF((Producción!X44)*$B$43&lt;'Datos Consumo '!$F$12,CostesNoGeneración!X41,'Datos Consumo '!$F$12*'Datos Consumo '!$F$11))</f>
        <v>23.58542338111301</v>
      </c>
      <c r="Z44">
        <f ca="1">IF('Datos Consumo '!$F$12&lt;1,IF(CostesNoGeneración!$C24&lt;CostesNoGeneración!Y41+Ingresos!Z5,CostesNoGeneración!$C24-Ingresos!Z5,CostesNoGeneración!Y41),IF((Producción!Y44)*$B$43&lt;'Datos Consumo '!$F$12,CostesNoGeneración!Y41,'Datos Consumo '!$F$12*'Datos Consumo '!$F$11))</f>
        <v>23.42431718919461</v>
      </c>
      <c r="AA44">
        <f ca="1">IF('Datos Consumo '!$F$12&lt;1,IF(CostesNoGeneración!$C24&lt;CostesNoGeneración!Z41+Ingresos!AA5,CostesNoGeneración!$C24-Ingresos!AA5,CostesNoGeneración!Z41),IF((Producción!Z44)*$B$43&lt;'Datos Consumo '!$F$12,CostesNoGeneración!Z41,'Datos Consumo '!$F$12*'Datos Consumo '!$F$11))</f>
        <v>23.264080970712595</v>
      </c>
      <c r="AB44">
        <f ca="1">IF('Datos Consumo '!$F$12&lt;1,IF(CostesNoGeneración!$C24&lt;CostesNoGeneración!AA41+Ingresos!AB5,CostesNoGeneración!$C24-Ingresos!AB5,CostesNoGeneración!AA41),IF((Producción!AA44)*$B$43&lt;'Datos Consumo '!$F$12,CostesNoGeneración!AA41,'Datos Consumo '!$F$12*'Datos Consumo '!$F$11))</f>
        <v>23.10471002781037</v>
      </c>
      <c r="AC44">
        <f ca="1">IF('Datos Consumo '!$F$12&lt;1,IF(CostesNoGeneración!$C24&lt;CostesNoGeneración!AB41+Ingresos!AC5,CostesNoGeneración!$C24-Ingresos!AC5,CostesNoGeneración!AB41),IF((Producción!AB44)*$B$43&lt;'Datos Consumo '!$F$12,CostesNoGeneración!AB41,'Datos Consumo '!$F$12*'Datos Consumo '!$F$11))</f>
        <v>22.946199687999805</v>
      </c>
      <c r="AD44">
        <f ca="1">IF('Datos Consumo '!$F$12&lt;1,IF(CostesNoGeneración!$C24&lt;CostesNoGeneración!AC41+Ingresos!AD5,CostesNoGeneración!$C24-Ingresos!AD5,CostesNoGeneración!AC41),IF((Producción!AC44)*$B$43&lt;'Datos Consumo '!$F$12,CostesNoGeneración!AC41,'Datos Consumo '!$F$12*'Datos Consumo '!$F$11))</f>
        <v>22.788545304024236</v>
      </c>
      <c r="AE44">
        <f ca="1">IF('Datos Consumo '!$F$12&lt;1,IF(CostesNoGeneración!$C24&lt;CostesNoGeneración!AD41+Ingresos!AE5,CostesNoGeneración!$C24-Ingresos!AE5,CostesNoGeneración!AD41),IF((Producción!AD44)*$B$43&lt;'Datos Consumo '!$F$12,CostesNoGeneración!AD41,'Datos Consumo '!$F$12*'Datos Consumo '!$F$11))</f>
        <v>22.631742253722127</v>
      </c>
      <c r="AF44">
        <f ca="1">IF('Datos Consumo '!$F$12&lt;1,IF(CostesNoGeneración!$C24&lt;CostesNoGeneración!AE41+Ingresos!AF5,CostesNoGeneración!$C24-Ingresos!AF5,CostesNoGeneración!AE41),IF((Producción!AE44)*$B$43&lt;'Datos Consumo '!$F$12,CostesNoGeneración!AE41,'Datos Consumo '!$F$12*'Datos Consumo '!$F$11))</f>
        <v>22.475785939891654</v>
      </c>
      <c r="AG44">
        <f ca="1">IF('Datos Consumo '!$F$12&lt;1,IF(CostesNoGeneración!$C24&lt;CostesNoGeneración!AF41+Ingresos!AG5,CostesNoGeneración!$C24-Ingresos!AG5,CostesNoGeneración!AF41),IF((Producción!AF44)*$B$43&lt;'Datos Consumo '!$F$12,CostesNoGeneración!AF41,'Datos Consumo '!$F$12*'Datos Consumo '!$F$11))</f>
        <v>22.32067179015586</v>
      </c>
      <c r="AH44">
        <f ca="1">IF('Datos Consumo '!$F$12&lt;1,IF(CostesNoGeneración!$C24&lt;CostesNoGeneración!AG41+Ingresos!AH5,CostesNoGeneración!$C24-Ingresos!AH5,CostesNoGeneración!AG41),IF((Producción!AG44)*$B$43&lt;'Datos Consumo '!$F$12,CostesNoGeneración!AG41,'Datos Consumo '!$F$12*'Datos Consumo '!$F$11))</f>
        <v>22.166395256828636</v>
      </c>
    </row>
    <row r="45" spans="2:34">
      <c r="B45">
        <v>31</v>
      </c>
      <c r="C45" s="12" t="s">
        <v>6</v>
      </c>
      <c r="D45">
        <f ca="1">IF('Datos Consumo '!$F$12&lt;1,IF(CostesNoGeneración!$C25&lt;CostesNoGeneración!C42+Ingresos!D6,CostesNoGeneración!$C25-Ingresos!D6,CostesNoGeneración!C42),IF((Producción!C45)*$B$43&lt;'Datos Consumo '!$F$12,CostesNoGeneración!C42,'Datos Consumo '!$F$12*'Datos Consumo '!$F$11))</f>
        <v>36.059576340566039</v>
      </c>
      <c r="E45">
        <f ca="1">IF('Datos Consumo '!$F$12&lt;1,IF(CostesNoGeneración!$C25&lt;CostesNoGeneración!D42+Ingresos!E6,CostesNoGeneración!$C25-Ingresos!E6,CostesNoGeneración!D42),IF((Producción!D45)*$B$43&lt;'Datos Consumo '!$F$12,CostesNoGeneración!D42,'Datos Consumo '!$F$12*'Datos Consumo '!$F$11))</f>
        <v>35.836382364176039</v>
      </c>
      <c r="F45">
        <f ca="1">IF('Datos Consumo '!$F$12&lt;1,IF(CostesNoGeneración!$C25&lt;CostesNoGeneración!E42+Ingresos!F6,CostesNoGeneración!$C25-Ingresos!F6,CostesNoGeneración!E42),IF((Producción!E45)*$B$43&lt;'Datos Consumo '!$F$12,CostesNoGeneración!E42,'Datos Consumo '!$F$12*'Datos Consumo '!$F$11))</f>
        <v>35.614393635258551</v>
      </c>
      <c r="G45">
        <f ca="1">IF('Datos Consumo '!$F$12&lt;1,IF(CostesNoGeneración!$C25&lt;CostesNoGeneración!F42+Ingresos!G6,CostesNoGeneración!$C25-Ingresos!G6,CostesNoGeneración!F42),IF((Producción!F45)*$B$43&lt;'Datos Consumo '!$F$12,CostesNoGeneración!F42,'Datos Consumo '!$F$12*'Datos Consumo '!$F$11))</f>
        <v>35.393603645477206</v>
      </c>
      <c r="H45">
        <f ca="1">IF('Datos Consumo '!$F$12&lt;1,IF(CostesNoGeneración!$C25&lt;CostesNoGeneración!G42+Ingresos!H6,CostesNoGeneración!$C25-Ingresos!H6,CostesNoGeneración!G42),IF((Producción!G45)*$B$43&lt;'Datos Consumo '!$F$12,CostesNoGeneración!G42,'Datos Consumo '!$F$12*'Datos Consumo '!$F$11))</f>
        <v>35.174005921640678</v>
      </c>
      <c r="I45">
        <f ca="1">IF('Datos Consumo '!$F$12&lt;1,IF(CostesNoGeneración!$C25&lt;CostesNoGeneración!H42+Ingresos!I6,CostesNoGeneración!$C25-Ingresos!I6,CostesNoGeneración!H42),IF((Producción!H45)*$B$43&lt;'Datos Consumo '!$F$12,CostesNoGeneración!H42,'Datos Consumo '!$F$12*'Datos Consumo '!$F$11))</f>
        <v>34.95559402551288</v>
      </c>
      <c r="J45">
        <f ca="1">IF('Datos Consumo '!$F$12&lt;1,IF(CostesNoGeneración!$C25&lt;CostesNoGeneración!I42+Ingresos!J6,CostesNoGeneración!$C25-Ingresos!J6,CostesNoGeneración!I42),IF((Producción!I45)*$B$43&lt;'Datos Consumo '!$F$12,CostesNoGeneración!I42,'Datos Consumo '!$F$12*'Datos Consumo '!$F$11))</f>
        <v>34.738361553624166</v>
      </c>
      <c r="K45">
        <f ca="1">IF('Datos Consumo '!$F$12&lt;1,IF(CostesNoGeneración!$C25&lt;CostesNoGeneración!J42+Ingresos!K6,CostesNoGeneración!$C25-Ingresos!K6,CostesNoGeneración!J42),IF((Producción!J45)*$B$43&lt;'Datos Consumo '!$F$12,CostesNoGeneración!J42,'Datos Consumo '!$F$12*'Datos Consumo '!$F$11))</f>
        <v>34.522302137083649</v>
      </c>
      <c r="L45">
        <f ca="1">IF('Datos Consumo '!$F$12&lt;1,IF(CostesNoGeneración!$C25&lt;CostesNoGeneración!K42+Ingresos!L6,CostesNoGeneración!$C25-Ingresos!L6,CostesNoGeneración!K42),IF((Producción!K45)*$B$43&lt;'Datos Consumo '!$F$12,CostesNoGeneración!K42,'Datos Consumo '!$F$12*'Datos Consumo '!$F$11))</f>
        <v>34.307409441392458</v>
      </c>
      <c r="M45">
        <f ca="1">IF('Datos Consumo '!$F$12&lt;1,IF(CostesNoGeneración!$C25&lt;CostesNoGeneración!L42+Ingresos!M6,CostesNoGeneración!$C25-Ingresos!M6,CostesNoGeneración!L42),IF((Producción!L45)*$B$43&lt;'Datos Consumo '!$F$12,CostesNoGeneración!L42,'Datos Consumo '!$F$12*'Datos Consumo '!$F$11))</f>
        <v>34.093677166257997</v>
      </c>
      <c r="N45">
        <f ca="1">IF('Datos Consumo '!$F$12&lt;1,IF(CostesNoGeneración!$C25&lt;CostesNoGeneración!M42+Ingresos!N6,CostesNoGeneración!$C25-Ingresos!N6,CostesNoGeneración!M42),IF((Producción!M45)*$B$43&lt;'Datos Consumo '!$F$12,CostesNoGeneración!M42,'Datos Consumo '!$F$12*'Datos Consumo '!$F$11))</f>
        <v>33.881099045409265</v>
      </c>
      <c r="O45">
        <f ca="1">IF('Datos Consumo '!$F$12&lt;1,IF(CostesNoGeneración!$C25&lt;CostesNoGeneración!N42+Ingresos!O6,CostesNoGeneración!$C25-Ingresos!O6,CostesNoGeneración!N42),IF((Producción!N45)*$B$43&lt;'Datos Consumo '!$F$12,CostesNoGeneración!N42,'Datos Consumo '!$F$12*'Datos Consumo '!$F$11))</f>
        <v>33.66966884641311</v>
      </c>
      <c r="P45">
        <f ca="1">IF('Datos Consumo '!$F$12&lt;1,IF(CostesNoGeneración!$C25&lt;CostesNoGeneración!O42+Ingresos!P6,CostesNoGeneración!$C25-Ingresos!P6,CostesNoGeneración!O42),IF((Producción!O45)*$B$43&lt;'Datos Consumo '!$F$12,CostesNoGeneración!O42,'Datos Consumo '!$F$12*'Datos Consumo '!$F$11))</f>
        <v>33.459380370491537</v>
      </c>
      <c r="Q45">
        <f ca="1">IF('Datos Consumo '!$F$12&lt;1,IF(CostesNoGeneración!$C25&lt;CostesNoGeneración!P42+Ingresos!Q6,CostesNoGeneración!$C25-Ingresos!Q6,CostesNoGeneración!P42),IF((Producción!P45)*$B$43&lt;'Datos Consumo '!$F$12,CostesNoGeneración!P42,'Datos Consumo '!$F$12*'Datos Consumo '!$F$11))</f>
        <v>33.250227452339935</v>
      </c>
      <c r="R45">
        <f ca="1">IF('Datos Consumo '!$F$12&lt;1,IF(CostesNoGeneración!$C25&lt;CostesNoGeneración!Q42+Ingresos!R6,CostesNoGeneración!$C25-Ingresos!R6,CostesNoGeneración!Q42),IF((Producción!Q45)*$B$43&lt;'Datos Consumo '!$F$12,CostesNoGeneración!Q42,'Datos Consumo '!$F$12*'Datos Consumo '!$F$11))</f>
        <v>33.042203959946356</v>
      </c>
      <c r="S45">
        <f ca="1">IF('Datos Consumo '!$F$12&lt;1,IF(CostesNoGeneración!$C25&lt;CostesNoGeneración!R42+Ingresos!S6,CostesNoGeneración!$C25-Ingresos!S6,CostesNoGeneración!R42),IF((Producción!R45)*$B$43&lt;'Datos Consumo '!$F$12,CostesNoGeneración!R42,'Datos Consumo '!$F$12*'Datos Consumo '!$F$11))</f>
        <v>32.835303794411708</v>
      </c>
      <c r="T45">
        <f ca="1">IF('Datos Consumo '!$F$12&lt;1,IF(CostesNoGeneración!$C25&lt;CostesNoGeneración!S42+Ingresos!T6,CostesNoGeneración!$C25-Ingresos!T6,CostesNoGeneración!S42),IF((Producción!S45)*$B$43&lt;'Datos Consumo '!$F$12,CostesNoGeneración!S42,'Datos Consumo '!$F$12*'Datos Consumo '!$F$11))</f>
        <v>32.629520889770937</v>
      </c>
      <c r="U45">
        <f ca="1">IF('Datos Consumo '!$F$12&lt;1,IF(CostesNoGeneración!$C25&lt;CostesNoGeneración!T42+Ingresos!U6,CostesNoGeneración!$C25-Ingresos!U6,CostesNoGeneración!T42),IF((Producción!T45)*$B$43&lt;'Datos Consumo '!$F$12,CostesNoGeneración!T42,'Datos Consumo '!$F$12*'Datos Consumo '!$F$11))</f>
        <v>32.424849212815232</v>
      </c>
      <c r="V45">
        <f ca="1">IF('Datos Consumo '!$F$12&lt;1,IF(CostesNoGeneración!$C25&lt;CostesNoGeneración!U42+Ingresos!V6,CostesNoGeneración!$C25-Ingresos!V6,CostesNoGeneración!U42),IF((Producción!U45)*$B$43&lt;'Datos Consumo '!$F$12,CostesNoGeneración!U42,'Datos Consumo '!$F$12*'Datos Consumo '!$F$11))</f>
        <v>32.221282762915088</v>
      </c>
      <c r="W45">
        <f ca="1">IF('Datos Consumo '!$F$12&lt;1,IF(CostesNoGeneración!$C25&lt;CostesNoGeneración!V42+Ingresos!W6,CostesNoGeneración!$C25-Ingresos!W6,CostesNoGeneración!V42),IF((Producción!V45)*$B$43&lt;'Datos Consumo '!$F$12,CostesNoGeneración!V42,'Datos Consumo '!$F$12*'Datos Consumo '!$F$11))</f>
        <v>32.018815571844407</v>
      </c>
      <c r="X45">
        <f ca="1">IF('Datos Consumo '!$F$12&lt;1,IF(CostesNoGeneración!$C25&lt;CostesNoGeneración!W42+Ingresos!X6,CostesNoGeneración!$C25-Ingresos!X6,CostesNoGeneración!W42),IF((Producción!W45)*$B$43&lt;'Datos Consumo '!$F$12,CostesNoGeneración!W42,'Datos Consumo '!$F$12*'Datos Consumo '!$F$11))</f>
        <v>31.817441703605507</v>
      </c>
      <c r="Y45">
        <f ca="1">IF('Datos Consumo '!$F$12&lt;1,IF(CostesNoGeneración!$C25&lt;CostesNoGeneración!X42+Ingresos!Y6,CostesNoGeneración!$C25-Ingresos!Y6,CostesNoGeneración!X42),IF((Producción!X45)*$B$43&lt;'Datos Consumo '!$F$12,CostesNoGeneración!X42,'Datos Consumo '!$F$12*'Datos Consumo '!$F$11))</f>
        <v>31.617155254255092</v>
      </c>
      <c r="Z45">
        <f ca="1">IF('Datos Consumo '!$F$12&lt;1,IF(CostesNoGeneración!$C25&lt;CostesNoGeneración!Y42+Ingresos!Z6,CostesNoGeneración!$C25-Ingresos!Z6,CostesNoGeneración!Y42),IF((Producción!Y45)*$B$43&lt;'Datos Consumo '!$F$12,CostesNoGeneración!Y42,'Datos Consumo '!$F$12*'Datos Consumo '!$F$11))</f>
        <v>31.417950351731157</v>
      </c>
      <c r="AA45">
        <f ca="1">IF('Datos Consumo '!$F$12&lt;1,IF(CostesNoGeneración!$C25&lt;CostesNoGeneración!Z42+Ingresos!AA6,CostesNoGeneración!$C25-Ingresos!AA6,CostesNoGeneración!Z42),IF((Producción!Z45)*$B$43&lt;'Datos Consumo '!$F$12,CostesNoGeneración!Z42,'Datos Consumo '!$F$12*'Datos Consumo '!$F$11))</f>
        <v>31.219821155680872</v>
      </c>
      <c r="AB45">
        <f ca="1">IF('Datos Consumo '!$F$12&lt;1,IF(CostesNoGeneración!$C25&lt;CostesNoGeneración!AA42+Ingresos!AB6,CostesNoGeneración!$C25-Ingresos!AB6,CostesNoGeneración!AA42),IF((Producción!AA45)*$B$43&lt;'Datos Consumo '!$F$12,CostesNoGeneración!AA42,'Datos Consumo '!$F$12*'Datos Consumo '!$F$11))</f>
        <v>31.022761857289254</v>
      </c>
      <c r="AC45">
        <f ca="1">IF('Datos Consumo '!$F$12&lt;1,IF(CostesNoGeneración!$C25&lt;CostesNoGeneración!AB42+Ingresos!AC6,CostesNoGeneración!$C25-Ingresos!AC6,CostesNoGeneración!AB42),IF((Producción!AB45)*$B$43&lt;'Datos Consumo '!$F$12,CostesNoGeneración!AB42,'Datos Consumo '!$F$12*'Datos Consumo '!$F$11))</f>
        <v>30.826766679108943</v>
      </c>
      <c r="AD45">
        <f ca="1">IF('Datos Consumo '!$F$12&lt;1,IF(CostesNoGeneración!$C25&lt;CostesNoGeneración!AC42+Ingresos!AD6,CostesNoGeneración!$C25-Ingresos!AD6,CostesNoGeneración!AC42),IF((Producción!AC45)*$B$43&lt;'Datos Consumo '!$F$12,CostesNoGeneración!AC42,'Datos Consumo '!$F$12*'Datos Consumo '!$F$11))</f>
        <v>30.631829874890812</v>
      </c>
      <c r="AE45">
        <f ca="1">IF('Datos Consumo '!$F$12&lt;1,IF(CostesNoGeneración!$C25&lt;CostesNoGeneración!AD42+Ingresos!AE6,CostesNoGeneración!$C25-Ingresos!AE6,CostesNoGeneración!AD42),IF((Producción!AD45)*$B$43&lt;'Datos Consumo '!$F$12,CostesNoGeneración!AD42,'Datos Consumo '!$F$12*'Datos Consumo '!$F$11))</f>
        <v>30.437945729415461</v>
      </c>
      <c r="AF45">
        <f ca="1">IF('Datos Consumo '!$F$12&lt;1,IF(CostesNoGeneración!$C25&lt;CostesNoGeneración!AE42+Ingresos!AF6,CostesNoGeneración!$C25-Ingresos!AF6,CostesNoGeneración!AE42),IF((Producción!AE45)*$B$43&lt;'Datos Consumo '!$F$12,CostesNoGeneración!AE42,'Datos Consumo '!$F$12*'Datos Consumo '!$F$11))</f>
        <v>30.245108558325668</v>
      </c>
      <c r="AG45">
        <f ca="1">IF('Datos Consumo '!$F$12&lt;1,IF(CostesNoGeneración!$C25&lt;CostesNoGeneración!AF42+Ingresos!AG6,CostesNoGeneración!$C25-Ingresos!AG6,CostesNoGeneración!AF42),IF((Producción!AF45)*$B$43&lt;'Datos Consumo '!$F$12,CostesNoGeneración!AF42,'Datos Consumo '!$F$12*'Datos Consumo '!$F$11))</f>
        <v>30.053312707959773</v>
      </c>
      <c r="AH45">
        <f ca="1">IF('Datos Consumo '!$F$12&lt;1,IF(CostesNoGeneración!$C25&lt;CostesNoGeneración!AG42+Ingresos!AH6,CostesNoGeneración!$C25-Ingresos!AH6,CostesNoGeneración!AG42),IF((Producción!AG45)*$B$43&lt;'Datos Consumo '!$F$12,CostesNoGeneración!AG42,'Datos Consumo '!$F$12*'Datos Consumo '!$F$11))</f>
        <v>29.862552555185843</v>
      </c>
    </row>
    <row r="46" spans="2:34">
      <c r="B46">
        <v>30</v>
      </c>
      <c r="C46" s="12" t="s">
        <v>7</v>
      </c>
      <c r="D46">
        <f ca="1">IF('Datos Consumo '!$F$12&lt;1,IF(CostesNoGeneración!$C26&lt;CostesNoGeneración!C43+Ingresos!D7,CostesNoGeneración!$C26-Ingresos!D7,CostesNoGeneración!C43),IF((Producción!C46)*$B$43&lt;'Datos Consumo '!$F$12,CostesNoGeneración!C43,'Datos Consumo '!$F$12*'Datos Consumo '!$F$11))</f>
        <v>35.047561584539451</v>
      </c>
      <c r="E46">
        <f ca="1">IF('Datos Consumo '!$F$12&lt;1,IF(CostesNoGeneración!$C26&lt;CostesNoGeneración!D43+Ingresos!E7,CostesNoGeneración!$C26-Ingresos!E7,CostesNoGeneración!D43),IF((Producción!D46)*$B$43&lt;'Datos Consumo '!$F$12,CostesNoGeneración!D43,'Datos Consumo '!$F$12*'Datos Consumo '!$F$11))</f>
        <v>35.047561584539451</v>
      </c>
      <c r="F46">
        <f ca="1">IF('Datos Consumo '!$F$12&lt;1,IF(CostesNoGeneración!$C26&lt;CostesNoGeneración!E43+Ingresos!F7,CostesNoGeneración!$C26-Ingresos!F7,CostesNoGeneración!E43),IF((Producción!E46)*$B$43&lt;'Datos Consumo '!$F$12,CostesNoGeneración!E43,'Datos Consumo '!$F$12*'Datos Consumo '!$F$11))</f>
        <v>35.047561584539451</v>
      </c>
      <c r="G46">
        <f ca="1">IF('Datos Consumo '!$F$12&lt;1,IF(CostesNoGeneración!$C26&lt;CostesNoGeneración!F43+Ingresos!G7,CostesNoGeneración!$C26-Ingresos!G7,CostesNoGeneración!F43),IF((Producción!F46)*$B$43&lt;'Datos Consumo '!$F$12,CostesNoGeneración!F43,'Datos Consumo '!$F$12*'Datos Consumo '!$F$11))</f>
        <v>35.047561584539451</v>
      </c>
      <c r="H46">
        <f ca="1">IF('Datos Consumo '!$F$12&lt;1,IF(CostesNoGeneración!$C26&lt;CostesNoGeneración!G43+Ingresos!H7,CostesNoGeneración!$C26-Ingresos!H7,CostesNoGeneración!G43),IF((Producción!G46)*$B$43&lt;'Datos Consumo '!$F$12,CostesNoGeneración!G43,'Datos Consumo '!$F$12*'Datos Consumo '!$F$11))</f>
        <v>35.047561584539451</v>
      </c>
      <c r="I46">
        <f ca="1">IF('Datos Consumo '!$F$12&lt;1,IF(CostesNoGeneración!$C26&lt;CostesNoGeneración!H43+Ingresos!I7,CostesNoGeneración!$C26-Ingresos!I7,CostesNoGeneración!H43),IF((Producción!H46)*$B$43&lt;'Datos Consumo '!$F$12,CostesNoGeneración!H43,'Datos Consumo '!$F$12*'Datos Consumo '!$F$11))</f>
        <v>35.047561584539451</v>
      </c>
      <c r="J46">
        <f ca="1">IF('Datos Consumo '!$F$12&lt;1,IF(CostesNoGeneración!$C26&lt;CostesNoGeneración!I43+Ingresos!J7,CostesNoGeneración!$C26-Ingresos!J7,CostesNoGeneración!I43),IF((Producción!I46)*$B$43&lt;'Datos Consumo '!$F$12,CostesNoGeneración!I43,'Datos Consumo '!$F$12*'Datos Consumo '!$F$11))</f>
        <v>35.047561584539451</v>
      </c>
      <c r="K46">
        <f ca="1">IF('Datos Consumo '!$F$12&lt;1,IF(CostesNoGeneración!$C26&lt;CostesNoGeneración!J43+Ingresos!K7,CostesNoGeneración!$C26-Ingresos!K7,CostesNoGeneración!J43),IF((Producción!J46)*$B$43&lt;'Datos Consumo '!$F$12,CostesNoGeneración!J43,'Datos Consumo '!$F$12*'Datos Consumo '!$F$11))</f>
        <v>35.047561584539451</v>
      </c>
      <c r="L46">
        <f ca="1">IF('Datos Consumo '!$F$12&lt;1,IF(CostesNoGeneración!$C26&lt;CostesNoGeneración!K43+Ingresos!L7,CostesNoGeneración!$C26-Ingresos!L7,CostesNoGeneración!K43),IF((Producción!K46)*$B$43&lt;'Datos Consumo '!$F$12,CostesNoGeneración!K43,'Datos Consumo '!$F$12*'Datos Consumo '!$F$11))</f>
        <v>35.047561584539451</v>
      </c>
      <c r="M46">
        <f ca="1">IF('Datos Consumo '!$F$12&lt;1,IF(CostesNoGeneración!$C26&lt;CostesNoGeneración!L43+Ingresos!M7,CostesNoGeneración!$C26-Ingresos!M7,CostesNoGeneración!L43),IF((Producción!L46)*$B$43&lt;'Datos Consumo '!$F$12,CostesNoGeneración!L43,'Datos Consumo '!$F$12*'Datos Consumo '!$F$11))</f>
        <v>35.047561584539451</v>
      </c>
      <c r="N46">
        <f ca="1">IF('Datos Consumo '!$F$12&lt;1,IF(CostesNoGeneración!$C26&lt;CostesNoGeneración!M43+Ingresos!N7,CostesNoGeneración!$C26-Ingresos!N7,CostesNoGeneración!M43),IF((Producción!M46)*$B$43&lt;'Datos Consumo '!$F$12,CostesNoGeneración!M43,'Datos Consumo '!$F$12*'Datos Consumo '!$F$11))</f>
        <v>35.047561584539451</v>
      </c>
      <c r="O46">
        <f ca="1">IF('Datos Consumo '!$F$12&lt;1,IF(CostesNoGeneración!$C26&lt;CostesNoGeneración!N43+Ingresos!O7,CostesNoGeneración!$C26-Ingresos!O7,CostesNoGeneración!N43),IF((Producción!N46)*$B$43&lt;'Datos Consumo '!$F$12,CostesNoGeneración!N43,'Datos Consumo '!$F$12*'Datos Consumo '!$F$11))</f>
        <v>35.047561584539451</v>
      </c>
      <c r="P46">
        <f ca="1">IF('Datos Consumo '!$F$12&lt;1,IF(CostesNoGeneración!$C26&lt;CostesNoGeneración!O43+Ingresos!P7,CostesNoGeneración!$C26-Ingresos!P7,CostesNoGeneración!O43),IF((Producción!O46)*$B$43&lt;'Datos Consumo '!$F$12,CostesNoGeneración!O43,'Datos Consumo '!$F$12*'Datos Consumo '!$F$11))</f>
        <v>35.047561584539451</v>
      </c>
      <c r="Q46">
        <f ca="1">IF('Datos Consumo '!$F$12&lt;1,IF(CostesNoGeneración!$C26&lt;CostesNoGeneración!P43+Ingresos!Q7,CostesNoGeneración!$C26-Ingresos!Q7,CostesNoGeneración!P43),IF((Producción!P46)*$B$43&lt;'Datos Consumo '!$F$12,CostesNoGeneración!P43,'Datos Consumo '!$F$12*'Datos Consumo '!$F$11))</f>
        <v>35.047561584539451</v>
      </c>
      <c r="R46">
        <f ca="1">IF('Datos Consumo '!$F$12&lt;1,IF(CostesNoGeneración!$C26&lt;CostesNoGeneración!Q43+Ingresos!R7,CostesNoGeneración!$C26-Ingresos!R7,CostesNoGeneración!Q43),IF((Producción!Q46)*$B$43&lt;'Datos Consumo '!$F$12,CostesNoGeneración!Q43,'Datos Consumo '!$F$12*'Datos Consumo '!$F$11))</f>
        <v>35.047561584539451</v>
      </c>
      <c r="S46">
        <f ca="1">IF('Datos Consumo '!$F$12&lt;1,IF(CostesNoGeneración!$C26&lt;CostesNoGeneración!R43+Ingresos!S7,CostesNoGeneración!$C26-Ingresos!S7,CostesNoGeneración!R43),IF((Producción!R46)*$B$43&lt;'Datos Consumo '!$F$12,CostesNoGeneración!R43,'Datos Consumo '!$F$12*'Datos Consumo '!$F$11))</f>
        <v>35.047561584539451</v>
      </c>
      <c r="T46">
        <f ca="1">IF('Datos Consumo '!$F$12&lt;1,IF(CostesNoGeneración!$C26&lt;CostesNoGeneración!S43+Ingresos!T7,CostesNoGeneración!$C26-Ingresos!T7,CostesNoGeneración!S43),IF((Producción!S46)*$B$43&lt;'Datos Consumo '!$F$12,CostesNoGeneración!S43,'Datos Consumo '!$F$12*'Datos Consumo '!$F$11))</f>
        <v>35.047561584539451</v>
      </c>
      <c r="U46">
        <f ca="1">IF('Datos Consumo '!$F$12&lt;1,IF(CostesNoGeneración!$C26&lt;CostesNoGeneración!T43+Ingresos!U7,CostesNoGeneración!$C26-Ingresos!U7,CostesNoGeneración!T43),IF((Producción!T46)*$B$43&lt;'Datos Consumo '!$F$12,CostesNoGeneración!T43,'Datos Consumo '!$F$12*'Datos Consumo '!$F$11))</f>
        <v>35.047561584539451</v>
      </c>
      <c r="V46">
        <f ca="1">IF('Datos Consumo '!$F$12&lt;1,IF(CostesNoGeneración!$C26&lt;CostesNoGeneración!U43+Ingresos!V7,CostesNoGeneración!$C26-Ingresos!V7,CostesNoGeneración!U43),IF((Producción!U46)*$B$43&lt;'Datos Consumo '!$F$12,CostesNoGeneración!U43,'Datos Consumo '!$F$12*'Datos Consumo '!$F$11))</f>
        <v>35.047561584539451</v>
      </c>
      <c r="W46">
        <f ca="1">IF('Datos Consumo '!$F$12&lt;1,IF(CostesNoGeneración!$C26&lt;CostesNoGeneración!V43+Ingresos!W7,CostesNoGeneración!$C26-Ingresos!W7,CostesNoGeneración!V43),IF((Producción!V46)*$B$43&lt;'Datos Consumo '!$F$12,CostesNoGeneración!V43,'Datos Consumo '!$F$12*'Datos Consumo '!$F$11))</f>
        <v>35.047561584539451</v>
      </c>
      <c r="X46">
        <f ca="1">IF('Datos Consumo '!$F$12&lt;1,IF(CostesNoGeneración!$C26&lt;CostesNoGeneración!W43+Ingresos!X7,CostesNoGeneración!$C26-Ingresos!X7,CostesNoGeneración!W43),IF((Producción!W46)*$B$43&lt;'Datos Consumo '!$F$12,CostesNoGeneración!W43,'Datos Consumo '!$F$12*'Datos Consumo '!$F$11))</f>
        <v>35.047561584539451</v>
      </c>
      <c r="Y46">
        <f ca="1">IF('Datos Consumo '!$F$12&lt;1,IF(CostesNoGeneración!$C26&lt;CostesNoGeneración!X43+Ingresos!Y7,CostesNoGeneración!$C26-Ingresos!Y7,CostesNoGeneración!X43),IF((Producción!X46)*$B$43&lt;'Datos Consumo '!$F$12,CostesNoGeneración!X43,'Datos Consumo '!$F$12*'Datos Consumo '!$F$11))</f>
        <v>34.926545791455155</v>
      </c>
      <c r="Z46">
        <f ca="1">IF('Datos Consumo '!$F$12&lt;1,IF(CostesNoGeneración!$C26&lt;CostesNoGeneración!Y43+Ingresos!Z7,CostesNoGeneración!$C26-Ingresos!Z7,CostesNoGeneración!Y43),IF((Producción!Y46)*$B$43&lt;'Datos Consumo '!$F$12,CostesNoGeneración!Y43,'Datos Consumo '!$F$12*'Datos Consumo '!$F$11))</f>
        <v>34.712633764936008</v>
      </c>
      <c r="AA46">
        <f ca="1">IF('Datos Consumo '!$F$12&lt;1,IF(CostesNoGeneración!$C26&lt;CostesNoGeneración!Z43+Ingresos!AA7,CostesNoGeneración!$C26-Ingresos!AA7,CostesNoGeneración!Z43),IF((Producción!Z46)*$B$43&lt;'Datos Consumo '!$F$12,CostesNoGeneración!Z43,'Datos Consumo '!$F$12*'Datos Consumo '!$F$11))</f>
        <v>34.499876863360072</v>
      </c>
      <c r="AB46">
        <f ca="1">IF('Datos Consumo '!$F$12&lt;1,IF(CostesNoGeneración!$C26&lt;CostesNoGeneración!AA43+Ingresos!AB7,CostesNoGeneración!$C26-Ingresos!AB7,CostesNoGeneración!AA43),IF((Producción!AA46)*$B$43&lt;'Datos Consumo '!$F$12,CostesNoGeneración!AA43,'Datos Consumo '!$F$12*'Datos Consumo '!$F$11))</f>
        <v>34.288268849052642</v>
      </c>
      <c r="AC46">
        <f ca="1">IF('Datos Consumo '!$F$12&lt;1,IF(CostesNoGeneración!$C26&lt;CostesNoGeneración!AB43+Ingresos!AC7,CostesNoGeneración!$C26-Ingresos!AC7,CostesNoGeneración!AB43),IF((Producción!AB46)*$B$43&lt;'Datos Consumo '!$F$12,CostesNoGeneración!AB43,'Datos Consumo '!$F$12*'Datos Consumo '!$F$11))</f>
        <v>34.077803518022471</v>
      </c>
      <c r="AD46">
        <f ca="1">IF('Datos Consumo '!$F$12&lt;1,IF(CostesNoGeneración!$C26&lt;CostesNoGeneración!AC43+Ingresos!AD7,CostesNoGeneración!$C26-Ingresos!AD7,CostesNoGeneración!AC43),IF((Producción!AC46)*$B$43&lt;'Datos Consumo '!$F$12,CostesNoGeneración!AC43,'Datos Consumo '!$F$12*'Datos Consumo '!$F$11))</f>
        <v>33.868474699779867</v>
      </c>
      <c r="AE46">
        <f ca="1">IF('Datos Consumo '!$F$12&lt;1,IF(CostesNoGeneración!$C26&lt;CostesNoGeneración!AD43+Ingresos!AE7,CostesNoGeneración!$C26-Ingresos!AE7,CostesNoGeneración!AD43),IF((Producción!AD46)*$B$43&lt;'Datos Consumo '!$F$12,CostesNoGeneración!AD43,'Datos Consumo '!$F$12*'Datos Consumo '!$F$11))</f>
        <v>33.660276257155765</v>
      </c>
      <c r="AF46">
        <f ca="1">IF('Datos Consumo '!$F$12&lt;1,IF(CostesNoGeneración!$C26&lt;CostesNoGeneración!AE43+Ingresos!AF7,CostesNoGeneración!$C26-Ingresos!AF7,CostesNoGeneración!AE43),IF((Producción!AE46)*$B$43&lt;'Datos Consumo '!$F$12,CostesNoGeneración!AE43,'Datos Consumo '!$F$12*'Datos Consumo '!$F$11))</f>
        <v>33.453202086121848</v>
      </c>
      <c r="AG46">
        <f ca="1">IF('Datos Consumo '!$F$12&lt;1,IF(CostesNoGeneración!$C26&lt;CostesNoGeneración!AF43+Ingresos!AG7,CostesNoGeneración!$C26-Ingresos!AG7,CostesNoGeneración!AF43),IF((Producción!AF46)*$B$43&lt;'Datos Consumo '!$F$12,CostesNoGeneración!AF43,'Datos Consumo '!$F$12*'Datos Consumo '!$F$11))</f>
        <v>33.24724611561151</v>
      </c>
      <c r="AH46">
        <f ca="1">IF('Datos Consumo '!$F$12&lt;1,IF(CostesNoGeneración!$C26&lt;CostesNoGeneración!AG43+Ingresos!AH7,CostesNoGeneración!$C26-Ingresos!AH7,CostesNoGeneración!AG43),IF((Producción!AG46)*$B$43&lt;'Datos Consumo '!$F$12,CostesNoGeneración!AG43,'Datos Consumo '!$F$12*'Datos Consumo '!$F$11))</f>
        <v>33.042402307341916</v>
      </c>
    </row>
    <row r="47" spans="2:34">
      <c r="B47">
        <v>31</v>
      </c>
      <c r="C47" s="12" t="s">
        <v>8</v>
      </c>
      <c r="D47">
        <f ca="1">IF('Datos Consumo '!$F$12&lt;1,IF(CostesNoGeneración!$C27&lt;CostesNoGeneración!C44+Ingresos!D8,CostesNoGeneración!$C27-Ingresos!D8,CostesNoGeneración!C44),IF((Producción!C47)*$B$43&lt;'Datos Consumo '!$F$12,CostesNoGeneración!C44,'Datos Consumo '!$F$12*'Datos Consumo '!$F$11))</f>
        <v>35.777719117550703</v>
      </c>
      <c r="E47">
        <f ca="1">IF('Datos Consumo '!$F$12&lt;1,IF(CostesNoGeneración!$C27&lt;CostesNoGeneración!D44+Ingresos!E8,CostesNoGeneración!$C27-Ingresos!E8,CostesNoGeneración!D44),IF((Producción!D47)*$B$43&lt;'Datos Consumo '!$F$12,CostesNoGeneración!D44,'Datos Consumo '!$F$12*'Datos Consumo '!$F$11))</f>
        <v>35.777719117550703</v>
      </c>
      <c r="F47">
        <f ca="1">IF('Datos Consumo '!$F$12&lt;1,IF(CostesNoGeneración!$C27&lt;CostesNoGeneración!E44+Ingresos!F8,CostesNoGeneración!$C27-Ingresos!F8,CostesNoGeneración!E44),IF((Producción!E47)*$B$43&lt;'Datos Consumo '!$F$12,CostesNoGeneración!E44,'Datos Consumo '!$F$12*'Datos Consumo '!$F$11))</f>
        <v>35.777719117550703</v>
      </c>
      <c r="G47">
        <f ca="1">IF('Datos Consumo '!$F$12&lt;1,IF(CostesNoGeneración!$C27&lt;CostesNoGeneración!F44+Ingresos!G8,CostesNoGeneración!$C27-Ingresos!G8,CostesNoGeneración!F44),IF((Producción!F47)*$B$43&lt;'Datos Consumo '!$F$12,CostesNoGeneración!F44,'Datos Consumo '!$F$12*'Datos Consumo '!$F$11))</f>
        <v>35.777719117550703</v>
      </c>
      <c r="H47">
        <f ca="1">IF('Datos Consumo '!$F$12&lt;1,IF(CostesNoGeneración!$C27&lt;CostesNoGeneración!G44+Ingresos!H8,CostesNoGeneración!$C27-Ingresos!H8,CostesNoGeneración!G44),IF((Producción!G47)*$B$43&lt;'Datos Consumo '!$F$12,CostesNoGeneración!G44,'Datos Consumo '!$F$12*'Datos Consumo '!$F$11))</f>
        <v>35.777719117550703</v>
      </c>
      <c r="I47">
        <f ca="1">IF('Datos Consumo '!$F$12&lt;1,IF(CostesNoGeneración!$C27&lt;CostesNoGeneración!H44+Ingresos!I8,CostesNoGeneración!$C27-Ingresos!I8,CostesNoGeneración!H44),IF((Producción!H47)*$B$43&lt;'Datos Consumo '!$F$12,CostesNoGeneración!H44,'Datos Consumo '!$F$12*'Datos Consumo '!$F$11))</f>
        <v>35.777719117550703</v>
      </c>
      <c r="J47">
        <f ca="1">IF('Datos Consumo '!$F$12&lt;1,IF(CostesNoGeneración!$C27&lt;CostesNoGeneración!I44+Ingresos!J8,CostesNoGeneración!$C27-Ingresos!J8,CostesNoGeneración!I44),IF((Producción!I47)*$B$43&lt;'Datos Consumo '!$F$12,CostesNoGeneración!I44,'Datos Consumo '!$F$12*'Datos Consumo '!$F$11))</f>
        <v>35.777719117550703</v>
      </c>
      <c r="K47">
        <f ca="1">IF('Datos Consumo '!$F$12&lt;1,IF(CostesNoGeneración!$C27&lt;CostesNoGeneración!J44+Ingresos!K8,CostesNoGeneración!$C27-Ingresos!K8,CostesNoGeneración!J44),IF((Producción!J47)*$B$43&lt;'Datos Consumo '!$F$12,CostesNoGeneración!J44,'Datos Consumo '!$F$12*'Datos Consumo '!$F$11))</f>
        <v>35.777719117550703</v>
      </c>
      <c r="L47">
        <f ca="1">IF('Datos Consumo '!$F$12&lt;1,IF(CostesNoGeneración!$C27&lt;CostesNoGeneración!K44+Ingresos!L8,CostesNoGeneración!$C27-Ingresos!L8,CostesNoGeneración!K44),IF((Producción!K47)*$B$43&lt;'Datos Consumo '!$F$12,CostesNoGeneración!K44,'Datos Consumo '!$F$12*'Datos Consumo '!$F$11))</f>
        <v>35.777719117550703</v>
      </c>
      <c r="M47">
        <f ca="1">IF('Datos Consumo '!$F$12&lt;1,IF(CostesNoGeneración!$C27&lt;CostesNoGeneración!L44+Ingresos!M8,CostesNoGeneración!$C27-Ingresos!M8,CostesNoGeneración!L44),IF((Producción!L47)*$B$43&lt;'Datos Consumo '!$F$12,CostesNoGeneración!L44,'Datos Consumo '!$F$12*'Datos Consumo '!$F$11))</f>
        <v>35.777719117550703</v>
      </c>
      <c r="N47">
        <f ca="1">IF('Datos Consumo '!$F$12&lt;1,IF(CostesNoGeneración!$C27&lt;CostesNoGeneración!M44+Ingresos!N8,CostesNoGeneración!$C27-Ingresos!N8,CostesNoGeneración!M44),IF((Producción!M47)*$B$43&lt;'Datos Consumo '!$F$12,CostesNoGeneración!M44,'Datos Consumo '!$F$12*'Datos Consumo '!$F$11))</f>
        <v>35.777719117550703</v>
      </c>
      <c r="O47">
        <f ca="1">IF('Datos Consumo '!$F$12&lt;1,IF(CostesNoGeneración!$C27&lt;CostesNoGeneración!N44+Ingresos!O8,CostesNoGeneración!$C27-Ingresos!O8,CostesNoGeneración!N44),IF((Producción!N47)*$B$43&lt;'Datos Consumo '!$F$12,CostesNoGeneración!N44,'Datos Consumo '!$F$12*'Datos Consumo '!$F$11))</f>
        <v>35.777719117550703</v>
      </c>
      <c r="P47">
        <f ca="1">IF('Datos Consumo '!$F$12&lt;1,IF(CostesNoGeneración!$C27&lt;CostesNoGeneración!O44+Ingresos!P8,CostesNoGeneración!$C27-Ingresos!P8,CostesNoGeneración!O44),IF((Producción!O47)*$B$43&lt;'Datos Consumo '!$F$12,CostesNoGeneración!O44,'Datos Consumo '!$F$12*'Datos Consumo '!$F$11))</f>
        <v>35.777719117550703</v>
      </c>
      <c r="Q47">
        <f ca="1">IF('Datos Consumo '!$F$12&lt;1,IF(CostesNoGeneración!$C27&lt;CostesNoGeneración!P44+Ingresos!Q8,CostesNoGeneración!$C27-Ingresos!Q8,CostesNoGeneración!P44),IF((Producción!P47)*$B$43&lt;'Datos Consumo '!$F$12,CostesNoGeneración!P44,'Datos Consumo '!$F$12*'Datos Consumo '!$F$11))</f>
        <v>35.777719117550703</v>
      </c>
      <c r="R47">
        <f ca="1">IF('Datos Consumo '!$F$12&lt;1,IF(CostesNoGeneración!$C27&lt;CostesNoGeneración!Q44+Ingresos!R8,CostesNoGeneración!$C27-Ingresos!R8,CostesNoGeneración!Q44),IF((Producción!Q47)*$B$43&lt;'Datos Consumo '!$F$12,CostesNoGeneración!Q44,'Datos Consumo '!$F$12*'Datos Consumo '!$F$11))</f>
        <v>35.777719117550703</v>
      </c>
      <c r="S47">
        <f ca="1">IF('Datos Consumo '!$F$12&lt;1,IF(CostesNoGeneración!$C27&lt;CostesNoGeneración!R44+Ingresos!S8,CostesNoGeneración!$C27-Ingresos!S8,CostesNoGeneración!R44),IF((Producción!R47)*$B$43&lt;'Datos Consumo '!$F$12,CostesNoGeneración!R44,'Datos Consumo '!$F$12*'Datos Consumo '!$F$11))</f>
        <v>35.777719117550703</v>
      </c>
      <c r="T47">
        <f ca="1">IF('Datos Consumo '!$F$12&lt;1,IF(CostesNoGeneración!$C27&lt;CostesNoGeneración!S44+Ingresos!T8,CostesNoGeneración!$C27-Ingresos!T8,CostesNoGeneración!S44),IF((Producción!S47)*$B$43&lt;'Datos Consumo '!$F$12,CostesNoGeneración!S44,'Datos Consumo '!$F$12*'Datos Consumo '!$F$11))</f>
        <v>35.777719117550703</v>
      </c>
      <c r="U47">
        <f ca="1">IF('Datos Consumo '!$F$12&lt;1,IF(CostesNoGeneración!$C27&lt;CostesNoGeneración!T44+Ingresos!U8,CostesNoGeneración!$C27-Ingresos!U8,CostesNoGeneración!T44),IF((Producción!T47)*$B$43&lt;'Datos Consumo '!$F$12,CostesNoGeneración!T44,'Datos Consumo '!$F$12*'Datos Consumo '!$F$11))</f>
        <v>35.777719117550703</v>
      </c>
      <c r="V47">
        <f ca="1">IF('Datos Consumo '!$F$12&lt;1,IF(CostesNoGeneración!$C27&lt;CostesNoGeneración!U44+Ingresos!V8,CostesNoGeneración!$C27-Ingresos!V8,CostesNoGeneración!U44),IF((Producción!U47)*$B$43&lt;'Datos Consumo '!$F$12,CostesNoGeneración!U44,'Datos Consumo '!$F$12*'Datos Consumo '!$F$11))</f>
        <v>35.777719117550703</v>
      </c>
      <c r="W47">
        <f ca="1">IF('Datos Consumo '!$F$12&lt;1,IF(CostesNoGeneración!$C27&lt;CostesNoGeneración!V44+Ingresos!W8,CostesNoGeneración!$C27-Ingresos!W8,CostesNoGeneración!V44),IF((Producción!V47)*$B$43&lt;'Datos Consumo '!$F$12,CostesNoGeneración!V44,'Datos Consumo '!$F$12*'Datos Consumo '!$F$11))</f>
        <v>35.777719117550703</v>
      </c>
      <c r="X47">
        <f ca="1">IF('Datos Consumo '!$F$12&lt;1,IF(CostesNoGeneración!$C27&lt;CostesNoGeneración!W44+Ingresos!X8,CostesNoGeneración!$C27-Ingresos!X8,CostesNoGeneración!W44),IF((Producción!W47)*$B$43&lt;'Datos Consumo '!$F$12,CostesNoGeneración!W44,'Datos Consumo '!$F$12*'Datos Consumo '!$F$11))</f>
        <v>35.777719117550703</v>
      </c>
      <c r="Y47">
        <f ca="1">IF('Datos Consumo '!$F$12&lt;1,IF(CostesNoGeneración!$C27&lt;CostesNoGeneración!X44+Ingresos!Y8,CostesNoGeneración!$C27-Ingresos!Y8,CostesNoGeneración!X44),IF((Producción!X47)*$B$43&lt;'Datos Consumo '!$F$12,CostesNoGeneración!X44,'Datos Consumo '!$F$12*'Datos Consumo '!$F$11))</f>
        <v>35.777719117550703</v>
      </c>
      <c r="Z47">
        <f ca="1">IF('Datos Consumo '!$F$12&lt;1,IF(CostesNoGeneración!$C27&lt;CostesNoGeneración!Y44+Ingresos!Z8,CostesNoGeneración!$C27-Ingresos!Z8,CostesNoGeneración!Y44),IF((Producción!Y47)*$B$43&lt;'Datos Consumo '!$F$12,CostesNoGeneración!Y44,'Datos Consumo '!$F$12*'Datos Consumo '!$F$11))</f>
        <v>35.777719117550703</v>
      </c>
      <c r="AA47">
        <f ca="1">IF('Datos Consumo '!$F$12&lt;1,IF(CostesNoGeneración!$C27&lt;CostesNoGeneración!Z44+Ingresos!AA8,CostesNoGeneración!$C27-Ingresos!AA8,CostesNoGeneración!Z44),IF((Producción!Z47)*$B$43&lt;'Datos Consumo '!$F$12,CostesNoGeneración!Z44,'Datos Consumo '!$F$12*'Datos Consumo '!$F$11))</f>
        <v>35.777719117550703</v>
      </c>
      <c r="AB47">
        <f ca="1">IF('Datos Consumo '!$F$12&lt;1,IF(CostesNoGeneración!$C27&lt;CostesNoGeneración!AA44+Ingresos!AB8,CostesNoGeneración!$C27-Ingresos!AB8,CostesNoGeneración!AA44),IF((Producción!AA47)*$B$43&lt;'Datos Consumo '!$F$12,CostesNoGeneración!AA44,'Datos Consumo '!$F$12*'Datos Consumo '!$F$11))</f>
        <v>35.777719117550703</v>
      </c>
      <c r="AC47">
        <f ca="1">IF('Datos Consumo '!$F$12&lt;1,IF(CostesNoGeneración!$C27&lt;CostesNoGeneración!AB44+Ingresos!AC8,CostesNoGeneración!$C27-Ingresos!AC8,CostesNoGeneración!AB44),IF((Producción!AB47)*$B$43&lt;'Datos Consumo '!$F$12,CostesNoGeneración!AB44,'Datos Consumo '!$F$12*'Datos Consumo '!$F$11))</f>
        <v>35.777719117550703</v>
      </c>
      <c r="AD47">
        <f ca="1">IF('Datos Consumo '!$F$12&lt;1,IF(CostesNoGeneración!$C27&lt;CostesNoGeneración!AC44+Ingresos!AD8,CostesNoGeneración!$C27-Ingresos!AD8,CostesNoGeneración!AC44),IF((Producción!AC47)*$B$43&lt;'Datos Consumo '!$F$12,CostesNoGeneración!AC44,'Datos Consumo '!$F$12*'Datos Consumo '!$F$11))</f>
        <v>35.777719117550703</v>
      </c>
      <c r="AE47">
        <f ca="1">IF('Datos Consumo '!$F$12&lt;1,IF(CostesNoGeneración!$C27&lt;CostesNoGeneración!AD44+Ingresos!AE8,CostesNoGeneración!$C27-Ingresos!AE8,CostesNoGeneración!AD44),IF((Producción!AD47)*$B$43&lt;'Datos Consumo '!$F$12,CostesNoGeneración!AD44,'Datos Consumo '!$F$12*'Datos Consumo '!$F$11))</f>
        <v>35.777719117550703</v>
      </c>
      <c r="AF47">
        <f ca="1">IF('Datos Consumo '!$F$12&lt;1,IF(CostesNoGeneración!$C27&lt;CostesNoGeneración!AE44+Ingresos!AF8,CostesNoGeneración!$C27-Ingresos!AF8,CostesNoGeneración!AE44),IF((Producción!AE47)*$B$43&lt;'Datos Consumo '!$F$12,CostesNoGeneración!AE44,'Datos Consumo '!$F$12*'Datos Consumo '!$F$11))</f>
        <v>35.777719117550703</v>
      </c>
      <c r="AG47">
        <f ca="1">IF('Datos Consumo '!$F$12&lt;1,IF(CostesNoGeneración!$C27&lt;CostesNoGeneración!AF44+Ingresos!AG8,CostesNoGeneración!$C27-Ingresos!AG8,CostesNoGeneración!AF44),IF((Producción!AF47)*$B$43&lt;'Datos Consumo '!$F$12,CostesNoGeneración!AF44,'Datos Consumo '!$F$12*'Datos Consumo '!$F$11))</f>
        <v>35.777719117550703</v>
      </c>
      <c r="AH47">
        <f ca="1">IF('Datos Consumo '!$F$12&lt;1,IF(CostesNoGeneración!$C27&lt;CostesNoGeneración!AG44+Ingresos!AH8,CostesNoGeneración!$C27-Ingresos!AH8,CostesNoGeneración!AG44),IF((Producción!AG47)*$B$43&lt;'Datos Consumo '!$F$12,CostesNoGeneración!AG44,'Datos Consumo '!$F$12*'Datos Consumo '!$F$11))</f>
        <v>35.777719117550703</v>
      </c>
    </row>
    <row r="48" spans="2:34">
      <c r="B48">
        <v>30</v>
      </c>
      <c r="C48" s="12" t="s">
        <v>9</v>
      </c>
      <c r="D48">
        <f ca="1">IF('Datos Consumo '!$F$12&lt;1,IF(CostesNoGeneración!$C28&lt;CostesNoGeneración!C45+Ingresos!D9,CostesNoGeneración!$C28-Ingresos!D9,CostesNoGeneración!C45),IF((Producción!C48)*$B$43&lt;'Datos Consumo '!$F$12,CostesNoGeneración!C45,'Datos Consumo '!$F$12*'Datos Consumo '!$F$11))</f>
        <v>36.507876650561933</v>
      </c>
      <c r="E48">
        <f ca="1">IF('Datos Consumo '!$F$12&lt;1,IF(CostesNoGeneración!$C28&lt;CostesNoGeneración!D45+Ingresos!E9,CostesNoGeneración!$C28-Ingresos!E9,CostesNoGeneración!D45),IF((Producción!D48)*$B$43&lt;'Datos Consumo '!$F$12,CostesNoGeneración!D45,'Datos Consumo '!$F$12*'Datos Consumo '!$F$11))</f>
        <v>36.507876650561933</v>
      </c>
      <c r="F48">
        <f ca="1">IF('Datos Consumo '!$F$12&lt;1,IF(CostesNoGeneración!$C28&lt;CostesNoGeneración!E45+Ingresos!F9,CostesNoGeneración!$C28-Ingresos!F9,CostesNoGeneración!E45),IF((Producción!E48)*$B$43&lt;'Datos Consumo '!$F$12,CostesNoGeneración!E45,'Datos Consumo '!$F$12*'Datos Consumo '!$F$11))</f>
        <v>36.507876650561933</v>
      </c>
      <c r="G48">
        <f ca="1">IF('Datos Consumo '!$F$12&lt;1,IF(CostesNoGeneración!$C28&lt;CostesNoGeneración!F45+Ingresos!G9,CostesNoGeneración!$C28-Ingresos!G9,CostesNoGeneración!F45),IF((Producción!F48)*$B$43&lt;'Datos Consumo '!$F$12,CostesNoGeneración!F45,'Datos Consumo '!$F$12*'Datos Consumo '!$F$11))</f>
        <v>36.507876650561933</v>
      </c>
      <c r="H48">
        <f ca="1">IF('Datos Consumo '!$F$12&lt;1,IF(CostesNoGeneración!$C28&lt;CostesNoGeneración!G45+Ingresos!H9,CostesNoGeneración!$C28-Ingresos!H9,CostesNoGeneración!G45),IF((Producción!G48)*$B$43&lt;'Datos Consumo '!$F$12,CostesNoGeneración!G45,'Datos Consumo '!$F$12*'Datos Consumo '!$F$11))</f>
        <v>36.507876650561933</v>
      </c>
      <c r="I48">
        <f ca="1">IF('Datos Consumo '!$F$12&lt;1,IF(CostesNoGeneración!$C28&lt;CostesNoGeneración!H45+Ingresos!I9,CostesNoGeneración!$C28-Ingresos!I9,CostesNoGeneración!H45),IF((Producción!H48)*$B$43&lt;'Datos Consumo '!$F$12,CostesNoGeneración!H45,'Datos Consumo '!$F$12*'Datos Consumo '!$F$11))</f>
        <v>36.507876650561933</v>
      </c>
      <c r="J48">
        <f ca="1">IF('Datos Consumo '!$F$12&lt;1,IF(CostesNoGeneración!$C28&lt;CostesNoGeneración!I45+Ingresos!J9,CostesNoGeneración!$C28-Ingresos!J9,CostesNoGeneración!I45),IF((Producción!I48)*$B$43&lt;'Datos Consumo '!$F$12,CostesNoGeneración!I45,'Datos Consumo '!$F$12*'Datos Consumo '!$F$11))</f>
        <v>36.507876650561933</v>
      </c>
      <c r="K48">
        <f ca="1">IF('Datos Consumo '!$F$12&lt;1,IF(CostesNoGeneración!$C28&lt;CostesNoGeneración!J45+Ingresos!K9,CostesNoGeneración!$C28-Ingresos!K9,CostesNoGeneración!J45),IF((Producción!J48)*$B$43&lt;'Datos Consumo '!$F$12,CostesNoGeneración!J45,'Datos Consumo '!$F$12*'Datos Consumo '!$F$11))</f>
        <v>36.507876650561933</v>
      </c>
      <c r="L48">
        <f ca="1">IF('Datos Consumo '!$F$12&lt;1,IF(CostesNoGeneración!$C28&lt;CostesNoGeneración!K45+Ingresos!L9,CostesNoGeneración!$C28-Ingresos!L9,CostesNoGeneración!K45),IF((Producción!K48)*$B$43&lt;'Datos Consumo '!$F$12,CostesNoGeneración!K45,'Datos Consumo '!$F$12*'Datos Consumo '!$F$11))</f>
        <v>36.507876650561933</v>
      </c>
      <c r="M48">
        <f ca="1">IF('Datos Consumo '!$F$12&lt;1,IF(CostesNoGeneración!$C28&lt;CostesNoGeneración!L45+Ingresos!M9,CostesNoGeneración!$C28-Ingresos!M9,CostesNoGeneración!L45),IF((Producción!L48)*$B$43&lt;'Datos Consumo '!$F$12,CostesNoGeneración!L45,'Datos Consumo '!$F$12*'Datos Consumo '!$F$11))</f>
        <v>36.507876650561933</v>
      </c>
      <c r="N48">
        <f ca="1">IF('Datos Consumo '!$F$12&lt;1,IF(CostesNoGeneración!$C28&lt;CostesNoGeneración!M45+Ingresos!N9,CostesNoGeneración!$C28-Ingresos!N9,CostesNoGeneración!M45),IF((Producción!M48)*$B$43&lt;'Datos Consumo '!$F$12,CostesNoGeneración!M45,'Datos Consumo '!$F$12*'Datos Consumo '!$F$11))</f>
        <v>36.507876650561933</v>
      </c>
      <c r="O48">
        <f ca="1">IF('Datos Consumo '!$F$12&lt;1,IF(CostesNoGeneración!$C28&lt;CostesNoGeneración!N45+Ingresos!O9,CostesNoGeneración!$C28-Ingresos!O9,CostesNoGeneración!N45),IF((Producción!N48)*$B$43&lt;'Datos Consumo '!$F$12,CostesNoGeneración!N45,'Datos Consumo '!$F$12*'Datos Consumo '!$F$11))</f>
        <v>36.507876650561933</v>
      </c>
      <c r="P48">
        <f ca="1">IF('Datos Consumo '!$F$12&lt;1,IF(CostesNoGeneración!$C28&lt;CostesNoGeneración!O45+Ingresos!P9,CostesNoGeneración!$C28-Ingresos!P9,CostesNoGeneración!O45),IF((Producción!O48)*$B$43&lt;'Datos Consumo '!$F$12,CostesNoGeneración!O45,'Datos Consumo '!$F$12*'Datos Consumo '!$F$11))</f>
        <v>36.507876650561933</v>
      </c>
      <c r="Q48">
        <f ca="1">IF('Datos Consumo '!$F$12&lt;1,IF(CostesNoGeneración!$C28&lt;CostesNoGeneración!P45+Ingresos!Q9,CostesNoGeneración!$C28-Ingresos!Q9,CostesNoGeneración!P45),IF((Producción!P48)*$B$43&lt;'Datos Consumo '!$F$12,CostesNoGeneración!P45,'Datos Consumo '!$F$12*'Datos Consumo '!$F$11))</f>
        <v>36.507876650561933</v>
      </c>
      <c r="R48">
        <f ca="1">IF('Datos Consumo '!$F$12&lt;1,IF(CostesNoGeneración!$C28&lt;CostesNoGeneración!Q45+Ingresos!R9,CostesNoGeneración!$C28-Ingresos!R9,CostesNoGeneración!Q45),IF((Producción!Q48)*$B$43&lt;'Datos Consumo '!$F$12,CostesNoGeneración!Q45,'Datos Consumo '!$F$12*'Datos Consumo '!$F$11))</f>
        <v>36.507876650561933</v>
      </c>
      <c r="S48">
        <f ca="1">IF('Datos Consumo '!$F$12&lt;1,IF(CostesNoGeneración!$C28&lt;CostesNoGeneración!R45+Ingresos!S9,CostesNoGeneración!$C28-Ingresos!S9,CostesNoGeneración!R45),IF((Producción!R48)*$B$43&lt;'Datos Consumo '!$F$12,CostesNoGeneración!R45,'Datos Consumo '!$F$12*'Datos Consumo '!$F$11))</f>
        <v>36.507876650561933</v>
      </c>
      <c r="T48">
        <f ca="1">IF('Datos Consumo '!$F$12&lt;1,IF(CostesNoGeneración!$C28&lt;CostesNoGeneración!S45+Ingresos!T9,CostesNoGeneración!$C28-Ingresos!T9,CostesNoGeneración!S45),IF((Producción!S48)*$B$43&lt;'Datos Consumo '!$F$12,CostesNoGeneración!S45,'Datos Consumo '!$F$12*'Datos Consumo '!$F$11))</f>
        <v>36.507876650561933</v>
      </c>
      <c r="U48">
        <f ca="1">IF('Datos Consumo '!$F$12&lt;1,IF(CostesNoGeneración!$C28&lt;CostesNoGeneración!T45+Ingresos!U9,CostesNoGeneración!$C28-Ingresos!U9,CostesNoGeneración!T45),IF((Producción!T48)*$B$43&lt;'Datos Consumo '!$F$12,CostesNoGeneración!T45,'Datos Consumo '!$F$12*'Datos Consumo '!$F$11))</f>
        <v>36.507876650561933</v>
      </c>
      <c r="V48">
        <f ca="1">IF('Datos Consumo '!$F$12&lt;1,IF(CostesNoGeneración!$C28&lt;CostesNoGeneración!U45+Ingresos!V9,CostesNoGeneración!$C28-Ingresos!V9,CostesNoGeneración!U45),IF((Producción!U48)*$B$43&lt;'Datos Consumo '!$F$12,CostesNoGeneración!U45,'Datos Consumo '!$F$12*'Datos Consumo '!$F$11))</f>
        <v>36.507876650561933</v>
      </c>
      <c r="W48">
        <f ca="1">IF('Datos Consumo '!$F$12&lt;1,IF(CostesNoGeneración!$C28&lt;CostesNoGeneración!V45+Ingresos!W9,CostesNoGeneración!$C28-Ingresos!W9,CostesNoGeneración!V45),IF((Producción!V48)*$B$43&lt;'Datos Consumo '!$F$12,CostesNoGeneración!V45,'Datos Consumo '!$F$12*'Datos Consumo '!$F$11))</f>
        <v>36.507876650561933</v>
      </c>
      <c r="X48">
        <f ca="1">IF('Datos Consumo '!$F$12&lt;1,IF(CostesNoGeneración!$C28&lt;CostesNoGeneración!W45+Ingresos!X9,CostesNoGeneración!$C28-Ingresos!X9,CostesNoGeneración!W45),IF((Producción!W48)*$B$43&lt;'Datos Consumo '!$F$12,CostesNoGeneración!W45,'Datos Consumo '!$F$12*'Datos Consumo '!$F$11))</f>
        <v>36.507876650561933</v>
      </c>
      <c r="Y48">
        <f ca="1">IF('Datos Consumo '!$F$12&lt;1,IF(CostesNoGeneración!$C28&lt;CostesNoGeneración!X45+Ingresos!Y9,CostesNoGeneración!$C28-Ingresos!Y9,CostesNoGeneración!X45),IF((Producción!X48)*$B$43&lt;'Datos Consumo '!$F$12,CostesNoGeneración!X45,'Datos Consumo '!$F$12*'Datos Consumo '!$F$11))</f>
        <v>36.507876650561933</v>
      </c>
      <c r="Z48">
        <f ca="1">IF('Datos Consumo '!$F$12&lt;1,IF(CostesNoGeneración!$C28&lt;CostesNoGeneración!Y45+Ingresos!Z9,CostesNoGeneración!$C28-Ingresos!Z9,CostesNoGeneración!Y45),IF((Producción!Y48)*$B$43&lt;'Datos Consumo '!$F$12,CostesNoGeneración!Y45,'Datos Consumo '!$F$12*'Datos Consumo '!$F$11))</f>
        <v>36.507876650561933</v>
      </c>
      <c r="AA48">
        <f ca="1">IF('Datos Consumo '!$F$12&lt;1,IF(CostesNoGeneración!$C28&lt;CostesNoGeneración!Z45+Ingresos!AA9,CostesNoGeneración!$C28-Ingresos!AA9,CostesNoGeneración!Z45),IF((Producción!Z48)*$B$43&lt;'Datos Consumo '!$F$12,CostesNoGeneración!Z45,'Datos Consumo '!$F$12*'Datos Consumo '!$F$11))</f>
        <v>36.507876650561933</v>
      </c>
      <c r="AB48">
        <f ca="1">IF('Datos Consumo '!$F$12&lt;1,IF(CostesNoGeneración!$C28&lt;CostesNoGeneración!AA45+Ingresos!AB9,CostesNoGeneración!$C28-Ingresos!AB9,CostesNoGeneración!AA45),IF((Producción!AA48)*$B$43&lt;'Datos Consumo '!$F$12,CostesNoGeneración!AA45,'Datos Consumo '!$F$12*'Datos Consumo '!$F$11))</f>
        <v>36.507876650561933</v>
      </c>
      <c r="AC48">
        <f ca="1">IF('Datos Consumo '!$F$12&lt;1,IF(CostesNoGeneración!$C28&lt;CostesNoGeneración!AB45+Ingresos!AC9,CostesNoGeneración!$C28-Ingresos!AC9,CostesNoGeneración!AB45),IF((Producción!AB48)*$B$43&lt;'Datos Consumo '!$F$12,CostesNoGeneración!AB45,'Datos Consumo '!$F$12*'Datos Consumo '!$F$11))</f>
        <v>36.507876650561933</v>
      </c>
      <c r="AD48">
        <f ca="1">IF('Datos Consumo '!$F$12&lt;1,IF(CostesNoGeneración!$C28&lt;CostesNoGeneración!AC45+Ingresos!AD9,CostesNoGeneración!$C28-Ingresos!AD9,CostesNoGeneración!AC45),IF((Producción!AC48)*$B$43&lt;'Datos Consumo '!$F$12,CostesNoGeneración!AC45,'Datos Consumo '!$F$12*'Datos Consumo '!$F$11))</f>
        <v>36.507876650561933</v>
      </c>
      <c r="AE48">
        <f ca="1">IF('Datos Consumo '!$F$12&lt;1,IF(CostesNoGeneración!$C28&lt;CostesNoGeneración!AD45+Ingresos!AE9,CostesNoGeneración!$C28-Ingresos!AE9,CostesNoGeneración!AD45),IF((Producción!AD48)*$B$43&lt;'Datos Consumo '!$F$12,CostesNoGeneración!AD45,'Datos Consumo '!$F$12*'Datos Consumo '!$F$11))</f>
        <v>36.507876650561933</v>
      </c>
      <c r="AF48">
        <f ca="1">IF('Datos Consumo '!$F$12&lt;1,IF(CostesNoGeneración!$C28&lt;CostesNoGeneración!AE45+Ingresos!AF9,CostesNoGeneración!$C28-Ingresos!AF9,CostesNoGeneración!AE45),IF((Producción!AE48)*$B$43&lt;'Datos Consumo '!$F$12,CostesNoGeneración!AE45,'Datos Consumo '!$F$12*'Datos Consumo '!$F$11))</f>
        <v>36.507876650561933</v>
      </c>
      <c r="AG48">
        <f ca="1">IF('Datos Consumo '!$F$12&lt;1,IF(CostesNoGeneración!$C28&lt;CostesNoGeneración!AF45+Ingresos!AG9,CostesNoGeneración!$C28-Ingresos!AG9,CostesNoGeneración!AF45),IF((Producción!AF48)*$B$43&lt;'Datos Consumo '!$F$12,CostesNoGeneración!AF45,'Datos Consumo '!$F$12*'Datos Consumo '!$F$11))</f>
        <v>36.507876650561933</v>
      </c>
      <c r="AH48">
        <f ca="1">IF('Datos Consumo '!$F$12&lt;1,IF(CostesNoGeneración!$C28&lt;CostesNoGeneración!AG45+Ingresos!AH9,CostesNoGeneración!$C28-Ingresos!AH9,CostesNoGeneración!AG45),IF((Producción!AG48)*$B$43&lt;'Datos Consumo '!$F$12,CostesNoGeneración!AG45,'Datos Consumo '!$F$12*'Datos Consumo '!$F$11))</f>
        <v>36.507876650561933</v>
      </c>
    </row>
    <row r="49" spans="2:34">
      <c r="B49">
        <v>31</v>
      </c>
      <c r="C49" s="12" t="s">
        <v>10</v>
      </c>
      <c r="D49">
        <f ca="1">IF('Datos Consumo '!$F$12&lt;1,IF(CostesNoGeneración!$C29&lt;CostesNoGeneración!C46+Ingresos!D10,CostesNoGeneración!$C29-Ingresos!D10,CostesNoGeneración!C46),IF((Producción!C49)*$B$43&lt;'Datos Consumo '!$F$12,CostesNoGeneración!C46,'Datos Consumo '!$F$12*'Datos Consumo '!$F$11))</f>
        <v>44.720867255094348</v>
      </c>
      <c r="E49">
        <f ca="1">IF('Datos Consumo '!$F$12&lt;1,IF(CostesNoGeneración!$C29&lt;CostesNoGeneración!D46+Ingresos!E10,CostesNoGeneración!$C29-Ingresos!E10,CostesNoGeneración!D46),IF((Producción!D49)*$B$43&lt;'Datos Consumo '!$F$12,CostesNoGeneración!D46,'Datos Consumo '!$F$12*'Datos Consumo '!$F$11))</f>
        <v>44.446684194558344</v>
      </c>
      <c r="F49">
        <f ca="1">IF('Datos Consumo '!$F$12&lt;1,IF(CostesNoGeneración!$C29&lt;CostesNoGeneración!E46+Ingresos!F10,CostesNoGeneración!$C29-Ingresos!F10,CostesNoGeneración!E46),IF((Producción!E49)*$B$43&lt;'Datos Consumo '!$F$12,CostesNoGeneración!E46,'Datos Consumo '!$F$12*'Datos Consumo '!$F$11))</f>
        <v>44.17398172254925</v>
      </c>
      <c r="G49">
        <f ca="1">IF('Datos Consumo '!$F$12&lt;1,IF(CostesNoGeneración!$C29&lt;CostesNoGeneración!F46+Ingresos!G10,CostesNoGeneración!$C29-Ingresos!G10,CostesNoGeneración!F46),IF((Producción!F49)*$B$43&lt;'Datos Consumo '!$F$12,CostesNoGeneración!F46,'Datos Consumo '!$F$12*'Datos Consumo '!$F$11))</f>
        <v>43.902751843888986</v>
      </c>
      <c r="H49">
        <f ca="1">IF('Datos Consumo '!$F$12&lt;1,IF(CostesNoGeneración!$C29&lt;CostesNoGeneración!G46+Ingresos!H10,CostesNoGeneración!$C29-Ingresos!H10,CostesNoGeneración!G46),IF((Producción!G49)*$B$43&lt;'Datos Consumo '!$F$12,CostesNoGeneración!G46,'Datos Consumo '!$F$12*'Datos Consumo '!$F$11))</f>
        <v>43.632986606573496</v>
      </c>
      <c r="I49">
        <f ca="1">IF('Datos Consumo '!$F$12&lt;1,IF(CostesNoGeneración!$C29&lt;CostesNoGeneración!H46+Ingresos!I10,CostesNoGeneración!$C29-Ingresos!I10,CostesNoGeneración!H46),IF((Producción!H49)*$B$43&lt;'Datos Consumo '!$F$12,CostesNoGeneración!H46,'Datos Consumo '!$F$12*'Datos Consumo '!$F$11))</f>
        <v>43.364678101539511</v>
      </c>
      <c r="J49">
        <f ca="1">IF('Datos Consumo '!$F$12&lt;1,IF(CostesNoGeneración!$C29&lt;CostesNoGeneración!I46+Ingresos!J10,CostesNoGeneración!$C29-Ingresos!J10,CostesNoGeneración!I46),IF((Producción!I49)*$B$43&lt;'Datos Consumo '!$F$12,CostesNoGeneración!I46,'Datos Consumo '!$F$12*'Datos Consumo '!$F$11))</f>
        <v>43.097818462432713</v>
      </c>
      <c r="K49">
        <f ca="1">IF('Datos Consumo '!$F$12&lt;1,IF(CostesNoGeneración!$C29&lt;CostesNoGeneración!J46+Ingresos!K10,CostesNoGeneración!$C29-Ingresos!K10,CostesNoGeneración!J46),IF((Producción!J49)*$B$43&lt;'Datos Consumo '!$F$12,CostesNoGeneración!J46,'Datos Consumo '!$F$12*'Datos Consumo '!$F$11))</f>
        <v>42.832399865377084</v>
      </c>
      <c r="L49">
        <f ca="1">IF('Datos Consumo '!$F$12&lt;1,IF(CostesNoGeneración!$C29&lt;CostesNoGeneración!K46+Ingresos!L10,CostesNoGeneración!$C29-Ingresos!L10,CostesNoGeneración!K46),IF((Producción!K49)*$B$43&lt;'Datos Consumo '!$F$12,CostesNoGeneración!K46,'Datos Consumo '!$F$12*'Datos Consumo '!$F$11))</f>
        <v>42.568414528745556</v>
      </c>
      <c r="M49">
        <f ca="1">IF('Datos Consumo '!$F$12&lt;1,IF(CostesNoGeneración!$C29&lt;CostesNoGeneración!L46+Ingresos!M10,CostesNoGeneración!$C29-Ingresos!M10,CostesNoGeneración!L46),IF((Producción!L49)*$B$43&lt;'Datos Consumo '!$F$12,CostesNoGeneración!L46,'Datos Consumo '!$F$12*'Datos Consumo '!$F$11))</f>
        <v>42.30585471293184</v>
      </c>
      <c r="N49">
        <f ca="1">IF('Datos Consumo '!$F$12&lt;1,IF(CostesNoGeneración!$C29&lt;CostesNoGeneración!M46+Ingresos!N10,CostesNoGeneración!$C29-Ingresos!N10,CostesNoGeneración!M46),IF((Producción!M49)*$B$43&lt;'Datos Consumo '!$F$12,CostesNoGeneración!M46,'Datos Consumo '!$F$12*'Datos Consumo '!$F$11))</f>
        <v>42.044712720123506</v>
      </c>
      <c r="O49">
        <f ca="1">IF('Datos Consumo '!$F$12&lt;1,IF(CostesNoGeneración!$C29&lt;CostesNoGeneración!N46+Ingresos!O10,CostesNoGeneración!$C29-Ingresos!O10,CostesNoGeneración!N46),IF((Producción!N49)*$B$43&lt;'Datos Consumo '!$F$12,CostesNoGeneración!N46,'Datos Consumo '!$F$12*'Datos Consumo '!$F$11))</f>
        <v>41.784980894076348</v>
      </c>
      <c r="P49">
        <f ca="1">IF('Datos Consumo '!$F$12&lt;1,IF(CostesNoGeneración!$C29&lt;CostesNoGeneración!O46+Ingresos!P10,CostesNoGeneración!$C29-Ingresos!P10,CostesNoGeneración!O46),IF((Producción!O49)*$B$43&lt;'Datos Consumo '!$F$12,CostesNoGeneración!O46,'Datos Consumo '!$F$12*'Datos Consumo '!$F$11))</f>
        <v>41.526651619889854</v>
      </c>
      <c r="Q49">
        <f ca="1">IF('Datos Consumo '!$F$12&lt;1,IF(CostesNoGeneración!$C29&lt;CostesNoGeneración!P46+Ingresos!Q10,CostesNoGeneración!$C29-Ingresos!Q10,CostesNoGeneración!P46),IF((Producción!P49)*$B$43&lt;'Datos Consumo '!$F$12,CostesNoGeneración!P46,'Datos Consumo '!$F$12*'Datos Consumo '!$F$11))</f>
        <v>41.269717323783951</v>
      </c>
      <c r="R49">
        <f ca="1">IF('Datos Consumo '!$F$12&lt;1,IF(CostesNoGeneración!$C29&lt;CostesNoGeneración!Q46+Ingresos!R10,CostesNoGeneración!$C29-Ingresos!R10,CostesNoGeneración!Q46),IF((Producción!Q49)*$B$43&lt;'Datos Consumo '!$F$12,CostesNoGeneración!Q46,'Datos Consumo '!$F$12*'Datos Consumo '!$F$11))</f>
        <v>41.014170472877026</v>
      </c>
      <c r="S49">
        <f ca="1">IF('Datos Consumo '!$F$12&lt;1,IF(CostesNoGeneración!$C29&lt;CostesNoGeneración!R46+Ingresos!S10,CostesNoGeneración!$C29-Ingresos!S10,CostesNoGeneración!R46),IF((Producción!R49)*$B$43&lt;'Datos Consumo '!$F$12,CostesNoGeneración!R46,'Datos Consumo '!$F$12*'Datos Consumo '!$F$11))</f>
        <v>40.760003574964998</v>
      </c>
      <c r="T49">
        <f ca="1">IF('Datos Consumo '!$F$12&lt;1,IF(CostesNoGeneración!$C29&lt;CostesNoGeneración!S46+Ingresos!T10,CostesNoGeneración!$C29-Ingresos!T10,CostesNoGeneración!S46),IF((Producción!S49)*$B$43&lt;'Datos Consumo '!$F$12,CostesNoGeneración!S46,'Datos Consumo '!$F$12*'Datos Consumo '!$F$11))</f>
        <v>40.507209178301707</v>
      </c>
      <c r="U49">
        <f ca="1">IF('Datos Consumo '!$F$12&lt;1,IF(CostesNoGeneración!$C29&lt;CostesNoGeneración!T46+Ingresos!U10,CostesNoGeneración!$C29-Ingresos!U10,CostesNoGeneración!T46),IF((Producción!T49)*$B$43&lt;'Datos Consumo '!$F$12,CostesNoGeneración!T46,'Datos Consumo '!$F$12*'Datos Consumo '!$F$11))</f>
        <v>40.255779871380383</v>
      </c>
      <c r="V49">
        <f ca="1">IF('Datos Consumo '!$F$12&lt;1,IF(CostesNoGeneración!$C29&lt;CostesNoGeneración!U46+Ingresos!V10,CostesNoGeneración!$C29-Ingresos!V10,CostesNoGeneración!U46),IF((Producción!U49)*$B$43&lt;'Datos Consumo '!$F$12,CostesNoGeneración!U46,'Datos Consumo '!$F$12*'Datos Consumo '!$F$11))</f>
        <v>40.005708282716434</v>
      </c>
      <c r="W49">
        <f ca="1">IF('Datos Consumo '!$F$12&lt;1,IF(CostesNoGeneración!$C29&lt;CostesNoGeneración!V46+Ingresos!W10,CostesNoGeneración!$C29-Ingresos!W10,CostesNoGeneración!V46),IF((Producción!V49)*$B$43&lt;'Datos Consumo '!$F$12,CostesNoGeneración!V46,'Datos Consumo '!$F$12*'Datos Consumo '!$F$11))</f>
        <v>39.756987080631276</v>
      </c>
      <c r="X49">
        <f ca="1">IF('Datos Consumo '!$F$12&lt;1,IF(CostesNoGeneración!$C29&lt;CostesNoGeneración!W46+Ingresos!X10,CostesNoGeneración!$C29-Ingresos!X10,CostesNoGeneración!W46),IF((Producción!W49)*$B$43&lt;'Datos Consumo '!$F$12,CostesNoGeneración!W46,'Datos Consumo '!$F$12*'Datos Consumo '!$F$11))</f>
        <v>39.509608973037381</v>
      </c>
      <c r="Y49">
        <f ca="1">IF('Datos Consumo '!$F$12&lt;1,IF(CostesNoGeneración!$C29&lt;CostesNoGeneración!X46+Ingresos!Y10,CostesNoGeneración!$C29-Ingresos!Y10,CostesNoGeneración!X46),IF((Producción!X49)*$B$43&lt;'Datos Consumo '!$F$12,CostesNoGeneración!X46,'Datos Consumo '!$F$12*'Datos Consumo '!$F$11))</f>
        <v>39.263566707224484</v>
      </c>
      <c r="Z49">
        <f ca="1">IF('Datos Consumo '!$F$12&lt;1,IF(CostesNoGeneración!$C29&lt;CostesNoGeneración!Y46+Ingresos!Z10,CostesNoGeneración!$C29-Ingresos!Z10,CostesNoGeneración!Y46),IF((Producción!Y49)*$B$43&lt;'Datos Consumo '!$F$12,CostesNoGeneración!Y46,'Datos Consumo '!$F$12*'Datos Consumo '!$F$11))</f>
        <v>39.01885306964698</v>
      </c>
      <c r="AA49">
        <f ca="1">IF('Datos Consumo '!$F$12&lt;1,IF(CostesNoGeneración!$C29&lt;CostesNoGeneración!Z46+Ingresos!AA10,CostesNoGeneración!$C29-Ingresos!AA10,CostesNoGeneración!Z46),IF((Producción!Z49)*$B$43&lt;'Datos Consumo '!$F$12,CostesNoGeneración!Z46,'Datos Consumo '!$F$12*'Datos Consumo '!$F$11))</f>
        <v>38.775460885712391</v>
      </c>
      <c r="AB49">
        <f ca="1">IF('Datos Consumo '!$F$12&lt;1,IF(CostesNoGeneración!$C29&lt;CostesNoGeneración!AA46+Ingresos!AB10,CostesNoGeneración!$C29-Ingresos!AB10,CostesNoGeneración!AA46),IF((Producción!AA49)*$B$43&lt;'Datos Consumo '!$F$12,CostesNoGeneración!AA46,'Datos Consumo '!$F$12*'Datos Consumo '!$F$11))</f>
        <v>38.533383019571062</v>
      </c>
      <c r="AC49">
        <f ca="1">IF('Datos Consumo '!$F$12&lt;1,IF(CostesNoGeneración!$C29&lt;CostesNoGeneración!AB46+Ingresos!AC10,CostesNoGeneración!$C29-Ingresos!AC10,CostesNoGeneración!AB46),IF((Producción!AB49)*$B$43&lt;'Datos Consumo '!$F$12,CostesNoGeneración!AB46,'Datos Consumo '!$F$12*'Datos Consumo '!$F$11))</f>
        <v>38.292612373906891</v>
      </c>
      <c r="AD49">
        <f ca="1">IF('Datos Consumo '!$F$12&lt;1,IF(CostesNoGeneración!$C29&lt;CostesNoGeneración!AC46+Ingresos!AD10,CostesNoGeneración!$C29-Ingresos!AD10,CostesNoGeneración!AC46),IF((Producción!AC49)*$B$43&lt;'Datos Consumo '!$F$12,CostesNoGeneración!AC46,'Datos Consumo '!$F$12*'Datos Consumo '!$F$11))</f>
        <v>38.053141889729297</v>
      </c>
      <c r="AE49">
        <f ca="1">IF('Datos Consumo '!$F$12&lt;1,IF(CostesNoGeneración!$C29&lt;CostesNoGeneración!AD46+Ingresos!AE10,CostesNoGeneración!$C29-Ingresos!AE10,CostesNoGeneración!AD46),IF((Producción!AD49)*$B$43&lt;'Datos Consumo '!$F$12,CostesNoGeneración!AD46,'Datos Consumo '!$F$12*'Datos Consumo '!$F$11))</f>
        <v>37.814964546166266</v>
      </c>
      <c r="AF49">
        <f ca="1">IF('Datos Consumo '!$F$12&lt;1,IF(CostesNoGeneración!$C29&lt;CostesNoGeneración!AE46+Ingresos!AF10,CostesNoGeneración!$C29-Ingresos!AF10,CostesNoGeneración!AE46),IF((Producción!AE49)*$B$43&lt;'Datos Consumo '!$F$12,CostesNoGeneración!AE46,'Datos Consumo '!$F$12*'Datos Consumo '!$F$11))</f>
        <v>37.578073360258479</v>
      </c>
      <c r="AG49">
        <f ca="1">IF('Datos Consumo '!$F$12&lt;1,IF(CostesNoGeneración!$C29&lt;CostesNoGeneración!AF46+Ingresos!AG10,CostesNoGeneración!$C29-Ingresos!AG10,CostesNoGeneración!AF46),IF((Producción!AF49)*$B$43&lt;'Datos Consumo '!$F$12,CostesNoGeneración!AF46,'Datos Consumo '!$F$12*'Datos Consumo '!$F$11))</f>
        <v>37.342461386754579</v>
      </c>
      <c r="AH49">
        <f ca="1">IF('Datos Consumo '!$F$12&lt;1,IF(CostesNoGeneración!$C29&lt;CostesNoGeneración!AG46+Ingresos!AH10,CostesNoGeneración!$C29-Ingresos!AH10,CostesNoGeneración!AG46),IF((Producción!AG49)*$B$43&lt;'Datos Consumo '!$F$12,CostesNoGeneración!AG46,'Datos Consumo '!$F$12*'Datos Consumo '!$F$11))</f>
        <v>37.108121717907629</v>
      </c>
    </row>
    <row r="50" spans="2:34">
      <c r="B50">
        <v>31</v>
      </c>
      <c r="C50" s="12" t="s">
        <v>11</v>
      </c>
      <c r="D50">
        <f ca="1">IF('Datos Consumo '!$F$12&lt;1,IF(CostesNoGeneración!$C30&lt;CostesNoGeneración!C47+Ingresos!D11,CostesNoGeneración!$C30-Ingresos!D11,CostesNoGeneración!C47),IF((Producción!C50)*$B$43&lt;'Datos Consumo '!$F$12,CostesNoGeneración!C47,'Datos Consumo '!$F$12*'Datos Consumo '!$F$11))</f>
        <v>38.698349249595651</v>
      </c>
      <c r="E50">
        <f ca="1">IF('Datos Consumo '!$F$12&lt;1,IF(CostesNoGeneración!$C30&lt;CostesNoGeneración!D47+Ingresos!E11,CostesNoGeneración!$C30-Ingresos!E11,CostesNoGeneración!D47),IF((Producción!D50)*$B$43&lt;'Datos Consumo '!$F$12,CostesNoGeneración!D47,'Datos Consumo '!$F$12*'Datos Consumo '!$F$11))</f>
        <v>38.698349249595651</v>
      </c>
      <c r="F50">
        <f ca="1">IF('Datos Consumo '!$F$12&lt;1,IF(CostesNoGeneración!$C30&lt;CostesNoGeneración!E47+Ingresos!F11,CostesNoGeneración!$C30-Ingresos!F11,CostesNoGeneración!E47),IF((Producción!E50)*$B$43&lt;'Datos Consumo '!$F$12,CostesNoGeneración!E47,'Datos Consumo '!$F$12*'Datos Consumo '!$F$11))</f>
        <v>38.698349249595651</v>
      </c>
      <c r="G50">
        <f ca="1">IF('Datos Consumo '!$F$12&lt;1,IF(CostesNoGeneración!$C30&lt;CostesNoGeneración!F47+Ingresos!G11,CostesNoGeneración!$C30-Ingresos!G11,CostesNoGeneración!F47),IF((Producción!F50)*$B$43&lt;'Datos Consumo '!$F$12,CostesNoGeneración!F47,'Datos Consumo '!$F$12*'Datos Consumo '!$F$11))</f>
        <v>38.698349249595651</v>
      </c>
      <c r="H50">
        <f ca="1">IF('Datos Consumo '!$F$12&lt;1,IF(CostesNoGeneración!$C30&lt;CostesNoGeneración!G47+Ingresos!H11,CostesNoGeneración!$C30-Ingresos!H11,CostesNoGeneración!G47),IF((Producción!G50)*$B$43&lt;'Datos Consumo '!$F$12,CostesNoGeneración!G47,'Datos Consumo '!$F$12*'Datos Consumo '!$F$11))</f>
        <v>38.698349249595651</v>
      </c>
      <c r="I50">
        <f ca="1">IF('Datos Consumo '!$F$12&lt;1,IF(CostesNoGeneración!$C30&lt;CostesNoGeneración!H47+Ingresos!I11,CostesNoGeneración!$C30-Ingresos!I11,CostesNoGeneración!H47),IF((Producción!H50)*$B$43&lt;'Datos Consumo '!$F$12,CostesNoGeneración!H47,'Datos Consumo '!$F$12*'Datos Consumo '!$F$11))</f>
        <v>38.698349249595651</v>
      </c>
      <c r="J50">
        <f ca="1">IF('Datos Consumo '!$F$12&lt;1,IF(CostesNoGeneración!$C30&lt;CostesNoGeneración!I47+Ingresos!J11,CostesNoGeneración!$C30-Ingresos!J11,CostesNoGeneración!I47),IF((Producción!I50)*$B$43&lt;'Datos Consumo '!$F$12,CostesNoGeneración!I47,'Datos Consumo '!$F$12*'Datos Consumo '!$F$11))</f>
        <v>38.698349249595651</v>
      </c>
      <c r="K50">
        <f ca="1">IF('Datos Consumo '!$F$12&lt;1,IF(CostesNoGeneración!$C30&lt;CostesNoGeneración!J47+Ingresos!K11,CostesNoGeneración!$C30-Ingresos!K11,CostesNoGeneración!J47),IF((Producción!J50)*$B$43&lt;'Datos Consumo '!$F$12,CostesNoGeneración!J47,'Datos Consumo '!$F$12*'Datos Consumo '!$F$11))</f>
        <v>38.698349249595651</v>
      </c>
      <c r="L50">
        <f ca="1">IF('Datos Consumo '!$F$12&lt;1,IF(CostesNoGeneración!$C30&lt;CostesNoGeneración!K47+Ingresos!L11,CostesNoGeneración!$C30-Ingresos!L11,CostesNoGeneración!K47),IF((Producción!K50)*$B$43&lt;'Datos Consumo '!$F$12,CostesNoGeneración!K47,'Datos Consumo '!$F$12*'Datos Consumo '!$F$11))</f>
        <v>38.698349249595651</v>
      </c>
      <c r="M50">
        <f ca="1">IF('Datos Consumo '!$F$12&lt;1,IF(CostesNoGeneración!$C30&lt;CostesNoGeneración!L47+Ingresos!M11,CostesNoGeneración!$C30-Ingresos!M11,CostesNoGeneración!L47),IF((Producción!L50)*$B$43&lt;'Datos Consumo '!$F$12,CostesNoGeneración!L47,'Datos Consumo '!$F$12*'Datos Consumo '!$F$11))</f>
        <v>38.698349249595651</v>
      </c>
      <c r="N50">
        <f ca="1">IF('Datos Consumo '!$F$12&lt;1,IF(CostesNoGeneración!$C30&lt;CostesNoGeneración!M47+Ingresos!N11,CostesNoGeneración!$C30-Ingresos!N11,CostesNoGeneración!M47),IF((Producción!M50)*$B$43&lt;'Datos Consumo '!$F$12,CostesNoGeneración!M47,'Datos Consumo '!$F$12*'Datos Consumo '!$F$11))</f>
        <v>38.698349249595651</v>
      </c>
      <c r="O50">
        <f ca="1">IF('Datos Consumo '!$F$12&lt;1,IF(CostesNoGeneración!$C30&lt;CostesNoGeneración!N47+Ingresos!O11,CostesNoGeneración!$C30-Ingresos!O11,CostesNoGeneración!N47),IF((Producción!N50)*$B$43&lt;'Datos Consumo '!$F$12,CostesNoGeneración!N47,'Datos Consumo '!$F$12*'Datos Consumo '!$F$11))</f>
        <v>38.698349249595651</v>
      </c>
      <c r="P50">
        <f ca="1">IF('Datos Consumo '!$F$12&lt;1,IF(CostesNoGeneración!$C30&lt;CostesNoGeneración!O47+Ingresos!P11,CostesNoGeneración!$C30-Ingresos!P11,CostesNoGeneración!O47),IF((Producción!O50)*$B$43&lt;'Datos Consumo '!$F$12,CostesNoGeneración!O47,'Datos Consumo '!$F$12*'Datos Consumo '!$F$11))</f>
        <v>38.698349249595651</v>
      </c>
      <c r="Q50">
        <f ca="1">IF('Datos Consumo '!$F$12&lt;1,IF(CostesNoGeneración!$C30&lt;CostesNoGeneración!P47+Ingresos!Q11,CostesNoGeneración!$C30-Ingresos!Q11,CostesNoGeneración!P47),IF((Producción!P50)*$B$43&lt;'Datos Consumo '!$F$12,CostesNoGeneración!P47,'Datos Consumo '!$F$12*'Datos Consumo '!$F$11))</f>
        <v>38.698349249595651</v>
      </c>
      <c r="R50">
        <f ca="1">IF('Datos Consumo '!$F$12&lt;1,IF(CostesNoGeneración!$C30&lt;CostesNoGeneración!Q47+Ingresos!R11,CostesNoGeneración!$C30-Ingresos!R11,CostesNoGeneración!Q47),IF((Producción!Q50)*$B$43&lt;'Datos Consumo '!$F$12,CostesNoGeneración!Q47,'Datos Consumo '!$F$12*'Datos Consumo '!$F$11))</f>
        <v>38.698349249595651</v>
      </c>
      <c r="S50">
        <f ca="1">IF('Datos Consumo '!$F$12&lt;1,IF(CostesNoGeneración!$C30&lt;CostesNoGeneración!R47+Ingresos!S11,CostesNoGeneración!$C30-Ingresos!S11,CostesNoGeneración!R47),IF((Producción!R50)*$B$43&lt;'Datos Consumo '!$F$12,CostesNoGeneración!R47,'Datos Consumo '!$F$12*'Datos Consumo '!$F$11))</f>
        <v>38.545496243993654</v>
      </c>
      <c r="T50">
        <f ca="1">IF('Datos Consumo '!$F$12&lt;1,IF(CostesNoGeneración!$C30&lt;CostesNoGeneración!S47+Ingresos!T11,CostesNoGeneración!$C30-Ingresos!T11,CostesNoGeneración!S47),IF((Producción!S50)*$B$43&lt;'Datos Consumo '!$F$12,CostesNoGeneración!S47,'Datos Consumo '!$F$12*'Datos Consumo '!$F$11))</f>
        <v>38.309405564276084</v>
      </c>
      <c r="U50">
        <f ca="1">IF('Datos Consumo '!$F$12&lt;1,IF(CostesNoGeneración!$C30&lt;CostesNoGeneración!T47+Ingresos!U11,CostesNoGeneración!$C30-Ingresos!U11,CostesNoGeneración!T47),IF((Producción!T50)*$B$43&lt;'Datos Consumo '!$F$12,CostesNoGeneración!T47,'Datos Consumo '!$F$12*'Datos Consumo '!$F$11))</f>
        <v>38.074589774228997</v>
      </c>
      <c r="V50">
        <f ca="1">IF('Datos Consumo '!$F$12&lt;1,IF(CostesNoGeneración!$C30&lt;CostesNoGeneración!U47+Ingresos!V11,CostesNoGeneración!$C30-Ingresos!V11,CostesNoGeneración!U47),IF((Producción!U50)*$B$43&lt;'Datos Consumo '!$F$12,CostesNoGeneración!U47,'Datos Consumo '!$F$12*'Datos Consumo '!$F$11))</f>
        <v>37.841041989448158</v>
      </c>
      <c r="W50">
        <f ca="1">IF('Datos Consumo '!$F$12&lt;1,IF(CostesNoGeneración!$C30&lt;CostesNoGeneración!V47+Ingresos!W11,CostesNoGeneración!$C30-Ingresos!W11,CostesNoGeneración!V47),IF((Producción!V50)*$B$43&lt;'Datos Consumo '!$F$12,CostesNoGeneración!V47,'Datos Consumo '!$F$12*'Datos Consumo '!$F$11))</f>
        <v>37.608755362705132</v>
      </c>
      <c r="X50">
        <f ca="1">IF('Datos Consumo '!$F$12&lt;1,IF(CostesNoGeneración!$C30&lt;CostesNoGeneración!W47+Ingresos!X11,CostesNoGeneración!$C30-Ingresos!X11,CostesNoGeneración!W47),IF((Producción!W50)*$B$43&lt;'Datos Consumo '!$F$12,CostesNoGeneración!W47,'Datos Consumo '!$F$12*'Datos Consumo '!$F$11))</f>
        <v>37.377723083746531</v>
      </c>
      <c r="Y50">
        <f ca="1">IF('Datos Consumo '!$F$12&lt;1,IF(CostesNoGeneración!$C30&lt;CostesNoGeneración!X47+Ingresos!Y11,CostesNoGeneración!$C30-Ingresos!Y11,CostesNoGeneración!X47),IF((Producción!X50)*$B$43&lt;'Datos Consumo '!$F$12,CostesNoGeneración!X47,'Datos Consumo '!$F$12*'Datos Consumo '!$F$11))</f>
        <v>37.147938379094306</v>
      </c>
      <c r="Z50">
        <f ca="1">IF('Datos Consumo '!$F$12&lt;1,IF(CostesNoGeneración!$C30&lt;CostesNoGeneración!Y47+Ingresos!Z11,CostesNoGeneración!$C30-Ingresos!Z11,CostesNoGeneración!Y47),IF((Producción!Y50)*$B$43&lt;'Datos Consumo '!$F$12,CostesNoGeneración!Y47,'Datos Consumo '!$F$12*'Datos Consumo '!$F$11))</f>
        <v>36.919394511847194</v>
      </c>
      <c r="AA50">
        <f ca="1">IF('Datos Consumo '!$F$12&lt;1,IF(CostesNoGeneración!$C30&lt;CostesNoGeneración!Z47+Ingresos!AA11,CostesNoGeneración!$C30-Ingresos!AA11,CostesNoGeneración!Z47),IF((Producción!Z50)*$B$43&lt;'Datos Consumo '!$F$12,CostesNoGeneración!Z47,'Datos Consumo '!$F$12*'Datos Consumo '!$F$11))</f>
        <v>36.692084781483217</v>
      </c>
      <c r="AB50">
        <f ca="1">IF('Datos Consumo '!$F$12&lt;1,IF(CostesNoGeneración!$C30&lt;CostesNoGeneración!AA47+Ingresos!AB11,CostesNoGeneración!$C30-Ingresos!AB11,CostesNoGeneración!AA47),IF((Producción!AA50)*$B$43&lt;'Datos Consumo '!$F$12,CostesNoGeneración!AA47,'Datos Consumo '!$F$12*'Datos Consumo '!$F$11))</f>
        <v>36.466002523663207</v>
      </c>
      <c r="AC50">
        <f ca="1">IF('Datos Consumo '!$F$12&lt;1,IF(CostesNoGeneración!$C30&lt;CostesNoGeneración!AB47+Ingresos!AC11,CostesNoGeneración!$C30-Ingresos!AC11,CostesNoGeneración!AB47),IF((Producción!AB50)*$B$43&lt;'Datos Consumo '!$F$12,CostesNoGeneración!AB47,'Datos Consumo '!$F$12*'Datos Consumo '!$F$11))</f>
        <v>36.241141110035429</v>
      </c>
      <c r="AD50">
        <f ca="1">IF('Datos Consumo '!$F$12&lt;1,IF(CostesNoGeneración!$C30&lt;CostesNoGeneración!AC47+Ingresos!AD11,CostesNoGeneración!$C30-Ingresos!AD11,CostesNoGeneración!AC47),IF((Producción!AC50)*$B$43&lt;'Datos Consumo '!$F$12,CostesNoGeneración!AC47,'Datos Consumo '!$F$12*'Datos Consumo '!$F$11))</f>
        <v>36.017493948041228</v>
      </c>
      <c r="AE50">
        <f ca="1">IF('Datos Consumo '!$F$12&lt;1,IF(CostesNoGeneración!$C30&lt;CostesNoGeneración!AD47+Ingresos!AE11,CostesNoGeneración!$C30-Ingresos!AE11,CostesNoGeneración!AD47),IF((Producción!AD50)*$B$43&lt;'Datos Consumo '!$F$12,CostesNoGeneración!AD47,'Datos Consumo '!$F$12*'Datos Consumo '!$F$11))</f>
        <v>35.795054480721809</v>
      </c>
      <c r="AF50">
        <f ca="1">IF('Datos Consumo '!$F$12&lt;1,IF(CostesNoGeneración!$C30&lt;CostesNoGeneración!AE47+Ingresos!AF11,CostesNoGeneración!$C30-Ingresos!AF11,CostesNoGeneración!AE47),IF((Producción!AE50)*$B$43&lt;'Datos Consumo '!$F$12,CostesNoGeneración!AE47,'Datos Consumo '!$F$12*'Datos Consumo '!$F$11))</f>
        <v>35.573816186525917</v>
      </c>
      <c r="AG50">
        <f ca="1">IF('Datos Consumo '!$F$12&lt;1,IF(CostesNoGeneración!$C30&lt;CostesNoGeneración!AF47+Ingresos!AG11,CostesNoGeneración!$C30-Ingresos!AG11,CostesNoGeneración!AF47),IF((Producción!AF50)*$B$43&lt;'Datos Consumo '!$F$12,CostesNoGeneración!AF47,'Datos Consumo '!$F$12*'Datos Consumo '!$F$11))</f>
        <v>35.353772579118662</v>
      </c>
      <c r="AH50">
        <f ca="1">IF('Datos Consumo '!$F$12&lt;1,IF(CostesNoGeneración!$C30&lt;CostesNoGeneración!AG47+Ingresos!AH11,CostesNoGeneración!$C30-Ingresos!AH11,CostesNoGeneración!AG47),IF((Producción!AG50)*$B$43&lt;'Datos Consumo '!$F$12,CostesNoGeneración!AG47,'Datos Consumo '!$F$12*'Datos Consumo '!$F$11))</f>
        <v>35.134917207191428</v>
      </c>
    </row>
    <row r="51" spans="2:34">
      <c r="B51">
        <v>30</v>
      </c>
      <c r="C51" s="12" t="s">
        <v>12</v>
      </c>
      <c r="D51">
        <f ca="1">IF('Datos Consumo '!$F$12&lt;1,IF(CostesNoGeneración!$C31&lt;CostesNoGeneración!C48+Ingresos!D12,CostesNoGeneración!$C31-Ingresos!D12,CostesNoGeneración!C48),IF((Producción!C51)*$B$43&lt;'Datos Consumo '!$F$12,CostesNoGeneración!C48,'Datos Consumo '!$F$12*'Datos Consumo '!$F$11))</f>
        <v>36.507876650561933</v>
      </c>
      <c r="E51">
        <f ca="1">IF('Datos Consumo '!$F$12&lt;1,IF(CostesNoGeneración!$C31&lt;CostesNoGeneración!D48+Ingresos!E12,CostesNoGeneración!$C31-Ingresos!E12,CostesNoGeneración!D48),IF((Producción!D51)*$B$43&lt;'Datos Consumo '!$F$12,CostesNoGeneración!D48,'Datos Consumo '!$F$12*'Datos Consumo '!$F$11))</f>
        <v>36.507876650561933</v>
      </c>
      <c r="F51">
        <f ca="1">IF('Datos Consumo '!$F$12&lt;1,IF(CostesNoGeneración!$C31&lt;CostesNoGeneración!E48+Ingresos!F12,CostesNoGeneración!$C31-Ingresos!F12,CostesNoGeneración!E48),IF((Producción!E51)*$B$43&lt;'Datos Consumo '!$F$12,CostesNoGeneración!E48,'Datos Consumo '!$F$12*'Datos Consumo '!$F$11))</f>
        <v>36.374703410974476</v>
      </c>
      <c r="G51">
        <f ca="1">IF('Datos Consumo '!$F$12&lt;1,IF(CostesNoGeneración!$C31&lt;CostesNoGeneración!F48+Ingresos!G12,CostesNoGeneración!$C31-Ingresos!G12,CostesNoGeneración!F48),IF((Producción!F51)*$B$43&lt;'Datos Consumo '!$F$12,CostesNoGeneración!F48,'Datos Consumo '!$F$12*'Datos Consumo '!$F$11))</f>
        <v>36.151916805008042</v>
      </c>
      <c r="H51">
        <f ca="1">IF('Datos Consumo '!$F$12&lt;1,IF(CostesNoGeneración!$C31&lt;CostesNoGeneración!G48+Ingresos!H12,CostesNoGeneración!$C31-Ingresos!H12,CostesNoGeneración!G48),IF((Producción!G51)*$B$43&lt;'Datos Consumo '!$F$12,CostesNoGeneración!G48,'Datos Consumo '!$F$12*'Datos Consumo '!$F$11))</f>
        <v>35.930333246713829</v>
      </c>
      <c r="I51">
        <f ca="1">IF('Datos Consumo '!$F$12&lt;1,IF(CostesNoGeneración!$C31&lt;CostesNoGeneración!H48+Ingresos!I12,CostesNoGeneración!$C31-Ingresos!I12,CostesNoGeneración!H48),IF((Producción!H51)*$B$43&lt;'Datos Consumo '!$F$12,CostesNoGeneración!H48,'Datos Consumo '!$F$12*'Datos Consumo '!$F$11))</f>
        <v>35.709946239634405</v>
      </c>
      <c r="J51">
        <f ca="1">IF('Datos Consumo '!$F$12&lt;1,IF(CostesNoGeneración!$C31&lt;CostesNoGeneración!I48+Ingresos!J12,CostesNoGeneración!$C31-Ingresos!J12,CostesNoGeneración!I48),IF((Producción!I51)*$B$43&lt;'Datos Consumo '!$F$12,CostesNoGeneración!I48,'Datos Consumo '!$F$12*'Datos Consumo '!$F$11))</f>
        <v>35.490749322393206</v>
      </c>
      <c r="K51">
        <f ca="1">IF('Datos Consumo '!$F$12&lt;1,IF(CostesNoGeneración!$C31&lt;CostesNoGeneración!J48+Ingresos!K12,CostesNoGeneración!$C31-Ingresos!K12,CostesNoGeneración!J48),IF((Producción!J51)*$B$43&lt;'Datos Consumo '!$F$12,CostesNoGeneración!J48,'Datos Consumo '!$F$12*'Datos Consumo '!$F$11))</f>
        <v>35.272736068505111</v>
      </c>
      <c r="L51">
        <f ca="1">IF('Datos Consumo '!$F$12&lt;1,IF(CostesNoGeneración!$C31&lt;CostesNoGeneración!K48+Ingresos!L12,CostesNoGeneración!$C31-Ingresos!L12,CostesNoGeneración!K48),IF((Producción!K51)*$B$43&lt;'Datos Consumo '!$F$12,CostesNoGeneración!K48,'Datos Consumo '!$F$12*'Datos Consumo '!$F$11))</f>
        <v>35.055900086188018</v>
      </c>
      <c r="M51">
        <f ca="1">IF('Datos Consumo '!$F$12&lt;1,IF(CostesNoGeneración!$C31&lt;CostesNoGeneración!L48+Ingresos!M12,CostesNoGeneración!$C31-Ingresos!M12,CostesNoGeneración!L48),IF((Producción!L51)*$B$43&lt;'Datos Consumo '!$F$12,CostesNoGeneración!L48,'Datos Consumo '!$F$12*'Datos Consumo '!$F$11))</f>
        <v>34.840235018175434</v>
      </c>
      <c r="N51">
        <f ca="1">IF('Datos Consumo '!$F$12&lt;1,IF(CostesNoGeneración!$C31&lt;CostesNoGeneración!M48+Ingresos!N12,CostesNoGeneración!$C31-Ingresos!N12,CostesNoGeneración!M48),IF((Producción!M51)*$B$43&lt;'Datos Consumo '!$F$12,CostesNoGeneración!M48,'Datos Consumo '!$F$12*'Datos Consumo '!$F$11))</f>
        <v>34.625734541530122</v>
      </c>
      <c r="O51">
        <f ca="1">IF('Datos Consumo '!$F$12&lt;1,IF(CostesNoGeneración!$C31&lt;CostesNoGeneración!N48+Ingresos!O12,CostesNoGeneración!$C31-Ingresos!O12,CostesNoGeneración!N48),IF((Producción!N51)*$B$43&lt;'Datos Consumo '!$F$12,CostesNoGeneración!N48,'Datos Consumo '!$F$12*'Datos Consumo '!$F$11))</f>
        <v>34.412392367458686</v>
      </c>
      <c r="P51">
        <f ca="1">IF('Datos Consumo '!$F$12&lt;1,IF(CostesNoGeneración!$C31&lt;CostesNoGeneración!O48+Ingresos!P12,CostesNoGeneración!$C31-Ingresos!P12,CostesNoGeneración!O48),IF((Producción!O51)*$B$43&lt;'Datos Consumo '!$F$12,CostesNoGeneración!O48,'Datos Consumo '!$F$12*'Datos Consumo '!$F$11))</f>
        <v>34.200202241127236</v>
      </c>
      <c r="Q51">
        <f ca="1">IF('Datos Consumo '!$F$12&lt;1,IF(CostesNoGeneración!$C31&lt;CostesNoGeneración!P48+Ingresos!Q12,CostesNoGeneración!$C31-Ingresos!Q12,CostesNoGeneración!P48),IF((Producción!P51)*$B$43&lt;'Datos Consumo '!$F$12,CostesNoGeneración!P48,'Datos Consumo '!$F$12*'Datos Consumo '!$F$11))</f>
        <v>33.989157941477984</v>
      </c>
      <c r="R51">
        <f ca="1">IF('Datos Consumo '!$F$12&lt;1,IF(CostesNoGeneración!$C31&lt;CostesNoGeneración!Q48+Ingresos!R12,CostesNoGeneración!$C31-Ingresos!R12,CostesNoGeneración!Q48),IF((Producción!Q51)*$B$43&lt;'Datos Consumo '!$F$12,CostesNoGeneración!Q48,'Datos Consumo '!$F$12*'Datos Consumo '!$F$11))</f>
        <v>33.779253281046827</v>
      </c>
      <c r="S51">
        <f ca="1">IF('Datos Consumo '!$F$12&lt;1,IF(CostesNoGeneración!$C31&lt;CostesNoGeneración!R48+Ingresos!S12,CostesNoGeneración!$C31-Ingresos!S12,CostesNoGeneración!R48),IF((Producción!R51)*$B$43&lt;'Datos Consumo '!$F$12,CostesNoGeneración!R48,'Datos Consumo '!$F$12*'Datos Consumo '!$F$11))</f>
        <v>33.570482105781998</v>
      </c>
      <c r="T51">
        <f ca="1">IF('Datos Consumo '!$F$12&lt;1,IF(CostesNoGeneración!$C31&lt;CostesNoGeneración!S48+Ingresos!T12,CostesNoGeneración!$C31-Ingresos!T12,CostesNoGeneración!S48),IF((Producción!S51)*$B$43&lt;'Datos Consumo '!$F$12,CostesNoGeneración!S48,'Datos Consumo '!$F$12*'Datos Consumo '!$F$11))</f>
        <v>33.362838294863614</v>
      </c>
      <c r="U51">
        <f ca="1">IF('Datos Consumo '!$F$12&lt;1,IF(CostesNoGeneración!$C31&lt;CostesNoGeneración!T48+Ingresos!U12,CostesNoGeneración!$C31-Ingresos!U12,CostesNoGeneración!T48),IF((Producción!T51)*$B$43&lt;'Datos Consumo '!$F$12,CostesNoGeneración!T48,'Datos Consumo '!$F$12*'Datos Consumo '!$F$11))</f>
        <v>33.156315760524187</v>
      </c>
      <c r="V51">
        <f ca="1">IF('Datos Consumo '!$F$12&lt;1,IF(CostesNoGeneración!$C31&lt;CostesNoGeneración!U48+Ingresos!V12,CostesNoGeneración!$C31-Ingresos!V12,CostesNoGeneración!U48),IF((Producción!U51)*$B$43&lt;'Datos Consumo '!$F$12,CostesNoGeneración!U48,'Datos Consumo '!$F$12*'Datos Consumo '!$F$11))</f>
        <v>32.950908447870177</v>
      </c>
      <c r="W51">
        <f ca="1">IF('Datos Consumo '!$F$12&lt;1,IF(CostesNoGeneración!$C31&lt;CostesNoGeneración!V48+Ingresos!W12,CostesNoGeneración!$C31-Ingresos!W12,CostesNoGeneración!V48),IF((Producción!V51)*$B$43&lt;'Datos Consumo '!$F$12,CostesNoGeneración!V48,'Datos Consumo '!$F$12*'Datos Consumo '!$F$11))</f>
        <v>32.746610334704506</v>
      </c>
      <c r="X51">
        <f ca="1">IF('Datos Consumo '!$F$12&lt;1,IF(CostesNoGeneración!$C31&lt;CostesNoGeneración!W48+Ingresos!X12,CostesNoGeneración!$C31-Ingresos!X12,CostesNoGeneración!W48),IF((Producción!W51)*$B$43&lt;'Datos Consumo '!$F$12,CostesNoGeneración!W48,'Datos Consumo '!$F$12*'Datos Consumo '!$F$11))</f>
        <v>32.543415431349921</v>
      </c>
      <c r="Y51">
        <f ca="1">IF('Datos Consumo '!$F$12&lt;1,IF(CostesNoGeneración!$C31&lt;CostesNoGeneración!X48+Ingresos!Y12,CostesNoGeneración!$C31-Ingresos!Y12,CostesNoGeneración!X48),IF((Producción!X51)*$B$43&lt;'Datos Consumo '!$F$12,CostesNoGeneración!X48,'Datos Consumo '!$F$12*'Datos Consumo '!$F$11))</f>
        <v>32.341317780473481</v>
      </c>
      <c r="Z51">
        <f ca="1">IF('Datos Consumo '!$F$12&lt;1,IF(CostesNoGeneración!$C31&lt;CostesNoGeneración!Y48+Ingresos!Z12,CostesNoGeneración!$C31-Ingresos!Z12,CostesNoGeneración!Y48),IF((Producción!Y51)*$B$43&lt;'Datos Consumo '!$F$12,CostesNoGeneración!Y48,'Datos Consumo '!$F$12*'Datos Consumo '!$F$11))</f>
        <v>32.140311456911746</v>
      </c>
      <c r="AA51">
        <f ca="1">IF('Datos Consumo '!$F$12&lt;1,IF(CostesNoGeneración!$C31&lt;CostesNoGeneración!Z48+Ingresos!AA12,CostesNoGeneración!$C31-Ingresos!AA12,CostesNoGeneración!Z48),IF((Producción!Z51)*$B$43&lt;'Datos Consumo '!$F$12,CostesNoGeneración!Z48,'Datos Consumo '!$F$12*'Datos Consumo '!$F$11))</f>
        <v>31.940390567497253</v>
      </c>
      <c r="AB51">
        <f ca="1">IF('Datos Consumo '!$F$12&lt;1,IF(CostesNoGeneración!$C31&lt;CostesNoGeneración!AA48+Ingresos!AB12,CostesNoGeneración!$C31-Ingresos!AB12,CostesNoGeneración!AA48),IF((Producción!AA51)*$B$43&lt;'Datos Consumo '!$F$12,CostesNoGeneración!AA48,'Datos Consumo '!$F$12*'Datos Consumo '!$F$11))</f>
        <v>31.741549250885598</v>
      </c>
      <c r="AC51">
        <f ca="1">IF('Datos Consumo '!$F$12&lt;1,IF(CostesNoGeneración!$C31&lt;CostesNoGeneración!AB48+Ingresos!AC12,CostesNoGeneración!$C31-Ingresos!AC12,CostesNoGeneración!AB48),IF((Producción!AB51)*$B$43&lt;'Datos Consumo '!$F$12,CostesNoGeneración!AB48,'Datos Consumo '!$F$12*'Datos Consumo '!$F$11))</f>
        <v>31.543781677383652</v>
      </c>
      <c r="AD51">
        <f ca="1">IF('Datos Consumo '!$F$12&lt;1,IF(CostesNoGeneración!$C31&lt;CostesNoGeneración!AC48+Ingresos!AD12,CostesNoGeneración!$C31-Ingresos!AD12,CostesNoGeneración!AC48),IF((Producción!AC51)*$B$43&lt;'Datos Consumo '!$F$12,CostesNoGeneración!AC48,'Datos Consumo '!$F$12*'Datos Consumo '!$F$11))</f>
        <v>31.347082048778606</v>
      </c>
      <c r="AE51">
        <f ca="1">IF('Datos Consumo '!$F$12&lt;1,IF(CostesNoGeneración!$C31&lt;CostesNoGeneración!AD48+Ingresos!AE12,CostesNoGeneración!$C31-Ingresos!AE12,CostesNoGeneración!AD48),IF((Producción!AD51)*$B$43&lt;'Datos Consumo '!$F$12,CostesNoGeneración!AD48,'Datos Consumo '!$F$12*'Datos Consumo '!$F$11))</f>
        <v>31.151444598168027</v>
      </c>
      <c r="AF51">
        <f ca="1">IF('Datos Consumo '!$F$12&lt;1,IF(CostesNoGeneración!$C31&lt;CostesNoGeneración!AE48+Ingresos!AF12,CostesNoGeneración!$C31-Ingresos!AF12,CostesNoGeneración!AE48),IF((Producción!AE51)*$B$43&lt;'Datos Consumo '!$F$12,CostesNoGeneración!AE48,'Datos Consumo '!$F$12*'Datos Consumo '!$F$11))</f>
        <v>30.956863589790757</v>
      </c>
      <c r="AG51">
        <f ca="1">IF('Datos Consumo '!$F$12&lt;1,IF(CostesNoGeneración!$C31&lt;CostesNoGeneración!AF48+Ingresos!AG12,CostesNoGeneración!$C31-Ingresos!AG12,CostesNoGeneración!AF48),IF((Producción!AF51)*$B$43&lt;'Datos Consumo '!$F$12,CostesNoGeneración!AF48,'Datos Consumo '!$F$12*'Datos Consumo '!$F$11))</f>
        <v>30.763333318858713</v>
      </c>
      <c r="AH51">
        <f ca="1">IF('Datos Consumo '!$F$12&lt;1,IF(CostesNoGeneración!$C31&lt;CostesNoGeneración!AG48+Ingresos!AH12,CostesNoGeneración!$C31-Ingresos!AH12,CostesNoGeneración!AG48),IF((Producción!AG51)*$B$43&lt;'Datos Consumo '!$F$12,CostesNoGeneración!AG48,'Datos Consumo '!$F$12*'Datos Consumo '!$F$11))</f>
        <v>30.570848111389708</v>
      </c>
    </row>
    <row r="52" spans="2:34">
      <c r="B52">
        <v>31</v>
      </c>
      <c r="C52" s="12" t="s">
        <v>13</v>
      </c>
      <c r="D52">
        <f ca="1">IF('Datos Consumo '!$F$12&lt;1,IF(CostesNoGeneración!$C32&lt;CostesNoGeneración!C49+Ingresos!D13,CostesNoGeneración!$C32-Ingresos!D13,CostesNoGeneración!C49),IF((Producción!C52)*$B$43&lt;'Datos Consumo '!$F$12,CostesNoGeneración!C49,'Datos Consumo '!$F$12*'Datos Consumo '!$F$11))</f>
        <v>33.487848959433968</v>
      </c>
      <c r="E52">
        <f ca="1">IF('Datos Consumo '!$F$12&lt;1,IF(CostesNoGeneración!$C32&lt;CostesNoGeneración!D49+Ingresos!E13,CostesNoGeneración!$C32-Ingresos!E13,CostesNoGeneración!D49),IF((Producción!D52)*$B$43&lt;'Datos Consumo '!$F$12,CostesNoGeneración!D49,'Datos Consumo '!$F$12*'Datos Consumo '!$F$11))</f>
        <v>33.279596839203961</v>
      </c>
      <c r="F52">
        <f ca="1">IF('Datos Consumo '!$F$12&lt;1,IF(CostesNoGeneración!$C32&lt;CostesNoGeneración!E49+Ingresos!F13,CostesNoGeneración!$C32-Ingresos!F13,CostesNoGeneración!E49),IF((Producción!E52)*$B$43&lt;'Datos Consumo '!$F$12,CostesNoGeneración!E49,'Datos Consumo '!$F$12*'Datos Consumo '!$F$11))</f>
        <v>33.072469280423199</v>
      </c>
      <c r="G52">
        <f ca="1">IF('Datos Consumo '!$F$12&lt;1,IF(CostesNoGeneración!$C32&lt;CostesNoGeneración!F49+Ingresos!G13,CostesNoGeneración!$C32-Ingresos!G13,CostesNoGeneración!F49),IF((Producción!F52)*$B$43&lt;'Datos Consumo '!$F$12,CostesNoGeneración!F49,'Datos Consumo '!$F$12*'Datos Consumo '!$F$11))</f>
        <v>32.866460210459863</v>
      </c>
      <c r="H52">
        <f ca="1">IF('Datos Consumo '!$F$12&lt;1,IF(CostesNoGeneración!$C32&lt;CostesNoGeneración!G49+Ingresos!H13,CostesNoGeneración!$C32-Ingresos!H13,CostesNoGeneración!G49),IF((Producción!G52)*$B$43&lt;'Datos Consumo '!$F$12,CostesNoGeneración!G49,'Datos Consumo '!$F$12*'Datos Consumo '!$F$11))</f>
        <v>32.661563589474319</v>
      </c>
      <c r="I52">
        <f ca="1">IF('Datos Consumo '!$F$12&lt;1,IF(CostesNoGeneración!$C32&lt;CostesNoGeneración!H49+Ingresos!I13,CostesNoGeneración!$C32-Ingresos!I13,CostesNoGeneración!H49),IF((Producción!H52)*$B$43&lt;'Datos Consumo '!$F$12,CostesNoGeneración!H49,'Datos Consumo '!$F$12*'Datos Consumo '!$F$11))</f>
        <v>32.457773410242105</v>
      </c>
      <c r="J52">
        <f ca="1">IF('Datos Consumo '!$F$12&lt;1,IF(CostesNoGeneración!$C32&lt;CostesNoGeneración!I49+Ingresos!J13,CostesNoGeneración!$C32-Ingresos!J13,CostesNoGeneración!I49),IF((Producción!I52)*$B$43&lt;'Datos Consumo '!$F$12,CostesNoGeneración!I49,'Datos Consumo '!$F$12*'Datos Consumo '!$F$11))</f>
        <v>32.255083697977739</v>
      </c>
      <c r="K52">
        <f ca="1">IF('Datos Consumo '!$F$12&lt;1,IF(CostesNoGeneración!$C32&lt;CostesNoGeneración!J49+Ingresos!K13,CostesNoGeneración!$C32-Ingresos!K13,CostesNoGeneración!J49),IF((Producción!J52)*$B$43&lt;'Datos Consumo '!$F$12,CostesNoGeneración!J49,'Datos Consumo '!$F$12*'Datos Consumo '!$F$11))</f>
        <v>32.05348851015961</v>
      </c>
      <c r="L52">
        <f ca="1">IF('Datos Consumo '!$F$12&lt;1,IF(CostesNoGeneración!$C32&lt;CostesNoGeneración!K49+Ingresos!L13,CostesNoGeneración!$C32-Ingresos!L13,CostesNoGeneración!K49),IF((Producción!K52)*$B$43&lt;'Datos Consumo '!$F$12,CostesNoGeneración!K49,'Datos Consumo '!$F$12*'Datos Consumo '!$F$11))</f>
        <v>31.852981936355686</v>
      </c>
      <c r="M52">
        <f ca="1">IF('Datos Consumo '!$F$12&lt;1,IF(CostesNoGeneración!$C32&lt;CostesNoGeneración!L49+Ingresos!M13,CostesNoGeneración!$C32-Ingresos!M13,CostesNoGeneración!L49),IF((Producción!L52)*$B$43&lt;'Datos Consumo '!$F$12,CostesNoGeneración!L49,'Datos Consumo '!$F$12*'Datos Consumo '!$F$11))</f>
        <v>31.653558098050311</v>
      </c>
      <c r="N52">
        <f ca="1">IF('Datos Consumo '!$F$12&lt;1,IF(CostesNoGeneración!$C32&lt;CostesNoGeneración!M49+Ingresos!N13,CostesNoGeneración!$C32-Ingresos!N13,CostesNoGeneración!M49),IF((Producción!M52)*$B$43&lt;'Datos Consumo '!$F$12,CostesNoGeneración!M49,'Datos Consumo '!$F$12*'Datos Consumo '!$F$11))</f>
        <v>31.455211148471786</v>
      </c>
      <c r="O52">
        <f ca="1">IF('Datos Consumo '!$F$12&lt;1,IF(CostesNoGeneración!$C32&lt;CostesNoGeneración!N49+Ingresos!O13,CostesNoGeneración!$C32-Ingresos!O13,CostesNoGeneración!N49),IF((Producción!N52)*$B$43&lt;'Datos Consumo '!$F$12,CostesNoGeneración!N49,'Datos Consumo '!$F$12*'Datos Consumo '!$F$11))</f>
        <v>31.25793527242098</v>
      </c>
      <c r="P52">
        <f ca="1">IF('Datos Consumo '!$F$12&lt;1,IF(CostesNoGeneración!$C32&lt;CostesNoGeneración!O49+Ingresos!P13,CostesNoGeneración!$C32-Ingresos!P13,CostesNoGeneración!O49),IF((Producción!O52)*$B$43&lt;'Datos Consumo '!$F$12,CostesNoGeneración!O49,'Datos Consumo '!$F$12*'Datos Consumo '!$F$11))</f>
        <v>31.061724686100849</v>
      </c>
      <c r="Q52">
        <f ca="1">IF('Datos Consumo '!$F$12&lt;1,IF(CostesNoGeneración!$C32&lt;CostesNoGeneración!P49+Ingresos!Q13,CostesNoGeneración!$C32-Ingresos!Q13,CostesNoGeneración!P49),IF((Producción!P52)*$B$43&lt;'Datos Consumo '!$F$12,CostesNoGeneración!P49,'Datos Consumo '!$F$12*'Datos Consumo '!$F$11))</f>
        <v>30.866573636946846</v>
      </c>
      <c r="R52">
        <f ca="1">IF('Datos Consumo '!$F$12&lt;1,IF(CostesNoGeneración!$C32&lt;CostesNoGeneración!Q49+Ingresos!R13,CostesNoGeneración!$C32-Ingresos!R13,CostesNoGeneración!Q49),IF((Producción!Q52)*$B$43&lt;'Datos Consumo '!$F$12,CostesNoGeneración!Q49,'Datos Consumo '!$F$12*'Datos Consumo '!$F$11))</f>
        <v>30.67247640345828</v>
      </c>
      <c r="S52">
        <f ca="1">IF('Datos Consumo '!$F$12&lt;1,IF(CostesNoGeneración!$C32&lt;CostesNoGeneración!R49+Ingresos!S13,CostesNoGeneración!$C32-Ingresos!S13,CostesNoGeneración!R49),IF((Producción!R52)*$B$43&lt;'Datos Consumo '!$F$12,CostesNoGeneración!R49,'Datos Consumo '!$F$12*'Datos Consumo '!$F$11))</f>
        <v>30.479427295030536</v>
      </c>
      <c r="T52">
        <f ca="1">IF('Datos Consumo '!$F$12&lt;1,IF(CostesNoGeneración!$C32&lt;CostesNoGeneración!S49+Ingresos!T13,CostesNoGeneración!$C32-Ingresos!T13,CostesNoGeneración!S49),IF((Producción!S52)*$B$43&lt;'Datos Consumo '!$F$12,CostesNoGeneración!S49,'Datos Consumo '!$F$12*'Datos Consumo '!$F$11))</f>
        <v>30.287420651788324</v>
      </c>
      <c r="U52">
        <f ca="1">IF('Datos Consumo '!$F$12&lt;1,IF(CostesNoGeneración!$C32&lt;CostesNoGeneración!T49+Ingresos!U13,CostesNoGeneración!$C32-Ingresos!U13,CostesNoGeneración!T49),IF((Producción!T52)*$B$43&lt;'Datos Consumo '!$F$12,CostesNoGeneración!T49,'Datos Consumo '!$F$12*'Datos Consumo '!$F$11))</f>
        <v>30.096450844419618</v>
      </c>
      <c r="V52">
        <f ca="1">IF('Datos Consumo '!$F$12&lt;1,IF(CostesNoGeneración!$C32&lt;CostesNoGeneración!U49+Ingresos!V13,CostesNoGeneración!$C32-Ingresos!V13,CostesNoGeneración!U49),IF((Producción!U52)*$B$43&lt;'Datos Consumo '!$F$12,CostesNoGeneración!U49,'Datos Consumo '!$F$12*'Datos Consumo '!$F$11))</f>
        <v>29.906512274010687</v>
      </c>
      <c r="W52">
        <f ca="1">IF('Datos Consumo '!$F$12&lt;1,IF(CostesNoGeneración!$C32&lt;CostesNoGeneración!V49+Ingresos!W13,CostesNoGeneración!$C32-Ingresos!W13,CostesNoGeneración!V49),IF((Producción!V52)*$B$43&lt;'Datos Consumo '!$F$12,CostesNoGeneración!V49,'Datos Consumo '!$F$12*'Datos Consumo '!$F$11))</f>
        <v>29.717599371881967</v>
      </c>
      <c r="X52">
        <f ca="1">IF('Datos Consumo '!$F$12&lt;1,IF(CostesNoGeneración!$C32&lt;CostesNoGeneración!W49+Ingresos!X13,CostesNoGeneración!$C32-Ingresos!X13,CostesNoGeneración!W49),IF((Producción!W52)*$B$43&lt;'Datos Consumo '!$F$12,CostesNoGeneración!W49,'Datos Consumo '!$F$12*'Datos Consumo '!$F$11))</f>
        <v>29.529706599424756</v>
      </c>
      <c r="Y52">
        <f ca="1">IF('Datos Consumo '!$F$12&lt;1,IF(CostesNoGeneración!$C32&lt;CostesNoGeneración!X49+Ingresos!Y13,CostesNoGeneración!$C32-Ingresos!Y13,CostesNoGeneración!X49),IF((Producción!X52)*$B$43&lt;'Datos Consumo '!$F$12,CostesNoGeneración!X49,'Datos Consumo '!$F$12*'Datos Consumo '!$F$11))</f>
        <v>29.342828447938803</v>
      </c>
      <c r="Z52">
        <f ca="1">IF('Datos Consumo '!$F$12&lt;1,IF(CostesNoGeneración!$C32&lt;CostesNoGeneración!Y49+Ingresos!Z13,CostesNoGeneración!$C32-Ingresos!Z13,CostesNoGeneración!Y49),IF((Producción!Y52)*$B$43&lt;'Datos Consumo '!$F$12,CostesNoGeneración!Y49,'Datos Consumo '!$F$12*'Datos Consumo '!$F$11))</f>
        <v>29.156959438470864</v>
      </c>
      <c r="AA52">
        <f ca="1">IF('Datos Consumo '!$F$12&lt;1,IF(CostesNoGeneración!$C32&lt;CostesNoGeneración!Z49+Ingresos!AA13,CostesNoGeneración!$C32-Ingresos!AA13,CostesNoGeneración!Z49),IF((Producción!Z52)*$B$43&lt;'Datos Consumo '!$F$12,CostesNoGeneración!Z49,'Datos Consumo '!$F$12*'Datos Consumo '!$F$11))</f>
        <v>28.972094121654084</v>
      </c>
      <c r="AB52">
        <f ca="1">IF('Datos Consumo '!$F$12&lt;1,IF(CostesNoGeneración!$C32&lt;CostesNoGeneración!AA49+Ingresos!AB13,CostesNoGeneración!$C32-Ingresos!AB13,CostesNoGeneración!AA49),IF((Producción!AA52)*$B$43&lt;'Datos Consumo '!$F$12,CostesNoGeneración!AA49,'Datos Consumo '!$F$12*'Datos Consumo '!$F$11))</f>
        <v>28.788227077548086</v>
      </c>
      <c r="AC52">
        <f ca="1">IF('Datos Consumo '!$F$12&lt;1,IF(CostesNoGeneración!$C32&lt;CostesNoGeneración!AB49+Ingresos!AC13,CostesNoGeneración!$C32-Ingresos!AC13,CostesNoGeneración!AB49),IF((Producción!AB52)*$B$43&lt;'Datos Consumo '!$F$12,CostesNoGeneración!AB49,'Datos Consumo '!$F$12*'Datos Consumo '!$F$11))</f>
        <v>28.605352915480275</v>
      </c>
      <c r="AD52">
        <f ca="1">IF('Datos Consumo '!$F$12&lt;1,IF(CostesNoGeneración!$C32&lt;CostesNoGeneración!AC49+Ingresos!AD13,CostesNoGeneración!$C32-Ingresos!AD13,CostesNoGeneración!AC49),IF((Producción!AC52)*$B$43&lt;'Datos Consumo '!$F$12,CostesNoGeneración!AC49,'Datos Consumo '!$F$12*'Datos Consumo '!$F$11))</f>
        <v>28.423466273887627</v>
      </c>
      <c r="AE52">
        <f ca="1">IF('Datos Consumo '!$F$12&lt;1,IF(CostesNoGeneración!$C32&lt;CostesNoGeneración!AD49+Ingresos!AE13,CostesNoGeneración!$C32-Ingresos!AE13,CostesNoGeneración!AD49),IF((Producción!AD52)*$B$43&lt;'Datos Consumo '!$F$12,CostesNoGeneración!AD49,'Datos Consumo '!$F$12*'Datos Consumo '!$F$11))</f>
        <v>28.242561820159576</v>
      </c>
      <c r="AF52">
        <f ca="1">IF('Datos Consumo '!$F$12&lt;1,IF(CostesNoGeneración!$C32&lt;CostesNoGeneración!AE49+Ingresos!AF13,CostesNoGeneración!$C32-Ingresos!AF13,CostesNoGeneración!AE49),IF((Producción!AE52)*$B$43&lt;'Datos Consumo '!$F$12,CostesNoGeneración!AE49,'Datos Consumo '!$F$12*'Datos Consumo '!$F$11))</f>
        <v>28.062634250481654</v>
      </c>
      <c r="AG52">
        <f ca="1">IF('Datos Consumo '!$F$12&lt;1,IF(CostesNoGeneración!$C32&lt;CostesNoGeneración!AF49+Ingresos!AG13,CostesNoGeneración!$C32-Ingresos!AG13,CostesNoGeneración!AF49),IF((Producción!AF52)*$B$43&lt;'Datos Consumo '!$F$12,CostesNoGeneración!AF49,'Datos Consumo '!$F$12*'Datos Consumo '!$F$11))</f>
        <v>27.883678289679992</v>
      </c>
      <c r="AH52">
        <f ca="1">IF('Datos Consumo '!$F$12&lt;1,IF(CostesNoGeneración!$C32&lt;CostesNoGeneración!AG49+Ingresos!AH13,CostesNoGeneración!$C32-Ingresos!AH13,CostesNoGeneración!AG49),IF((Producción!AG52)*$B$43&lt;'Datos Consumo '!$F$12,CostesNoGeneración!AG49,'Datos Consumo '!$F$12*'Datos Consumo '!$F$11))</f>
        <v>27.705688691066669</v>
      </c>
    </row>
    <row r="53" spans="2:34">
      <c r="B53">
        <v>30</v>
      </c>
      <c r="C53" s="12" t="s">
        <v>14</v>
      </c>
      <c r="D53">
        <f ca="1">IF('Datos Consumo '!$F$12&lt;1,IF(CostesNoGeneración!$C33&lt;CostesNoGeneración!C50+Ingresos!D14,CostesNoGeneración!$C33-Ingresos!D14,CostesNoGeneración!C50),IF((Producción!C53)*$B$43&lt;'Datos Consumo '!$F$12,CostesNoGeneración!C50,'Datos Consumo '!$F$12*'Datos Consumo '!$F$11))</f>
        <v>28.623296428301884</v>
      </c>
      <c r="E53">
        <f ca="1">IF('Datos Consumo '!$F$12&lt;1,IF(CostesNoGeneración!$C33&lt;CostesNoGeneración!D50+Ingresos!E14,CostesNoGeneración!$C33-Ingresos!E14,CostesNoGeneración!D50),IF((Producción!D53)*$B$43&lt;'Datos Consumo '!$F$12,CostesNoGeneración!D50,'Datos Consumo '!$F$12*'Datos Consumo '!$F$11))</f>
        <v>28.442367420041876</v>
      </c>
      <c r="F53">
        <f ca="1">IF('Datos Consumo '!$F$12&lt;1,IF(CostesNoGeneración!$C33&lt;CostesNoGeneración!E50+Ingresos!F14,CostesNoGeneración!$C33-Ingresos!F14,CostesNoGeneración!E50),IF((Producción!E53)*$B$43&lt;'Datos Consumo '!$F$12,CostesNoGeneración!E50,'Datos Consumo '!$F$12*'Datos Consumo '!$F$11))</f>
        <v>28.262415428426483</v>
      </c>
      <c r="G53">
        <f ca="1">IF('Datos Consumo '!$F$12&lt;1,IF(CostesNoGeneración!$C33&lt;CostesNoGeneración!F50+Ingresos!G14,CostesNoGeneración!$C33-Ingresos!G14,CostesNoGeneración!F50),IF((Producción!F53)*$B$43&lt;'Datos Consumo '!$F$12,CostesNoGeneración!F50,'Datos Consumo '!$F$12*'Datos Consumo '!$F$11))</f>
        <v>28.083435177565818</v>
      </c>
      <c r="H53">
        <f ca="1">IF('Datos Consumo '!$F$12&lt;1,IF(CostesNoGeneración!$C33&lt;CostesNoGeneración!G50+Ingresos!H14,CostesNoGeneración!$C33-Ingresos!H14,CostesNoGeneración!G50),IF((Producción!G53)*$B$43&lt;'Datos Consumo '!$F$12,CostesNoGeneración!G50,'Datos Consumo '!$F$12*'Datos Consumo '!$F$11))</f>
        <v>27.905421420059795</v>
      </c>
      <c r="I53">
        <f ca="1">IF('Datos Consumo '!$F$12&lt;1,IF(CostesNoGeneración!$C33&lt;CostesNoGeneración!H50+Ingresos!I14,CostesNoGeneración!$C33-Ingresos!I14,CostesNoGeneración!H50),IF((Producción!H53)*$B$43&lt;'Datos Consumo '!$F$12,CostesNoGeneración!H50,'Datos Consumo '!$F$12*'Datos Consumo '!$F$11))</f>
        <v>27.728368936844291</v>
      </c>
      <c r="J53">
        <f ca="1">IF('Datos Consumo '!$F$12&lt;1,IF(CostesNoGeneración!$C33&lt;CostesNoGeneración!I50+Ingresos!J14,CostesNoGeneración!$C33-Ingresos!J14,CostesNoGeneración!I50),IF((Producción!I53)*$B$43&lt;'Datos Consumo '!$F$12,CostesNoGeneración!I50,'Datos Consumo '!$F$12*'Datos Consumo '!$F$11))</f>
        <v>27.552272537038171</v>
      </c>
      <c r="K53">
        <f ca="1">IF('Datos Consumo '!$F$12&lt;1,IF(CostesNoGeneración!$C33&lt;CostesNoGeneración!J50+Ingresos!K14,CostesNoGeneración!$C33-Ingresos!K14,CostesNoGeneración!J50),IF((Producción!J53)*$B$43&lt;'Datos Consumo '!$F$12,CostesNoGeneración!J50,'Datos Consumo '!$F$12*'Datos Consumo '!$F$11))</f>
        <v>27.37712705779099</v>
      </c>
      <c r="L53">
        <f ca="1">IF('Datos Consumo '!$F$12&lt;1,IF(CostesNoGeneración!$C33&lt;CostesNoGeneración!K50+Ingresos!L14,CostesNoGeneración!$C33-Ingresos!L14,CostesNoGeneración!K50),IF((Producción!K53)*$B$43&lt;'Datos Consumo '!$F$12,CostesNoGeneración!K50,'Datos Consumo '!$F$12*'Datos Consumo '!$F$11))</f>
        <v>27.202927364131746</v>
      </c>
      <c r="M53">
        <f ca="1">IF('Datos Consumo '!$F$12&lt;1,IF(CostesNoGeneración!$C33&lt;CostesNoGeneración!L50+Ingresos!M14,CostesNoGeneración!$C33-Ingresos!M14,CostesNoGeneración!L50),IF((Producción!L53)*$B$43&lt;'Datos Consumo '!$F$12,CostesNoGeneración!L50,'Datos Consumo '!$F$12*'Datos Consumo '!$F$11))</f>
        <v>27.02966834881828</v>
      </c>
      <c r="N53">
        <f ca="1">IF('Datos Consumo '!$F$12&lt;1,IF(CostesNoGeneración!$C33&lt;CostesNoGeneración!M50+Ingresos!N14,CostesNoGeneración!$C33-Ingresos!N14,CostesNoGeneración!M50),IF((Producción!M53)*$B$43&lt;'Datos Consumo '!$F$12,CostesNoGeneración!M50,'Datos Consumo '!$F$12*'Datos Consumo '!$F$11))</f>
        <v>26.857344932187484</v>
      </c>
      <c r="O53">
        <f ca="1">IF('Datos Consumo '!$F$12&lt;1,IF(CostesNoGeneración!$C33&lt;CostesNoGeneración!N50+Ingresos!O14,CostesNoGeneración!$C33-Ingresos!O14,CostesNoGeneración!N50),IF((Producción!N53)*$B$43&lt;'Datos Consumo '!$F$12,CostesNoGeneración!N50,'Datos Consumo '!$F$12*'Datos Consumo '!$F$11))</f>
        <v>26.6859520620065</v>
      </c>
      <c r="P53">
        <f ca="1">IF('Datos Consumo '!$F$12&lt;1,IF(CostesNoGeneración!$C33&lt;CostesNoGeneración!O50+Ingresos!P14,CostesNoGeneración!$C33-Ingresos!P14,CostesNoGeneración!O50),IF((Producción!O53)*$B$43&lt;'Datos Consumo '!$F$12,CostesNoGeneración!O50,'Datos Consumo '!$F$12*'Datos Consumo '!$F$11))</f>
        <v>26.515484713324497</v>
      </c>
      <c r="Q53">
        <f ca="1">IF('Datos Consumo '!$F$12&lt;1,IF(CostesNoGeneración!$C33&lt;CostesNoGeneración!P50+Ingresos!Q14,CostesNoGeneración!$C33-Ingresos!Q14,CostesNoGeneración!P50),IF((Producción!P53)*$B$43&lt;'Datos Consumo '!$F$12,CostesNoGeneración!P50,'Datos Consumo '!$F$12*'Datos Consumo '!$F$11))</f>
        <v>26.34593788832537</v>
      </c>
      <c r="R53">
        <f ca="1">IF('Datos Consumo '!$F$12&lt;1,IF(CostesNoGeneración!$C33&lt;CostesNoGeneración!Q50+Ingresos!R14,CostesNoGeneración!$C33-Ingresos!R14,CostesNoGeneración!Q50),IF((Producción!Q53)*$B$43&lt;'Datos Consumo '!$F$12,CostesNoGeneración!Q50,'Datos Consumo '!$F$12*'Datos Consumo '!$F$11))</f>
        <v>26.177306616181244</v>
      </c>
      <c r="S53">
        <f ca="1">IF('Datos Consumo '!$F$12&lt;1,IF(CostesNoGeneración!$C33&lt;CostesNoGeneración!R50+Ingresos!S14,CostesNoGeneración!$C33-Ingresos!S14,CostesNoGeneración!R50),IF((Producción!R53)*$B$43&lt;'Datos Consumo '!$F$12,CostesNoGeneración!R50,'Datos Consumo '!$F$12*'Datos Consumo '!$F$11))</f>
        <v>26.009585952906697</v>
      </c>
      <c r="T53">
        <f ca="1">IF('Datos Consumo '!$F$12&lt;1,IF(CostesNoGeneración!$C33&lt;CostesNoGeneración!S50+Ingresos!T14,CostesNoGeneración!$C33-Ingresos!T14,CostesNoGeneración!S50),IF((Producción!S53)*$B$43&lt;'Datos Consumo '!$F$12,CostesNoGeneración!S50,'Datos Consumo '!$F$12*'Datos Consumo '!$F$11))</f>
        <v>25.842770981213832</v>
      </c>
      <c r="U53">
        <f ca="1">IF('Datos Consumo '!$F$12&lt;1,IF(CostesNoGeneración!$C33&lt;CostesNoGeneración!T50+Ingresos!U14,CostesNoGeneración!$C33-Ingresos!U14,CostesNoGeneración!T50),IF((Producción!T53)*$B$43&lt;'Datos Consumo '!$F$12,CostesNoGeneración!T50,'Datos Consumo '!$F$12*'Datos Consumo '!$F$11))</f>
        <v>25.676856810368111</v>
      </c>
      <c r="V53">
        <f ca="1">IF('Datos Consumo '!$F$12&lt;1,IF(CostesNoGeneración!$C33&lt;CostesNoGeneración!U50+Ingresos!V14,CostesNoGeneración!$C33-Ingresos!V14,CostesNoGeneración!U50),IF((Producción!U53)*$B$43&lt;'Datos Consumo '!$F$12,CostesNoGeneración!U50,'Datos Consumo '!$F$12*'Datos Consumo '!$F$11))</f>
        <v>25.511838576044951</v>
      </c>
      <c r="W53">
        <f ca="1">IF('Datos Consumo '!$F$12&lt;1,IF(CostesNoGeneración!$C33&lt;CostesNoGeneración!V50+Ingresos!W14,CostesNoGeneración!$C33-Ingresos!W14,CostesNoGeneración!V50),IF((Producción!V53)*$B$43&lt;'Datos Consumo '!$F$12,CostesNoGeneración!V50,'Datos Consumo '!$F$12*'Datos Consumo '!$F$11))</f>
        <v>25.347711440187137</v>
      </c>
      <c r="X53">
        <f ca="1">IF('Datos Consumo '!$F$12&lt;1,IF(CostesNoGeneración!$C33&lt;CostesNoGeneración!W50+Ingresos!X14,CostesNoGeneración!$C33-Ingresos!X14,CostesNoGeneración!W50),IF((Producción!W53)*$B$43&lt;'Datos Consumo '!$F$12,CostesNoGeneración!W50,'Datos Consumo '!$F$12*'Datos Consumo '!$F$11))</f>
        <v>25.184470590862947</v>
      </c>
      <c r="Y53">
        <f ca="1">IF('Datos Consumo '!$F$12&lt;1,IF(CostesNoGeneración!$C33&lt;CostesNoGeneración!X50+Ingresos!Y14,CostesNoGeneración!$C33-Ingresos!Y14,CostesNoGeneración!X50),IF((Producción!X53)*$B$43&lt;'Datos Consumo '!$F$12,CostesNoGeneración!X50,'Datos Consumo '!$F$12*'Datos Consumo '!$F$11))</f>
        <v>25.022111242125124</v>
      </c>
      <c r="Z53">
        <f ca="1">IF('Datos Consumo '!$F$12&lt;1,IF(CostesNoGeneración!$C33&lt;CostesNoGeneración!Y50+Ingresos!Z14,CostesNoGeneración!$C33-Ingresos!Z14,CostesNoGeneración!Y50),IF((Producción!Y53)*$B$43&lt;'Datos Consumo '!$F$12,CostesNoGeneración!Y50,'Datos Consumo '!$F$12*'Datos Consumo '!$F$11))</f>
        <v>24.86062863387048</v>
      </c>
      <c r="AA53">
        <f ca="1">IF('Datos Consumo '!$F$12&lt;1,IF(CostesNoGeneración!$C33&lt;CostesNoGeneración!Z50+Ingresos!AA14,CostesNoGeneración!$C33-Ingresos!AA14,CostesNoGeneración!Z50),IF((Producción!Z53)*$B$43&lt;'Datos Consumo '!$F$12,CostesNoGeneración!Z50,'Datos Consumo '!$F$12*'Datos Consumo '!$F$11))</f>
        <v>24.700018031700406</v>
      </c>
      <c r="AB53">
        <f ca="1">IF('Datos Consumo '!$F$12&lt;1,IF(CostesNoGeneración!$C33&lt;CostesNoGeneración!AA50+Ingresos!AB14,CostesNoGeneración!$C33-Ingresos!AB14,CostesNoGeneración!AA50),IF((Producción!AA53)*$B$43&lt;'Datos Consumo '!$F$12,CostesNoGeneración!AA50,'Datos Consumo '!$F$12*'Datos Consumo '!$F$11))</f>
        <v>24.540274726782059</v>
      </c>
      <c r="AC53">
        <f ca="1">IF('Datos Consumo '!$F$12&lt;1,IF(CostesNoGeneración!$C33&lt;CostesNoGeneración!AB50+Ingresos!AC14,CostesNoGeneración!$C33-Ingresos!AC14,CostesNoGeneración!AB50),IF((Producción!AB53)*$B$43&lt;'Datos Consumo '!$F$12,CostesNoGeneración!AB50,'Datos Consumo '!$F$12*'Datos Consumo '!$F$11))</f>
        <v>24.381394035710265</v>
      </c>
      <c r="AD53">
        <f ca="1">IF('Datos Consumo '!$F$12&lt;1,IF(CostesNoGeneración!$C33&lt;CostesNoGeneración!AC50+Ingresos!AD14,CostesNoGeneración!$C33-Ingresos!AD14,CostesNoGeneración!AC50),IF((Producción!AC53)*$B$43&lt;'Datos Consumo '!$F$12,CostesNoGeneración!AC50,'Datos Consumo '!$F$12*'Datos Consumo '!$F$11))</f>
        <v>24.22337130037026</v>
      </c>
      <c r="AE53">
        <f ca="1">IF('Datos Consumo '!$F$12&lt;1,IF(CostesNoGeneración!$C33&lt;CostesNoGeneración!AD50+Ingresos!AE14,CostesNoGeneración!$C33-Ingresos!AE14,CostesNoGeneración!AD50),IF((Producción!AD53)*$B$43&lt;'Datos Consumo '!$F$12,CostesNoGeneración!AD50,'Datos Consumo '!$F$12*'Datos Consumo '!$F$11))</f>
        <v>24.066201887801085</v>
      </c>
      <c r="AF53">
        <f ca="1">IF('Datos Consumo '!$F$12&lt;1,IF(CostesNoGeneración!$C33&lt;CostesNoGeneración!AE50+Ingresos!AF14,CostesNoGeneración!$C33-Ingresos!AF14,CostesNoGeneración!AE50),IF((Producción!AE53)*$B$43&lt;'Datos Consumo '!$F$12,CostesNoGeneración!AE50,'Datos Consumo '!$F$12*'Datos Consumo '!$F$11))</f>
        <v>23.909881190059792</v>
      </c>
      <c r="AG53">
        <f ca="1">IF('Datos Consumo '!$F$12&lt;1,IF(CostesNoGeneración!$C33&lt;CostesNoGeneración!AF50+Ingresos!AG14,CostesNoGeneración!$C33-Ingresos!AG14,CostesNoGeneración!AF50),IF((Producción!AF53)*$B$43&lt;'Datos Consumo '!$F$12,CostesNoGeneración!AF50,'Datos Consumo '!$F$12*'Datos Consumo '!$F$11))</f>
        <v>23.754404624086302</v>
      </c>
      <c r="AH53">
        <f ca="1">IF('Datos Consumo '!$F$12&lt;1,IF(CostesNoGeneración!$C33&lt;CostesNoGeneración!AG50+Ingresos!AH14,CostesNoGeneración!$C33-Ingresos!AH14,CostesNoGeneración!AG50),IF((Producción!AG53)*$B$43&lt;'Datos Consumo '!$F$12,CostesNoGeneración!AG50,'Datos Consumo '!$F$12*'Datos Consumo '!$F$11))</f>
        <v>23.599767631569062</v>
      </c>
    </row>
    <row r="54" spans="2:34">
      <c r="B54">
        <v>31</v>
      </c>
      <c r="C54" s="12" t="s">
        <v>15</v>
      </c>
      <c r="D54">
        <f ca="1">IF('Datos Consumo '!$F$12&lt;1,IF(CostesNoGeneración!$C34&lt;CostesNoGeneración!C51+Ingresos!D15,CostesNoGeneración!$C34-Ingresos!D15,CostesNoGeneración!C51),IF((Producción!C54)*$B$43&lt;'Datos Consumo '!$F$12,CostesNoGeneración!C51,'Datos Consumo '!$F$12*'Datos Consumo '!$F$11))</f>
        <v>25.677466539622642</v>
      </c>
      <c r="E54">
        <f ca="1">IF('Datos Consumo '!$F$12&lt;1,IF(CostesNoGeneración!$C34&lt;CostesNoGeneración!D51+Ingresos!E15,CostesNoGeneración!$C34-Ingresos!E15,CostesNoGeneración!D51),IF((Producción!D54)*$B$43&lt;'Datos Consumo '!$F$12,CostesNoGeneración!D51,'Datos Consumo '!$F$12*'Datos Consumo '!$F$11))</f>
        <v>25.50189972974264</v>
      </c>
      <c r="F54">
        <f ca="1">IF('Datos Consumo '!$F$12&lt;1,IF(CostesNoGeneración!$C34&lt;CostesNoGeneración!E51+Ingresos!F15,CostesNoGeneración!$C34-Ingresos!F15,CostesNoGeneración!E51),IF((Producción!E54)*$B$43&lt;'Datos Consumo '!$F$12,CostesNoGeneración!E51,'Datos Consumo '!$F$12*'Datos Consumo '!$F$11))</f>
        <v>25.327280980635997</v>
      </c>
      <c r="G54">
        <f ca="1">IF('Datos Consumo '!$F$12&lt;1,IF(CostesNoGeneración!$C34&lt;CostesNoGeneración!F51+Ingresos!G15,CostesNoGeneración!$C34-Ingresos!G15,CostesNoGeneración!F51),IF((Producción!F54)*$B$43&lt;'Datos Consumo '!$F$12,CostesNoGeneración!F51,'Datos Consumo '!$F$12*'Datos Consumo '!$F$11))</f>
        <v>25.153605172774519</v>
      </c>
      <c r="H54">
        <f ca="1">IF('Datos Consumo '!$F$12&lt;1,IF(CostesNoGeneración!$C34&lt;CostesNoGeneración!G51+Ingresos!H15,CostesNoGeneración!$C34-Ingresos!H15,CostesNoGeneración!G51),IF((Producción!G54)*$B$43&lt;'Datos Consumo '!$F$12,CostesNoGeneración!G51,'Datos Consumo '!$F$12*'Datos Consumo '!$F$11))</f>
        <v>24.980867214275502</v>
      </c>
      <c r="I54">
        <f ca="1">IF('Datos Consumo '!$F$12&lt;1,IF(CostesNoGeneración!$C34&lt;CostesNoGeneración!H51+Ingresos!I15,CostesNoGeneración!$C34-Ingresos!I15,CostesNoGeneración!H51),IF((Producción!H54)*$B$43&lt;'Datos Consumo '!$F$12,CostesNoGeneración!H51,'Datos Consumo '!$F$12*'Datos Consumo '!$F$11))</f>
        <v>24.809062040752377</v>
      </c>
      <c r="J54">
        <f ca="1">IF('Datos Consumo '!$F$12&lt;1,IF(CostesNoGeneración!$C34&lt;CostesNoGeneración!I51+Ingresos!J15,CostesNoGeneración!$C34-Ingresos!J15,CostesNoGeneración!I51),IF((Producción!I54)*$B$43&lt;'Datos Consumo '!$F$12,CostesNoGeneración!I51,'Datos Consumo '!$F$12*'Datos Consumo '!$F$11))</f>
        <v>24.638184615166278</v>
      </c>
      <c r="K54">
        <f ca="1">IF('Datos Consumo '!$F$12&lt;1,IF(CostesNoGeneración!$C34&lt;CostesNoGeneración!J51+Ingresos!K15,CostesNoGeneración!$C34-Ingresos!K15,CostesNoGeneración!J51),IF((Producción!J54)*$B$43&lt;'Datos Consumo '!$F$12,CostesNoGeneración!J51,'Datos Consumo '!$F$12*'Datos Consumo '!$F$11))</f>
        <v>24.468229927678344</v>
      </c>
      <c r="L54">
        <f ca="1">IF('Datos Consumo '!$F$12&lt;1,IF(CostesNoGeneración!$C34&lt;CostesNoGeneración!K51+Ingresos!L15,CostesNoGeneración!$C34-Ingresos!L15,CostesNoGeneración!K51),IF((Producción!K54)*$B$43&lt;'Datos Consumo '!$F$12,CostesNoGeneración!K51,'Datos Consumo '!$F$12*'Datos Consumo '!$F$11))</f>
        <v>24.299192995502843</v>
      </c>
      <c r="M54">
        <f ca="1">IF('Datos Consumo '!$F$12&lt;1,IF(CostesNoGeneración!$C34&lt;CostesNoGeneración!L51+Ingresos!M15,CostesNoGeneración!$C34-Ingresos!M15,CostesNoGeneración!L51),IF((Producción!L54)*$B$43&lt;'Datos Consumo '!$F$12,CostesNoGeneración!L51,'Datos Consumo '!$F$12*'Datos Consumo '!$F$11))</f>
        <v>24.131068862761094</v>
      </c>
      <c r="N54">
        <f ca="1">IF('Datos Consumo '!$F$12&lt;1,IF(CostesNoGeneración!$C34&lt;CostesNoGeneración!M51+Ingresos!N15,CostesNoGeneración!$C34-Ingresos!N15,CostesNoGeneración!M51),IF((Producción!M54)*$B$43&lt;'Datos Consumo '!$F$12,CostesNoGeneración!M51,'Datos Consumo '!$F$12*'Datos Consumo '!$F$11))</f>
        <v>23.963852600336139</v>
      </c>
      <c r="O54">
        <f ca="1">IF('Datos Consumo '!$F$12&lt;1,IF(CostesNoGeneración!$C34&lt;CostesNoGeneración!N51+Ingresos!O15,CostesNoGeneración!$C34-Ingresos!O15,CostesNoGeneración!N51),IF((Producción!N54)*$B$43&lt;'Datos Consumo '!$F$12,CostesNoGeneración!N51,'Datos Consumo '!$F$12*'Datos Consumo '!$F$11))</f>
        <v>23.797539305728289</v>
      </c>
      <c r="P54">
        <f ca="1">IF('Datos Consumo '!$F$12&lt;1,IF(CostesNoGeneración!$C34&lt;CostesNoGeneración!O51+Ingresos!P15,CostesNoGeneración!$C34-Ingresos!P15,CostesNoGeneración!O51),IF((Producción!O54)*$B$43&lt;'Datos Consumo '!$F$12,CostesNoGeneración!O51,'Datos Consumo '!$F$12*'Datos Consumo '!$F$11))</f>
        <v>23.63212410291132</v>
      </c>
      <c r="Q54">
        <f ca="1">IF('Datos Consumo '!$F$12&lt;1,IF(CostesNoGeneración!$C34&lt;CostesNoGeneración!P51+Ingresos!Q15,CostesNoGeneración!$C34-Ingresos!Q15,CostesNoGeneración!P51),IF((Producción!P54)*$B$43&lt;'Datos Consumo '!$F$12,CostesNoGeneración!P51,'Datos Consumo '!$F$12*'Datos Consumo '!$F$11))</f>
        <v>23.467602142189552</v>
      </c>
      <c r="R54">
        <f ca="1">IF('Datos Consumo '!$F$12&lt;1,IF(CostesNoGeneración!$C34&lt;CostesNoGeneración!Q51+Ingresos!R15,CostesNoGeneración!$C34-Ingresos!R15,CostesNoGeneración!Q51),IF((Producción!Q54)*$B$43&lt;'Datos Consumo '!$F$12,CostesNoGeneración!Q51,'Datos Consumo '!$F$12*'Datos Consumo '!$F$11))</f>
        <v>23.303968600055697</v>
      </c>
      <c r="S54">
        <f ca="1">IF('Datos Consumo '!$F$12&lt;1,IF(CostesNoGeneración!$C34&lt;CostesNoGeneración!R51+Ingresos!S15,CostesNoGeneración!$C34-Ingresos!S15,CostesNoGeneración!R51),IF((Producción!R54)*$B$43&lt;'Datos Consumo '!$F$12,CostesNoGeneración!R51,'Datos Consumo '!$F$12*'Datos Consumo '!$F$11))</f>
        <v>23.141218679049359</v>
      </c>
      <c r="T54">
        <f ca="1">IF('Datos Consumo '!$F$12&lt;1,IF(CostesNoGeneración!$C34&lt;CostesNoGeneración!S51+Ingresos!T15,CostesNoGeneración!$C34-Ingresos!T15,CostesNoGeneración!S51),IF((Producción!S54)*$B$43&lt;'Datos Consumo '!$F$12,CostesNoGeneración!S51,'Datos Consumo '!$F$12*'Datos Consumo '!$F$11))</f>
        <v>22.979347607616454</v>
      </c>
      <c r="U54">
        <f ca="1">IF('Datos Consumo '!$F$12&lt;1,IF(CostesNoGeneración!$C34&lt;CostesNoGeneración!T51+Ingresos!U15,CostesNoGeneración!$C34-Ingresos!U15,CostesNoGeneración!T51),IF((Producción!T54)*$B$43&lt;'Datos Consumo '!$F$12,CostesNoGeneración!T51,'Datos Consumo '!$F$12*'Datos Consumo '!$F$11))</f>
        <v>22.818350639969289</v>
      </c>
      <c r="V54">
        <f ca="1">IF('Datos Consumo '!$F$12&lt;1,IF(CostesNoGeneración!$C34&lt;CostesNoGeneración!U51+Ingresos!V15,CostesNoGeneración!$C34-Ingresos!V15,CostesNoGeneración!U51),IF((Producción!U54)*$B$43&lt;'Datos Consumo '!$F$12,CostesNoGeneración!U51,'Datos Consumo '!$F$12*'Datos Consumo '!$F$11))</f>
        <v>22.658223055947417</v>
      </c>
      <c r="W54">
        <f ca="1">IF('Datos Consumo '!$F$12&lt;1,IF(CostesNoGeneración!$C34&lt;CostesNoGeneración!V51+Ingresos!W15,CostesNoGeneración!$C34-Ingresos!W15,CostesNoGeneración!V51),IF((Producción!V54)*$B$43&lt;'Datos Consumo '!$F$12,CostesNoGeneración!V51,'Datos Consumo '!$F$12*'Datos Consumo '!$F$11))</f>
        <v>22.498960160879264</v>
      </c>
      <c r="X54">
        <f ca="1">IF('Datos Consumo '!$F$12&lt;1,IF(CostesNoGeneración!$C34&lt;CostesNoGeneración!W51+Ingresos!X15,CostesNoGeneración!$C34-Ingresos!X15,CostesNoGeneración!W51),IF((Producción!W54)*$B$43&lt;'Datos Consumo '!$F$12,CostesNoGeneración!W51,'Datos Consumo '!$F$12*'Datos Consumo '!$F$11))</f>
        <v>22.340557285444476</v>
      </c>
      <c r="Y54">
        <f ca="1">IF('Datos Consumo '!$F$12&lt;1,IF(CostesNoGeneración!$C34&lt;CostesNoGeneración!X51+Ingresos!Y15,CostesNoGeneración!$C34-Ingresos!Y15,CostesNoGeneración!X51),IF((Producción!X54)*$B$43&lt;'Datos Consumo '!$F$12,CostesNoGeneración!X51,'Datos Consumo '!$F$12*'Datos Consumo '!$F$11))</f>
        <v>22.183009785537038</v>
      </c>
      <c r="Z54">
        <f ca="1">IF('Datos Consumo '!$F$12&lt;1,IF(CostesNoGeneración!$C34&lt;CostesNoGeneración!Y51+Ingresos!Z15,CostesNoGeneración!$C34-Ingresos!Z15,CostesNoGeneración!Y51),IF((Producción!Y54)*$B$43&lt;'Datos Consumo '!$F$12,CostesNoGeneración!Y51,'Datos Consumo '!$F$12*'Datos Consumo '!$F$11))</f>
        <v>22.0263130421291</v>
      </c>
      <c r="AA54">
        <f ca="1">IF('Datos Consumo '!$F$12&lt;1,IF(CostesNoGeneración!$C34&lt;CostesNoGeneración!Z51+Ingresos!AA15,CostesNoGeneración!$C34-Ingresos!AA15,CostesNoGeneración!Z51),IF((Producción!Z54)*$B$43&lt;'Datos Consumo '!$F$12,CostesNoGeneración!Z51,'Datos Consumo '!$F$12*'Datos Consumo '!$F$11))</f>
        <v>21.870462461135567</v>
      </c>
      <c r="AB54">
        <f ca="1">IF('Datos Consumo '!$F$12&lt;1,IF(CostesNoGeneración!$C34&lt;CostesNoGeneración!AA51+Ingresos!AB15,CostesNoGeneración!$C34-Ingresos!AB15,CostesNoGeneración!AA51),IF((Producción!AA54)*$B$43&lt;'Datos Consumo '!$F$12,CostesNoGeneración!AA51,'Datos Consumo '!$F$12*'Datos Consumo '!$F$11))</f>
        <v>21.715453473279396</v>
      </c>
      <c r="AC54">
        <f ca="1">IF('Datos Consumo '!$F$12&lt;1,IF(CostesNoGeneración!$C34&lt;CostesNoGeneración!AB51+Ingresos!AC15,CostesNoGeneración!$C34-Ingresos!AC15,CostesNoGeneración!AB51),IF((Producción!AB54)*$B$43&lt;'Datos Consumo '!$F$12,CostesNoGeneración!AB51,'Datos Consumo '!$F$12*'Datos Consumo '!$F$11))</f>
        <v>21.561281533957651</v>
      </c>
      <c r="AD54">
        <f ca="1">IF('Datos Consumo '!$F$12&lt;1,IF(CostesNoGeneración!$C34&lt;CostesNoGeneración!AC51+Ingresos!AD15,CostesNoGeneración!$C34-Ingresos!AD15,CostesNoGeneración!AC51),IF((Producción!AC54)*$B$43&lt;'Datos Consumo '!$F$12,CostesNoGeneración!AC51,'Datos Consumo '!$F$12*'Datos Consumo '!$F$11))</f>
        <v>21.407942123108239</v>
      </c>
      <c r="AE54">
        <f ca="1">IF('Datos Consumo '!$F$12&lt;1,IF(CostesNoGeneración!$C34&lt;CostesNoGeneración!AD51+Ingresos!AE15,CostesNoGeneración!$C34-Ingresos!AE15,CostesNoGeneración!AD51),IF((Producción!AD54)*$B$43&lt;'Datos Consumo '!$F$12,CostesNoGeneración!AD51,'Datos Consumo '!$F$12*'Datos Consumo '!$F$11))</f>
        <v>21.255430745077412</v>
      </c>
      <c r="AF54">
        <f ca="1">IF('Datos Consumo '!$F$12&lt;1,IF(CostesNoGeneración!$C34&lt;CostesNoGeneración!AE51+Ingresos!AF15,CostesNoGeneración!$C34-Ingresos!AF15,CostesNoGeneración!AE51),IF((Producción!AE54)*$B$43&lt;'Datos Consumo '!$F$12,CostesNoGeneración!AE51,'Datos Consumo '!$F$12*'Datos Consumo '!$F$11))</f>
        <v>21.103742928487961</v>
      </c>
      <c r="AG54">
        <f ca="1">IF('Datos Consumo '!$F$12&lt;1,IF(CostesNoGeneración!$C34&lt;CostesNoGeneración!AF51+Ingresos!AG15,CostesNoGeneración!$C34-Ingresos!AG15,CostesNoGeneración!AF51),IF((Producción!AF54)*$B$43&lt;'Datos Consumo '!$F$12,CostesNoGeneración!AF51,'Datos Consumo '!$F$12*'Datos Consumo '!$F$11))</f>
        <v>20.952874226108086</v>
      </c>
      <c r="AH54">
        <f ca="1">IF('Datos Consumo '!$F$12&lt;1,IF(CostesNoGeneración!$C34&lt;CostesNoGeneración!AG51+Ingresos!AH15,CostesNoGeneración!$C34-Ingresos!AH15,CostesNoGeneración!AG51),IF((Producción!AG54)*$B$43&lt;'Datos Consumo '!$F$12,CostesNoGeneración!AG51,'Datos Consumo '!$F$12*'Datos Consumo '!$F$11))</f>
        <v>20.802820214721066</v>
      </c>
    </row>
    <row r="59" spans="2:34">
      <c r="D59" s="24">
        <f>D42</f>
        <v>2020</v>
      </c>
      <c r="E59" s="24">
        <f t="shared" ref="E59:AH59" si="43">E42</f>
        <v>2021</v>
      </c>
      <c r="F59" s="24">
        <f t="shared" si="43"/>
        <v>2022</v>
      </c>
      <c r="G59" s="24">
        <f t="shared" si="43"/>
        <v>2023</v>
      </c>
      <c r="H59" s="24">
        <f t="shared" si="43"/>
        <v>2024</v>
      </c>
      <c r="I59" s="24">
        <f t="shared" si="43"/>
        <v>2025</v>
      </c>
      <c r="J59" s="24">
        <f t="shared" si="43"/>
        <v>2026</v>
      </c>
      <c r="K59" s="24">
        <f t="shared" si="43"/>
        <v>2027</v>
      </c>
      <c r="L59" s="24">
        <f t="shared" si="43"/>
        <v>2028</v>
      </c>
      <c r="M59" s="24">
        <f t="shared" si="43"/>
        <v>2029</v>
      </c>
      <c r="N59" s="24">
        <f t="shared" si="43"/>
        <v>2030</v>
      </c>
      <c r="O59" s="24">
        <f t="shared" si="43"/>
        <v>2031</v>
      </c>
      <c r="P59" s="24">
        <f t="shared" si="43"/>
        <v>2032</v>
      </c>
      <c r="Q59" s="24">
        <f t="shared" si="43"/>
        <v>2033</v>
      </c>
      <c r="R59" s="24">
        <f t="shared" si="43"/>
        <v>2034</v>
      </c>
      <c r="S59" s="24">
        <f t="shared" si="43"/>
        <v>2035</v>
      </c>
      <c r="T59" s="24">
        <f t="shared" si="43"/>
        <v>2036</v>
      </c>
      <c r="U59" s="24">
        <f t="shared" si="43"/>
        <v>2037</v>
      </c>
      <c r="V59" s="24">
        <f t="shared" si="43"/>
        <v>2038</v>
      </c>
      <c r="W59" s="24">
        <f t="shared" si="43"/>
        <v>2039</v>
      </c>
      <c r="X59" s="24">
        <f t="shared" si="43"/>
        <v>2040</v>
      </c>
      <c r="Y59" s="24">
        <f t="shared" si="43"/>
        <v>2041</v>
      </c>
      <c r="Z59" s="24">
        <f t="shared" si="43"/>
        <v>2042</v>
      </c>
      <c r="AA59" s="24">
        <f t="shared" si="43"/>
        <v>2043</v>
      </c>
      <c r="AB59" s="24">
        <f t="shared" si="43"/>
        <v>2044</v>
      </c>
      <c r="AC59" s="24">
        <f t="shared" si="43"/>
        <v>2045</v>
      </c>
      <c r="AD59" s="24">
        <f t="shared" si="43"/>
        <v>2046</v>
      </c>
      <c r="AE59" s="24">
        <f t="shared" si="43"/>
        <v>2047</v>
      </c>
      <c r="AF59" s="24">
        <f t="shared" si="43"/>
        <v>2048</v>
      </c>
      <c r="AG59" s="24">
        <f t="shared" si="43"/>
        <v>2049</v>
      </c>
      <c r="AH59" s="24">
        <f t="shared" si="43"/>
        <v>2050</v>
      </c>
    </row>
    <row r="60" spans="2:34">
      <c r="C60" s="24" t="str">
        <f>C43</f>
        <v>Enero</v>
      </c>
      <c r="D60">
        <f ca="1">IF('Datos Consumo '!$F$12&lt;1,IF(CostesNoGeneración!$C23&lt;CostesNoGeneración!C56+Ingresos!D23,CostesNoGeneración!$C23-Ingresos!D23,CostesNoGeneración!C56),IF((Producción!C63)*$B$43&lt;'Datos Consumo '!$F$12,CostesNoGeneración!C56,'Datos Consumo '!$F$12*'Datos Consumo '!$F$11))</f>
        <v>24.620789844622646</v>
      </c>
      <c r="E60">
        <f ca="1">IF('Datos Consumo '!$F$12&lt;1,IF(CostesNoGeneración!$C23&lt;CostesNoGeneración!D56+Ingresos!E23,CostesNoGeneración!$C23-Ingresos!E23,CostesNoGeneración!D56),IF((Producción!D63)*$B$43&lt;'Datos Consumo '!$F$12,CostesNoGeneración!D56,'Datos Consumo '!$F$12*'Datos Consumo '!$F$11))</f>
        <v>24.620789844622646</v>
      </c>
      <c r="F60">
        <f ca="1">IF('Datos Consumo '!$F$12&lt;1,IF(CostesNoGeneración!$C23&lt;CostesNoGeneración!E56+Ingresos!F23,CostesNoGeneración!$C23-Ingresos!F23,CostesNoGeneración!E56),IF((Producción!E63)*$B$43&lt;'Datos Consumo '!$F$12,CostesNoGeneración!E56,'Datos Consumo '!$F$12*'Datos Consumo '!$F$11))</f>
        <v>24.281985581249572</v>
      </c>
      <c r="G60">
        <f ca="1">IF('Datos Consumo '!$F$12&lt;1,IF(CostesNoGeneración!$C23&lt;CostesNoGeneración!F56+Ingresos!G23,CostesNoGeneración!$C23-Ingresos!G23,CostesNoGeneración!F56),IF((Producción!F63)*$B$43&lt;'Datos Consumo '!$F$12,CostesNoGeneración!F56,'Datos Consumo '!$F$12*'Datos Consumo '!$F$11))</f>
        <v>24.113954368544782</v>
      </c>
      <c r="H60">
        <f ca="1">IF('Datos Consumo '!$F$12&lt;1,IF(CostesNoGeneración!$C23&lt;CostesNoGeneración!G56+Ingresos!H23,CostesNoGeneración!$C23-Ingresos!H23,CostesNoGeneración!G56),IF((Producción!G63)*$B$43&lt;'Datos Consumo '!$F$12,CostesNoGeneración!G56,'Datos Consumo '!$F$12*'Datos Consumo '!$F$11))</f>
        <v>23.946830524388606</v>
      </c>
      <c r="I60">
        <f ca="1">IF('Datos Consumo '!$F$12&lt;1,IF(CostesNoGeneración!$C23&lt;CostesNoGeneración!H56+Ingresos!I23,CostesNoGeneración!$C23-Ingresos!I23,CostesNoGeneración!H56),IF((Producción!H63)*$B$43&lt;'Datos Consumo '!$F$12,CostesNoGeneración!H56,'Datos Consumo '!$F$12*'Datos Consumo '!$F$11))</f>
        <v>23.78060914899087</v>
      </c>
      <c r="J60">
        <f ca="1">IF('Datos Consumo '!$F$12&lt;1,IF(CostesNoGeneración!$C23&lt;CostesNoGeneración!I56+Ingresos!J23,CostesNoGeneración!$C23-Ingresos!J23,CostesNoGeneración!I56),IF((Producción!I63)*$B$43&lt;'Datos Consumo '!$F$12,CostesNoGeneración!I56,'Datos Consumo '!$F$12*'Datos Consumo '!$F$11))</f>
        <v>23.615285369020285</v>
      </c>
      <c r="K60">
        <f ca="1">IF('Datos Consumo '!$F$12&lt;1,IF(CostesNoGeneración!$C23&lt;CostesNoGeneración!J56+Ingresos!K23,CostesNoGeneración!$C23-Ingresos!K23,CostesNoGeneración!J56),IF((Producción!J63)*$B$43&lt;'Datos Consumo '!$F$12,CostesNoGeneración!J56,'Datos Consumo '!$F$12*'Datos Consumo '!$F$11))</f>
        <v>23.450854337461536</v>
      </c>
      <c r="L60">
        <f ca="1">IF('Datos Consumo '!$F$12&lt;1,IF(CostesNoGeneración!$C23&lt;CostesNoGeneración!K56+Ingresos!L23,CostesNoGeneración!$C23-Ingresos!L23,CostesNoGeneración!K56),IF((Producción!K63)*$B$43&lt;'Datos Consumo '!$F$12,CostesNoGeneración!K56,'Datos Consumo '!$F$12*'Datos Consumo '!$F$11))</f>
        <v>23.287311233473204</v>
      </c>
      <c r="M60">
        <f ca="1">IF('Datos Consumo '!$F$12&lt;1,IF(CostesNoGeneración!$C23&lt;CostesNoGeneración!L56+Ingresos!M23,CostesNoGeneración!$C23-Ingresos!M23,CostesNoGeneración!L56),IF((Producción!L63)*$B$43&lt;'Datos Consumo '!$F$12,CostesNoGeneración!L56,'Datos Consumo '!$F$12*'Datos Consumo '!$F$11))</f>
        <v>23.124651262246413</v>
      </c>
      <c r="N60">
        <f ca="1">IF('Datos Consumo '!$F$12&lt;1,IF(CostesNoGeneración!$C23&lt;CostesNoGeneración!M56+Ingresos!N23,CostesNoGeneración!$C23-Ingresos!N23,CostesNoGeneración!M56),IF((Producción!M63)*$B$43&lt;'Datos Consumo '!$F$12,CostesNoGeneración!M56,'Datos Consumo '!$F$12*'Datos Consumo '!$F$11))</f>
        <v>22.962869654864246</v>
      </c>
      <c r="O60">
        <f ca="1">IF('Datos Consumo '!$F$12&lt;1,IF(CostesNoGeneración!$C23&lt;CostesNoGeneración!N56+Ingresos!O23,CostesNoGeneración!$C23-Ingresos!O23,CostesNoGeneración!N56),IF((Producción!N63)*$B$43&lt;'Datos Consumo '!$F$12,CostesNoGeneración!N56,'Datos Consumo '!$F$12*'Datos Consumo '!$F$11))</f>
        <v>22.801961668161933</v>
      </c>
      <c r="P60">
        <f ca="1">IF('Datos Consumo '!$F$12&lt;1,IF(CostesNoGeneración!$C23&lt;CostesNoGeneración!O56+Ingresos!P23,CostesNoGeneración!$C23-Ingresos!P23,CostesNoGeneración!O56),IF((Producción!O63)*$B$43&lt;'Datos Consumo '!$F$12,CostesNoGeneración!O56,'Datos Consumo '!$F$12*'Datos Consumo '!$F$11))</f>
        <v>23.546425836741737</v>
      </c>
      <c r="Q60">
        <f ca="1">IF('Datos Consumo '!$F$12&lt;1,IF(CostesNoGeneración!$C23&lt;CostesNoGeneración!P56+Ingresos!Q23,CostesNoGeneración!$C23-Ingresos!Q23,CostesNoGeneración!P56),IF((Producción!P63)*$B$43&lt;'Datos Consumo '!$F$12,CostesNoGeneración!P56,'Datos Consumo '!$F$12*'Datos Consumo '!$F$11))</f>
        <v>23.382366646657299</v>
      </c>
      <c r="R60">
        <f ca="1">IF('Datos Consumo '!$F$12&lt;1,IF(CostesNoGeneración!$C23&lt;CostesNoGeneración!Q56+Ingresos!R23,CostesNoGeneración!$C23-Ingresos!R23,CostesNoGeneración!Q56),IF((Producción!Q63)*$B$43&lt;'Datos Consumo '!$F$12,CostesNoGeneración!Q56,'Datos Consumo '!$F$12*'Datos Consumo '!$F$11))</f>
        <v>23.2191933761993</v>
      </c>
      <c r="S60">
        <f ca="1">IF('Datos Consumo '!$F$12&lt;1,IF(CostesNoGeneración!$C23&lt;CostesNoGeneración!R56+Ingresos!S23,CostesNoGeneración!$C23-Ingresos!S23,CostesNoGeneración!R56),IF((Producción!R63)*$B$43&lt;'Datos Consumo '!$F$12,CostesNoGeneración!R56,'Datos Consumo '!$F$12*'Datos Consumo '!$F$11))</f>
        <v>23.056901241401789</v>
      </c>
      <c r="T60">
        <f ca="1">IF('Datos Consumo '!$F$12&lt;1,IF(CostesNoGeneración!$C23&lt;CostesNoGeneración!S56+Ingresos!T23,CostesNoGeneración!$C23-Ingresos!T23,CostesNoGeneración!S56),IF((Producción!S63)*$B$43&lt;'Datos Consumo '!$F$12,CostesNoGeneración!S56,'Datos Consumo '!$F$12*'Datos Consumo '!$F$11))</f>
        <v>22.89548548413218</v>
      </c>
      <c r="U60">
        <f ca="1">IF('Datos Consumo '!$F$12&lt;1,IF(CostesNoGeneración!$C23&lt;CostesNoGeneración!T56+Ingresos!U23,CostesNoGeneración!$C23-Ingresos!U23,CostesNoGeneración!T56),IF((Producción!T63)*$B$43&lt;'Datos Consumo '!$F$12,CostesNoGeneración!T56,'Datos Consumo '!$F$12*'Datos Consumo '!$F$11))</f>
        <v>22.734941371951834</v>
      </c>
      <c r="V60">
        <f ca="1">IF('Datos Consumo '!$F$12&lt;1,IF(CostesNoGeneración!$C23&lt;CostesNoGeneración!U56+Ingresos!V23,CostesNoGeneración!$C23-Ingresos!V23,CostesNoGeneración!U56),IF((Producción!U63)*$B$43&lt;'Datos Consumo '!$F$12,CostesNoGeneración!U56,'Datos Consumo '!$F$12*'Datos Consumo '!$F$11))</f>
        <v>22.575264197977258</v>
      </c>
      <c r="W60">
        <f ca="1">IF('Datos Consumo '!$F$12&lt;1,IF(CostesNoGeneración!$C23&lt;CostesNoGeneración!V56+Ingresos!W23,CostesNoGeneración!$C23-Ingresos!W23,CostesNoGeneración!V56),IF((Producción!V63)*$B$43&lt;'Datos Consumo '!$F$12,CostesNoGeneración!V56,'Datos Consumo '!$F$12*'Datos Consumo '!$F$11))</f>
        <v>22.416449280742142</v>
      </c>
      <c r="X60">
        <f ca="1">IF('Datos Consumo '!$F$12&lt;1,IF(CostesNoGeneración!$C23&lt;CostesNoGeneración!W56+Ingresos!X23,CostesNoGeneración!$C23-Ingresos!X23,CostesNoGeneración!W56),IF((Producción!W63)*$B$43&lt;'Datos Consumo '!$F$12,CostesNoGeneración!W56,'Datos Consumo '!$F$12*'Datos Consumo '!$F$11))</f>
        <v>22.258491964060099</v>
      </c>
      <c r="Y60">
        <f ca="1">IF('Datos Consumo '!$F$12&lt;1,IF(CostesNoGeneración!$C23&lt;CostesNoGeneración!X56+Ingresos!Y23,CostesNoGeneración!$C23-Ingresos!Y23,CostesNoGeneración!X56),IF((Producción!X63)*$B$43&lt;'Datos Consumo '!$F$12,CostesNoGeneración!X56,'Datos Consumo '!$F$12*'Datos Consumo '!$F$11))</f>
        <v>22.101387616888132</v>
      </c>
      <c r="Z60">
        <f ca="1">IF('Datos Consumo '!$F$12&lt;1,IF(CostesNoGeneración!$C23&lt;CostesNoGeneración!Y56+Ingresos!Z23,CostesNoGeneración!$C23-Ingresos!Z23,CostesNoGeneración!Y56),IF((Producción!Y63)*$B$43&lt;'Datos Consumo '!$F$12,CostesNoGeneración!Y56,'Datos Consumo '!$F$12*'Datos Consumo '!$F$11))</f>
        <v>21.945131633190901</v>
      </c>
      <c r="AA60">
        <f ca="1">IF('Datos Consumo '!$F$12&lt;1,IF(CostesNoGeneración!$C23&lt;CostesNoGeneración!Z56+Ingresos!AA23,CostesNoGeneración!$C23-Ingresos!AA23,CostesNoGeneración!Z56),IF((Producción!Z63)*$B$43&lt;'Datos Consumo '!$F$12,CostesNoGeneración!Z56,'Datos Consumo '!$F$12*'Datos Consumo '!$F$11))</f>
        <v>21.789719431805622</v>
      </c>
      <c r="AB60">
        <f ca="1">IF('Datos Consumo '!$F$12&lt;1,IF(CostesNoGeneración!$C23&lt;CostesNoGeneración!AA56+Ingresos!AB23,CostesNoGeneración!$C23-Ingresos!AB23,CostesNoGeneración!AA56),IF((Producción!AA63)*$B$43&lt;'Datos Consumo '!$F$12,CostesNoGeneración!AA56,'Datos Consumo '!$F$12*'Datos Consumo '!$F$11))</f>
        <v>21.635146456307844</v>
      </c>
      <c r="AC60">
        <f ca="1">IF('Datos Consumo '!$F$12&lt;1,IF(CostesNoGeneración!$C23&lt;CostesNoGeneración!AB56+Ingresos!AC23,CostesNoGeneración!$C23-Ingresos!AC23,CostesNoGeneración!AB56),IF((Producción!AB63)*$B$43&lt;'Datos Consumo '!$F$12,CostesNoGeneración!AB56,'Datos Consumo '!$F$12*'Datos Consumo '!$F$11))</f>
        <v>21.481408174877743</v>
      </c>
      <c r="AD60">
        <f ca="1">IF('Datos Consumo '!$F$12&lt;1,IF(CostesNoGeneración!$C23&lt;CostesNoGeneración!AC56+Ingresos!AD23,CostesNoGeneración!$C23-Ingresos!AD23,CostesNoGeneración!AC56),IF((Producción!AC63)*$B$43&lt;'Datos Consumo '!$F$12,CostesNoGeneración!AC56,'Datos Consumo '!$F$12*'Datos Consumo '!$F$11))</f>
        <v>21.328500080167363</v>
      </c>
      <c r="AE60">
        <f ca="1">IF('Datos Consumo '!$F$12&lt;1,IF(CostesNoGeneración!$C23&lt;CostesNoGeneración!AD56+Ingresos!AE23,CostesNoGeneración!$C23-Ingresos!AE23,CostesNoGeneración!AD56),IF((Producción!AD63)*$B$43&lt;'Datos Consumo '!$F$12,CostesNoGeneración!AD56,'Datos Consumo '!$F$12*'Datos Consumo '!$F$11))</f>
        <v>21.176417689168421</v>
      </c>
      <c r="AF60">
        <f ca="1">IF('Datos Consumo '!$F$12&lt;1,IF(CostesNoGeneración!$C23&lt;CostesNoGeneración!AE56+Ingresos!AF23,CostesNoGeneración!$C23-Ingresos!AF23,CostesNoGeneración!AE56),IF((Producción!AE63)*$B$43&lt;'Datos Consumo '!$F$12,CostesNoGeneración!AE56,'Datos Consumo '!$F$12*'Datos Consumo '!$F$11))</f>
        <v>21.025156543080872</v>
      </c>
      <c r="AG60">
        <f ca="1">IF('Datos Consumo '!$F$12&lt;1,IF(CostesNoGeneración!$C23&lt;CostesNoGeneración!AF56+Ingresos!AG23,CostesNoGeneración!$C23-Ingresos!AG23,CostesNoGeneración!AF56),IF((Producción!AF63)*$B$43&lt;'Datos Consumo '!$F$12,CostesNoGeneración!AF56,'Datos Consumo '!$F$12*'Datos Consumo '!$F$11))</f>
        <v>20.874712207182199</v>
      </c>
      <c r="AH60">
        <f ca="1">IF('Datos Consumo '!$F$12&lt;1,IF(CostesNoGeneración!$C23&lt;CostesNoGeneración!AG56+Ingresos!AH23,CostesNoGeneración!$C23-Ingresos!AH23,CostesNoGeneración!AG56),IF((Producción!AG63)*$B$43&lt;'Datos Consumo '!$F$12,CostesNoGeneración!AG56,'Datos Consumo '!$F$12*'Datos Consumo '!$F$11))</f>
        <v>20.725080270697379</v>
      </c>
    </row>
    <row r="61" spans="2:34">
      <c r="C61" s="24" t="str">
        <f t="shared" ref="C61:C70" si="44">C44</f>
        <v>Febrero</v>
      </c>
      <c r="D61">
        <f ca="1">IF('Datos Consumo '!$F$12&lt;1,IF(CostesNoGeneración!$C24&lt;CostesNoGeneración!C57+Ingresos!D24,CostesNoGeneración!$C24-Ingresos!D24,CostesNoGeneración!C57),IF((Producción!C64)*$B$43&lt;'Datos Consumo '!$F$12,CostesNoGeneración!C57,'Datos Consumo '!$F$12*'Datos Consumo '!$F$11))</f>
        <v>25.059293196226406</v>
      </c>
      <c r="E61">
        <f ca="1">IF('Datos Consumo '!$F$12&lt;1,IF(CostesNoGeneración!$C24&lt;CostesNoGeneración!D57+Ingresos!E24,CostesNoGeneración!$C24-Ingresos!E24,CostesNoGeneración!D57),IF((Producción!D64)*$B$43&lt;'Datos Consumo '!$F$12,CostesNoGeneración!D57,'Datos Consumo '!$F$12*'Datos Consumo '!$F$11))</f>
        <v>24.890228107306417</v>
      </c>
      <c r="F61">
        <f ca="1">IF('Datos Consumo '!$F$12&lt;1,IF(CostesNoGeneración!$C24&lt;CostesNoGeneración!E57+Ingresos!F24,CostesNoGeneración!$C24-Ingresos!F24,CostesNoGeneración!E57),IF((Producción!E64)*$B$43&lt;'Datos Consumo '!$F$12,CostesNoGeneración!E57,'Datos Consumo '!$F$12*'Datos Consumo '!$F$11))</f>
        <v>24.722075969866584</v>
      </c>
      <c r="G61">
        <f ca="1">IF('Datos Consumo '!$F$12&lt;1,IF(CostesNoGeneración!$C24&lt;CostesNoGeneración!F57+Ingresos!G24,CostesNoGeneración!$C24-Ingresos!G24,CostesNoGeneración!F57),IF((Producción!F64)*$B$43&lt;'Datos Consumo '!$F$12,CostesNoGeneración!F57,'Datos Consumo '!$F$12*'Datos Consumo '!$F$11))</f>
        <v>24.554831853968921</v>
      </c>
      <c r="H61">
        <f ca="1">IF('Datos Consumo '!$F$12&lt;1,IF(CostesNoGeneración!$C24&lt;CostesNoGeneración!G57+Ingresos!H24,CostesNoGeneración!$C24-Ingresos!H24,CostesNoGeneración!G57),IF((Producción!G64)*$B$43&lt;'Datos Consumo '!$F$12,CostesNoGeneración!G57,'Datos Consumo '!$F$12*'Datos Consumo '!$F$11))</f>
        <v>24.388490856297111</v>
      </c>
      <c r="I61">
        <f ca="1">IF('Datos Consumo '!$F$12&lt;1,IF(CostesNoGeneración!$C24&lt;CostesNoGeneración!H57+Ingresos!I24,CostesNoGeneración!$C24-Ingresos!I24,CostesNoGeneración!H57),IF((Producción!H64)*$B$43&lt;'Datos Consumo '!$F$12,CostesNoGeneración!H57,'Datos Consumo '!$F$12*'Datos Consumo '!$F$11))</f>
        <v>24.223048100012733</v>
      </c>
      <c r="J61">
        <f ca="1">IF('Datos Consumo '!$F$12&lt;1,IF(CostesNoGeneración!$C24&lt;CostesNoGeneración!I57+Ingresos!J24,CostesNoGeneración!$C24-Ingresos!J24,CostesNoGeneración!I57),IF((Producción!I64)*$B$43&lt;'Datos Consumo '!$F$12,CostesNoGeneración!I57,'Datos Consumo '!$F$12*'Datos Consumo '!$F$11))</f>
        <v>24.058498734612296</v>
      </c>
      <c r="K61">
        <f ca="1">IF('Datos Consumo '!$F$12&lt;1,IF(CostesNoGeneración!$C24&lt;CostesNoGeneración!J57+Ingresos!K24,CostesNoGeneración!$C24-Ingresos!K24,CostesNoGeneración!J57),IF((Producción!J64)*$B$43&lt;'Datos Consumo '!$F$12,CostesNoGeneración!J57,'Datos Consumo '!$F$12*'Datos Consumo '!$F$11))</f>
        <v>23.894837935785006</v>
      </c>
      <c r="L61">
        <f ca="1">IF('Datos Consumo '!$F$12&lt;1,IF(CostesNoGeneración!$C24&lt;CostesNoGeneración!K57+Ingresos!L24,CostesNoGeneración!$C24-Ingresos!L24,CostesNoGeneración!K57),IF((Producción!K64)*$B$43&lt;'Datos Consumo '!$F$12,CostesNoGeneración!K57,'Datos Consumo '!$F$12*'Datos Consumo '!$F$11))</f>
        <v>23.732060905271389</v>
      </c>
      <c r="M61">
        <f ca="1">IF('Datos Consumo '!$F$12&lt;1,IF(CostesNoGeneración!$C24&lt;CostesNoGeneración!L57+Ingresos!M24,CostesNoGeneración!$C24-Ingresos!M24,CostesNoGeneración!L57),IF((Producción!L64)*$B$43&lt;'Datos Consumo '!$F$12,CostesNoGeneración!L57,'Datos Consumo '!$F$12*'Datos Consumo '!$F$11))</f>
        <v>23.570162870722555</v>
      </c>
      <c r="N61">
        <f ca="1">IF('Datos Consumo '!$F$12&lt;1,IF(CostesNoGeneración!$C24&lt;CostesNoGeneración!M57+Ingresos!N24,CostesNoGeneración!$C24-Ingresos!N24,CostesNoGeneración!M57),IF((Producción!M64)*$B$43&lt;'Datos Consumo '!$F$12,CostesNoGeneración!M57,'Datos Consumo '!$F$12*'Datos Consumo '!$F$11))</f>
        <v>23.409139085560259</v>
      </c>
      <c r="O61">
        <f ca="1">IF('Datos Consumo '!$F$12&lt;1,IF(CostesNoGeneración!$C24&lt;CostesNoGeneración!N57+Ingresos!O24,CostesNoGeneración!$C24-Ingresos!O24,CostesNoGeneración!N57),IF((Producción!N64)*$B$43&lt;'Datos Consumo '!$F$12,CostesNoGeneración!N57,'Datos Consumo '!$F$12*'Datos Consumo '!$F$11))</f>
        <v>23.248984828837866</v>
      </c>
      <c r="P61">
        <f ca="1">IF('Datos Consumo '!$F$12&lt;1,IF(CostesNoGeneración!$C24&lt;CostesNoGeneración!O57+Ingresos!P24,CostesNoGeneración!$C24-Ingresos!P24,CostesNoGeneración!O57),IF((Producción!O64)*$B$43&lt;'Datos Consumo '!$F$12,CostesNoGeneración!O57,'Datos Consumo '!$F$12*'Datos Consumo '!$F$11))</f>
        <v>23.989961756204096</v>
      </c>
      <c r="Q61">
        <f ca="1">IF('Datos Consumo '!$F$12&lt;1,IF(CostesNoGeneración!$C24&lt;CostesNoGeneración!P57+Ingresos!Q24,CostesNoGeneración!$C24-Ingresos!Q24,CostesNoGeneración!P57),IF((Producción!P64)*$B$43&lt;'Datos Consumo '!$F$12,CostesNoGeneración!P57,'Datos Consumo '!$F$12*'Datos Consumo '!$F$11))</f>
        <v>23.82667105706021</v>
      </c>
      <c r="R61">
        <f ca="1">IF('Datos Consumo '!$F$12&lt;1,IF(CostesNoGeneración!$C24&lt;CostesNoGeneración!Q57+Ingresos!R24,CostesNoGeneración!$C24-Ingresos!R24,CostesNoGeneración!Q57),IF((Producción!Q64)*$B$43&lt;'Datos Consumo '!$F$12,CostesNoGeneración!Q57,'Datos Consumo '!$F$12*'Datos Consumo '!$F$11))</f>
        <v>23.6642621276917</v>
      </c>
      <c r="S61">
        <f ca="1">IF('Datos Consumo '!$F$12&lt;1,IF(CostesNoGeneración!$C24&lt;CostesNoGeneración!R57+Ingresos!S24,CostesNoGeneración!$C24-Ingresos!S24,CostesNoGeneración!R57),IF((Producción!R64)*$B$43&lt;'Datos Consumo '!$F$12,CostesNoGeneración!R57,'Datos Consumo '!$F$12*'Datos Consumo '!$F$11))</f>
        <v>23.502730206541795</v>
      </c>
      <c r="T61">
        <f ca="1">IF('Datos Consumo '!$F$12&lt;1,IF(CostesNoGeneración!$C24&lt;CostesNoGeneración!S57+Ingresos!T24,CostesNoGeneración!$C24-Ingresos!T24,CostesNoGeneración!S57),IF((Producción!S64)*$B$43&lt;'Datos Consumo '!$F$12,CostesNoGeneración!S57,'Datos Consumo '!$F$12*'Datos Consumo '!$F$11))</f>
        <v>23.342070557766085</v>
      </c>
      <c r="U61">
        <f ca="1">IF('Datos Consumo '!$F$12&lt;1,IF(CostesNoGeneración!$C24&lt;CostesNoGeneración!T57+Ingresos!U24,CostesNoGeneración!$C24-Ingresos!U24,CostesNoGeneración!T57),IF((Producción!T64)*$B$43&lt;'Datos Consumo '!$F$12,CostesNoGeneración!T57,'Datos Consumo '!$F$12*'Datos Consumo '!$F$11))</f>
        <v>23.18227847109377</v>
      </c>
      <c r="V61">
        <f ca="1">IF('Datos Consumo '!$F$12&lt;1,IF(CostesNoGeneración!$C24&lt;CostesNoGeneración!U57+Ingresos!V24,CostesNoGeneración!$C24-Ingresos!V24,CostesNoGeneración!U57),IF((Producción!U64)*$B$43&lt;'Datos Consumo '!$F$12,CostesNoGeneración!U57,'Datos Consumo '!$F$12*'Datos Consumo '!$F$11))</f>
        <v>23.023349261689489</v>
      </c>
      <c r="W61">
        <f ca="1">IF('Datos Consumo '!$F$12&lt;1,IF(CostesNoGeneración!$C24&lt;CostesNoGeneración!V57+Ingresos!W24,CostesNoGeneración!$C24-Ingresos!W24,CostesNoGeneración!V57),IF((Producción!V64)*$B$43&lt;'Datos Consumo '!$F$12,CostesNoGeneración!V57,'Datos Consumo '!$F$12*'Datos Consumo '!$F$11))</f>
        <v>22.865278270015992</v>
      </c>
      <c r="X61">
        <f ca="1">IF('Datos Consumo '!$F$12&lt;1,IF(CostesNoGeneración!$C24&lt;CostesNoGeneración!W57+Ingresos!X24,CostesNoGeneración!$C24-Ingresos!X24,CostesNoGeneración!W57),IF((Producción!W64)*$B$43&lt;'Datos Consumo '!$F$12,CostesNoGeneración!W57,'Datos Consumo '!$F$12*'Datos Consumo '!$F$11))</f>
        <v>22.708060861697533</v>
      </c>
      <c r="Y61">
        <f ca="1">IF('Datos Consumo '!$F$12&lt;1,IF(CostesNoGeneración!$C24&lt;CostesNoGeneración!X57+Ingresos!Y24,CostesNoGeneración!$C24-Ingresos!Y24,CostesNoGeneración!X57),IF((Producción!X64)*$B$43&lt;'Datos Consumo '!$F$12,CostesNoGeneración!X57,'Datos Consumo '!$F$12*'Datos Consumo '!$F$11))</f>
        <v>22.551692427383983</v>
      </c>
      <c r="Z61">
        <f ca="1">IF('Datos Consumo '!$F$12&lt;1,IF(CostesNoGeneración!$C24&lt;CostesNoGeneración!Y57+Ingresos!Z24,CostesNoGeneración!$C24-Ingresos!Z24,CostesNoGeneración!Y57),IF((Producción!Y64)*$B$43&lt;'Datos Consumo '!$F$12,CostesNoGeneración!Y57,'Datos Consumo '!$F$12*'Datos Consumo '!$F$11))</f>
        <v>22.396168382615727</v>
      </c>
      <c r="AA61">
        <f ca="1">IF('Datos Consumo '!$F$12&lt;1,IF(CostesNoGeneración!$C24&lt;CostesNoGeneración!Z57+Ingresos!AA24,CostesNoGeneración!$C24-Ingresos!AA24,CostesNoGeneración!Z57),IF((Producción!Z64)*$B$43&lt;'Datos Consumo '!$F$12,CostesNoGeneración!Z57,'Datos Consumo '!$F$12*'Datos Consumo '!$F$11))</f>
        <v>22.241484167689229</v>
      </c>
      <c r="AB61">
        <f ca="1">IF('Datos Consumo '!$F$12&lt;1,IF(CostesNoGeneración!$C24&lt;CostesNoGeneración!AA57+Ingresos!AB24,CostesNoGeneración!$C24-Ingresos!AB24,CostesNoGeneración!AA57),IF((Producción!AA64)*$B$43&lt;'Datos Consumo '!$F$12,CostesNoGeneración!AA57,'Datos Consumo '!$F$12*'Datos Consumo '!$F$11))</f>
        <v>22.087635247523327</v>
      </c>
      <c r="AC61">
        <f ca="1">IF('Datos Consumo '!$F$12&lt;1,IF(CostesNoGeneración!$C24&lt;CostesNoGeneración!AB57+Ingresos!AC24,CostesNoGeneración!$C24-Ingresos!AC24,CostesNoGeneración!AB57),IF((Producción!AB64)*$B$43&lt;'Datos Consumo '!$F$12,CostesNoGeneración!AB57,'Datos Consumo '!$F$12*'Datos Consumo '!$F$11))</f>
        <v>21.934617111526325</v>
      </c>
      <c r="AD61">
        <f ca="1">IF('Datos Consumo '!$F$12&lt;1,IF(CostesNoGeneración!$C24&lt;CostesNoGeneración!AC57+Ingresos!AD24,CostesNoGeneración!$C24-Ingresos!AD24,CostesNoGeneración!AC57),IF((Producción!AC64)*$B$43&lt;'Datos Consumo '!$F$12,CostesNoGeneración!AC57,'Datos Consumo '!$F$12*'Datos Consumo '!$F$11))</f>
        <v>21.782425273463705</v>
      </c>
      <c r="AE61">
        <f ca="1">IF('Datos Consumo '!$F$12&lt;1,IF(CostesNoGeneración!$C24&lt;CostesNoGeneración!AD57+Ingresos!AE24,CostesNoGeneración!$C24-Ingresos!AE24,CostesNoGeneración!AD57),IF((Producción!AD64)*$B$43&lt;'Datos Consumo '!$F$12,CostesNoGeneración!AD57,'Datos Consumo '!$F$12*'Datos Consumo '!$F$11))</f>
        <v>21.63105527132662</v>
      </c>
      <c r="AF61">
        <f ca="1">IF('Datos Consumo '!$F$12&lt;1,IF(CostesNoGeneración!$C24&lt;CostesNoGeneración!AE57+Ingresos!AF24,CostesNoGeneración!$C24-Ingresos!AF24,CostesNoGeneración!AE57),IF((Producción!AE64)*$B$43&lt;'Datos Consumo '!$F$12,CostesNoGeneración!AE57,'Datos Consumo '!$F$12*'Datos Consumo '!$F$11))</f>
        <v>21.48050266720108</v>
      </c>
      <c r="AG61">
        <f ca="1">IF('Datos Consumo '!$F$12&lt;1,IF(CostesNoGeneración!$C24&lt;CostesNoGeneración!AF57+Ingresos!AG24,CostesNoGeneración!$C24-Ingresos!AG24,CostesNoGeneración!AF57),IF((Producción!AF64)*$B$43&lt;'Datos Consumo '!$F$12,CostesNoGeneración!AF57,'Datos Consumo '!$F$12*'Datos Consumo '!$F$11))</f>
        <v>21.330763047137818</v>
      </c>
      <c r="AH61">
        <f ca="1">IF('Datos Consumo '!$F$12&lt;1,IF(CostesNoGeneración!$C24&lt;CostesNoGeneración!AG57+Ingresos!AH24,CostesNoGeneración!$C24-Ingresos!AH24,CostesNoGeneración!AG57),IF((Producción!AG64)*$B$43&lt;'Datos Consumo '!$F$12,CostesNoGeneración!AG57,'Datos Consumo '!$F$12*'Datos Consumo '!$F$11))</f>
        <v>21.181832021022895</v>
      </c>
    </row>
    <row r="62" spans="2:34">
      <c r="C62" s="24" t="str">
        <f t="shared" si="44"/>
        <v>Marzo</v>
      </c>
      <c r="D62">
        <f ca="1">IF('Datos Consumo '!$F$12&lt;1,IF(CostesNoGeneración!$C25&lt;CostesNoGeneración!C58+Ingresos!D25,CostesNoGeneración!$C25-Ingresos!D25,CostesNoGeneración!C58),IF((Producción!C65)*$B$43&lt;'Datos Consumo '!$F$12,CostesNoGeneración!C58,'Datos Consumo '!$F$12*'Datos Consumo '!$F$11))</f>
        <v>33.439568715566033</v>
      </c>
      <c r="E62">
        <f ca="1">IF('Datos Consumo '!$F$12&lt;1,IF(CostesNoGeneración!$C25&lt;CostesNoGeneración!D58+Ingresos!E25,CostesNoGeneración!$C25-Ingresos!E25,CostesNoGeneración!D58),IF((Producción!D65)*$B$43&lt;'Datos Consumo '!$F$12,CostesNoGeneración!D58,'Datos Consumo '!$F$12*'Datos Consumo '!$F$11))</f>
        <v>33.230522780351031</v>
      </c>
      <c r="F62">
        <f ca="1">IF('Datos Consumo '!$F$12&lt;1,IF(CostesNoGeneración!$C25&lt;CostesNoGeneración!E58+Ingresos!F25,CostesNoGeneración!$C25-Ingresos!F25,CostesNoGeneración!E58),IF((Producción!E65)*$B$43&lt;'Datos Consumo '!$F$12,CostesNoGeneración!E58,'Datos Consumo '!$F$12*'Datos Consumo '!$F$11))</f>
        <v>33.0226056931862</v>
      </c>
      <c r="G62">
        <f ca="1">IF('Datos Consumo '!$F$12&lt;1,IF(CostesNoGeneración!$C25&lt;CostesNoGeneración!F58+Ingresos!G25,CostesNoGeneración!$C25-Ingresos!G25,CostesNoGeneración!F58),IF((Producción!F65)*$B$43&lt;'Datos Consumo '!$F$12,CostesNoGeneración!F58,'Datos Consumo '!$F$12*'Datos Consumo '!$F$11))</f>
        <v>32.815811358292052</v>
      </c>
      <c r="H62">
        <f ca="1">IF('Datos Consumo '!$F$12&lt;1,IF(CostesNoGeneración!$C25&lt;CostesNoGeneración!G58+Ingresos!H25,CostesNoGeneración!$C25-Ingresos!H25,CostesNoGeneración!G58),IF((Producción!G65)*$B$43&lt;'Datos Consumo '!$F$12,CostesNoGeneración!G58,'Datos Consumo '!$F$12*'Datos Consumo '!$F$11))</f>
        <v>32.610133712806331</v>
      </c>
      <c r="I62">
        <f ca="1">IF('Datos Consumo '!$F$12&lt;1,IF(CostesNoGeneración!$C25&lt;CostesNoGeneración!H58+Ingresos!I25,CostesNoGeneración!$C25-Ingresos!I25,CostesNoGeneración!H58),IF((Producción!H65)*$B$43&lt;'Datos Consumo '!$F$12,CostesNoGeneración!H58,'Datos Consumo '!$F$12*'Datos Consumo '!$F$11))</f>
        <v>32.405566726606231</v>
      </c>
      <c r="J62">
        <f ca="1">IF('Datos Consumo '!$F$12&lt;1,IF(CostesNoGeneración!$C25&lt;CostesNoGeneración!I58+Ingresos!J25,CostesNoGeneración!$C25-Ingresos!J25,CostesNoGeneración!I58),IF((Producción!I65)*$B$43&lt;'Datos Consumo '!$F$12,CostesNoGeneración!I58,'Datos Consumo '!$F$12*'Datos Consumo '!$F$11))</f>
        <v>32.202104402131617</v>
      </c>
      <c r="K62">
        <f ca="1">IF('Datos Consumo '!$F$12&lt;1,IF(CostesNoGeneración!$C25&lt;CostesNoGeneración!J58+Ingresos!K25,CostesNoGeneración!$C25-Ingresos!K25,CostesNoGeneración!J58),IF((Producción!J65)*$B$43&lt;'Datos Consumo '!$F$12,CostesNoGeneración!J58,'Datos Consumo '!$F$12*'Datos Consumo '!$F$11))</f>
        <v>31.999740774209158</v>
      </c>
      <c r="L62">
        <f ca="1">IF('Datos Consumo '!$F$12&lt;1,IF(CostesNoGeneración!$C25&lt;CostesNoGeneración!K58+Ingresos!L25,CostesNoGeneración!$C25-Ingresos!L25,CostesNoGeneración!K58),IF((Producción!K65)*$B$43&lt;'Datos Consumo '!$F$12,CostesNoGeneración!K58,'Datos Consumo '!$F$12*'Datos Consumo '!$F$11))</f>
        <v>31.798469909877493</v>
      </c>
      <c r="M62">
        <f ca="1">IF('Datos Consumo '!$F$12&lt;1,IF(CostesNoGeneración!$C25&lt;CostesNoGeneración!L58+Ingresos!M25,CostesNoGeneración!$C25-Ingresos!M25,CostesNoGeneración!L58),IF((Producción!L65)*$B$43&lt;'Datos Consumo '!$F$12,CostesNoGeneración!L58,'Datos Consumo '!$F$12*'Datos Consumo '!$F$11))</f>
        <v>31.598285908213217</v>
      </c>
      <c r="N62">
        <f ca="1">IF('Datos Consumo '!$F$12&lt;1,IF(CostesNoGeneración!$C25&lt;CostesNoGeneración!M58+Ingresos!N25,CostesNoGeneración!$C25-Ingresos!N25,CostesNoGeneración!M58),IF((Producción!M65)*$B$43&lt;'Datos Consumo '!$F$12,CostesNoGeneración!M58,'Datos Consumo '!$F$12*'Datos Consumo '!$F$11))</f>
        <v>31.399182900157911</v>
      </c>
      <c r="O62">
        <f ca="1">IF('Datos Consumo '!$F$12&lt;1,IF(CostesNoGeneración!$C25&lt;CostesNoGeneración!N58+Ingresos!O25,CostesNoGeneración!$C25-Ingresos!O25,CostesNoGeneración!N58),IF((Producción!N65)*$B$43&lt;'Datos Consumo '!$F$12,CostesNoGeneración!N58,'Datos Consumo '!$F$12*'Datos Consumo '!$F$11))</f>
        <v>31.20115504834612</v>
      </c>
      <c r="P62">
        <f ca="1">IF('Datos Consumo '!$F$12&lt;1,IF(CostesNoGeneración!$C25&lt;CostesNoGeneración!O58+Ingresos!P25,CostesNoGeneración!$C25-Ingresos!P25,CostesNoGeneración!O58),IF((Producción!O65)*$B$43&lt;'Datos Consumo '!$F$12,CostesNoGeneración!O58,'Datos Consumo '!$F$12*'Datos Consumo '!$F$11))</f>
        <v>32.117359663642581</v>
      </c>
      <c r="Q62">
        <f ca="1">IF('Datos Consumo '!$F$12&lt;1,IF(CostesNoGeneración!$C25&lt;CostesNoGeneración!P58+Ingresos!Q25,CostesNoGeneración!$C25-Ingresos!Q25,CostesNoGeneración!P58),IF((Producción!P65)*$B$43&lt;'Datos Consumo '!$F$12,CostesNoGeneración!P58,'Datos Consumo '!$F$12*'Datos Consumo '!$F$11))</f>
        <v>31.915453657307964</v>
      </c>
      <c r="R62">
        <f ca="1">IF('Datos Consumo '!$F$12&lt;1,IF(CostesNoGeneración!$C25&lt;CostesNoGeneración!Q58+Ingresos!R25,CostesNoGeneración!$C25-Ingresos!R25,CostesNoGeneración!Q58),IF((Producción!Q65)*$B$43&lt;'Datos Consumo '!$F$12,CostesNoGeneración!Q58,'Datos Consumo '!$F$12*'Datos Consumo '!$F$11))</f>
        <v>31.714637943407549</v>
      </c>
      <c r="S62">
        <f ca="1">IF('Datos Consumo '!$F$12&lt;1,IF(CostesNoGeneración!$C25&lt;CostesNoGeneración!R58+Ingresos!S25,CostesNoGeneración!$C25-Ingresos!S25,CostesNoGeneración!R58),IF((Producción!R65)*$B$43&lt;'Datos Consumo '!$F$12,CostesNoGeneración!R58,'Datos Consumo '!$F$12*'Datos Consumo '!$F$11))</f>
        <v>31.514906634362205</v>
      </c>
      <c r="T62">
        <f ca="1">IF('Datos Consumo '!$F$12&lt;1,IF(CostesNoGeneración!$C25&lt;CostesNoGeneración!S58+Ingresos!T25,CostesNoGeneración!$C25-Ingresos!T25,CostesNoGeneración!S58),IF((Producción!S65)*$B$43&lt;'Datos Consumo '!$F$12,CostesNoGeneración!S58,'Datos Consumo '!$F$12*'Datos Consumo '!$F$11))</f>
        <v>31.316253874385701</v>
      </c>
      <c r="U62">
        <f ca="1">IF('Datos Consumo '!$F$12&lt;1,IF(CostesNoGeneración!$C25&lt;CostesNoGeneración!T58+Ingresos!U25,CostesNoGeneración!$C25-Ingresos!U25,CostesNoGeneración!T58),IF((Producción!T65)*$B$43&lt;'Datos Consumo '!$F$12,CostesNoGeneración!T58,'Datos Consumo '!$F$12*'Datos Consumo '!$F$11))</f>
        <v>31.118673839313079</v>
      </c>
      <c r="V62">
        <f ca="1">IF('Datos Consumo '!$F$12&lt;1,IF(CostesNoGeneración!$C25&lt;CostesNoGeneración!U58+Ingresos!V25,CostesNoGeneración!$C25-Ingresos!V25,CostesNoGeneración!U58),IF((Producción!U65)*$B$43&lt;'Datos Consumo '!$F$12,CostesNoGeneración!U58,'Datos Consumo '!$F$12*'Datos Consumo '!$F$11))</f>
        <v>30.922160736429852</v>
      </c>
      <c r="W62">
        <f ca="1">IF('Datos Consumo '!$F$12&lt;1,IF(CostesNoGeneración!$C25&lt;CostesNoGeneración!V58+Ingresos!W25,CostesNoGeneración!$C25-Ingresos!W25,CostesNoGeneración!V58),IF((Producción!V65)*$B$43&lt;'Datos Consumo '!$F$12,CostesNoGeneración!V58,'Datos Consumo '!$F$12*'Datos Consumo '!$F$11))</f>
        <v>30.726708804302184</v>
      </c>
      <c r="X62">
        <f ca="1">IF('Datos Consumo '!$F$12&lt;1,IF(CostesNoGeneración!$C25&lt;CostesNoGeneración!W58+Ingresos!X25,CostesNoGeneración!$C25-Ingresos!X25,CostesNoGeneración!W58),IF((Producción!W65)*$B$43&lt;'Datos Consumo '!$F$12,CostesNoGeneración!W58,'Datos Consumo '!$F$12*'Datos Consumo '!$F$11))</f>
        <v>30.532312312608013</v>
      </c>
      <c r="Y62">
        <f ca="1">IF('Datos Consumo '!$F$12&lt;1,IF(CostesNoGeneración!$C25&lt;CostesNoGeneración!X58+Ingresos!Y25,CostesNoGeneración!$C25-Ingresos!Y25,CostesNoGeneración!X58),IF((Producción!X65)*$B$43&lt;'Datos Consumo '!$F$12,CostesNoGeneración!X58,'Datos Consumo '!$F$12*'Datos Consumo '!$F$11))</f>
        <v>30.338965561968987</v>
      </c>
      <c r="Z62">
        <f ca="1">IF('Datos Consumo '!$F$12&lt;1,IF(CostesNoGeneración!$C25&lt;CostesNoGeneración!Y58+Ingresos!Z25,CostesNoGeneración!$C25-Ingresos!Z25,CostesNoGeneración!Y58),IF((Producción!Y65)*$B$43&lt;'Datos Consumo '!$F$12,CostesNoGeneración!Y58,'Datos Consumo '!$F$12*'Datos Consumo '!$F$11))</f>
        <v>30.146662883783407</v>
      </c>
      <c r="AA62">
        <f ca="1">IF('Datos Consumo '!$F$12&lt;1,IF(CostesNoGeneración!$C25&lt;CostesNoGeneración!Z58+Ingresos!AA25,CostesNoGeneración!$C25-Ingresos!AA25,CostesNoGeneración!Z58),IF((Producción!Z65)*$B$43&lt;'Datos Consumo '!$F$12,CostesNoGeneración!Z58,'Datos Consumo '!$F$12*'Datos Consumo '!$F$11))</f>
        <v>29.955398640060025</v>
      </c>
      <c r="AB62">
        <f ca="1">IF('Datos Consumo '!$F$12&lt;1,IF(CostesNoGeneración!$C25&lt;CostesNoGeneración!AA58+Ingresos!AB25,CostesNoGeneración!$C25-Ingresos!AB25,CostesNoGeneración!AA58),IF((Producción!AA65)*$B$43&lt;'Datos Consumo '!$F$12,CostesNoGeneración!AA58,'Datos Consumo '!$F$12*'Datos Consumo '!$F$11))</f>
        <v>29.765167223252764</v>
      </c>
      <c r="AC62">
        <f ca="1">IF('Datos Consumo '!$F$12&lt;1,IF(CostesNoGeneración!$C25&lt;CostesNoGeneración!AB58+Ingresos!AC25,CostesNoGeneración!$C25-Ingresos!AC25,CostesNoGeneración!AB58),IF((Producción!AB65)*$B$43&lt;'Datos Consumo '!$F$12,CostesNoGeneración!AB58,'Datos Consumo '!$F$12*'Datos Consumo '!$F$11))</f>
        <v>29.575963056096256</v>
      </c>
      <c r="AD62">
        <f ca="1">IF('Datos Consumo '!$F$12&lt;1,IF(CostesNoGeneración!$C25&lt;CostesNoGeneración!AC58+Ingresos!AD25,CostesNoGeneración!$C25-Ingresos!AD25,CostesNoGeneración!AC58),IF((Producción!AC65)*$B$43&lt;'Datos Consumo '!$F$12,CostesNoGeneración!AC58,'Datos Consumo '!$F$12*'Datos Consumo '!$F$11))</f>
        <v>29.387780591442393</v>
      </c>
      <c r="AE62">
        <f ca="1">IF('Datos Consumo '!$F$12&lt;1,IF(CostesNoGeneración!$C25&lt;CostesNoGeneración!AD58+Ingresos!AE25,CostesNoGeneración!$C25-Ingresos!AE25,CostesNoGeneración!AD58),IF((Producción!AD65)*$B$43&lt;'Datos Consumo '!$F$12,CostesNoGeneración!AD58,'Datos Consumo '!$F$12*'Datos Consumo '!$F$11))</f>
        <v>29.200614312097656</v>
      </c>
      <c r="AF62">
        <f ca="1">IF('Datos Consumo '!$F$12&lt;1,IF(CostesNoGeneración!$C25&lt;CostesNoGeneración!AE58+Ingresos!AF25,CostesNoGeneración!$C25-Ingresos!AF25,CostesNoGeneración!AE58),IF((Producción!AE65)*$B$43&lt;'Datos Consumo '!$F$12,CostesNoGeneración!AE58,'Datos Consumo '!$F$12*'Datos Consumo '!$F$11))</f>
        <v>29.014458730661389</v>
      </c>
      <c r="AG62">
        <f ca="1">IF('Datos Consumo '!$F$12&lt;1,IF(CostesNoGeneración!$C25&lt;CostesNoGeneración!AF58+Ingresos!AG25,CostesNoGeneración!$C25-Ingresos!AG25,CostesNoGeneración!AF58),IF((Producción!AF65)*$B$43&lt;'Datos Consumo '!$F$12,CostesNoGeneración!AF58,'Datos Consumo '!$F$12*'Datos Consumo '!$F$11))</f>
        <v>28.829308389364872</v>
      </c>
      <c r="AH62">
        <f ca="1">IF('Datos Consumo '!$F$12&lt;1,IF(CostesNoGeneración!$C25&lt;CostesNoGeneración!AG58+Ingresos!AH25,CostesNoGeneración!$C25-Ingresos!AH25,CostesNoGeneración!AG58),IF((Producción!AG65)*$B$43&lt;'Datos Consumo '!$F$12,CostesNoGeneración!AG58,'Datos Consumo '!$F$12*'Datos Consumo '!$F$11))</f>
        <v>28.645157859911365</v>
      </c>
    </row>
    <row r="63" spans="2:34">
      <c r="C63" s="24" t="str">
        <f t="shared" si="44"/>
        <v>Abril</v>
      </c>
      <c r="D63">
        <f ca="1">IF('Datos Consumo '!$F$12&lt;1,IF(CostesNoGeneración!$C26&lt;CostesNoGeneración!C59+Ingresos!D26,CostesNoGeneración!$C26-Ingresos!D26,CostesNoGeneración!C59),IF((Producción!C66)*$B$43&lt;'Datos Consumo '!$F$12,CostesNoGeneración!C59,'Datos Consumo '!$F$12*'Datos Consumo '!$F$11))</f>
        <v>35.047561584539451</v>
      </c>
      <c r="E63">
        <f ca="1">IF('Datos Consumo '!$F$12&lt;1,IF(CostesNoGeneración!$C26&lt;CostesNoGeneración!D59+Ingresos!E26,CostesNoGeneración!$C26-Ingresos!E26,CostesNoGeneración!D59),IF((Producción!D66)*$B$43&lt;'Datos Consumo '!$F$12,CostesNoGeneración!D59,'Datos Consumo '!$F$12*'Datos Consumo '!$F$11))</f>
        <v>35.047561584539451</v>
      </c>
      <c r="F63">
        <f ca="1">IF('Datos Consumo '!$F$12&lt;1,IF(CostesNoGeneración!$C26&lt;CostesNoGeneración!E59+Ingresos!F26,CostesNoGeneración!$C26-Ingresos!F26,CostesNoGeneración!E59),IF((Producción!E66)*$B$43&lt;'Datos Consumo '!$F$12,CostesNoGeneración!E59,'Datos Consumo '!$F$12*'Datos Consumo '!$F$11))</f>
        <v>35.047561584539451</v>
      </c>
      <c r="G63">
        <f ca="1">IF('Datos Consumo '!$F$12&lt;1,IF(CostesNoGeneración!$C26&lt;CostesNoGeneración!F59+Ingresos!G26,CostesNoGeneración!$C26-Ingresos!G26,CostesNoGeneración!F59),IF((Producción!F66)*$B$43&lt;'Datos Consumo '!$F$12,CostesNoGeneración!F59,'Datos Consumo '!$F$12*'Datos Consumo '!$F$11))</f>
        <v>35.047561584539451</v>
      </c>
      <c r="H63">
        <f ca="1">IF('Datos Consumo '!$F$12&lt;1,IF(CostesNoGeneración!$C26&lt;CostesNoGeneración!G59+Ingresos!H26,CostesNoGeneración!$C26-Ingresos!H26,CostesNoGeneración!G59),IF((Producción!G66)*$B$43&lt;'Datos Consumo '!$F$12,CostesNoGeneración!G59,'Datos Consumo '!$F$12*'Datos Consumo '!$F$11))</f>
        <v>35.047561584539451</v>
      </c>
      <c r="I63">
        <f ca="1">IF('Datos Consumo '!$F$12&lt;1,IF(CostesNoGeneración!$C26&lt;CostesNoGeneración!H59+Ingresos!I26,CostesNoGeneración!$C26-Ingresos!I26,CostesNoGeneración!H59),IF((Producción!H66)*$B$43&lt;'Datos Consumo '!$F$12,CostesNoGeneración!H59,'Datos Consumo '!$F$12*'Datos Consumo '!$F$11))</f>
        <v>35.047561584539451</v>
      </c>
      <c r="J63">
        <f ca="1">IF('Datos Consumo '!$F$12&lt;1,IF(CostesNoGeneración!$C26&lt;CostesNoGeneración!I59+Ingresos!J26,CostesNoGeneración!$C26-Ingresos!J26,CostesNoGeneración!I59),IF((Producción!I66)*$B$43&lt;'Datos Consumo '!$F$12,CostesNoGeneración!I59,'Datos Consumo '!$F$12*'Datos Consumo '!$F$11))</f>
        <v>35.047561584539451</v>
      </c>
      <c r="K63">
        <f ca="1">IF('Datos Consumo '!$F$12&lt;1,IF(CostesNoGeneración!$C26&lt;CostesNoGeneración!J59+Ingresos!K26,CostesNoGeneración!$C26-Ingresos!K26,CostesNoGeneración!J59),IF((Producción!J66)*$B$43&lt;'Datos Consumo '!$F$12,CostesNoGeneración!J59,'Datos Consumo '!$F$12*'Datos Consumo '!$F$11))</f>
        <v>35.047561584539451</v>
      </c>
      <c r="L63">
        <f ca="1">IF('Datos Consumo '!$F$12&lt;1,IF(CostesNoGeneración!$C26&lt;CostesNoGeneración!K59+Ingresos!L26,CostesNoGeneración!$C26-Ingresos!L26,CostesNoGeneración!K59),IF((Producción!K66)*$B$43&lt;'Datos Consumo '!$F$12,CostesNoGeneración!K59,'Datos Consumo '!$F$12*'Datos Consumo '!$F$11))</f>
        <v>35.047561584539451</v>
      </c>
      <c r="M63">
        <f ca="1">IF('Datos Consumo '!$F$12&lt;1,IF(CostesNoGeneración!$C26&lt;CostesNoGeneración!L59+Ingresos!M26,CostesNoGeneración!$C26-Ingresos!M26,CostesNoGeneración!L59),IF((Producción!L66)*$B$43&lt;'Datos Consumo '!$F$12,CostesNoGeneración!L59,'Datos Consumo '!$F$12*'Datos Consumo '!$F$11))</f>
        <v>34.906283338072896</v>
      </c>
      <c r="N63">
        <f ca="1">IF('Datos Consumo '!$F$12&lt;1,IF(CostesNoGeneración!$C26&lt;CostesNoGeneración!M59+Ingresos!N26,CostesNoGeneración!$C26-Ingresos!N26,CostesNoGeneración!M59),IF((Producción!M66)*$B$43&lt;'Datos Consumo '!$F$12,CostesNoGeneración!M59,'Datos Consumo '!$F$12*'Datos Consumo '!$F$11))</f>
        <v>34.692480728802011</v>
      </c>
      <c r="O63">
        <f ca="1">IF('Datos Consumo '!$F$12&lt;1,IF(CostesNoGeneración!$C26&lt;CostesNoGeneración!N59+Ingresos!O26,CostesNoGeneración!$C26-Ingresos!O26,CostesNoGeneración!N59),IF((Producción!N66)*$B$43&lt;'Datos Consumo '!$F$12,CostesNoGeneración!N59,'Datos Consumo '!$F$12*'Datos Consumo '!$F$11))</f>
        <v>34.479832653621195</v>
      </c>
      <c r="P63">
        <f ca="1">IF('Datos Consumo '!$F$12&lt;1,IF(CostesNoGeneración!$C26&lt;CostesNoGeneración!O59+Ingresos!P26,CostesNoGeneración!$C26-Ingresos!P26,CostesNoGeneración!O59),IF((Producción!O66)*$B$43&lt;'Datos Consumo '!$F$12,CostesNoGeneración!O59,'Datos Consumo '!$F$12*'Datos Consumo '!$F$11))</f>
        <v>35.047561584539451</v>
      </c>
      <c r="Q63">
        <f ca="1">IF('Datos Consumo '!$F$12&lt;1,IF(CostesNoGeneración!$C26&lt;CostesNoGeneración!P59+Ingresos!Q26,CostesNoGeneración!$C26-Ingresos!Q26,CostesNoGeneración!P59),IF((Producción!P66)*$B$43&lt;'Datos Consumo '!$F$12,CostesNoGeneración!P59,'Datos Consumo '!$F$12*'Datos Consumo '!$F$11))</f>
        <v>35.047561584539451</v>
      </c>
      <c r="R63">
        <f ca="1">IF('Datos Consumo '!$F$12&lt;1,IF(CostesNoGeneración!$C26&lt;CostesNoGeneración!Q59+Ingresos!R26,CostesNoGeneración!$C26-Ingresos!R26,CostesNoGeneración!Q59),IF((Producción!Q66)*$B$43&lt;'Datos Consumo '!$F$12,CostesNoGeneración!Q59,'Datos Consumo '!$F$12*'Datos Consumo '!$F$11))</f>
        <v>35.03122554241979</v>
      </c>
      <c r="S63">
        <f ca="1">IF('Datos Consumo '!$F$12&lt;1,IF(CostesNoGeneración!$C26&lt;CostesNoGeneración!R59+Ingresos!S26,CostesNoGeneración!$C26-Ingresos!S26,CostesNoGeneración!R59),IF((Producción!R66)*$B$43&lt;'Datos Consumo '!$F$12,CostesNoGeneración!R59,'Datos Consumo '!$F$12*'Datos Consumo '!$F$11))</f>
        <v>34.816748245245442</v>
      </c>
      <c r="T63">
        <f ca="1">IF('Datos Consumo '!$F$12&lt;1,IF(CostesNoGeneración!$C26&lt;CostesNoGeneración!S59+Ingresos!T26,CostesNoGeneración!$C26-Ingresos!T26,CostesNoGeneración!S59),IF((Producción!S66)*$B$43&lt;'Datos Consumo '!$F$12,CostesNoGeneración!S59,'Datos Consumo '!$F$12*'Datos Consumo '!$F$11))</f>
        <v>34.603429125475827</v>
      </c>
      <c r="U63">
        <f ca="1">IF('Datos Consumo '!$F$12&lt;1,IF(CostesNoGeneración!$C26&lt;CostesNoGeneración!T59+Ingresos!U26,CostesNoGeneración!$C26-Ingresos!U26,CostesNoGeneración!T59),IF((Producción!T66)*$B$43&lt;'Datos Consumo '!$F$12,CostesNoGeneración!T59,'Datos Consumo '!$F$12*'Datos Consumo '!$F$11))</f>
        <v>34.391261928952979</v>
      </c>
      <c r="V63">
        <f ca="1">IF('Datos Consumo '!$F$12&lt;1,IF(CostesNoGeneración!$C26&lt;CostesNoGeneración!U59+Ingresos!V26,CostesNoGeneración!$C26-Ingresos!V26,CostesNoGeneración!U59),IF((Producción!U66)*$B$43&lt;'Datos Consumo '!$F$12,CostesNoGeneración!U59,'Datos Consumo '!$F$12*'Datos Consumo '!$F$11))</f>
        <v>34.180240435291346</v>
      </c>
      <c r="W63">
        <f ca="1">IF('Datos Consumo '!$F$12&lt;1,IF(CostesNoGeneración!$C26&lt;CostesNoGeneración!V59+Ingresos!W26,CostesNoGeneración!$C26-Ingresos!W26,CostesNoGeneración!V59),IF((Producción!V66)*$B$43&lt;'Datos Consumo '!$F$12,CostesNoGeneración!V59,'Datos Consumo '!$F$12*'Datos Consumo '!$F$11))</f>
        <v>33.970358457695504</v>
      </c>
      <c r="X63">
        <f ca="1">IF('Datos Consumo '!$F$12&lt;1,IF(CostesNoGeneración!$C26&lt;CostesNoGeneración!W59+Ingresos!X26,CostesNoGeneración!$C26-Ingresos!X26,CostesNoGeneración!W59),IF((Producción!W66)*$B$43&lt;'Datos Consumo '!$F$12,CostesNoGeneración!W59,'Datos Consumo '!$F$12*'Datos Consumo '!$F$11))</f>
        <v>33.761609842778668</v>
      </c>
      <c r="Y63">
        <f ca="1">IF('Datos Consumo '!$F$12&lt;1,IF(CostesNoGeneración!$C26&lt;CostesNoGeneración!X59+Ingresos!Y26,CostesNoGeneración!$C26-Ingresos!Y26,CostesNoGeneración!X59),IF((Producción!X66)*$B$43&lt;'Datos Consumo '!$F$12,CostesNoGeneración!X59,'Datos Consumo '!$F$12*'Datos Consumo '!$F$11))</f>
        <v>33.553988470382365</v>
      </c>
      <c r="Z63">
        <f ca="1">IF('Datos Consumo '!$F$12&lt;1,IF(CostesNoGeneración!$C26&lt;CostesNoGeneración!Y59+Ingresos!Z26,CostesNoGeneración!$C26-Ingresos!Z26,CostesNoGeneración!Y59),IF((Producción!Y66)*$B$43&lt;'Datos Consumo '!$F$12,CostesNoGeneración!Y59,'Datos Consumo '!$F$12*'Datos Consumo '!$F$11))</f>
        <v>33.347488253397017</v>
      </c>
      <c r="AA63">
        <f ca="1">IF('Datos Consumo '!$F$12&lt;1,IF(CostesNoGeneración!$C26&lt;CostesNoGeneración!Z59+Ingresos!AA26,CostesNoGeneración!$C26-Ingresos!AA26,CostesNoGeneración!Z59),IF((Producción!Z66)*$B$43&lt;'Datos Consumo '!$F$12,CostesNoGeneración!Z59,'Datos Consumo '!$F$12*'Datos Consumo '!$F$11))</f>
        <v>33.142103137583391</v>
      </c>
      <c r="AB63">
        <f ca="1">IF('Datos Consumo '!$F$12&lt;1,IF(CostesNoGeneración!$C26&lt;CostesNoGeneración!AA59+Ingresos!AB26,CostesNoGeneración!$C26-Ingresos!AB26,CostesNoGeneración!AA59),IF((Producción!AA66)*$B$43&lt;'Datos Consumo '!$F$12,CostesNoGeneración!AA59,'Datos Consumo '!$F$12*'Datos Consumo '!$F$11))</f>
        <v>32.937827101395158</v>
      </c>
      <c r="AC63">
        <f ca="1">IF('Datos Consumo '!$F$12&lt;1,IF(CostesNoGeneración!$C26&lt;CostesNoGeneración!AB59+Ingresos!AC26,CostesNoGeneración!$C26-Ingresos!AC26,CostesNoGeneración!AB59),IF((Producción!AB66)*$B$43&lt;'Datos Consumo '!$F$12,CostesNoGeneración!AB59,'Datos Consumo '!$F$12*'Datos Consumo '!$F$11))</f>
        <v>32.734654155802346</v>
      </c>
      <c r="AD63">
        <f ca="1">IF('Datos Consumo '!$F$12&lt;1,IF(CostesNoGeneración!$C26&lt;CostesNoGeneración!AC59+Ingresos!AD26,CostesNoGeneración!$C26-Ingresos!AD26,CostesNoGeneración!AC59),IF((Producción!AC66)*$B$43&lt;'Datos Consumo '!$F$12,CostesNoGeneración!AC59,'Datos Consumo '!$F$12*'Datos Consumo '!$F$11))</f>
        <v>32.532578344115727</v>
      </c>
      <c r="AE63">
        <f ca="1">IF('Datos Consumo '!$F$12&lt;1,IF(CostesNoGeneración!$C26&lt;CostesNoGeneración!AD59+Ingresos!AE26,CostesNoGeneración!$C26-Ingresos!AE26,CostesNoGeneración!AD59),IF((Producción!AD66)*$B$43&lt;'Datos Consumo '!$F$12,CostesNoGeneración!AD59,'Datos Consumo '!$F$12*'Datos Consumo '!$F$11))</f>
        <v>32.331593741812206</v>
      </c>
      <c r="AF63">
        <f ca="1">IF('Datos Consumo '!$F$12&lt;1,IF(CostesNoGeneración!$C26&lt;CostesNoGeneración!AE59+Ingresos!AF26,CostesNoGeneración!$C26-Ingresos!AF26,CostesNoGeneración!AE59),IF((Producción!AE66)*$B$43&lt;'Datos Consumo '!$F$12,CostesNoGeneración!AE59,'Datos Consumo '!$F$12*'Datos Consumo '!$F$11))</f>
        <v>32.131694456361146</v>
      </c>
      <c r="AG63">
        <f ca="1">IF('Datos Consumo '!$F$12&lt;1,IF(CostesNoGeneración!$C26&lt;CostesNoGeneración!AF59+Ingresos!AG26,CostesNoGeneración!$C26-Ingresos!AG26,CostesNoGeneración!AF59),IF((Producción!AF66)*$B$43&lt;'Datos Consumo '!$F$12,CostesNoGeneración!AF59,'Datos Consumo '!$F$12*'Datos Consumo '!$F$11))</f>
        <v>31.932874627051515</v>
      </c>
      <c r="AH63">
        <f ca="1">IF('Datos Consumo '!$F$12&lt;1,IF(CostesNoGeneración!$C26&lt;CostesNoGeneración!AG59+Ingresos!AH26,CostesNoGeneración!$C26-Ingresos!AH26,CostesNoGeneración!AG59),IF((Producción!AG66)*$B$43&lt;'Datos Consumo '!$F$12,CostesNoGeneración!AG59,'Datos Consumo '!$F$12*'Datos Consumo '!$F$11))</f>
        <v>31.735128424820154</v>
      </c>
    </row>
    <row r="64" spans="2:34">
      <c r="C64" s="24" t="str">
        <f t="shared" si="44"/>
        <v>Mayo</v>
      </c>
      <c r="D64">
        <f ca="1">IF('Datos Consumo '!$F$12&lt;1,IF(CostesNoGeneración!$C27&lt;CostesNoGeneración!C60+Ingresos!D27,CostesNoGeneración!$C27-Ingresos!D27,CostesNoGeneración!C60),IF((Producción!C67)*$B$43&lt;'Datos Consumo '!$F$12,CostesNoGeneración!C60,'Datos Consumo '!$F$12*'Datos Consumo '!$F$11))</f>
        <v>35.777719117550703</v>
      </c>
      <c r="E64">
        <f ca="1">IF('Datos Consumo '!$F$12&lt;1,IF(CostesNoGeneración!$C27&lt;CostesNoGeneración!D60+Ingresos!E27,CostesNoGeneración!$C27-Ingresos!E27,CostesNoGeneración!D60),IF((Producción!D67)*$B$43&lt;'Datos Consumo '!$F$12,CostesNoGeneración!D60,'Datos Consumo '!$F$12*'Datos Consumo '!$F$11))</f>
        <v>35.777719117550703</v>
      </c>
      <c r="F64">
        <f ca="1">IF('Datos Consumo '!$F$12&lt;1,IF(CostesNoGeneración!$C27&lt;CostesNoGeneración!E60+Ingresos!F27,CostesNoGeneración!$C27-Ingresos!F27,CostesNoGeneración!E60),IF((Producción!E67)*$B$43&lt;'Datos Consumo '!$F$12,CostesNoGeneración!E60,'Datos Consumo '!$F$12*'Datos Consumo '!$F$11))</f>
        <v>35.777719117550703</v>
      </c>
      <c r="G64">
        <f ca="1">IF('Datos Consumo '!$F$12&lt;1,IF(CostesNoGeneración!$C27&lt;CostesNoGeneración!F60+Ingresos!G27,CostesNoGeneración!$C27-Ingresos!G27,CostesNoGeneración!F60),IF((Producción!F67)*$B$43&lt;'Datos Consumo '!$F$12,CostesNoGeneración!F60,'Datos Consumo '!$F$12*'Datos Consumo '!$F$11))</f>
        <v>35.777719117550703</v>
      </c>
      <c r="H64">
        <f ca="1">IF('Datos Consumo '!$F$12&lt;1,IF(CostesNoGeneración!$C27&lt;CostesNoGeneración!G60+Ingresos!H27,CostesNoGeneración!$C27-Ingresos!H27,CostesNoGeneración!G60),IF((Producción!G67)*$B$43&lt;'Datos Consumo '!$F$12,CostesNoGeneración!G60,'Datos Consumo '!$F$12*'Datos Consumo '!$F$11))</f>
        <v>35.777719117550703</v>
      </c>
      <c r="I64">
        <f ca="1">IF('Datos Consumo '!$F$12&lt;1,IF(CostesNoGeneración!$C27&lt;CostesNoGeneración!H60+Ingresos!I27,CostesNoGeneración!$C27-Ingresos!I27,CostesNoGeneración!H60),IF((Producción!H67)*$B$43&lt;'Datos Consumo '!$F$12,CostesNoGeneración!H60,'Datos Consumo '!$F$12*'Datos Consumo '!$F$11))</f>
        <v>35.777719117550703</v>
      </c>
      <c r="J64">
        <f ca="1">IF('Datos Consumo '!$F$12&lt;1,IF(CostesNoGeneración!$C27&lt;CostesNoGeneración!I60+Ingresos!J27,CostesNoGeneración!$C27-Ingresos!J27,CostesNoGeneración!I60),IF((Producción!I67)*$B$43&lt;'Datos Consumo '!$F$12,CostesNoGeneración!I60,'Datos Consumo '!$F$12*'Datos Consumo '!$F$11))</f>
        <v>35.777719117550703</v>
      </c>
      <c r="K64">
        <f ca="1">IF('Datos Consumo '!$F$12&lt;1,IF(CostesNoGeneración!$C27&lt;CostesNoGeneración!J60+Ingresos!K27,CostesNoGeneración!$C27-Ingresos!K27,CostesNoGeneración!J60),IF((Producción!J67)*$B$43&lt;'Datos Consumo '!$F$12,CostesNoGeneración!J60,'Datos Consumo '!$F$12*'Datos Consumo '!$F$11))</f>
        <v>35.777719117550703</v>
      </c>
      <c r="L64">
        <f ca="1">IF('Datos Consumo '!$F$12&lt;1,IF(CostesNoGeneración!$C27&lt;CostesNoGeneración!K60+Ingresos!L27,CostesNoGeneración!$C27-Ingresos!L27,CostesNoGeneración!K60),IF((Producción!K67)*$B$43&lt;'Datos Consumo '!$F$12,CostesNoGeneración!K60,'Datos Consumo '!$F$12*'Datos Consumo '!$F$11))</f>
        <v>35.777719117550703</v>
      </c>
      <c r="M64">
        <f ca="1">IF('Datos Consumo '!$F$12&lt;1,IF(CostesNoGeneración!$C27&lt;CostesNoGeneración!L60+Ingresos!M27,CostesNoGeneración!$C27-Ingresos!M27,CostesNoGeneración!L60),IF((Producción!L67)*$B$43&lt;'Datos Consumo '!$F$12,CostesNoGeneración!L60,'Datos Consumo '!$F$12*'Datos Consumo '!$F$11))</f>
        <v>35.777719117550703</v>
      </c>
      <c r="N64">
        <f ca="1">IF('Datos Consumo '!$F$12&lt;1,IF(CostesNoGeneración!$C27&lt;CostesNoGeneración!M60+Ingresos!N27,CostesNoGeneración!$C27-Ingresos!N27,CostesNoGeneración!M60),IF((Producción!M67)*$B$43&lt;'Datos Consumo '!$F$12,CostesNoGeneración!M60,'Datos Consumo '!$F$12*'Datos Consumo '!$F$11))</f>
        <v>35.777719117550703</v>
      </c>
      <c r="O64">
        <f ca="1">IF('Datos Consumo '!$F$12&lt;1,IF(CostesNoGeneración!$C27&lt;CostesNoGeneración!N60+Ingresos!O27,CostesNoGeneración!$C27-Ingresos!O27,CostesNoGeneración!N60),IF((Producción!N67)*$B$43&lt;'Datos Consumo '!$F$12,CostesNoGeneración!N60,'Datos Consumo '!$F$12*'Datos Consumo '!$F$11))</f>
        <v>35.777719117550703</v>
      </c>
      <c r="P64">
        <f ca="1">IF('Datos Consumo '!$F$12&lt;1,IF(CostesNoGeneración!$C27&lt;CostesNoGeneración!O60+Ingresos!P27,CostesNoGeneración!$C27-Ingresos!P27,CostesNoGeneración!O60),IF((Producción!O67)*$B$43&lt;'Datos Consumo '!$F$12,CostesNoGeneración!O60,'Datos Consumo '!$F$12*'Datos Consumo '!$F$11))</f>
        <v>35.777719117550703</v>
      </c>
      <c r="Q64">
        <f ca="1">IF('Datos Consumo '!$F$12&lt;1,IF(CostesNoGeneración!$C27&lt;CostesNoGeneración!P60+Ingresos!Q27,CostesNoGeneración!$C27-Ingresos!Q27,CostesNoGeneración!P60),IF((Producción!P67)*$B$43&lt;'Datos Consumo '!$F$12,CostesNoGeneración!P60,'Datos Consumo '!$F$12*'Datos Consumo '!$F$11))</f>
        <v>35.777719117550703</v>
      </c>
      <c r="R64">
        <f ca="1">IF('Datos Consumo '!$F$12&lt;1,IF(CostesNoGeneración!$C27&lt;CostesNoGeneración!Q60+Ingresos!R27,CostesNoGeneración!$C27-Ingresos!R27,CostesNoGeneración!Q60),IF((Producción!Q67)*$B$43&lt;'Datos Consumo '!$F$12,CostesNoGeneración!Q60,'Datos Consumo '!$F$12*'Datos Consumo '!$F$11))</f>
        <v>35.777719117550703</v>
      </c>
      <c r="S64">
        <f ca="1">IF('Datos Consumo '!$F$12&lt;1,IF(CostesNoGeneración!$C27&lt;CostesNoGeneración!R60+Ingresos!S27,CostesNoGeneración!$C27-Ingresos!S27,CostesNoGeneración!R60),IF((Producción!R67)*$B$43&lt;'Datos Consumo '!$F$12,CostesNoGeneración!R60,'Datos Consumo '!$F$12*'Datos Consumo '!$F$11))</f>
        <v>35.777719117550703</v>
      </c>
      <c r="T64">
        <f ca="1">IF('Datos Consumo '!$F$12&lt;1,IF(CostesNoGeneración!$C27&lt;CostesNoGeneración!S60+Ingresos!T27,CostesNoGeneración!$C27-Ingresos!T27,CostesNoGeneración!S60),IF((Producción!S67)*$B$43&lt;'Datos Consumo '!$F$12,CostesNoGeneración!S60,'Datos Consumo '!$F$12*'Datos Consumo '!$F$11))</f>
        <v>35.777719117550703</v>
      </c>
      <c r="U64">
        <f ca="1">IF('Datos Consumo '!$F$12&lt;1,IF(CostesNoGeneración!$C27&lt;CostesNoGeneración!T60+Ingresos!U27,CostesNoGeneración!$C27-Ingresos!U27,CostesNoGeneración!T60),IF((Producción!T67)*$B$43&lt;'Datos Consumo '!$F$12,CostesNoGeneración!T60,'Datos Consumo '!$F$12*'Datos Consumo '!$F$11))</f>
        <v>35.777719117550703</v>
      </c>
      <c r="V64">
        <f ca="1">IF('Datos Consumo '!$F$12&lt;1,IF(CostesNoGeneración!$C27&lt;CostesNoGeneración!U60+Ingresos!V27,CostesNoGeneración!$C27-Ingresos!V27,CostesNoGeneración!U60),IF((Producción!U67)*$B$43&lt;'Datos Consumo '!$F$12,CostesNoGeneración!U60,'Datos Consumo '!$F$12*'Datos Consumo '!$F$11))</f>
        <v>35.777719117550703</v>
      </c>
      <c r="W64">
        <f ca="1">IF('Datos Consumo '!$F$12&lt;1,IF(CostesNoGeneración!$C27&lt;CostesNoGeneración!V60+Ingresos!W27,CostesNoGeneración!$C27-Ingresos!W27,CostesNoGeneración!V60),IF((Producción!V67)*$B$43&lt;'Datos Consumo '!$F$12,CostesNoGeneración!V60,'Datos Consumo '!$F$12*'Datos Consumo '!$F$11))</f>
        <v>35.777719117550703</v>
      </c>
      <c r="X64">
        <f ca="1">IF('Datos Consumo '!$F$12&lt;1,IF(CostesNoGeneración!$C27&lt;CostesNoGeneración!W60+Ingresos!X27,CostesNoGeneración!$C27-Ingresos!X27,CostesNoGeneración!W60),IF((Producción!W67)*$B$43&lt;'Datos Consumo '!$F$12,CostesNoGeneración!W60,'Datos Consumo '!$F$12*'Datos Consumo '!$F$11))</f>
        <v>35.777719117550703</v>
      </c>
      <c r="Y64">
        <f ca="1">IF('Datos Consumo '!$F$12&lt;1,IF(CostesNoGeneración!$C27&lt;CostesNoGeneración!X60+Ingresos!Y27,CostesNoGeneración!$C27-Ingresos!Y27,CostesNoGeneración!X60),IF((Producción!X67)*$B$43&lt;'Datos Consumo '!$F$12,CostesNoGeneración!X60,'Datos Consumo '!$F$12*'Datos Consumo '!$F$11))</f>
        <v>35.777719117550703</v>
      </c>
      <c r="Z64">
        <f ca="1">IF('Datos Consumo '!$F$12&lt;1,IF(CostesNoGeneración!$C27&lt;CostesNoGeneración!Y60+Ingresos!Z27,CostesNoGeneración!$C27-Ingresos!Z27,CostesNoGeneración!Y60),IF((Producción!Y67)*$B$43&lt;'Datos Consumo '!$F$12,CostesNoGeneración!Y60,'Datos Consumo '!$F$12*'Datos Consumo '!$F$11))</f>
        <v>35.777719117550703</v>
      </c>
      <c r="AA64">
        <f ca="1">IF('Datos Consumo '!$F$12&lt;1,IF(CostesNoGeneración!$C27&lt;CostesNoGeneración!Z60+Ingresos!AA27,CostesNoGeneración!$C27-Ingresos!AA27,CostesNoGeneración!Z60),IF((Producción!Z67)*$B$43&lt;'Datos Consumo '!$F$12,CostesNoGeneración!Z60,'Datos Consumo '!$F$12*'Datos Consumo '!$F$11))</f>
        <v>35.777719117550703</v>
      </c>
      <c r="AB64">
        <f ca="1">IF('Datos Consumo '!$F$12&lt;1,IF(CostesNoGeneración!$C27&lt;CostesNoGeneración!AA60+Ingresos!AB27,CostesNoGeneración!$C27-Ingresos!AB27,CostesNoGeneración!AA60),IF((Producción!AA67)*$B$43&lt;'Datos Consumo '!$F$12,CostesNoGeneración!AA60,'Datos Consumo '!$F$12*'Datos Consumo '!$F$11))</f>
        <v>35.777719117550703</v>
      </c>
      <c r="AC64">
        <f ca="1">IF('Datos Consumo '!$F$12&lt;1,IF(CostesNoGeneración!$C27&lt;CostesNoGeneración!AB60+Ingresos!AC27,CostesNoGeneración!$C27-Ingresos!AC27,CostesNoGeneración!AB60),IF((Producción!AB67)*$B$43&lt;'Datos Consumo '!$F$12,CostesNoGeneración!AB60,'Datos Consumo '!$F$12*'Datos Consumo '!$F$11))</f>
        <v>35.777719117550703</v>
      </c>
      <c r="AD64">
        <f ca="1">IF('Datos Consumo '!$F$12&lt;1,IF(CostesNoGeneración!$C27&lt;CostesNoGeneración!AC60+Ingresos!AD27,CostesNoGeneración!$C27-Ingresos!AD27,CostesNoGeneración!AC60),IF((Producción!AC67)*$B$43&lt;'Datos Consumo '!$F$12,CostesNoGeneración!AC60,'Datos Consumo '!$F$12*'Datos Consumo '!$F$11))</f>
        <v>35.777719117550703</v>
      </c>
      <c r="AE64">
        <f ca="1">IF('Datos Consumo '!$F$12&lt;1,IF(CostesNoGeneración!$C27&lt;CostesNoGeneración!AD60+Ingresos!AE27,CostesNoGeneración!$C27-Ingresos!AE27,CostesNoGeneración!AD60),IF((Producción!AD67)*$B$43&lt;'Datos Consumo '!$F$12,CostesNoGeneración!AD60,'Datos Consumo '!$F$12*'Datos Consumo '!$F$11))</f>
        <v>35.777719117550703</v>
      </c>
      <c r="AF64">
        <f ca="1">IF('Datos Consumo '!$F$12&lt;1,IF(CostesNoGeneración!$C27&lt;CostesNoGeneración!AE60+Ingresos!AF27,CostesNoGeneración!$C27-Ingresos!AF27,CostesNoGeneración!AE60),IF((Producción!AE67)*$B$43&lt;'Datos Consumo '!$F$12,CostesNoGeneración!AE60,'Datos Consumo '!$F$12*'Datos Consumo '!$F$11))</f>
        <v>35.777719117550703</v>
      </c>
      <c r="AG64">
        <f ca="1">IF('Datos Consumo '!$F$12&lt;1,IF(CostesNoGeneración!$C27&lt;CostesNoGeneración!AF60+Ingresos!AG27,CostesNoGeneración!$C27-Ingresos!AG27,CostesNoGeneración!AF60),IF((Producción!AF67)*$B$43&lt;'Datos Consumo '!$F$12,CostesNoGeneración!AF60,'Datos Consumo '!$F$12*'Datos Consumo '!$F$11))</f>
        <v>35.777719117550703</v>
      </c>
      <c r="AH64">
        <f ca="1">IF('Datos Consumo '!$F$12&lt;1,IF(CostesNoGeneración!$C27&lt;CostesNoGeneración!AG60+Ingresos!AH27,CostesNoGeneración!$C27-Ingresos!AH27,CostesNoGeneración!AG60),IF((Producción!AG67)*$B$43&lt;'Datos Consumo '!$F$12,CostesNoGeneración!AG60,'Datos Consumo '!$F$12*'Datos Consumo '!$F$11))</f>
        <v>35.777719117550703</v>
      </c>
    </row>
    <row r="65" spans="3:34">
      <c r="C65" s="24" t="str">
        <f t="shared" si="44"/>
        <v>Junio</v>
      </c>
      <c r="D65">
        <f ca="1">IF('Datos Consumo '!$F$12&lt;1,IF(CostesNoGeneración!$C28&lt;CostesNoGeneración!C61+Ingresos!D28,CostesNoGeneración!$C28-Ingresos!D28,CostesNoGeneración!C61),IF((Producción!C68)*$B$43&lt;'Datos Consumo '!$F$12,CostesNoGeneración!C61,'Datos Consumo '!$F$12*'Datos Consumo '!$F$11))</f>
        <v>36.507876650561933</v>
      </c>
      <c r="E65">
        <f ca="1">IF('Datos Consumo '!$F$12&lt;1,IF(CostesNoGeneración!$C28&lt;CostesNoGeneración!D61+Ingresos!E28,CostesNoGeneración!$C28-Ingresos!E28,CostesNoGeneración!D61),IF((Producción!D68)*$B$43&lt;'Datos Consumo '!$F$12,CostesNoGeneración!D61,'Datos Consumo '!$F$12*'Datos Consumo '!$F$11))</f>
        <v>36.507876650561933</v>
      </c>
      <c r="F65">
        <f ca="1">IF('Datos Consumo '!$F$12&lt;1,IF(CostesNoGeneración!$C28&lt;CostesNoGeneración!E61+Ingresos!F28,CostesNoGeneración!$C28-Ingresos!F28,CostesNoGeneración!E61),IF((Producción!E68)*$B$43&lt;'Datos Consumo '!$F$12,CostesNoGeneración!E61,'Datos Consumo '!$F$12*'Datos Consumo '!$F$11))</f>
        <v>36.507876650561933</v>
      </c>
      <c r="G65">
        <f ca="1">IF('Datos Consumo '!$F$12&lt;1,IF(CostesNoGeneración!$C28&lt;CostesNoGeneración!F61+Ingresos!G28,CostesNoGeneración!$C28-Ingresos!G28,CostesNoGeneración!F61),IF((Producción!F68)*$B$43&lt;'Datos Consumo '!$F$12,CostesNoGeneración!F61,'Datos Consumo '!$F$12*'Datos Consumo '!$F$11))</f>
        <v>36.507876650561933</v>
      </c>
      <c r="H65">
        <f ca="1">IF('Datos Consumo '!$F$12&lt;1,IF(CostesNoGeneración!$C28&lt;CostesNoGeneración!G61+Ingresos!H28,CostesNoGeneración!$C28-Ingresos!H28,CostesNoGeneración!G61),IF((Producción!G68)*$B$43&lt;'Datos Consumo '!$F$12,CostesNoGeneración!G61,'Datos Consumo '!$F$12*'Datos Consumo '!$F$11))</f>
        <v>36.507876650561933</v>
      </c>
      <c r="I65">
        <f ca="1">IF('Datos Consumo '!$F$12&lt;1,IF(CostesNoGeneración!$C28&lt;CostesNoGeneración!H61+Ingresos!I28,CostesNoGeneración!$C28-Ingresos!I28,CostesNoGeneración!H61),IF((Producción!H68)*$B$43&lt;'Datos Consumo '!$F$12,CostesNoGeneración!H61,'Datos Consumo '!$F$12*'Datos Consumo '!$F$11))</f>
        <v>36.507876650561933</v>
      </c>
      <c r="J65">
        <f ca="1">IF('Datos Consumo '!$F$12&lt;1,IF(CostesNoGeneración!$C28&lt;CostesNoGeneración!I61+Ingresos!J28,CostesNoGeneración!$C28-Ingresos!J28,CostesNoGeneración!I61),IF((Producción!I68)*$B$43&lt;'Datos Consumo '!$F$12,CostesNoGeneración!I61,'Datos Consumo '!$F$12*'Datos Consumo '!$F$11))</f>
        <v>36.507876650561933</v>
      </c>
      <c r="K65">
        <f ca="1">IF('Datos Consumo '!$F$12&lt;1,IF(CostesNoGeneración!$C28&lt;CostesNoGeneración!J61+Ingresos!K28,CostesNoGeneración!$C28-Ingresos!K28,CostesNoGeneración!J61),IF((Producción!J68)*$B$43&lt;'Datos Consumo '!$F$12,CostesNoGeneración!J61,'Datos Consumo '!$F$12*'Datos Consumo '!$F$11))</f>
        <v>36.507876650561933</v>
      </c>
      <c r="L65">
        <f ca="1">IF('Datos Consumo '!$F$12&lt;1,IF(CostesNoGeneración!$C28&lt;CostesNoGeneración!K61+Ingresos!L28,CostesNoGeneración!$C28-Ingresos!L28,CostesNoGeneración!K61),IF((Producción!K68)*$B$43&lt;'Datos Consumo '!$F$12,CostesNoGeneración!K61,'Datos Consumo '!$F$12*'Datos Consumo '!$F$11))</f>
        <v>36.507876650561933</v>
      </c>
      <c r="M65">
        <f ca="1">IF('Datos Consumo '!$F$12&lt;1,IF(CostesNoGeneración!$C28&lt;CostesNoGeneración!L61+Ingresos!M28,CostesNoGeneración!$C28-Ingresos!M28,CostesNoGeneración!L61),IF((Producción!L68)*$B$43&lt;'Datos Consumo '!$F$12,CostesNoGeneración!L61,'Datos Consumo '!$F$12*'Datos Consumo '!$F$11))</f>
        <v>36.507876650561933</v>
      </c>
      <c r="N65">
        <f ca="1">IF('Datos Consumo '!$F$12&lt;1,IF(CostesNoGeneración!$C28&lt;CostesNoGeneración!M61+Ingresos!N28,CostesNoGeneración!$C28-Ingresos!N28,CostesNoGeneración!M61),IF((Producción!M68)*$B$43&lt;'Datos Consumo '!$F$12,CostesNoGeneración!M61,'Datos Consumo '!$F$12*'Datos Consumo '!$F$11))</f>
        <v>36.507876650561933</v>
      </c>
      <c r="O65">
        <f ca="1">IF('Datos Consumo '!$F$12&lt;1,IF(CostesNoGeneración!$C28&lt;CostesNoGeneración!N61+Ingresos!O28,CostesNoGeneración!$C28-Ingresos!O28,CostesNoGeneración!N61),IF((Producción!N68)*$B$43&lt;'Datos Consumo '!$F$12,CostesNoGeneración!N61,'Datos Consumo '!$F$12*'Datos Consumo '!$F$11))</f>
        <v>36.507876650561933</v>
      </c>
      <c r="P65">
        <f ca="1">IF('Datos Consumo '!$F$12&lt;1,IF(CostesNoGeneración!$C28&lt;CostesNoGeneración!O61+Ingresos!P28,CostesNoGeneración!$C28-Ingresos!P28,CostesNoGeneración!O61),IF((Producción!O68)*$B$43&lt;'Datos Consumo '!$F$12,CostesNoGeneración!O61,'Datos Consumo '!$F$12*'Datos Consumo '!$F$11))</f>
        <v>36.507876650561933</v>
      </c>
      <c r="Q65">
        <f ca="1">IF('Datos Consumo '!$F$12&lt;1,IF(CostesNoGeneración!$C28&lt;CostesNoGeneración!P61+Ingresos!Q28,CostesNoGeneración!$C28-Ingresos!Q28,CostesNoGeneración!P61),IF((Producción!P68)*$B$43&lt;'Datos Consumo '!$F$12,CostesNoGeneración!P61,'Datos Consumo '!$F$12*'Datos Consumo '!$F$11))</f>
        <v>36.507876650561933</v>
      </c>
      <c r="R65">
        <f ca="1">IF('Datos Consumo '!$F$12&lt;1,IF(CostesNoGeneración!$C28&lt;CostesNoGeneración!Q61+Ingresos!R28,CostesNoGeneración!$C28-Ingresos!R28,CostesNoGeneración!Q61),IF((Producción!Q68)*$B$43&lt;'Datos Consumo '!$F$12,CostesNoGeneración!Q61,'Datos Consumo '!$F$12*'Datos Consumo '!$F$11))</f>
        <v>36.507876650561933</v>
      </c>
      <c r="S65">
        <f ca="1">IF('Datos Consumo '!$F$12&lt;1,IF(CostesNoGeneración!$C28&lt;CostesNoGeneración!R61+Ingresos!S28,CostesNoGeneración!$C28-Ingresos!S28,CostesNoGeneración!R61),IF((Producción!R68)*$B$43&lt;'Datos Consumo '!$F$12,CostesNoGeneración!R61,'Datos Consumo '!$F$12*'Datos Consumo '!$F$11))</f>
        <v>36.507876650561933</v>
      </c>
      <c r="T65">
        <f ca="1">IF('Datos Consumo '!$F$12&lt;1,IF(CostesNoGeneración!$C28&lt;CostesNoGeneración!S61+Ingresos!T28,CostesNoGeneración!$C28-Ingresos!T28,CostesNoGeneración!S61),IF((Producción!S68)*$B$43&lt;'Datos Consumo '!$F$12,CostesNoGeneración!S61,'Datos Consumo '!$F$12*'Datos Consumo '!$F$11))</f>
        <v>36.507876650561933</v>
      </c>
      <c r="U65">
        <f ca="1">IF('Datos Consumo '!$F$12&lt;1,IF(CostesNoGeneración!$C28&lt;CostesNoGeneración!T61+Ingresos!U28,CostesNoGeneración!$C28-Ingresos!U28,CostesNoGeneración!T61),IF((Producción!T68)*$B$43&lt;'Datos Consumo '!$F$12,CostesNoGeneración!T61,'Datos Consumo '!$F$12*'Datos Consumo '!$F$11))</f>
        <v>36.507876650561933</v>
      </c>
      <c r="V65">
        <f ca="1">IF('Datos Consumo '!$F$12&lt;1,IF(CostesNoGeneración!$C28&lt;CostesNoGeneración!U61+Ingresos!V28,CostesNoGeneración!$C28-Ingresos!V28,CostesNoGeneración!U61),IF((Producción!U68)*$B$43&lt;'Datos Consumo '!$F$12,CostesNoGeneración!U61,'Datos Consumo '!$F$12*'Datos Consumo '!$F$11))</f>
        <v>36.507876650561933</v>
      </c>
      <c r="W65">
        <f ca="1">IF('Datos Consumo '!$F$12&lt;1,IF(CostesNoGeneración!$C28&lt;CostesNoGeneración!V61+Ingresos!W28,CostesNoGeneración!$C28-Ingresos!W28,CostesNoGeneración!V61),IF((Producción!V68)*$B$43&lt;'Datos Consumo '!$F$12,CostesNoGeneración!V61,'Datos Consumo '!$F$12*'Datos Consumo '!$F$11))</f>
        <v>36.507876650561933</v>
      </c>
      <c r="X65">
        <f ca="1">IF('Datos Consumo '!$F$12&lt;1,IF(CostesNoGeneración!$C28&lt;CostesNoGeneración!W61+Ingresos!X28,CostesNoGeneración!$C28-Ingresos!X28,CostesNoGeneración!W61),IF((Producción!W68)*$B$43&lt;'Datos Consumo '!$F$12,CostesNoGeneración!W61,'Datos Consumo '!$F$12*'Datos Consumo '!$F$11))</f>
        <v>36.507876650561933</v>
      </c>
      <c r="Y65">
        <f ca="1">IF('Datos Consumo '!$F$12&lt;1,IF(CostesNoGeneración!$C28&lt;CostesNoGeneración!X61+Ingresos!Y28,CostesNoGeneración!$C28-Ingresos!Y28,CostesNoGeneración!X61),IF((Producción!X68)*$B$43&lt;'Datos Consumo '!$F$12,CostesNoGeneración!X61,'Datos Consumo '!$F$12*'Datos Consumo '!$F$11))</f>
        <v>36.507876650561933</v>
      </c>
      <c r="Z65">
        <f ca="1">IF('Datos Consumo '!$F$12&lt;1,IF(CostesNoGeneración!$C28&lt;CostesNoGeneración!Y61+Ingresos!Z28,CostesNoGeneración!$C28-Ingresos!Z28,CostesNoGeneración!Y61),IF((Producción!Y68)*$B$43&lt;'Datos Consumo '!$F$12,CostesNoGeneración!Y61,'Datos Consumo '!$F$12*'Datos Consumo '!$F$11))</f>
        <v>36.507876650561933</v>
      </c>
      <c r="AA65">
        <f ca="1">IF('Datos Consumo '!$F$12&lt;1,IF(CostesNoGeneración!$C28&lt;CostesNoGeneración!Z61+Ingresos!AA28,CostesNoGeneración!$C28-Ingresos!AA28,CostesNoGeneración!Z61),IF((Producción!Z68)*$B$43&lt;'Datos Consumo '!$F$12,CostesNoGeneración!Z61,'Datos Consumo '!$F$12*'Datos Consumo '!$F$11))</f>
        <v>36.507876650561933</v>
      </c>
      <c r="AB65">
        <f ca="1">IF('Datos Consumo '!$F$12&lt;1,IF(CostesNoGeneración!$C28&lt;CostesNoGeneración!AA61+Ingresos!AB28,CostesNoGeneración!$C28-Ingresos!AB28,CostesNoGeneración!AA61),IF((Producción!AA68)*$B$43&lt;'Datos Consumo '!$F$12,CostesNoGeneración!AA61,'Datos Consumo '!$F$12*'Datos Consumo '!$F$11))</f>
        <v>36.507876650561933</v>
      </c>
      <c r="AC65">
        <f ca="1">IF('Datos Consumo '!$F$12&lt;1,IF(CostesNoGeneración!$C28&lt;CostesNoGeneración!AB61+Ingresos!AC28,CostesNoGeneración!$C28-Ingresos!AC28,CostesNoGeneración!AB61),IF((Producción!AB68)*$B$43&lt;'Datos Consumo '!$F$12,CostesNoGeneración!AB61,'Datos Consumo '!$F$12*'Datos Consumo '!$F$11))</f>
        <v>36.507876650561933</v>
      </c>
      <c r="AD65">
        <f ca="1">IF('Datos Consumo '!$F$12&lt;1,IF(CostesNoGeneración!$C28&lt;CostesNoGeneración!AC61+Ingresos!AD28,CostesNoGeneración!$C28-Ingresos!AD28,CostesNoGeneración!AC61),IF((Producción!AC68)*$B$43&lt;'Datos Consumo '!$F$12,CostesNoGeneración!AC61,'Datos Consumo '!$F$12*'Datos Consumo '!$F$11))</f>
        <v>36.507876650561933</v>
      </c>
      <c r="AE65">
        <f ca="1">IF('Datos Consumo '!$F$12&lt;1,IF(CostesNoGeneración!$C28&lt;CostesNoGeneración!AD61+Ingresos!AE28,CostesNoGeneración!$C28-Ingresos!AE28,CostesNoGeneración!AD61),IF((Producción!AD68)*$B$43&lt;'Datos Consumo '!$F$12,CostesNoGeneración!AD61,'Datos Consumo '!$F$12*'Datos Consumo '!$F$11))</f>
        <v>36.507876650561933</v>
      </c>
      <c r="AF65">
        <f ca="1">IF('Datos Consumo '!$F$12&lt;1,IF(CostesNoGeneración!$C28&lt;CostesNoGeneración!AE61+Ingresos!AF28,CostesNoGeneración!$C28-Ingresos!AF28,CostesNoGeneración!AE61),IF((Producción!AE68)*$B$43&lt;'Datos Consumo '!$F$12,CostesNoGeneración!AE61,'Datos Consumo '!$F$12*'Datos Consumo '!$F$11))</f>
        <v>36.507876650561933</v>
      </c>
      <c r="AG65">
        <f ca="1">IF('Datos Consumo '!$F$12&lt;1,IF(CostesNoGeneración!$C28&lt;CostesNoGeneración!AF61+Ingresos!AG28,CostesNoGeneración!$C28-Ingresos!AG28,CostesNoGeneración!AF61),IF((Producción!AF68)*$B$43&lt;'Datos Consumo '!$F$12,CostesNoGeneración!AF61,'Datos Consumo '!$F$12*'Datos Consumo '!$F$11))</f>
        <v>36.404804079148896</v>
      </c>
      <c r="AH65">
        <f ca="1">IF('Datos Consumo '!$F$12&lt;1,IF(CostesNoGeneración!$C28&lt;CostesNoGeneración!AG61+Ingresos!AH28,CostesNoGeneración!$C28-Ingresos!AH28,CostesNoGeneración!AG61),IF((Producción!AG68)*$B$43&lt;'Datos Consumo '!$F$12,CostesNoGeneración!AG61,'Datos Consumo '!$F$12*'Datos Consumo '!$F$11))</f>
        <v>36.181854929574321</v>
      </c>
    </row>
    <row r="66" spans="3:34">
      <c r="C66" s="24" t="str">
        <f t="shared" si="44"/>
        <v>Julio</v>
      </c>
      <c r="D66">
        <f ca="1">IF('Datos Consumo '!$F$12&lt;1,IF(CostesNoGeneración!$C29&lt;CostesNoGeneración!C62+Ingresos!D29,CostesNoGeneración!$C29-Ingresos!D29,CostesNoGeneración!C62),IF((Producción!C69)*$B$43&lt;'Datos Consumo '!$F$12,CostesNoGeneración!C62,'Datos Consumo '!$F$12*'Datos Consumo '!$F$11))</f>
        <v>41.502313955094344</v>
      </c>
      <c r="E66">
        <f ca="1">IF('Datos Consumo '!$F$12&lt;1,IF(CostesNoGeneración!$C29&lt;CostesNoGeneración!D62+Ingresos!E29,CostesNoGeneración!$C29-Ingresos!E29,CostesNoGeneración!D62),IF((Producción!D69)*$B$43&lt;'Datos Consumo '!$F$12,CostesNoGeneración!D62,'Datos Consumo '!$F$12*'Datos Consumo '!$F$11))</f>
        <v>41.245511082378336</v>
      </c>
      <c r="F66">
        <f ca="1">IF('Datos Consumo '!$F$12&lt;1,IF(CostesNoGeneración!$C29&lt;CostesNoGeneración!E62+Ingresos!F29,CostesNoGeneración!$C29-Ingresos!F29,CostesNoGeneración!E62),IF((Producción!E69)*$B$43&lt;'Datos Consumo '!$F$12,CostesNoGeneración!E62,'Datos Consumo '!$F$12*'Datos Consumo '!$F$11))</f>
        <v>40.990094945175009</v>
      </c>
      <c r="G66">
        <f ca="1">IF('Datos Consumo '!$F$12&lt;1,IF(CostesNoGeneración!$C29&lt;CostesNoGeneración!F62+Ingresos!G29,CostesNoGeneración!$C29-Ingresos!G29,CostesNoGeneración!F62),IF((Producción!F69)*$B$43&lt;'Datos Consumo '!$F$12,CostesNoGeneración!F62,'Datos Consumo '!$F$12*'Datos Consumo '!$F$11))</f>
        <v>40.736058055112579</v>
      </c>
      <c r="H66">
        <f ca="1">IF('Datos Consumo '!$F$12&lt;1,IF(CostesNoGeneración!$C29&lt;CostesNoGeneración!G62+Ingresos!H29,CostesNoGeneración!$C29-Ingresos!H29,CostesNoGeneración!G62),IF((Producción!G69)*$B$43&lt;'Datos Consumo '!$F$12,CostesNoGeneración!G62,'Datos Consumo '!$F$12*'Datos Consumo '!$F$11))</f>
        <v>40.483392964256474</v>
      </c>
      <c r="I66">
        <f ca="1">IF('Datos Consumo '!$F$12&lt;1,IF(CostesNoGeneración!$C29&lt;CostesNoGeneración!H62+Ingresos!I29,CostesNoGeneración!$C29-Ingresos!I29,CostesNoGeneración!H62),IF((Producción!H69)*$B$43&lt;'Datos Consumo '!$F$12,CostesNoGeneración!H62,'Datos Consumo '!$F$12*'Datos Consumo '!$F$11))</f>
        <v>40.232092264891001</v>
      </c>
      <c r="J66">
        <f ca="1">IF('Datos Consumo '!$F$12&lt;1,IF(CostesNoGeneración!$C29&lt;CostesNoGeneración!I62+Ingresos!J29,CostesNoGeneración!$C29-Ingresos!J29,CostesNoGeneración!I62),IF((Producción!I69)*$B$43&lt;'Datos Consumo '!$F$12,CostesNoGeneración!I62,'Datos Consumo '!$F$12*'Datos Consumo '!$F$11))</f>
        <v>39.982148589302099</v>
      </c>
      <c r="K66">
        <f ca="1">IF('Datos Consumo '!$F$12&lt;1,IF(CostesNoGeneración!$C29&lt;CostesNoGeneración!J62+Ingresos!K29,CostesNoGeneración!$C29-Ingresos!K29,CostesNoGeneración!J62),IF((Producción!J69)*$B$43&lt;'Datos Consumo '!$F$12,CostesNoGeneración!J62,'Datos Consumo '!$F$12*'Datos Consumo '!$F$11))</f>
        <v>39.733554609561381</v>
      </c>
      <c r="L66">
        <f ca="1">IF('Datos Consumo '!$F$12&lt;1,IF(CostesNoGeneración!$C29&lt;CostesNoGeneración!K62+Ingresos!L29,CostesNoGeneración!$C29-Ingresos!L29,CostesNoGeneración!K62),IF((Producción!K69)*$B$43&lt;'Datos Consumo '!$F$12,CostesNoGeneración!K62,'Datos Consumo '!$F$12*'Datos Consumo '!$F$11))</f>
        <v>39.486303037311252</v>
      </c>
      <c r="M66">
        <f ca="1">IF('Datos Consumo '!$F$12&lt;1,IF(CostesNoGeneración!$C29&lt;CostesNoGeneración!L62+Ingresos!M29,CostesNoGeneración!$C29-Ingresos!M29,CostesNoGeneración!L62),IF((Producción!L69)*$B$43&lt;'Datos Consumo '!$F$12,CostesNoGeneración!L62,'Datos Consumo '!$F$12*'Datos Consumo '!$F$11))</f>
        <v>39.240386623551288</v>
      </c>
      <c r="N66">
        <f ca="1">IF('Datos Consumo '!$F$12&lt;1,IF(CostesNoGeneración!$C29&lt;CostesNoGeneración!M62+Ingresos!N29,CostesNoGeneración!$C29-Ingresos!N29,CostesNoGeneración!M62),IF((Producción!M69)*$B$43&lt;'Datos Consumo '!$F$12,CostesNoGeneración!M62,'Datos Consumo '!$F$12*'Datos Consumo '!$F$11))</f>
        <v>38.995798158425615</v>
      </c>
      <c r="O66">
        <f ca="1">IF('Datos Consumo '!$F$12&lt;1,IF(CostesNoGeneración!$C29&lt;CostesNoGeneración!N62+Ingresos!O29,CostesNoGeneración!$C29-Ingresos!O29,CostesNoGeneración!N62),IF((Producción!N69)*$B$43&lt;'Datos Consumo '!$F$12,CostesNoGeneración!N62,'Datos Consumo '!$F$12*'Datos Consumo '!$F$11))</f>
        <v>38.752530471011625</v>
      </c>
      <c r="P66">
        <f ca="1">IF('Datos Consumo '!$F$12&lt;1,IF(CostesNoGeneración!$C29&lt;CostesNoGeneración!O62+Ingresos!P29,CostesNoGeneración!$C29-Ingresos!P29,CostesNoGeneración!O62),IF((Producción!O69)*$B$43&lt;'Datos Consumo '!$F$12,CostesNoGeneración!O62,'Datos Consumo '!$F$12*'Datos Consumo '!$F$11))</f>
        <v>39.87804375574401</v>
      </c>
      <c r="Q66">
        <f ca="1">IF('Datos Consumo '!$F$12&lt;1,IF(CostesNoGeneración!$C29&lt;CostesNoGeneración!P62+Ingresos!Q29,CostesNoGeneración!$C29-Ingresos!Q29,CostesNoGeneración!P62),IF((Producción!P69)*$B$43&lt;'Datos Consumo '!$F$12,CostesNoGeneración!P62,'Datos Consumo '!$F$12*'Datos Consumo '!$F$11))</f>
        <v>39.630011942104503</v>
      </c>
      <c r="R66">
        <f ca="1">IF('Datos Consumo '!$F$12&lt;1,IF(CostesNoGeneración!$C29&lt;CostesNoGeneración!Q62+Ingresos!R29,CostesNoGeneración!$C29-Ingresos!R29,CostesNoGeneración!Q62),IF((Producción!Q69)*$B$43&lt;'Datos Consumo '!$F$12,CostesNoGeneración!Q62,'Datos Consumo '!$F$12*'Datos Consumo '!$F$11))</f>
        <v>39.383319500258644</v>
      </c>
      <c r="S66">
        <f ca="1">IF('Datos Consumo '!$F$12&lt;1,IF(CostesNoGeneración!$C29&lt;CostesNoGeneración!R62+Ingresos!S29,CostesNoGeneración!$C29-Ingresos!S29,CostesNoGeneración!R62),IF((Producción!R69)*$B$43&lt;'Datos Consumo '!$F$12,CostesNoGeneración!R62,'Datos Consumo '!$F$12*'Datos Consumo '!$F$11))</f>
        <v>39.137959197598754</v>
      </c>
      <c r="T66">
        <f ca="1">IF('Datos Consumo '!$F$12&lt;1,IF(CostesNoGeneración!$C29&lt;CostesNoGeneración!S62+Ingresos!T29,CostesNoGeneración!$C29-Ingresos!T29,CostesNoGeneración!S62),IF((Producción!S69)*$B$43&lt;'Datos Consumo '!$F$12,CostesNoGeneración!S62,'Datos Consumo '!$F$12*'Datos Consumo '!$F$11))</f>
        <v>38.893923840573223</v>
      </c>
      <c r="U66">
        <f ca="1">IF('Datos Consumo '!$F$12&lt;1,IF(CostesNoGeneración!$C29&lt;CostesNoGeneración!T62+Ingresos!U29,CostesNoGeneración!$C29-Ingresos!U29,CostesNoGeneración!T62),IF((Producción!T69)*$B$43&lt;'Datos Consumo '!$F$12,CostesNoGeneración!T62,'Datos Consumo '!$F$12*'Datos Consumo '!$F$11))</f>
        <v>38.651206274475648</v>
      </c>
      <c r="V66">
        <f ca="1">IF('Datos Consumo '!$F$12&lt;1,IF(CostesNoGeneración!$C29&lt;CostesNoGeneración!U62+Ingresos!V29,CostesNoGeneración!$C29-Ingresos!V29,CostesNoGeneración!U62),IF((Producción!U69)*$B$43&lt;'Datos Consumo '!$F$12,CostesNoGeneración!U62,'Datos Consumo '!$F$12*'Datos Consumo '!$F$11))</f>
        <v>38.409799383234997</v>
      </c>
      <c r="W66">
        <f ca="1">IF('Datos Consumo '!$F$12&lt;1,IF(CostesNoGeneración!$C29&lt;CostesNoGeneración!V62+Ingresos!W29,CostesNoGeneración!$C29-Ingresos!W29,CostesNoGeneración!V62),IF((Producción!V69)*$B$43&lt;'Datos Consumo '!$F$12,CostesNoGeneración!V62,'Datos Consumo '!$F$12*'Datos Consumo '!$F$11))</f>
        <v>38.169696089207029</v>
      </c>
      <c r="X66">
        <f ca="1">IF('Datos Consumo '!$F$12&lt;1,IF(CostesNoGeneración!$C29&lt;CostesNoGeneración!W62+Ingresos!X29,CostesNoGeneración!$C29-Ingresos!X29,CostesNoGeneración!W62),IF((Producción!W69)*$B$43&lt;'Datos Consumo '!$F$12,CostesNoGeneración!W62,'Datos Consumo '!$F$12*'Datos Consumo '!$F$11))</f>
        <v>37.930889352966823</v>
      </c>
      <c r="Y66">
        <f ca="1">IF('Datos Consumo '!$F$12&lt;1,IF(CostesNoGeneración!$C29&lt;CostesNoGeneración!X62+Ingresos!Y29,CostesNoGeneración!$C29-Ingresos!Y29,CostesNoGeneración!X62),IF((Producción!X69)*$B$43&lt;'Datos Consumo '!$F$12,CostesNoGeneración!X62,'Datos Consumo '!$F$12*'Datos Consumo '!$F$11))</f>
        <v>37.693372173102311</v>
      </c>
      <c r="Z66">
        <f ca="1">IF('Datos Consumo '!$F$12&lt;1,IF(CostesNoGeneración!$C29&lt;CostesNoGeneración!Y62+Ingresos!Z29,CostesNoGeneración!$C29-Ingresos!Z29,CostesNoGeneración!Y62),IF((Producción!Y69)*$B$43&lt;'Datos Consumo '!$F$12,CostesNoGeneración!Y62,'Datos Consumo '!$F$12*'Datos Consumo '!$F$11))</f>
        <v>37.457137586009054</v>
      </c>
      <c r="AA66">
        <f ca="1">IF('Datos Consumo '!$F$12&lt;1,IF(CostesNoGeneración!$C29&lt;CostesNoGeneración!Z62+Ingresos!AA29,CostesNoGeneración!$C29-Ingresos!AA29,CostesNoGeneración!Z62),IF((Producción!Z69)*$B$43&lt;'Datos Consumo '!$F$12,CostesNoGeneración!Z62,'Datos Consumo '!$F$12*'Datos Consumo '!$F$11))</f>
        <v>37.222178665686123</v>
      </c>
      <c r="AB66">
        <f ca="1">IF('Datos Consumo '!$F$12&lt;1,IF(CostesNoGeneración!$C29&lt;CostesNoGeneración!AA62+Ingresos!AB29,CostesNoGeneración!$C29-Ingresos!AB29,CostesNoGeneración!AA62),IF((Producción!AA69)*$B$43&lt;'Datos Consumo '!$F$12,CostesNoGeneración!AA62,'Datos Consumo '!$F$12*'Datos Consumo '!$F$11))</f>
        <v>36.988488523532922</v>
      </c>
      <c r="AC66">
        <f ca="1">IF('Datos Consumo '!$F$12&lt;1,IF(CostesNoGeneración!$C29&lt;CostesNoGeneración!AB62+Ingresos!AC29,CostesNoGeneración!$C29-Ingresos!AC29,CostesNoGeneración!AB62),IF((Producción!AB69)*$B$43&lt;'Datos Consumo '!$F$12,CostesNoGeneración!AB62,'Datos Consumo '!$F$12*'Datos Consumo '!$F$11))</f>
        <v>36.756060308147362</v>
      </c>
      <c r="AD66">
        <f ca="1">IF('Datos Consumo '!$F$12&lt;1,IF(CostesNoGeneración!$C29&lt;CostesNoGeneración!AC62+Ingresos!AD29,CostesNoGeneración!$C29-Ingresos!AD29,CostesNoGeneración!AC62),IF((Producción!AC69)*$B$43&lt;'Datos Consumo '!$F$12,CostesNoGeneración!AC62,'Datos Consumo '!$F$12*'Datos Consumo '!$F$11))</f>
        <v>36.52488720512487</v>
      </c>
      <c r="AE66">
        <f ca="1">IF('Datos Consumo '!$F$12&lt;1,IF(CostesNoGeneración!$C29&lt;CostesNoGeneración!AD62+Ingresos!AE29,CostesNoGeneración!$C29-Ingresos!AE29,CostesNoGeneración!AD62),IF((Producción!AD69)*$B$43&lt;'Datos Consumo '!$F$12,CostesNoGeneración!AD62,'Datos Consumo '!$F$12*'Datos Consumo '!$F$11))</f>
        <v>36.294962436858697</v>
      </c>
      <c r="AF66">
        <f ca="1">IF('Datos Consumo '!$F$12&lt;1,IF(CostesNoGeneración!$C29&lt;CostesNoGeneración!AE62+Ingresos!AF29,CostesNoGeneración!$C29-Ingresos!AF29,CostesNoGeneración!AE62),IF((Producción!AE69)*$B$43&lt;'Datos Consumo '!$F$12,CostesNoGeneración!AE62,'Datos Consumo '!$F$12*'Datos Consumo '!$F$11))</f>
        <v>36.066279262341176</v>
      </c>
      <c r="AG66">
        <f ca="1">IF('Datos Consumo '!$F$12&lt;1,IF(CostesNoGeneración!$C29&lt;CostesNoGeneración!AF62+Ingresos!AG29,CostesNoGeneración!$C29-Ingresos!AG29,CostesNoGeneración!AF62),IF((Producción!AF69)*$B$43&lt;'Datos Consumo '!$F$12,CostesNoGeneración!AF62,'Datos Consumo '!$F$12*'Datos Consumo '!$F$11))</f>
        <v>35.838830976966044</v>
      </c>
      <c r="AH66">
        <f ca="1">IF('Datos Consumo '!$F$12&lt;1,IF(CostesNoGeneración!$C29&lt;CostesNoGeneración!AG62+Ingresos!AH29,CostesNoGeneración!$C29-Ingresos!AH29,CostesNoGeneración!AG62),IF((Producción!AG69)*$B$43&lt;'Datos Consumo '!$F$12,CostesNoGeneración!AG62,'Datos Consumo '!$F$12*'Datos Consumo '!$F$11))</f>
        <v>35.612610912331938</v>
      </c>
    </row>
    <row r="67" spans="3:34">
      <c r="C67" s="24" t="str">
        <f t="shared" si="44"/>
        <v>Agosto</v>
      </c>
      <c r="D67">
        <f ca="1">IF('Datos Consumo '!$F$12&lt;1,IF(CostesNoGeneración!$C30&lt;CostesNoGeneración!C63+Ingresos!D30,CostesNoGeneración!$C30-Ingresos!D30,CostesNoGeneración!C63),IF((Producción!C70)*$B$43&lt;'Datos Consumo '!$F$12,CostesNoGeneración!C63,'Datos Consumo '!$F$12*'Datos Consumo '!$F$11))</f>
        <v>38.698349249595651</v>
      </c>
      <c r="E67">
        <f ca="1">IF('Datos Consumo '!$F$12&lt;1,IF(CostesNoGeneración!$C30&lt;CostesNoGeneración!D63+Ingresos!E30,CostesNoGeneración!$C30-Ingresos!E30,CostesNoGeneración!D63),IF((Producción!D70)*$B$43&lt;'Datos Consumo '!$F$12,CostesNoGeneración!D63,'Datos Consumo '!$F$12*'Datos Consumo '!$F$11))</f>
        <v>38.698349249595651</v>
      </c>
      <c r="F67">
        <f ca="1">IF('Datos Consumo '!$F$12&lt;1,IF(CostesNoGeneración!$C30&lt;CostesNoGeneración!E63+Ingresos!F30,CostesNoGeneración!$C30-Ingresos!F30,CostesNoGeneración!E63),IF((Producción!E70)*$B$43&lt;'Datos Consumo '!$F$12,CostesNoGeneración!E63,'Datos Consumo '!$F$12*'Datos Consumo '!$F$11))</f>
        <v>38.698349249595651</v>
      </c>
      <c r="G67">
        <f ca="1">IF('Datos Consumo '!$F$12&lt;1,IF(CostesNoGeneración!$C30&lt;CostesNoGeneración!F63+Ingresos!G30,CostesNoGeneración!$C30-Ingresos!G30,CostesNoGeneración!F63),IF((Producción!F70)*$B$43&lt;'Datos Consumo '!$F$12,CostesNoGeneración!F63,'Datos Consumo '!$F$12*'Datos Consumo '!$F$11))</f>
        <v>38.523132955357624</v>
      </c>
      <c r="H67">
        <f ca="1">IF('Datos Consumo '!$F$12&lt;1,IF(CostesNoGeneración!$C30&lt;CostesNoGeneración!G63+Ingresos!H30,CostesNoGeneración!$C30-Ingresos!H30,CostesNoGeneración!G63),IF((Producción!G70)*$B$43&lt;'Datos Consumo '!$F$12,CostesNoGeneración!G63,'Datos Consumo '!$F$12*'Datos Consumo '!$F$11))</f>
        <v>38.287163037398699</v>
      </c>
      <c r="I67">
        <f ca="1">IF('Datos Consumo '!$F$12&lt;1,IF(CostesNoGeneración!$C30&lt;CostesNoGeneración!H63+Ingresos!I30,CostesNoGeneración!$C30-Ingresos!I30,CostesNoGeneración!H63),IF((Producción!H70)*$B$43&lt;'Datos Consumo '!$F$12,CostesNoGeneración!H63,'Datos Consumo '!$F$12*'Datos Consumo '!$F$11))</f>
        <v>38.052467356996743</v>
      </c>
      <c r="J67">
        <f ca="1">IF('Datos Consumo '!$F$12&lt;1,IF(CostesNoGeneración!$C30&lt;CostesNoGeneración!I63+Ingresos!J30,CostesNoGeneración!$C30-Ingresos!J30,CostesNoGeneración!I63),IF((Producción!I70)*$B$43&lt;'Datos Consumo '!$F$12,CostesNoGeneración!I63,'Datos Consumo '!$F$12*'Datos Consumo '!$F$11))</f>
        <v>37.819039033268972</v>
      </c>
      <c r="K67">
        <f ca="1">IF('Datos Consumo '!$F$12&lt;1,IF(CostesNoGeneración!$C30&lt;CostesNoGeneración!J63+Ingresos!K30,CostesNoGeneración!$C30-Ingresos!K30,CostesNoGeneración!J63),IF((Producción!J70)*$B$43&lt;'Datos Consumo '!$F$12,CostesNoGeneración!J63,'Datos Consumo '!$F$12*'Datos Consumo '!$F$11))</f>
        <v>37.586871222489314</v>
      </c>
      <c r="L67">
        <f ca="1">IF('Datos Consumo '!$F$12&lt;1,IF(CostesNoGeneración!$C30&lt;CostesNoGeneración!K63+Ingresos!L30,CostesNoGeneración!$C30-Ingresos!L30,CostesNoGeneración!K63),IF((Producción!K70)*$B$43&lt;'Datos Consumo '!$F$12,CostesNoGeneración!K63,'Datos Consumo '!$F$12*'Datos Consumo '!$F$11))</f>
        <v>37.355957117887868</v>
      </c>
      <c r="M67">
        <f ca="1">IF('Datos Consumo '!$F$12&lt;1,IF(CostesNoGeneración!$C30&lt;CostesNoGeneración!L63+Ingresos!M30,CostesNoGeneración!$C30-Ingresos!M30,CostesNoGeneración!L63),IF((Producción!L70)*$B$43&lt;'Datos Consumo '!$F$12,CostesNoGeneración!L63,'Datos Consumo '!$F$12*'Datos Consumo '!$F$11))</f>
        <v>37.126289949451277</v>
      </c>
      <c r="N67">
        <f ca="1">IF('Datos Consumo '!$F$12&lt;1,IF(CostesNoGeneración!$C30&lt;CostesNoGeneración!M63+Ingresos!N30,CostesNoGeneración!$C30-Ingresos!N30,CostesNoGeneración!M63),IF((Producción!M70)*$B$43&lt;'Datos Consumo '!$F$12,CostesNoGeneración!M63,'Datos Consumo '!$F$12*'Datos Consumo '!$F$11))</f>
        <v>36.897862983724231</v>
      </c>
      <c r="O67">
        <f ca="1">IF('Datos Consumo '!$F$12&lt;1,IF(CostesNoGeneración!$C30&lt;CostesNoGeneración!N63+Ingresos!O30,CostesNoGeneración!$C30-Ingresos!O30,CostesNoGeneración!N63),IF((Producción!N70)*$B$43&lt;'Datos Consumo '!$F$12,CostesNoGeneración!N63,'Datos Consumo '!$F$12*'Datos Consumo '!$F$11))</f>
        <v>36.670669523612126</v>
      </c>
      <c r="P67">
        <f ca="1">IF('Datos Consumo '!$F$12&lt;1,IF(CostesNoGeneración!$C30&lt;CostesNoGeneración!O63+Ingresos!P30,CostesNoGeneración!$C30-Ingresos!P30,CostesNoGeneración!O63),IF((Producción!O70)*$B$43&lt;'Datos Consumo '!$F$12,CostesNoGeneración!O63,'Datos Consumo '!$F$12*'Datos Consumo '!$F$11))</f>
        <v>37.72181306132881</v>
      </c>
      <c r="Q67">
        <f ca="1">IF('Datos Consumo '!$F$12&lt;1,IF(CostesNoGeneración!$C30&lt;CostesNoGeneración!P63+Ingresos!Q30,CostesNoGeneración!$C30-Ingresos!Q30,CostesNoGeneración!P63),IF((Producción!P70)*$B$43&lt;'Datos Consumo '!$F$12,CostesNoGeneración!P63,'Datos Consumo '!$F$12*'Datos Consumo '!$F$11))</f>
        <v>37.490170270797634</v>
      </c>
      <c r="R67">
        <f ca="1">IF('Datos Consumo '!$F$12&lt;1,IF(CostesNoGeneración!$C30&lt;CostesNoGeneración!Q63+Ingresos!R30,CostesNoGeneración!$C30-Ingresos!R30,CostesNoGeneración!Q63),IF((Producción!Q70)*$B$43&lt;'Datos Consumo '!$F$12,CostesNoGeneración!Q63,'Datos Consumo '!$F$12*'Datos Consumo '!$F$11))</f>
        <v>37.259778351335321</v>
      </c>
      <c r="S67">
        <f ca="1">IF('Datos Consumo '!$F$12&lt;1,IF(CostesNoGeneración!$C30&lt;CostesNoGeneración!R63+Ingresos!S30,CostesNoGeneración!$C30-Ingresos!S30,CostesNoGeneración!R63),IF((Producción!R70)*$B$43&lt;'Datos Consumo '!$F$12,CostesNoGeneración!R63,'Datos Consumo '!$F$12*'Datos Consumo '!$F$11))</f>
        <v>37.030630548238115</v>
      </c>
      <c r="T67">
        <f ca="1">IF('Datos Consumo '!$F$12&lt;1,IF(CostesNoGeneración!$C30&lt;CostesNoGeneración!S63+Ingresos!T30,CostesNoGeneración!$C30-Ingresos!T30,CostesNoGeneración!S63),IF((Producción!S70)*$B$43&lt;'Datos Consumo '!$F$12,CostesNoGeneración!S63,'Datos Consumo '!$F$12*'Datos Consumo '!$F$11))</f>
        <v>36.802720143277632</v>
      </c>
      <c r="U67">
        <f ca="1">IF('Datos Consumo '!$F$12&lt;1,IF(CostesNoGeneración!$C30&lt;CostesNoGeneración!T63+Ingresos!U30,CostesNoGeneración!$C30-Ingresos!U30,CostesNoGeneración!T63),IF((Producción!T70)*$B$43&lt;'Datos Consumo '!$F$12,CostesNoGeneración!T63,'Datos Consumo '!$F$12*'Datos Consumo '!$F$11))</f>
        <v>36.576040454503925</v>
      </c>
      <c r="V67">
        <f ca="1">IF('Datos Consumo '!$F$12&lt;1,IF(CostesNoGeneración!$C30&lt;CostesNoGeneración!U63+Ingresos!V30,CostesNoGeneración!$C30-Ingresos!V30,CostesNoGeneración!U63),IF((Producción!U70)*$B$43&lt;'Datos Consumo '!$F$12,CostesNoGeneración!U63,'Datos Consumo '!$F$12*'Datos Consumo '!$F$11))</f>
        <v>36.350584836049613</v>
      </c>
      <c r="W67">
        <f ca="1">IF('Datos Consumo '!$F$12&lt;1,IF(CostesNoGeneración!$C30&lt;CostesNoGeneración!V63+Ingresos!W30,CostesNoGeneración!$C30-Ingresos!W30,CostesNoGeneración!V63),IF((Producción!V70)*$B$43&lt;'Datos Consumo '!$F$12,CostesNoGeneración!V63,'Datos Consumo '!$F$12*'Datos Consumo '!$F$11))</f>
        <v>36.126346677934947</v>
      </c>
      <c r="X67">
        <f ca="1">IF('Datos Consumo '!$F$12&lt;1,IF(CostesNoGeneración!$C30&lt;CostesNoGeneración!W63+Ingresos!X30,CostesNoGeneración!$C30-Ingresos!X30,CostesNoGeneración!W63),IF((Producción!W70)*$B$43&lt;'Datos Consumo '!$F$12,CostesNoGeneración!W63,'Datos Consumo '!$F$12*'Datos Consumo '!$F$11))</f>
        <v>35.9033194058741</v>
      </c>
      <c r="Y67">
        <f ca="1">IF('Datos Consumo '!$F$12&lt;1,IF(CostesNoGeneración!$C30&lt;CostesNoGeneración!X63+Ingresos!Y30,CostesNoGeneración!$C30-Ingresos!Y30,CostesNoGeneración!X63),IF((Producción!X70)*$B$43&lt;'Datos Consumo '!$F$12,CostesNoGeneración!X63,'Datos Consumo '!$F$12*'Datos Consumo '!$F$11))</f>
        <v>35.681496481082377</v>
      </c>
      <c r="Z67">
        <f ca="1">IF('Datos Consumo '!$F$12&lt;1,IF(CostesNoGeneración!$C30&lt;CostesNoGeneración!Y63+Ingresos!Z30,CostesNoGeneración!$C30-Ingresos!Z30,CostesNoGeneración!Y63),IF((Producción!Y70)*$B$43&lt;'Datos Consumo '!$F$12,CostesNoGeneración!Y63,'Datos Consumo '!$F$12*'Datos Consumo '!$F$11))</f>
        <v>35.460871400084521</v>
      </c>
      <c r="AA67">
        <f ca="1">IF('Datos Consumo '!$F$12&lt;1,IF(CostesNoGeneración!$C30&lt;CostesNoGeneración!Z63+Ingresos!AA30,CostesNoGeneración!$C30-Ingresos!AA30,CostesNoGeneración!Z63),IF((Producción!Z70)*$B$43&lt;'Datos Consumo '!$F$12,CostesNoGeneración!Z63,'Datos Consumo '!$F$12*'Datos Consumo '!$F$11))</f>
        <v>35.241437694524073</v>
      </c>
      <c r="AB67">
        <f ca="1">IF('Datos Consumo '!$F$12&lt;1,IF(CostesNoGeneración!$C30&lt;CostesNoGeneración!AA63+Ingresos!AB30,CostesNoGeneración!$C30-Ingresos!AB30,CostesNoGeneración!AA63),IF((Producción!AA70)*$B$43&lt;'Datos Consumo '!$F$12,CostesNoGeneración!AA63,'Datos Consumo '!$F$12*'Datos Consumo '!$F$11))</f>
        <v>35.023188930973639</v>
      </c>
      <c r="AC67">
        <f ca="1">IF('Datos Consumo '!$F$12&lt;1,IF(CostesNoGeneración!$C30&lt;CostesNoGeneración!AB63+Ingresos!AC30,CostesNoGeneración!$C30-Ingresos!AC30,CostesNoGeneración!AB63),IF((Producción!AB70)*$B$43&lt;'Datos Consumo '!$F$12,CostesNoGeneración!AB63,'Datos Consumo '!$F$12*'Datos Consumo '!$F$11))</f>
        <v>34.806118710746375</v>
      </c>
      <c r="AD67">
        <f ca="1">IF('Datos Consumo '!$F$12&lt;1,IF(CostesNoGeneración!$C30&lt;CostesNoGeneración!AC63+Ingresos!AD30,CostesNoGeneración!$C30-Ingresos!AD30,CostesNoGeneración!AC63),IF((Producción!AC70)*$B$43&lt;'Datos Consumo '!$F$12,CostesNoGeneración!AC63,'Datos Consumo '!$F$12*'Datos Consumo '!$F$11))</f>
        <v>34.590220669708351</v>
      </c>
      <c r="AE67">
        <f ca="1">IF('Datos Consumo '!$F$12&lt;1,IF(CostesNoGeneración!$C30&lt;CostesNoGeneración!AD63+Ingresos!AE30,CostesNoGeneración!$C30-Ingresos!AE30,CostesNoGeneración!AD63),IF((Producción!AD70)*$B$43&lt;'Datos Consumo '!$F$12,CostesNoGeneración!AD63,'Datos Consumo '!$F$12*'Datos Consumo '!$F$11))</f>
        <v>34.375488478091931</v>
      </c>
      <c r="AF67">
        <f ca="1">IF('Datos Consumo '!$F$12&lt;1,IF(CostesNoGeneración!$C30&lt;CostesNoGeneración!AE63+Ingresos!AF30,CostesNoGeneración!$C30-Ingresos!AF30,CostesNoGeneración!AE63),IF((Producción!AE70)*$B$43&lt;'Datos Consumo '!$F$12,CostesNoGeneración!AE63,'Datos Consumo '!$F$12*'Datos Consumo '!$F$11))</f>
        <v>34.161915840310229</v>
      </c>
      <c r="AG67">
        <f ca="1">IF('Datos Consumo '!$F$12&lt;1,IF(CostesNoGeneración!$C30&lt;CostesNoGeneración!AF63+Ingresos!AG30,CostesNoGeneración!$C30-Ingresos!AG30,CostesNoGeneración!AF63),IF((Producción!AF70)*$B$43&lt;'Datos Consumo '!$F$12,CostesNoGeneración!AF63,'Datos Consumo '!$F$12*'Datos Consumo '!$F$11))</f>
        <v>33.949496494772561</v>
      </c>
      <c r="AH67">
        <f ca="1">IF('Datos Consumo '!$F$12&lt;1,IF(CostesNoGeneración!$C30&lt;CostesNoGeneración!AG63+Ingresos!AH30,CostesNoGeneración!$C30-Ingresos!AH30,CostesNoGeneración!AG63),IF((Producción!AG70)*$B$43&lt;'Datos Consumo '!$F$12,CostesNoGeneración!AG63,'Datos Consumo '!$F$12*'Datos Consumo '!$F$11))</f>
        <v>33.738224213700782</v>
      </c>
    </row>
    <row r="68" spans="3:34">
      <c r="C68" s="24" t="str">
        <f t="shared" si="44"/>
        <v>Septiembre</v>
      </c>
      <c r="D68">
        <f ca="1">IF('Datos Consumo '!$F$12&lt;1,IF(CostesNoGeneración!$C31&lt;CostesNoGeneración!C64+Ingresos!D31,CostesNoGeneración!$C31-Ingresos!D31,CostesNoGeneración!C64),IF((Producción!C71)*$B$43&lt;'Datos Consumo '!$F$12,CostesNoGeneración!C64,'Datos Consumo '!$F$12*'Datos Consumo '!$F$11))</f>
        <v>34.180211428301888</v>
      </c>
      <c r="E68">
        <f ca="1">IF('Datos Consumo '!$F$12&lt;1,IF(CostesNoGeneración!$C31&lt;CostesNoGeneración!D64+Ingresos!E31,CostesNoGeneración!$C31-Ingresos!E31,CostesNoGeneración!D64),IF((Producción!D71)*$B$43&lt;'Datos Consumo '!$F$12,CostesNoGeneración!D64,'Datos Consumo '!$F$12*'Datos Consumo '!$F$11))</f>
        <v>33.969275079041893</v>
      </c>
      <c r="F68">
        <f ca="1">IF('Datos Consumo '!$F$12&lt;1,IF(CostesNoGeneración!$C31&lt;CostesNoGeneración!E64+Ingresos!F31,CostesNoGeneración!$C31-Ingresos!F31,CostesNoGeneración!E64),IF((Producción!E71)*$B$43&lt;'Datos Consumo '!$F$12,CostesNoGeneración!E64,'Datos Consumo '!$F$12*'Datos Consumo '!$F$11))</f>
        <v>33.759477786067897</v>
      </c>
      <c r="G68">
        <f ca="1">IF('Datos Consumo '!$F$12&lt;1,IF(CostesNoGeneración!$C31&lt;CostesNoGeneración!F64+Ingresos!G31,CostesNoGeneración!$C31-Ingresos!G31,CostesNoGeneración!F64),IF((Producción!F71)*$B$43&lt;'Datos Consumo '!$F$12,CostesNoGeneración!F64,'Datos Consumo '!$F$12*'Datos Consumo '!$F$11))</f>
        <v>33.55081339847596</v>
      </c>
      <c r="H68">
        <f ca="1">IF('Datos Consumo '!$F$12&lt;1,IF(CostesNoGeneración!$C31&lt;CostesNoGeneración!G64+Ingresos!H31,CostesNoGeneración!$C31-Ingresos!H31,CostesNoGeneración!G64),IF((Producción!G71)*$B$43&lt;'Datos Consumo '!$F$12,CostesNoGeneración!G64,'Datos Consumo '!$F$12*'Datos Consumo '!$F$11))</f>
        <v>33.343275798577018</v>
      </c>
      <c r="I68">
        <f ca="1">IF('Datos Consumo '!$F$12&lt;1,IF(CostesNoGeneración!$C31&lt;CostesNoGeneración!H64+Ingresos!I31,CostesNoGeneración!$C31-Ingresos!I31,CostesNoGeneración!H64),IF((Producción!H71)*$B$43&lt;'Datos Consumo '!$F$12,CostesNoGeneración!H64,'Datos Consumo '!$F$12*'Datos Consumo '!$F$11))</f>
        <v>33.136858901717531</v>
      </c>
      <c r="J68">
        <f ca="1">IF('Datos Consumo '!$F$12&lt;1,IF(CostesNoGeneración!$C31&lt;CostesNoGeneración!I64+Ingresos!J31,CostesNoGeneración!$C31-Ingresos!J31,CostesNoGeneración!I64),IF((Producción!I71)*$B$43&lt;'Datos Consumo '!$F$12,CostesNoGeneración!I64,'Datos Consumo '!$F$12*'Datos Consumo '!$F$11))</f>
        <v>32.931556656101087</v>
      </c>
      <c r="K68">
        <f ca="1">IF('Datos Consumo '!$F$12&lt;1,IF(CostesNoGeneración!$C31&lt;CostesNoGeneración!J64+Ingresos!K31,CostesNoGeneración!$C31-Ingresos!K31,CostesNoGeneración!J64),IF((Producción!J71)*$B$43&lt;'Datos Consumo '!$F$12,CostesNoGeneración!J64,'Datos Consumo '!$F$12*'Datos Consumo '!$F$11))</f>
        <v>32.727363042610982</v>
      </c>
      <c r="L68">
        <f ca="1">IF('Datos Consumo '!$F$12&lt;1,IF(CostesNoGeneración!$C31&lt;CostesNoGeneración!K64+Ingresos!L31,CostesNoGeneración!$C31-Ingresos!L31,CostesNoGeneración!K64),IF((Producción!K71)*$B$43&lt;'Datos Consumo '!$F$12,CostesNoGeneración!K64,'Datos Consumo '!$F$12*'Datos Consumo '!$F$11))</f>
        <v>32.5242720746337</v>
      </c>
      <c r="M68">
        <f ca="1">IF('Datos Consumo '!$F$12&lt;1,IF(CostesNoGeneración!$C31&lt;CostesNoGeneración!L64+Ingresos!M31,CostesNoGeneración!$C31-Ingresos!M31,CostesNoGeneración!L64),IF((Producción!L71)*$B$43&lt;'Datos Consumo '!$F$12,CostesNoGeneración!L64,'Datos Consumo '!$F$12*'Datos Consumo '!$F$11))</f>
        <v>32.322277797883515</v>
      </c>
      <c r="N68">
        <f ca="1">IF('Datos Consumo '!$F$12&lt;1,IF(CostesNoGeneración!$C31&lt;CostesNoGeneración!M64+Ingresos!N31,CostesNoGeneración!$C31-Ingresos!N31,CostesNoGeneración!M64),IF((Producción!M71)*$B$43&lt;'Datos Consumo '!$F$12,CostesNoGeneración!M64,'Datos Consumo '!$F$12*'Datos Consumo '!$F$11))</f>
        <v>32.12137429022777</v>
      </c>
      <c r="O68">
        <f ca="1">IF('Datos Consumo '!$F$12&lt;1,IF(CostesNoGeneración!$C31&lt;CostesNoGeneración!N64+Ingresos!O31,CostesNoGeneración!$C31-Ingresos!O31,CostesNoGeneración!N64),IF((Producción!N71)*$B$43&lt;'Datos Consumo '!$F$12,CostesNoGeneración!N64,'Datos Consumo '!$F$12*'Datos Consumo '!$F$11))</f>
        <v>31.921555661513366</v>
      </c>
      <c r="P68">
        <f ca="1">IF('Datos Consumo '!$F$12&lt;1,IF(CostesNoGeneración!$C31&lt;CostesNoGeneración!O64+Ingresos!P31,CostesNoGeneración!$C31-Ingresos!P31,CostesNoGeneración!O64),IF((Producción!O71)*$B$43&lt;'Datos Consumo '!$F$12,CostesNoGeneración!O64,'Datos Consumo '!$F$12*'Datos Consumo '!$F$11))</f>
        <v>32.84604556621796</v>
      </c>
      <c r="Q68">
        <f ca="1">IF('Datos Consumo '!$F$12&lt;1,IF(CostesNoGeneración!$C31&lt;CostesNoGeneración!P64+Ingresos!Q31,CostesNoGeneración!$C31-Ingresos!Q31,CostesNoGeneración!P64),IF((Producción!P71)*$B$43&lt;'Datos Consumo '!$F$12,CostesNoGeneración!P64,'Datos Consumo '!$F$12*'Datos Consumo '!$F$11))</f>
        <v>32.642313712613216</v>
      </c>
      <c r="R68">
        <f ca="1">IF('Datos Consumo '!$F$12&lt;1,IF(CostesNoGeneración!$C31&lt;CostesNoGeneración!Q64+Ingresos!R31,CostesNoGeneración!$C31-Ingresos!R31,CostesNoGeneración!Q64),IF((Producción!Q71)*$B$43&lt;'Datos Consumo '!$F$12,CostesNoGeneración!Q64,'Datos Consumo '!$F$12*'Datos Consumo '!$F$11))</f>
        <v>32.439682011017929</v>
      </c>
      <c r="S68">
        <f ca="1">IF('Datos Consumo '!$F$12&lt;1,IF(CostesNoGeneración!$C31&lt;CostesNoGeneración!R64+Ingresos!S31,CostesNoGeneración!$C31-Ingresos!S31,CostesNoGeneración!R64),IF((Producción!R71)*$B$43&lt;'Datos Consumo '!$F$12,CostesNoGeneración!R64,'Datos Consumo '!$F$12*'Datos Consumo '!$F$11))</f>
        <v>32.238144520611264</v>
      </c>
      <c r="T68">
        <f ca="1">IF('Datos Consumo '!$F$12&lt;1,IF(CostesNoGeneración!$C31&lt;CostesNoGeneración!S64+Ingresos!T31,CostesNoGeneración!$C31-Ingresos!T31,CostesNoGeneración!S64),IF((Producción!S71)*$B$43&lt;'Datos Consumo '!$F$12,CostesNoGeneración!S64,'Datos Consumo '!$F$12*'Datos Consumo '!$F$11))</f>
        <v>32.037695332652788</v>
      </c>
      <c r="U68">
        <f ca="1">IF('Datos Consumo '!$F$12&lt;1,IF(CostesNoGeneración!$C31&lt;CostesNoGeneración!T64+Ingresos!U31,CostesNoGeneración!$C31-Ingresos!U31,CostesNoGeneración!T64),IF((Producción!T71)*$B$43&lt;'Datos Consumo '!$F$12,CostesNoGeneración!T64,'Datos Consumo '!$F$12*'Datos Consumo '!$F$11))</f>
        <v>31.838328570309297</v>
      </c>
      <c r="V68">
        <f ca="1">IF('Datos Consumo '!$F$12&lt;1,IF(CostesNoGeneración!$C31&lt;CostesNoGeneración!U64+Ingresos!V31,CostesNoGeneración!$C31-Ingresos!V31,CostesNoGeneración!U64),IF((Producción!U71)*$B$43&lt;'Datos Consumo '!$F$12,CostesNoGeneración!U64,'Datos Consumo '!$F$12*'Datos Consumo '!$F$11))</f>
        <v>31.640038388482459</v>
      </c>
      <c r="W68">
        <f ca="1">IF('Datos Consumo '!$F$12&lt;1,IF(CostesNoGeneración!$C31&lt;CostesNoGeneración!V64+Ingresos!W31,CostesNoGeneración!$C31-Ingresos!W31,CostesNoGeneración!V64),IF((Producción!V71)*$B$43&lt;'Datos Consumo '!$F$12,CostesNoGeneración!V64,'Datos Consumo '!$F$12*'Datos Consumo '!$F$11))</f>
        <v>31.442818973637486</v>
      </c>
      <c r="X68">
        <f ca="1">IF('Datos Consumo '!$F$12&lt;1,IF(CostesNoGeneración!$C31&lt;CostesNoGeneración!W64+Ingresos!X31,CostesNoGeneración!$C31-Ingresos!X31,CostesNoGeneración!W64),IF((Producción!W71)*$B$43&lt;'Datos Consumo '!$F$12,CostesNoGeneración!W64,'Datos Consumo '!$F$12*'Datos Consumo '!$F$11))</f>
        <v>31.246664543632676</v>
      </c>
      <c r="Y68">
        <f ca="1">IF('Datos Consumo '!$F$12&lt;1,IF(CostesNoGeneración!$C31&lt;CostesNoGeneración!X64+Ingresos!Y31,CostesNoGeneración!$C31-Ingresos!Y31,CostesNoGeneración!X64),IF((Producción!X71)*$B$43&lt;'Datos Consumo '!$F$12,CostesNoGeneración!X64,'Datos Consumo '!$F$12*'Datos Consumo '!$F$11))</f>
        <v>31.051569347549886</v>
      </c>
      <c r="Z68">
        <f ca="1">IF('Datos Consumo '!$F$12&lt;1,IF(CostesNoGeneración!$C31&lt;CostesNoGeneración!Y64+Ingresos!Z31,CostesNoGeneración!$C31-Ingresos!Z31,CostesNoGeneración!Y64),IF((Producción!Y71)*$B$43&lt;'Datos Consumo '!$F$12,CostesNoGeneración!Y64,'Datos Consumo '!$F$12*'Datos Consumo '!$F$11))</f>
        <v>30.857527665525943</v>
      </c>
      <c r="AA68">
        <f ca="1">IF('Datos Consumo '!$F$12&lt;1,IF(CostesNoGeneración!$C31&lt;CostesNoGeneración!Z64+Ingresos!AA31,CostesNoGeneración!$C31-Ingresos!AA31,CostesNoGeneración!Z64),IF((Producción!Z71)*$B$43&lt;'Datos Consumo '!$F$12,CostesNoGeneración!Z64,'Datos Consumo '!$F$12*'Datos Consumo '!$F$11))</f>
        <v>30.664533808584931</v>
      </c>
      <c r="AB68">
        <f ca="1">IF('Datos Consumo '!$F$12&lt;1,IF(CostesNoGeneración!$C31&lt;CostesNoGeneración!AA64+Ingresos!AB31,CostesNoGeneración!$C31-Ingresos!AB31,CostesNoGeneración!AA64),IF((Producción!AA71)*$B$43&lt;'Datos Consumo '!$F$12,CostesNoGeneración!AA64,'Datos Consumo '!$F$12*'Datos Consumo '!$F$11))</f>
        <v>30.472582118471408</v>
      </c>
      <c r="AC68">
        <f ca="1">IF('Datos Consumo '!$F$12&lt;1,IF(CostesNoGeneración!$C31&lt;CostesNoGeneración!AB64+Ingresos!AC31,CostesNoGeneración!$C31-Ingresos!AC31,CostesNoGeneración!AB64),IF((Producción!AB71)*$B$43&lt;'Datos Consumo '!$F$12,CostesNoGeneración!AB64,'Datos Consumo '!$F$12*'Datos Consumo '!$F$11))</f>
        <v>30.281666967484497</v>
      </c>
      <c r="AD68">
        <f ca="1">IF('Datos Consumo '!$F$12&lt;1,IF(CostesNoGeneración!$C31&lt;CostesNoGeneración!AC64+Ingresos!AD31,CostesNoGeneración!$C31-Ingresos!AD31,CostesNoGeneración!AC64),IF((Producción!AC71)*$B$43&lt;'Datos Consumo '!$F$12,CostesNoGeneración!AC64,'Datos Consumo '!$F$12*'Datos Consumo '!$F$11))</f>
        <v>30.091782758312903</v>
      </c>
      <c r="AE68">
        <f ca="1">IF('Datos Consumo '!$F$12&lt;1,IF(CostesNoGeneración!$C31&lt;CostesNoGeneración!AD64+Ingresos!AE31,CostesNoGeneración!$C31-Ingresos!AE31,CostesNoGeneración!AD64),IF((Producción!AD71)*$B$43&lt;'Datos Consumo '!$F$12,CostesNoGeneración!AD64,'Datos Consumo '!$F$12*'Datos Consumo '!$F$11))</f>
        <v>29.902923923870844</v>
      </c>
      <c r="AF68">
        <f ca="1">IF('Datos Consumo '!$F$12&lt;1,IF(CostesNoGeneración!$C31&lt;CostesNoGeneración!AE64+Ingresos!AF31,CostesNoGeneración!$C31-Ingresos!AF31,CostesNoGeneración!AE64),IF((Producción!AE71)*$B$43&lt;'Datos Consumo '!$F$12,CostesNoGeneración!AE64,'Datos Consumo '!$F$12*'Datos Consumo '!$F$11))</f>
        <v>29.715084927134768</v>
      </c>
      <c r="AG68">
        <f ca="1">IF('Datos Consumo '!$F$12&lt;1,IF(CostesNoGeneración!$C31&lt;CostesNoGeneración!AF64+Ingresos!AG31,CostesNoGeneración!$C31-Ingresos!AG31,CostesNoGeneración!AF64),IF((Producción!AF71)*$B$43&lt;'Datos Consumo '!$F$12,CostesNoGeneración!AF64,'Datos Consumo '!$F$12*'Datos Consumo '!$F$11))</f>
        <v>29.528260260981074</v>
      </c>
      <c r="AH68">
        <f ca="1">IF('Datos Consumo '!$F$12&lt;1,IF(CostesNoGeneración!$C31&lt;CostesNoGeneración!AG64+Ingresos!AH31,CostesNoGeneración!$C31-Ingresos!AH31,CostesNoGeneración!AG64),IF((Producción!AG71)*$B$43&lt;'Datos Consumo '!$F$12,CostesNoGeneración!AG64,'Datos Consumo '!$F$12*'Datos Consumo '!$F$11))</f>
        <v>29.342444448024608</v>
      </c>
    </row>
    <row r="69" spans="3:34">
      <c r="C69" s="24" t="str">
        <f t="shared" si="44"/>
        <v xml:space="preserve">Octubre </v>
      </c>
      <c r="D69">
        <f ca="1">IF('Datos Consumo '!$F$12&lt;1,IF(CostesNoGeneración!$C32&lt;CostesNoGeneración!C65+Ingresos!D32,CostesNoGeneración!$C32-Ingresos!D32,CostesNoGeneración!C65),IF((Producción!C72)*$B$43&lt;'Datos Consumo '!$F$12,CostesNoGeneración!C65,'Datos Consumo '!$F$12*'Datos Consumo '!$F$11))</f>
        <v>31.043239334433963</v>
      </c>
      <c r="E69">
        <f ca="1">IF('Datos Consumo '!$F$12&lt;1,IF(CostesNoGeneración!$C32&lt;CostesNoGeneración!D65+Ingresos!E32,CostesNoGeneración!$C32-Ingresos!E32,CostesNoGeneración!D65),IF((Producción!D72)*$B$43&lt;'Datos Consumo '!$F$12,CostesNoGeneración!D65,'Datos Consumo '!$F$12*'Datos Consumo '!$F$11))</f>
        <v>30.848188106178966</v>
      </c>
      <c r="F69">
        <f ca="1">IF('Datos Consumo '!$F$12&lt;1,IF(CostesNoGeneración!$C32&lt;CostesNoGeneración!E65+Ingresos!F32,CostesNoGeneración!$C32-Ingresos!F32,CostesNoGeneración!E65),IF((Producción!E72)*$B$43&lt;'Datos Consumo '!$F$12,CostesNoGeneración!E65,'Datos Consumo '!$F$12*'Datos Consumo '!$F$11))</f>
        <v>30.654190154556545</v>
      </c>
      <c r="G69">
        <f ca="1">IF('Datos Consumo '!$F$12&lt;1,IF(CostesNoGeneración!$C32&lt;CostesNoGeneración!F65+Ingresos!G32,CostesNoGeneración!$C32-Ingresos!G32,CostesNoGeneración!F65),IF((Producción!F72)*$B$43&lt;'Datos Consumo '!$F$12,CostesNoGeneración!F65,'Datos Consumo '!$F$12*'Datos Consumo '!$F$11))</f>
        <v>30.461239791872874</v>
      </c>
      <c r="H69">
        <f ca="1">IF('Datos Consumo '!$F$12&lt;1,IF(CostesNoGeneración!$C32&lt;CostesNoGeneración!G65+Ingresos!H32,CostesNoGeneración!$C32-Ingresos!H32,CostesNoGeneración!G65),IF((Producción!G72)*$B$43&lt;'Datos Consumo '!$F$12,CostesNoGeneración!G65,'Datos Consumo '!$F$12*'Datos Consumo '!$F$11))</f>
        <v>30.26933136114771</v>
      </c>
      <c r="I69">
        <f ca="1">IF('Datos Consumo '!$F$12&lt;1,IF(CostesNoGeneración!$C32&lt;CostesNoGeneración!H65+Ingresos!I32,CostesNoGeneración!$C32-Ingresos!I32,CostesNoGeneración!H65),IF((Producción!H72)*$B$43&lt;'Datos Consumo '!$F$12,CostesNoGeneración!H65,'Datos Consumo '!$F$12*'Datos Consumo '!$F$11))</f>
        <v>30.078459235948454</v>
      </c>
      <c r="J69">
        <f ca="1">IF('Datos Consumo '!$F$12&lt;1,IF(CostesNoGeneración!$C32&lt;CostesNoGeneración!I65+Ingresos!J32,CostesNoGeneración!$C32-Ingresos!J32,CostesNoGeneración!I65),IF((Producción!I72)*$B$43&lt;'Datos Consumo '!$F$12,CostesNoGeneración!I65,'Datos Consumo '!$F$12*'Datos Consumo '!$F$11))</f>
        <v>29.888617820225285</v>
      </c>
      <c r="K69">
        <f ca="1">IF('Datos Consumo '!$F$12&lt;1,IF(CostesNoGeneración!$C32&lt;CostesNoGeneración!J65+Ingresos!K32,CostesNoGeneración!$C32-Ingresos!K32,CostesNoGeneración!J65),IF((Producción!J72)*$B$43&lt;'Datos Consumo '!$F$12,CostesNoGeneración!J65,'Datos Consumo '!$F$12*'Datos Consumo '!$F$11))</f>
        <v>29.699801548147015</v>
      </c>
      <c r="L69">
        <f ca="1">IF('Datos Consumo '!$F$12&lt;1,IF(CostesNoGeneración!$C32&lt;CostesNoGeneración!K65+Ingresos!L32,CostesNoGeneración!$C32-Ingresos!L32,CostesNoGeneración!K65),IF((Producción!K72)*$B$43&lt;'Datos Consumo '!$F$12,CostesNoGeneración!K65,'Datos Consumo '!$F$12*'Datos Consumo '!$F$11))</f>
        <v>29.512004883937962</v>
      </c>
      <c r="M69">
        <f ca="1">IF('Datos Consumo '!$F$12&lt;1,IF(CostesNoGeneración!$C32&lt;CostesNoGeneración!L65+Ingresos!M32,CostesNoGeneración!$C32-Ingresos!M32,CostesNoGeneración!L65),IF((Producción!L72)*$B$43&lt;'Datos Consumo '!$F$12,CostesNoGeneración!L65,'Datos Consumo '!$F$12*'Datos Consumo '!$F$11))</f>
        <v>29.325222321715639</v>
      </c>
      <c r="N69">
        <f ca="1">IF('Datos Consumo '!$F$12&lt;1,IF(CostesNoGeneración!$C32&lt;CostesNoGeneración!M65+Ingresos!N32,CostesNoGeneración!$C32-Ingresos!N32,CostesNoGeneración!M65),IF((Producción!M72)*$B$43&lt;'Datos Consumo '!$F$12,CostesNoGeneración!M65,'Datos Consumo '!$F$12*'Datos Consumo '!$F$11))</f>
        <v>29.13944838532931</v>
      </c>
      <c r="O69">
        <f ca="1">IF('Datos Consumo '!$F$12&lt;1,IF(CostesNoGeneración!$C32&lt;CostesNoGeneración!N65+Ingresos!O32,CostesNoGeneración!$C32-Ingresos!O32,CostesNoGeneración!N65),IF((Producción!N72)*$B$43&lt;'Datos Consumo '!$F$12,CostesNoGeneración!N65,'Datos Consumo '!$F$12*'Datos Consumo '!$F$11))</f>
        <v>28.954677628199477</v>
      </c>
      <c r="P69">
        <f ca="1">IF('Datos Consumo '!$F$12&lt;1,IF(CostesNoGeneración!$C32&lt;CostesNoGeneración!O65+Ingresos!P32,CostesNoGeneración!$C32-Ingresos!P32,CostesNoGeneración!O65),IF((Producción!O72)*$B$43&lt;'Datos Consumo '!$F$12,CostesNoGeneración!O65,'Datos Consumo '!$F$12*'Datos Consumo '!$F$11))</f>
        <v>29.809546369668553</v>
      </c>
      <c r="Q69">
        <f ca="1">IF('Datos Consumo '!$F$12&lt;1,IF(CostesNoGeneración!$C32&lt;CostesNoGeneración!P65+Ingresos!Q32,CostesNoGeneración!$C32-Ingresos!Q32,CostesNoGeneración!P65),IF((Producción!P72)*$B$43&lt;'Datos Consumo '!$F$12,CostesNoGeneración!P65,'Datos Consumo '!$F$12*'Datos Consumo '!$F$11))</f>
        <v>29.621157083423288</v>
      </c>
      <c r="R69">
        <f ca="1">IF('Datos Consumo '!$F$12&lt;1,IF(CostesNoGeneración!$C32&lt;CostesNoGeneración!Q65+Ingresos!R32,CostesNoGeneración!$C32-Ingresos!R32,CostesNoGeneración!Q65),IF((Producción!Q72)*$B$43&lt;'Datos Consumo '!$F$12,CostesNoGeneración!Q65,'Datos Consumo '!$F$12*'Datos Consumo '!$F$11))</f>
        <v>29.433785099323746</v>
      </c>
      <c r="S69">
        <f ca="1">IF('Datos Consumo '!$F$12&lt;1,IF(CostesNoGeneración!$C32&lt;CostesNoGeneración!R65+Ingresos!S32,CostesNoGeneración!$C32-Ingresos!S32,CostesNoGeneración!R65),IF((Producción!R72)*$B$43&lt;'Datos Consumo '!$F$12,CostesNoGeneración!R65,'Datos Consumo '!$F$12*'Datos Consumo '!$F$11))</f>
        <v>29.247424923938343</v>
      </c>
      <c r="T69">
        <f ca="1">IF('Datos Consumo '!$F$12&lt;1,IF(CostesNoGeneración!$C32&lt;CostesNoGeneración!S65+Ingresos!T32,CostesNoGeneración!$C32-Ingresos!T32,CostesNoGeneración!S65),IF((Producción!S72)*$B$43&lt;'Datos Consumo '!$F$12,CostesNoGeneración!S65,'Datos Consumo '!$F$12*'Datos Consumo '!$F$11))</f>
        <v>29.062071093500016</v>
      </c>
      <c r="U69">
        <f ca="1">IF('Datos Consumo '!$F$12&lt;1,IF(CostesNoGeneración!$C32&lt;CostesNoGeneración!T65+Ingresos!U32,CostesNoGeneración!$C32-Ingresos!U32,CostesNoGeneración!T65),IF((Producción!T72)*$B$43&lt;'Datos Consumo '!$F$12,CostesNoGeneración!T65,'Datos Consumo '!$F$12*'Datos Consumo '!$F$11))</f>
        <v>28.877718173746064</v>
      </c>
      <c r="V69">
        <f ca="1">IF('Datos Consumo '!$F$12&lt;1,IF(CostesNoGeneración!$C32&lt;CostesNoGeneración!U65+Ingresos!V32,CostesNoGeneración!$C32-Ingresos!V32,CostesNoGeneración!U65),IF((Producción!U72)*$B$43&lt;'Datos Consumo '!$F$12,CostesNoGeneración!U65,'Datos Consumo '!$F$12*'Datos Consumo '!$F$11))</f>
        <v>28.69436075975878</v>
      </c>
      <c r="W69">
        <f ca="1">IF('Datos Consumo '!$F$12&lt;1,IF(CostesNoGeneración!$C32&lt;CostesNoGeneración!V65+Ingresos!W32,CostesNoGeneración!$C32-Ingresos!W32,CostesNoGeneración!V65),IF((Producción!V72)*$B$43&lt;'Datos Consumo '!$F$12,CostesNoGeneración!V65,'Datos Consumo '!$F$12*'Datos Consumo '!$F$11))</f>
        <v>28.511993475807021</v>
      </c>
      <c r="X69">
        <f ca="1">IF('Datos Consumo '!$F$12&lt;1,IF(CostesNoGeneración!$C32&lt;CostesNoGeneración!W65+Ingresos!X32,CostesNoGeneración!$C32-Ingresos!X32,CostesNoGeneración!W65),IF((Producción!W72)*$B$43&lt;'Datos Consumo '!$F$12,CostesNoGeneración!W65,'Datos Consumo '!$F$12*'Datos Consumo '!$F$11))</f>
        <v>28.330610975188609</v>
      </c>
      <c r="Y69">
        <f ca="1">IF('Datos Consumo '!$F$12&lt;1,IF(CostesNoGeneración!$C32&lt;CostesNoGeneración!X65+Ingresos!Y32,CostesNoGeneración!$C32-Ingresos!Y32,CostesNoGeneración!X65),IF((Producción!X72)*$B$43&lt;'Datos Consumo '!$F$12,CostesNoGeneración!X65,'Datos Consumo '!$F$12*'Datos Consumo '!$F$11))</f>
        <v>28.150207940073535</v>
      </c>
      <c r="Z69">
        <f ca="1">IF('Datos Consumo '!$F$12&lt;1,IF(CostesNoGeneración!$C32&lt;CostesNoGeneración!Y65+Ingresos!Z32,CostesNoGeneración!$C32-Ingresos!Z32,CostesNoGeneración!Y65),IF((Producción!Y72)*$B$43&lt;'Datos Consumo '!$F$12,CostesNoGeneración!Y65,'Datos Consumo '!$F$12*'Datos Consumo '!$F$11))</f>
        <v>27.970779081348077</v>
      </c>
      <c r="AA69">
        <f ca="1">IF('Datos Consumo '!$F$12&lt;1,IF(CostesNoGeneración!$C32&lt;CostesNoGeneración!Z65+Ingresos!AA32,CostesNoGeneración!$C32-Ingresos!AA32,CostesNoGeneración!Z65),IF((Producción!Z72)*$B$43&lt;'Datos Consumo '!$F$12,CostesNoGeneración!Z65,'Datos Consumo '!$F$12*'Datos Consumo '!$F$11))</f>
        <v>27.792319138459739</v>
      </c>
      <c r="AB69">
        <f ca="1">IF('Datos Consumo '!$F$12&lt;1,IF(CostesNoGeneración!$C32&lt;CostesNoGeneración!AA65+Ingresos!AB32,CostesNoGeneración!$C32-Ingresos!AB32,CostesNoGeneración!AA65),IF((Producción!AA72)*$B$43&lt;'Datos Consumo '!$F$12,CostesNoGeneración!AA65,'Datos Consumo '!$F$12*'Datos Consumo '!$F$11))</f>
        <v>27.614822879263002</v>
      </c>
      <c r="AC69">
        <f ca="1">IF('Datos Consumo '!$F$12&lt;1,IF(CostesNoGeneración!$C32&lt;CostesNoGeneración!AB65+Ingresos!AC32,CostesNoGeneración!$C32-Ingresos!AC32,CostesNoGeneración!AB65),IF((Producción!AB72)*$B$43&lt;'Datos Consumo '!$F$12,CostesNoGeneración!AB65,'Datos Consumo '!$F$12*'Datos Consumo '!$F$11))</f>
        <v>27.438285099865922</v>
      </c>
      <c r="AD69">
        <f ca="1">IF('Datos Consumo '!$F$12&lt;1,IF(CostesNoGeneración!$C32&lt;CostesNoGeneración!AC65+Ingresos!AD32,CostesNoGeneración!$C32-Ingresos!AD32,CostesNoGeneración!AC65),IF((Producción!AC72)*$B$43&lt;'Datos Consumo '!$F$12,CostesNoGeneración!AC65,'Datos Consumo '!$F$12*'Datos Consumo '!$F$11))</f>
        <v>27.262700624477585</v>
      </c>
      <c r="AE69">
        <f ca="1">IF('Datos Consumo '!$F$12&lt;1,IF(CostesNoGeneración!$C32&lt;CostesNoGeneración!AD65+Ingresos!AE32,CostesNoGeneración!$C32-Ingresos!AE32,CostesNoGeneración!AD65),IF((Producción!AD72)*$B$43&lt;'Datos Consumo '!$F$12,CostesNoGeneración!AD65,'Datos Consumo '!$F$12*'Datos Consumo '!$F$11))</f>
        <v>27.088064305256349</v>
      </c>
      <c r="AF69">
        <f ca="1">IF('Datos Consumo '!$F$12&lt;1,IF(CostesNoGeneración!$C32&lt;CostesNoGeneración!AE65+Ingresos!AF32,CostesNoGeneración!$C32-Ingresos!AF32,CostesNoGeneración!AE65),IF((Producción!AE72)*$B$43&lt;'Datos Consumo '!$F$12,CostesNoGeneración!AE65,'Datos Consumo '!$F$12*'Datos Consumo '!$F$11))</f>
        <v>26.914371022158917</v>
      </c>
      <c r="AG69">
        <f ca="1">IF('Datos Consumo '!$F$12&lt;1,IF(CostesNoGeneración!$C32&lt;CostesNoGeneración!AF65+Ingresos!AG32,CostesNoGeneración!$C32-Ingresos!AG32,CostesNoGeneración!AF65),IF((Producción!AF72)*$B$43&lt;'Datos Consumo '!$F$12,CostesNoGeneración!AF65,'Datos Consumo '!$F$12*'Datos Consumo '!$F$11))</f>
        <v>26.741615682790201</v>
      </c>
      <c r="AH69">
        <f ca="1">IF('Datos Consumo '!$F$12&lt;1,IF(CostesNoGeneración!$C32&lt;CostesNoGeneración!AG65+Ingresos!AH32,CostesNoGeneración!$C32-Ingresos!AH32,CostesNoGeneración!AG65),IF((Producción!AG72)*$B$43&lt;'Datos Consumo '!$F$12,CostesNoGeneración!AG65,'Datos Consumo '!$F$12*'Datos Consumo '!$F$11))</f>
        <v>26.569793222254074</v>
      </c>
    </row>
    <row r="70" spans="3:34">
      <c r="C70" s="24" t="str">
        <f t="shared" si="44"/>
        <v>Noviembre</v>
      </c>
      <c r="D70">
        <f ca="1">IF('Datos Consumo '!$F$12&lt;1,IF(CostesNoGeneración!$C33&lt;CostesNoGeneración!C66+Ingresos!D33,CostesNoGeneración!$C33-Ingresos!D33,CostesNoGeneración!C66),IF((Producción!C73)*$B$43&lt;'Datos Consumo '!$F$12,CostesNoGeneración!C66,'Datos Consumo '!$F$12*'Datos Consumo '!$F$11))</f>
        <v>26.499424678301882</v>
      </c>
      <c r="E70">
        <f ca="1">IF('Datos Consumo '!$F$12&lt;1,IF(CostesNoGeneración!$C33&lt;CostesNoGeneración!D66+Ingresos!E33,CostesNoGeneración!$C33-Ingresos!E33,CostesNoGeneración!D66),IF((Producción!D73)*$B$43&lt;'Datos Consumo '!$F$12,CostesNoGeneración!D66,'Datos Consumo '!$F$12*'Datos Consumo '!$F$11))</f>
        <v>26.329964577491882</v>
      </c>
      <c r="F70">
        <f ca="1">IF('Datos Consumo '!$F$12&lt;1,IF(CostesNoGeneración!$C33&lt;CostesNoGeneración!E66+Ingresos!F33,CostesNoGeneración!$C33-Ingresos!F33,CostesNoGeneración!E66),IF((Producción!E73)*$B$43&lt;'Datos Consumo '!$F$12,CostesNoGeneración!E66,'Datos Consumo '!$F$12*'Datos Consumo '!$F$11))</f>
        <v>26.161419561226257</v>
      </c>
      <c r="G70">
        <f ca="1">IF('Datos Consumo '!$F$12&lt;1,IF(CostesNoGeneración!$C33&lt;CostesNoGeneración!F66+Ingresos!G33,CostesNoGeneración!$C33-Ingresos!G33,CostesNoGeneración!F66),IF((Producción!F73)*$B$43&lt;'Datos Consumo '!$F$12,CostesNoGeneración!F66,'Datos Consumo '!$F$12*'Datos Consumo '!$F$11))</f>
        <v>25.993784688048464</v>
      </c>
      <c r="H70">
        <f ca="1">IF('Datos Consumo '!$F$12&lt;1,IF(CostesNoGeneración!$C33&lt;CostesNoGeneración!G66+Ingresos!H33,CostesNoGeneración!$C33-Ingresos!H33,CostesNoGeneración!G66),IF((Producción!G73)*$B$43&lt;'Datos Consumo '!$F$12,CostesNoGeneración!G66,'Datos Consumo '!$F$12*'Datos Consumo '!$F$11))</f>
        <v>25.827055043185837</v>
      </c>
      <c r="I70">
        <f ca="1">IF('Datos Consumo '!$F$12&lt;1,IF(CostesNoGeneración!$C33&lt;CostesNoGeneración!H66+Ingresos!I33,CostesNoGeneración!$C33-Ingresos!I33,CostesNoGeneración!H66),IF((Producción!H73)*$B$43&lt;'Datos Consumo '!$F$12,CostesNoGeneración!H66,'Datos Consumo '!$F$12*'Datos Consumo '!$F$11))</f>
        <v>25.661225738405463</v>
      </c>
      <c r="J70">
        <f ca="1">IF('Datos Consumo '!$F$12&lt;1,IF(CostesNoGeneración!$C33&lt;CostesNoGeneración!I66+Ingresos!J33,CostesNoGeneración!$C33-Ingresos!J33,CostesNoGeneración!I66),IF((Producción!I73)*$B$43&lt;'Datos Consumo '!$F$12,CostesNoGeneración!I66,'Datos Consumo '!$F$12*'Datos Consumo '!$F$11))</f>
        <v>25.496291911870902</v>
      </c>
      <c r="K70">
        <f ca="1">IF('Datos Consumo '!$F$12&lt;1,IF(CostesNoGeneración!$C33&lt;CostesNoGeneración!J66+Ingresos!K33,CostesNoGeneración!$C33-Ingresos!K33,CostesNoGeneración!J66),IF((Producción!J73)*$B$43&lt;'Datos Consumo '!$F$12,CostesNoGeneración!J66,'Datos Consumo '!$F$12*'Datos Consumo '!$F$11))</f>
        <v>25.332248727999634</v>
      </c>
      <c r="L70">
        <f ca="1">IF('Datos Consumo '!$F$12&lt;1,IF(CostesNoGeneración!$C33&lt;CostesNoGeneración!K66+Ingresos!L33,CostesNoGeneración!$C33-Ingresos!L33,CostesNoGeneración!K66),IF((Producción!K73)*$B$43&lt;'Datos Consumo '!$F$12,CostesNoGeneración!K66,'Datos Consumo '!$F$12*'Datos Consumo '!$F$11))</f>
        <v>25.169091377321266</v>
      </c>
      <c r="M70">
        <f ca="1">IF('Datos Consumo '!$F$12&lt;1,IF(CostesNoGeneración!$C33&lt;CostesNoGeneración!L66+Ingresos!M33,CostesNoGeneración!$C33-Ingresos!M33,CostesNoGeneración!L66),IF((Producción!L73)*$B$43&lt;'Datos Consumo '!$F$12,CostesNoGeneración!L66,'Datos Consumo '!$F$12*'Datos Consumo '!$F$11))</f>
        <v>25.006815076336558</v>
      </c>
      <c r="N70">
        <f ca="1">IF('Datos Consumo '!$F$12&lt;1,IF(CostesNoGeneración!$C33&lt;CostesNoGeneración!M66+Ingresos!N33,CostesNoGeneración!$C33-Ingresos!N33,CostesNoGeneración!M66),IF((Producción!M73)*$B$43&lt;'Datos Consumo '!$F$12,CostesNoGeneración!M66,'Datos Consumo '!$F$12*'Datos Consumo '!$F$11))</f>
        <v>24.845415067377168</v>
      </c>
      <c r="O70">
        <f ca="1">IF('Datos Consumo '!$F$12&lt;1,IF(CostesNoGeneración!$C33&lt;CostesNoGeneración!N66+Ingresos!O33,CostesNoGeneración!$C33-Ingresos!O33,CostesNoGeneración!N66),IF((Producción!N73)*$B$43&lt;'Datos Consumo '!$F$12,CostesNoGeneración!N66,'Datos Consumo '!$F$12*'Datos Consumo '!$F$11))</f>
        <v>24.684886618466159</v>
      </c>
      <c r="P70">
        <f ca="1">IF('Datos Consumo '!$F$12&lt;1,IF(CostesNoGeneración!$C33&lt;CostesNoGeneración!O66+Ingresos!P33,CostesNoGeneración!$C33-Ingresos!P33,CostesNoGeneración!O66),IF((Producción!O73)*$B$43&lt;'Datos Consumo '!$F$12,CostesNoGeneración!O66,'Datos Consumo '!$F$12*'Datos Consumo '!$F$11))</f>
        <v>25.42759480033558</v>
      </c>
      <c r="Q70">
        <f ca="1">IF('Datos Consumo '!$F$12&lt;1,IF(CostesNoGeneración!$C33&lt;CostesNoGeneración!P66+Ingresos!Q33,CostesNoGeneración!$C33-Ingresos!Q33,CostesNoGeneración!P66),IF((Producción!P73)*$B$43&lt;'Datos Consumo '!$F$12,CostesNoGeneración!P66,'Datos Consumo '!$F$12*'Datos Consumo '!$F$11))</f>
        <v>25.263922580866598</v>
      </c>
      <c r="R70">
        <f ca="1">IF('Datos Consumo '!$F$12&lt;1,IF(CostesNoGeneración!$C33&lt;CostesNoGeneración!Q66+Ingresos!R33,CostesNoGeneración!$C33-Ingresos!R33,CostesNoGeneración!Q66),IF((Producción!Q73)*$B$43&lt;'Datos Consumo '!$F$12,CostesNoGeneración!Q66,'Datos Consumo '!$F$12*'Datos Consumo '!$F$11))</f>
        <v>25.101134191382751</v>
      </c>
      <c r="S70">
        <f ca="1">IF('Datos Consumo '!$F$12&lt;1,IF(CostesNoGeneración!$C33&lt;CostesNoGeneración!R66+Ingresos!S33,CostesNoGeneración!$C33-Ingresos!S33,CostesNoGeneración!R66),IF((Producción!R73)*$B$43&lt;'Datos Consumo '!$F$12,CostesNoGeneración!R66,'Datos Consumo '!$F$12*'Datos Consumo '!$F$11))</f>
        <v>24.93922485920211</v>
      </c>
      <c r="T70">
        <f ca="1">IF('Datos Consumo '!$F$12&lt;1,IF(CostesNoGeneración!$C33&lt;CostesNoGeneración!S66+Ingresos!T33,CostesNoGeneración!$C33-Ingresos!T33,CostesNoGeneración!S66),IF((Producción!S73)*$B$43&lt;'Datos Consumo '!$F$12,CostesNoGeneración!S66,'Datos Consumo '!$F$12*'Datos Consumo '!$F$11))</f>
        <v>24.778189837415248</v>
      </c>
      <c r="U70">
        <f ca="1">IF('Datos Consumo '!$F$12&lt;1,IF(CostesNoGeneración!$C33&lt;CostesNoGeneración!T66+Ingresos!U33,CostesNoGeneración!$C33-Ingresos!U33,CostesNoGeneración!T66),IF((Producción!T73)*$B$43&lt;'Datos Consumo '!$F$12,CostesNoGeneración!T66,'Datos Consumo '!$F$12*'Datos Consumo '!$F$11))</f>
        <v>24.618024404746038</v>
      </c>
      <c r="V70">
        <f ca="1">IF('Datos Consumo '!$F$12&lt;1,IF(CostesNoGeneración!$C33&lt;CostesNoGeneración!U66+Ingresos!V33,CostesNoGeneración!$C33-Ingresos!V33,CostesNoGeneración!U66),IF((Producción!U73)*$B$43&lt;'Datos Consumo '!$F$12,CostesNoGeneración!U66,'Datos Consumo '!$F$12*'Datos Consumo '!$F$11))</f>
        <v>24.458723865413237</v>
      </c>
      <c r="W70">
        <f ca="1">IF('Datos Consumo '!$F$12&lt;1,IF(CostesNoGeneración!$C33&lt;CostesNoGeneración!V66+Ingresos!W33,CostesNoGeneración!$C33-Ingresos!W33,CostesNoGeneración!V66),IF((Producción!V73)*$B$43&lt;'Datos Consumo '!$F$12,CostesNoGeneración!V66,'Datos Consumo '!$F$12*'Datos Consumo '!$F$11))</f>
        <v>24.300283548992841</v>
      </c>
      <c r="X70">
        <f ca="1">IF('Datos Consumo '!$F$12&lt;1,IF(CostesNoGeneración!$C33&lt;CostesNoGeneración!W66+Ingresos!X33,CostesNoGeneración!$C33-Ingresos!X33,CostesNoGeneración!W66),IF((Producción!W73)*$B$43&lt;'Datos Consumo '!$F$12,CostesNoGeneración!W66,'Datos Consumo '!$F$12*'Datos Consumo '!$F$11))</f>
        <v>24.142698810281111</v>
      </c>
      <c r="Y70">
        <f ca="1">IF('Datos Consumo '!$F$12&lt;1,IF(CostesNoGeneración!$C33&lt;CostesNoGeneración!X66+Ingresos!Y33,CostesNoGeneración!$C33-Ingresos!Y33,CostesNoGeneración!X66),IF((Producción!X73)*$B$43&lt;'Datos Consumo '!$F$12,CostesNoGeneración!X66,'Datos Consumo '!$F$12*'Datos Consumo '!$F$11))</f>
        <v>23.985965029158425</v>
      </c>
      <c r="Z70">
        <f ca="1">IF('Datos Consumo '!$F$12&lt;1,IF(CostesNoGeneración!$C33&lt;CostesNoGeneración!Y66+Ingresos!Z33,CostesNoGeneración!$C33-Ingresos!Z33,CostesNoGeneración!Y66),IF((Producción!Y73)*$B$43&lt;'Datos Consumo '!$F$12,CostesNoGeneración!Y66,'Datos Consumo '!$F$12*'Datos Consumo '!$F$11))</f>
        <v>23.830077610453795</v>
      </c>
      <c r="AA70">
        <f ca="1">IF('Datos Consumo '!$F$12&lt;1,IF(CostesNoGeneración!$C33&lt;CostesNoGeneración!Z66+Ingresos!AA33,CostesNoGeneración!$C33-Ingresos!AA33,CostesNoGeneración!Z66),IF((Producción!Z73)*$B$43&lt;'Datos Consumo '!$F$12,CostesNoGeneración!Z66,'Datos Consumo '!$F$12*'Datos Consumo '!$F$11))</f>
        <v>23.675031983810172</v>
      </c>
      <c r="AB70">
        <f ca="1">IF('Datos Consumo '!$F$12&lt;1,IF(CostesNoGeneración!$C33&lt;CostesNoGeneración!AA66+Ingresos!AB33,CostesNoGeneración!$C33-Ingresos!AB33,CostesNoGeneración!AA66),IF((Producción!AA73)*$B$43&lt;'Datos Consumo '!$F$12,CostesNoGeneración!AA66,'Datos Consumo '!$F$12*'Datos Consumo '!$F$11))</f>
        <v>23.520823603550429</v>
      </c>
      <c r="AC70">
        <f ca="1">IF('Datos Consumo '!$F$12&lt;1,IF(CostesNoGeneración!$C33&lt;CostesNoGeneración!AB66+Ingresos!AC33,CostesNoGeneración!$C33-Ingresos!AC33,CostesNoGeneración!AB66),IF((Producción!AB73)*$B$43&lt;'Datos Consumo '!$F$12,CostesNoGeneración!AB66,'Datos Consumo '!$F$12*'Datos Consumo '!$F$11))</f>
        <v>23.36744794854409</v>
      </c>
      <c r="AD70">
        <f ca="1">IF('Datos Consumo '!$F$12&lt;1,IF(CostesNoGeneración!$C33&lt;CostesNoGeneración!AC66+Ingresos!AD33,CostesNoGeneración!$C33-Ingresos!AD33,CostesNoGeneración!AC66),IF((Producción!AC73)*$B$43&lt;'Datos Consumo '!$F$12,CostesNoGeneración!AC66,'Datos Consumo '!$F$12*'Datos Consumo '!$F$11))</f>
        <v>23.214900522074778</v>
      </c>
      <c r="AE70">
        <f ca="1">IF('Datos Consumo '!$F$12&lt;1,IF(CostesNoGeneración!$C33&lt;CostesNoGeneración!AD66+Ingresos!AE33,CostesNoGeneración!$C33-Ingresos!AE33,CostesNoGeneración!AD66),IF((Producción!AD73)*$B$43&lt;'Datos Consumo '!$F$12,CostesNoGeneración!AD66,'Datos Consumo '!$F$12*'Datos Consumo '!$F$11))</f>
        <v>23.063176851708405</v>
      </c>
      <c r="AF70">
        <f ca="1">IF('Datos Consumo '!$F$12&lt;1,IF(CostesNoGeneración!$C33&lt;CostesNoGeneración!AE66+Ingresos!AF33,CostesNoGeneración!$C33-Ingresos!AF33,CostesNoGeneración!AE66),IF((Producción!AE73)*$B$43&lt;'Datos Consumo '!$F$12,CostesNoGeneración!AE66,'Datos Consumo '!$F$12*'Datos Consumo '!$F$11))</f>
        <v>22.912272489162007</v>
      </c>
      <c r="AG70">
        <f ca="1">IF('Datos Consumo '!$F$12&lt;1,IF(CostesNoGeneración!$C33&lt;CostesNoGeneración!AF66+Ingresos!AG33,CostesNoGeneración!$C33-Ingresos!AG33,CostesNoGeneración!AF66),IF((Producción!AF73)*$B$43&lt;'Datos Consumo '!$F$12,CostesNoGeneración!AF66,'Datos Consumo '!$F$12*'Datos Consumo '!$F$11))</f>
        <v>22.762183010173366</v>
      </c>
      <c r="AH70">
        <f ca="1">IF('Datos Consumo '!$F$12&lt;1,IF(CostesNoGeneración!$C33&lt;CostesNoGeneración!AG66+Ingresos!AH33,CostesNoGeneración!$C33-Ingresos!AH33,CostesNoGeneración!AG66),IF((Producción!AG73)*$B$43&lt;'Datos Consumo '!$F$12,CostesNoGeneración!AG66,'Datos Consumo '!$F$12*'Datos Consumo '!$F$11))</f>
        <v>22.612904014371257</v>
      </c>
    </row>
    <row r="71" spans="3:34">
      <c r="C71" s="24" t="str">
        <f>C54</f>
        <v>Diciembre</v>
      </c>
      <c r="D71">
        <f ca="1">IF('Datos Consumo '!$F$12&lt;1,IF(CostesNoGeneración!$C34&lt;CostesNoGeneración!C67+Ingresos!D34,CostesNoGeneración!$C34-Ingresos!D34,CostesNoGeneración!C67),IF((Producción!C74)*$B$43&lt;'Datos Consumo '!$F$12,CostesNoGeneración!C67,'Datos Consumo '!$F$12*'Datos Consumo '!$F$11))</f>
        <v>23.616540039622645</v>
      </c>
      <c r="E71">
        <f ca="1">IF('Datos Consumo '!$F$12&lt;1,IF(CostesNoGeneración!$C34&lt;CostesNoGeneración!D67+Ingresos!E34,CostesNoGeneración!$C34-Ingresos!E34,CostesNoGeneración!D67),IF((Producción!D74)*$B$43&lt;'Datos Consumo '!$F$12,CostesNoGeneración!D67,'Datos Consumo '!$F$12*'Datos Consumo '!$F$11))</f>
        <v>23.452102232842645</v>
      </c>
      <c r="F71">
        <f ca="1">IF('Datos Consumo '!$F$12&lt;1,IF(CostesNoGeneración!$C34&lt;CostesNoGeneración!E67+Ingresos!F34,CostesNoGeneración!$C34-Ingresos!F34,CostesNoGeneración!E67),IF((Producción!E74)*$B$43&lt;'Datos Consumo '!$F$12,CostesNoGeneración!E67,'Datos Consumo '!$F$12*'Datos Consumo '!$F$11))</f>
        <v>23.288552390219255</v>
      </c>
      <c r="G71">
        <f ca="1">IF('Datos Consumo '!$F$12&lt;1,IF(CostesNoGeneración!$C34&lt;CostesNoGeneración!F67+Ingresos!G34,CostesNoGeneración!$C34-Ingresos!G34,CostesNoGeneración!F67),IF((Producción!F74)*$B$43&lt;'Datos Consumo '!$F$12,CostesNoGeneración!F67,'Datos Consumo '!$F$12*'Datos Consumo '!$F$11))</f>
        <v>23.125885716746041</v>
      </c>
      <c r="H71">
        <f ca="1">IF('Datos Consumo '!$F$12&lt;1,IF(CostesNoGeneración!$C34&lt;CostesNoGeneración!G67+Ingresos!H34,CostesNoGeneración!$C34-Ingresos!H34,CostesNoGeneración!G67),IF((Producción!G74)*$B$43&lt;'Datos Consumo '!$F$12,CostesNoGeneración!G67,'Datos Consumo '!$F$12*'Datos Consumo '!$F$11))</f>
        <v>22.964097443309569</v>
      </c>
      <c r="I71">
        <f ca="1">IF('Datos Consumo '!$F$12&lt;1,IF(CostesNoGeneración!$C34&lt;CostesNoGeneración!H67+Ingresos!I34,CostesNoGeneración!$C34-Ingresos!I34,CostesNoGeneración!H67),IF((Producción!H74)*$B$43&lt;'Datos Consumo '!$F$12,CostesNoGeneración!H67,'Datos Consumo '!$F$12*'Datos Consumo '!$F$11))</f>
        <v>22.803182826549666</v>
      </c>
      <c r="J71">
        <f ca="1">IF('Datos Consumo '!$F$12&lt;1,IF(CostesNoGeneración!$C34&lt;CostesNoGeneración!I67+Ingresos!J34,CostesNoGeneración!$C34-Ingresos!J34,CostesNoGeneración!I67),IF((Producción!I74)*$B$43&lt;'Datos Consumo '!$F$12,CostesNoGeneración!I67,'Datos Consumo '!$F$12*'Datos Consumo '!$F$11))</f>
        <v>22.643137148720257</v>
      </c>
      <c r="K71">
        <f ca="1">IF('Datos Consumo '!$F$12&lt;1,IF(CostesNoGeneración!$C34&lt;CostesNoGeneración!J67+Ingresos!K34,CostesNoGeneración!$C34-Ingresos!K34,CostesNoGeneración!J67),IF((Producción!J74)*$B$43&lt;'Datos Consumo '!$F$12,CostesNoGeneración!J67,'Datos Consumo '!$F$12*'Datos Consumo '!$F$11))</f>
        <v>22.483955717551133</v>
      </c>
      <c r="L71">
        <f ca="1">IF('Datos Consumo '!$F$12&lt;1,IF(CostesNoGeneración!$C34&lt;CostesNoGeneración!K67+Ingresos!L34,CostesNoGeneración!$C34-Ingresos!L34,CostesNoGeneración!K67),IF((Producción!K74)*$B$43&lt;'Datos Consumo '!$F$12,CostesNoGeneración!K67,'Datos Consumo '!$F$12*'Datos Consumo '!$F$11))</f>
        <v>22.325633866110316</v>
      </c>
      <c r="M71">
        <f ca="1">IF('Datos Consumo '!$F$12&lt;1,IF(CostesNoGeneración!$C34&lt;CostesNoGeneración!L67+Ingresos!M34,CostesNoGeneración!$C34-Ingresos!M34,CostesNoGeneración!L67),IF((Producción!L74)*$B$43&lt;'Datos Consumo '!$F$12,CostesNoGeneración!L67,'Datos Consumo '!$F$12*'Datos Consumo '!$F$11))</f>
        <v>22.168166952667281</v>
      </c>
      <c r="N71">
        <f ca="1">IF('Datos Consumo '!$F$12&lt;1,IF(CostesNoGeneración!$C34&lt;CostesNoGeneración!M67+Ingresos!N34,CostesNoGeneración!$C34-Ingresos!N34,CostesNoGeneración!M67),IF((Producción!M74)*$B$43&lt;'Datos Consumo '!$F$12,CostesNoGeneración!M67,'Datos Consumo '!$F$12*'Datos Consumo '!$F$11))</f>
        <v>22.011550360556839</v>
      </c>
      <c r="O71">
        <f ca="1">IF('Datos Consumo '!$F$12&lt;1,IF(CostesNoGeneración!$C34&lt;CostesNoGeneración!N67+Ingresos!O34,CostesNoGeneración!$C34-Ingresos!O34,CostesNoGeneración!N67),IF((Producción!N74)*$B$43&lt;'Datos Consumo '!$F$12,CostesNoGeneración!N67,'Datos Consumo '!$F$12*'Datos Consumo '!$F$11))</f>
        <v>21.855779498043798</v>
      </c>
      <c r="P71">
        <f ca="1">IF('Datos Consumo '!$F$12&lt;1,IF(CostesNoGeneración!$C34&lt;CostesNoGeneración!O67+Ingresos!P34,CostesNoGeneración!$C34-Ingresos!P34,CostesNoGeneración!O67),IF((Producción!O74)*$B$43&lt;'Datos Consumo '!$F$12,CostesNoGeneración!O67,'Datos Consumo '!$F$12*'Datos Consumo '!$F$11))</f>
        <v>22.576476015515482</v>
      </c>
      <c r="Q71">
        <f ca="1">IF('Datos Consumo '!$F$12&lt;1,IF(CostesNoGeneración!$C34&lt;CostesNoGeneración!P67+Ingresos!Q34,CostesNoGeneración!$C34-Ingresos!Q34,CostesNoGeneración!P67),IF((Producción!P74)*$B$43&lt;'Datos Consumo '!$F$12,CostesNoGeneración!P67,'Datos Consumo '!$F$12*'Datos Consumo '!$F$11))</f>
        <v>22.417654554465667</v>
      </c>
      <c r="R71">
        <f ca="1">IF('Datos Consumo '!$F$12&lt;1,IF(CostesNoGeneración!$C34&lt;CostesNoGeneración!Q67+Ingresos!R34,CostesNoGeneración!$C34-Ingresos!R34,CostesNoGeneración!Q67),IF((Producción!Q74)*$B$43&lt;'Datos Consumo '!$F$12,CostesNoGeneración!Q67,'Datos Consumo '!$F$12*'Datos Consumo '!$F$11))</f>
        <v>22.259690729305504</v>
      </c>
      <c r="S71">
        <f ca="1">IF('Datos Consumo '!$F$12&lt;1,IF(CostesNoGeneración!$C34&lt;CostesNoGeneración!R67+Ingresos!S34,CostesNoGeneración!$C34-Ingresos!S34,CostesNoGeneración!R67),IF((Producción!R74)*$B$43&lt;'Datos Consumo '!$F$12,CostesNoGeneración!R67,'Datos Consumo '!$F$12*'Datos Consumo '!$F$11))</f>
        <v>22.102579908801221</v>
      </c>
      <c r="T71">
        <f ca="1">IF('Datos Consumo '!$F$12&lt;1,IF(CostesNoGeneración!$C34&lt;CostesNoGeneración!S67+Ingresos!T34,CostesNoGeneración!$C34-Ingresos!T34,CostesNoGeneración!S67),IF((Producción!S74)*$B$43&lt;'Datos Consumo '!$F$12,CostesNoGeneración!S67,'Datos Consumo '!$F$12*'Datos Consumo '!$F$11))</f>
        <v>21.946317486727658</v>
      </c>
      <c r="U71">
        <f ca="1">IF('Datos Consumo '!$F$12&lt;1,IF(CostesNoGeneración!$C34&lt;CostesNoGeneración!T67+Ingresos!U34,CostesNoGeneración!$C34-Ingresos!U34,CostesNoGeneración!T67),IF((Producción!T74)*$B$43&lt;'Datos Consumo '!$F$12,CostesNoGeneración!T67,'Datos Consumo '!$F$12*'Datos Consumo '!$F$11))</f>
        <v>21.790898881733291</v>
      </c>
      <c r="V71">
        <f ca="1">IF('Datos Consumo '!$F$12&lt;1,IF(CostesNoGeneración!$C34&lt;CostesNoGeneración!U67+Ingresos!V34,CostesNoGeneración!$C34-Ingresos!V34,CostesNoGeneración!U67),IF((Producción!U74)*$B$43&lt;'Datos Consumo '!$F$12,CostesNoGeneración!U67,'Datos Consumo '!$F$12*'Datos Consumo '!$F$11))</f>
        <v>21.636319537205893</v>
      </c>
      <c r="W71">
        <f ca="1">IF('Datos Consumo '!$F$12&lt;1,IF(CostesNoGeneración!$C34&lt;CostesNoGeneración!V67+Ingresos!W34,CostesNoGeneración!$C34-Ingresos!W34,CostesNoGeneración!V67),IF((Producción!V74)*$B$43&lt;'Datos Consumo '!$F$12,CostesNoGeneración!V67,'Datos Consumo '!$F$12*'Datos Consumo '!$F$11))</f>
        <v>21.482574921138948</v>
      </c>
      <c r="X71">
        <f ca="1">IF('Datos Consumo '!$F$12&lt;1,IF(CostesNoGeneración!$C34&lt;CostesNoGeneración!W67+Ingresos!X34,CostesNoGeneración!$C34-Ingresos!X34,CostesNoGeneración!W67),IF((Producción!W74)*$B$43&lt;'Datos Consumo '!$F$12,CostesNoGeneración!W67,'Datos Consumo '!$F$12*'Datos Consumo '!$F$11))</f>
        <v>21.329660525998761</v>
      </c>
      <c r="Y71">
        <f ca="1">IF('Datos Consumo '!$F$12&lt;1,IF(CostesNoGeneración!$C34&lt;CostesNoGeneración!X67+Ingresos!Y34,CostesNoGeneración!$C34-Ingresos!Y34,CostesNoGeneración!X67),IF((Producción!X74)*$B$43&lt;'Datos Consumo '!$F$12,CostesNoGeneración!X67,'Datos Consumo '!$F$12*'Datos Consumo '!$F$11))</f>
        <v>21.177571868592327</v>
      </c>
      <c r="Z71">
        <f ca="1">IF('Datos Consumo '!$F$12&lt;1,IF(CostesNoGeneración!$C34&lt;CostesNoGeneración!Y67+Ingresos!Z34,CostesNoGeneración!$C34-Ingresos!Z34,CostesNoGeneración!Y67),IF((Producción!Y74)*$B$43&lt;'Datos Consumo '!$F$12,CostesNoGeneración!Y67,'Datos Consumo '!$F$12*'Datos Consumo '!$F$11))</f>
        <v>21.026304489935882</v>
      </c>
      <c r="AA71">
        <f ca="1">IF('Datos Consumo '!$F$12&lt;1,IF(CostesNoGeneración!$C34&lt;CostesNoGeneración!Z67+Ingresos!AA34,CostesNoGeneración!$C34-Ingresos!AA34,CostesNoGeneración!Z67),IF((Producción!Z74)*$B$43&lt;'Datos Consumo '!$F$12,CostesNoGeneración!Z67,'Datos Consumo '!$F$12*'Datos Consumo '!$F$11))</f>
        <v>20.875853955124192</v>
      </c>
      <c r="AB71">
        <f ca="1">IF('Datos Consumo '!$F$12&lt;1,IF(CostesNoGeneración!$C34&lt;CostesNoGeneración!AA67+Ingresos!AB34,CostesNoGeneración!$C34-Ingresos!AB34,CostesNoGeneración!AA67),IF((Producción!AA74)*$B$43&lt;'Datos Consumo '!$F$12,CostesNoGeneración!AA67,'Datos Consumo '!$F$12*'Datos Consumo '!$F$11))</f>
        <v>20.72621585320049</v>
      </c>
      <c r="AC71">
        <f ca="1">IF('Datos Consumo '!$F$12&lt;1,IF(CostesNoGeneración!$C34&lt;CostesNoGeneración!AB67+Ingresos!AC34,CostesNoGeneración!$C34-Ingresos!AC34,CostesNoGeneración!AB67),IF((Producción!AB74)*$B$43&lt;'Datos Consumo '!$F$12,CostesNoGeneración!AB67,'Datos Consumo '!$F$12*'Datos Consumo '!$F$11))</f>
        <v>20.577385797027162</v>
      </c>
      <c r="AD71">
        <f ca="1">IF('Datos Consumo '!$F$12&lt;1,IF(CostesNoGeneración!$C34&lt;CostesNoGeneración!AC67+Ingresos!AD34,CostesNoGeneración!$C34-Ingresos!AD34,CostesNoGeneración!AC67),IF((Producción!AC74)*$B$43&lt;'Datos Consumo '!$F$12,CostesNoGeneración!AC67,'Datos Consumo '!$F$12*'Datos Consumo '!$F$11))</f>
        <v>20.429359423157177</v>
      </c>
      <c r="AE71">
        <f ca="1">IF('Datos Consumo '!$F$12&lt;1,IF(CostesNoGeneración!$C34&lt;CostesNoGeneración!AD67+Ingresos!AE34,CostesNoGeneración!$C34-Ingresos!AE34,CostesNoGeneración!AD67),IF((Producción!AD74)*$B$43&lt;'Datos Consumo '!$F$12,CostesNoGeneración!AD67,'Datos Consumo '!$F$12*'Datos Consumo '!$F$11))</f>
        <v>20.282132391706096</v>
      </c>
      <c r="AF71">
        <f ca="1">IF('Datos Consumo '!$F$12&lt;1,IF(CostesNoGeneración!$C34&lt;CostesNoGeneración!AE67+Ingresos!AF34,CostesNoGeneración!$C34-Ingresos!AF34,CostesNoGeneración!AE67),IF((Producción!AE74)*$B$43&lt;'Datos Consumo '!$F$12,CostesNoGeneración!AE67,'Datos Consumo '!$F$12*'Datos Consumo '!$F$11))</f>
        <v>20.135700386224844</v>
      </c>
      <c r="AG71">
        <f ca="1">IF('Datos Consumo '!$F$12&lt;1,IF(CostesNoGeneración!$C34&lt;CostesNoGeneración!AF67+Ingresos!AG34,CostesNoGeneración!$C34-Ingresos!AG34,CostesNoGeneración!AF67),IF((Producción!AF74)*$B$43&lt;'Datos Consumo '!$F$12,CostesNoGeneración!AF67,'Datos Consumo '!$F$12*'Datos Consumo '!$F$11))</f>
        <v>19.990059113573196</v>
      </c>
      <c r="AH71">
        <f ca="1">IF('Datos Consumo '!$F$12&lt;1,IF(CostesNoGeneración!$C34&lt;CostesNoGeneración!AG67+Ingresos!AH34,CostesNoGeneración!$C34-Ingresos!AH34,CostesNoGeneración!AG67),IF((Producción!AG74)*$B$43&lt;'Datos Consumo '!$F$12,CostesNoGeneración!AG67,'Datos Consumo '!$F$12*'Datos Consumo '!$F$11))</f>
        <v>19.84520430379386</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F0DBD-B0BC-4FFE-8E8A-E961399E7245}">
  <dimension ref="A3:AG84"/>
  <sheetViews>
    <sheetView zoomScale="70" zoomScaleNormal="70" workbookViewId="0">
      <selection activeCell="C13" sqref="C13"/>
    </sheetView>
  </sheetViews>
  <sheetFormatPr baseColWidth="10" defaultRowHeight="14.4"/>
  <cols>
    <col min="2" max="2" width="15.6640625" customWidth="1"/>
    <col min="3" max="3" width="14.21875" customWidth="1"/>
  </cols>
  <sheetData>
    <row r="3" spans="2:7">
      <c r="B3" s="287" t="s">
        <v>164</v>
      </c>
      <c r="C3" s="287"/>
      <c r="D3" s="287"/>
      <c r="E3" s="287"/>
      <c r="F3" s="287"/>
      <c r="G3" t="s">
        <v>165</v>
      </c>
    </row>
    <row r="5" spans="2:7">
      <c r="C5" s="12" t="s">
        <v>439</v>
      </c>
    </row>
    <row r="6" spans="2:7">
      <c r="B6" s="12" t="s">
        <v>4</v>
      </c>
      <c r="C6" s="112">
        <f>Auxiliares!$D16*IF('Datos Consumo '!$C$12="Si",'Datos Consumo '!$C20,IF('Datos Consumo '!$C$11="No",'Datos Consumo '!$C$14,'Datos Consumo '!$C$16*Auxiliares!$N$4+Auxiliares!$N$5*'Datos Consumo '!$C$18))*('Datos Consumo '!$F$5+1)*(1+'Datos Consumo '!$F$4)</f>
        <v>23.829499957241207</v>
      </c>
    </row>
    <row r="7" spans="2:7">
      <c r="B7" s="12" t="s">
        <v>5</v>
      </c>
      <c r="C7" s="112">
        <f>Auxiliares!$D17*IF('Datos Consumo '!$C$12="Si",'Datos Consumo '!$C21,IF('Datos Consumo '!$C$11="No",'Datos Consumo '!$C$14,'Datos Consumo '!$C$16*Auxiliares!$N$4+Auxiliares!$N$5*'Datos Consumo '!$C$18))*('Datos Consumo '!$F$5+1)*(1+'Datos Consumo '!$F$4)</f>
        <v>21.786971389477674</v>
      </c>
    </row>
    <row r="8" spans="2:7">
      <c r="B8" s="12" t="s">
        <v>6</v>
      </c>
      <c r="C8" s="112">
        <f>Auxiliares!$D18*IF('Datos Consumo '!$C$12="Si",'Datos Consumo '!$C22,IF('Datos Consumo '!$C$11="No",'Datos Consumo '!$C$14,'Datos Consumo '!$C$16*Auxiliares!$N$4+Auxiliares!$N$5*'Datos Consumo '!$C$18))*('Datos Consumo '!$F$5+1)*(1+'Datos Consumo '!$F$4)</f>
        <v>18.38275710987179</v>
      </c>
    </row>
    <row r="9" spans="2:7">
      <c r="B9" s="12" t="s">
        <v>7</v>
      </c>
      <c r="C9" s="112">
        <f>Auxiliares!$D19*IF('Datos Consumo '!$C$12="Si",'Datos Consumo '!$C23,IF('Datos Consumo '!$C$11="No",'Datos Consumo '!$C$14,'Datos Consumo '!$C$16*Auxiliares!$N$4+Auxiliares!$N$5*'Datos Consumo '!$C$18))*('Datos Consumo '!$F$5+1)*(1+'Datos Consumo '!$F$4)</f>
        <v>16.340228542108253</v>
      </c>
    </row>
    <row r="10" spans="2:7">
      <c r="B10" s="12" t="s">
        <v>8</v>
      </c>
      <c r="C10" s="112">
        <f>Auxiliares!$D20*IF('Datos Consumo '!$C$12="Si",'Datos Consumo '!$C24,IF('Datos Consumo '!$C$11="No",'Datos Consumo '!$C$14,'Datos Consumo '!$C$16*Auxiliares!$N$4+Auxiliares!$N$5*'Datos Consumo '!$C$18))*('Datos Consumo '!$F$5+1)*(1+'Datos Consumo '!$F$4)</f>
        <v>16.680649970068846</v>
      </c>
    </row>
    <row r="11" spans="2:7">
      <c r="B11" s="12" t="s">
        <v>9</v>
      </c>
      <c r="C11" s="112">
        <f>Auxiliares!$D21*IF('Datos Consumo '!$C$12="Si",'Datos Consumo '!$C25,IF('Datos Consumo '!$C$11="No",'Datos Consumo '!$C$14,'Datos Consumo '!$C$16*Auxiliares!$N$4+Auxiliares!$N$5*'Datos Consumo '!$C$18))*('Datos Consumo '!$F$5+1)*(1+'Datos Consumo '!$F$4)</f>
        <v>17.021071398029434</v>
      </c>
    </row>
    <row r="12" spans="2:7">
      <c r="B12" s="12" t="s">
        <v>10</v>
      </c>
      <c r="C12" s="112">
        <f>Auxiliares!$D22*IF('Datos Consumo '!$C$12="Si",'Datos Consumo '!$C26,IF('Datos Consumo '!$C$11="No",'Datos Consumo '!$C$14,'Datos Consumo '!$C$16*Auxiliares!$N$4+Auxiliares!$N$5*'Datos Consumo '!$C$18))*('Datos Consumo '!$F$5+1)*(1+'Datos Consumo '!$F$4)</f>
        <v>21.106128533556497</v>
      </c>
    </row>
    <row r="13" spans="2:7">
      <c r="B13" s="12" t="s">
        <v>11</v>
      </c>
      <c r="C13" s="112">
        <f>Auxiliares!$D23*IF('Datos Consumo '!$C$12="Si",'Datos Consumo '!$C27,IF('Datos Consumo '!$C$11="No",'Datos Consumo '!$C$14,'Datos Consumo '!$C$16*Auxiliares!$N$4+Auxiliares!$N$5*'Datos Consumo '!$C$18))*('Datos Consumo '!$F$5+1)*(1+'Datos Consumo '!$F$4)</f>
        <v>18.042335681911197</v>
      </c>
    </row>
    <row r="14" spans="2:7">
      <c r="B14" s="12" t="s">
        <v>12</v>
      </c>
      <c r="C14" s="112">
        <f>Auxiliares!$D24*IF('Datos Consumo '!$C$12="Si",'Datos Consumo '!$C28,IF('Datos Consumo '!$C$11="No",'Datos Consumo '!$C$14,'Datos Consumo '!$C$16*Auxiliares!$N$4+Auxiliares!$N$5*'Datos Consumo '!$C$18))*('Datos Consumo '!$F$5+1)*(1+'Datos Consumo '!$F$4)</f>
        <v>17.021071398029434</v>
      </c>
    </row>
    <row r="15" spans="2:7">
      <c r="B15" s="12" t="s">
        <v>13</v>
      </c>
      <c r="C15" s="112">
        <f>Auxiliares!$D25*IF('Datos Consumo '!$C$12="Si",'Datos Consumo '!$C29,IF('Datos Consumo '!$C$11="No",'Datos Consumo '!$C$14,'Datos Consumo '!$C$16*Auxiliares!$N$4+Auxiliares!$N$5*'Datos Consumo '!$C$18))*('Datos Consumo '!$F$5+1)*(1+'Datos Consumo '!$F$4)</f>
        <v>17.701914253950612</v>
      </c>
    </row>
    <row r="16" spans="2:7">
      <c r="B16" s="12" t="s">
        <v>14</v>
      </c>
      <c r="C16" s="112">
        <f>Auxiliares!$D26*IF('Datos Consumo '!$C$12="Si",'Datos Consumo '!$C30,IF('Datos Consumo '!$C$11="No",'Datos Consumo '!$C$14,'Datos Consumo '!$C$16*Auxiliares!$N$4+Auxiliares!$N$5*'Datos Consumo '!$C$18))*('Datos Consumo '!$F$5+1)*(1+'Datos Consumo '!$F$4)</f>
        <v>17.021071398029434</v>
      </c>
    </row>
    <row r="17" spans="1:9">
      <c r="B17" s="12" t="s">
        <v>15</v>
      </c>
      <c r="C17" s="112">
        <f>Auxiliares!$D27*IF('Datos Consumo '!$C$12="Si",'Datos Consumo '!$C31,IF('Datos Consumo '!$C$11="No",'Datos Consumo '!$C$14,'Datos Consumo '!$C$16*Auxiliares!$N$4+Auxiliares!$N$5*'Datos Consumo '!$C$18))*('Datos Consumo '!$F$5+1)*(1+'Datos Consumo '!$F$4)</f>
        <v>23.829499957241207</v>
      </c>
    </row>
    <row r="20" spans="1:9">
      <c r="B20" s="287" t="s">
        <v>416</v>
      </c>
      <c r="C20" s="287"/>
      <c r="D20" s="287"/>
      <c r="E20" s="287"/>
      <c r="F20" s="287"/>
    </row>
    <row r="22" spans="1:9">
      <c r="B22" s="18"/>
      <c r="C22" s="24" t="str">
        <f t="shared" ref="C22" si="0">C5</f>
        <v>AÑO</v>
      </c>
      <c r="I22" s="24" t="s">
        <v>439</v>
      </c>
    </row>
    <row r="23" spans="1:9">
      <c r="A23">
        <v>31</v>
      </c>
      <c r="B23" s="24" t="str">
        <f>B6</f>
        <v>Enero</v>
      </c>
      <c r="C23" s="112">
        <f>'Datos Consumo '!$C42*IF('Datos Consumo '!$C$12="Si",'Datos Consumo '!$C20,IF('Datos Consumo '!$C$11="No",'Datos Consumo '!$C$14,'Datos Consumo '!$C$16*Auxiliares!$N$4+Auxiliares!$N$5*'Datos Consumo '!$C$18))</f>
        <v>74.940527268027921</v>
      </c>
      <c r="H23" s="24" t="str">
        <f>B23</f>
        <v>Enero</v>
      </c>
      <c r="I23">
        <f>'Datos Consumo '!$C42*IF(Recálculo!$P$4="Si",0,IF(Recálculo!$P$3="No",Recálculo!$P$6,Recálculo!$P$8*Auxiliares!$N$4+Auxiliares!$N$5*Recálculo!$P$10))</f>
        <v>89.954848798139082</v>
      </c>
    </row>
    <row r="24" spans="1:9">
      <c r="A24">
        <v>28</v>
      </c>
      <c r="B24" s="24" t="str">
        <f t="shared" ref="B24:B34" si="1">B7</f>
        <v>Febrero</v>
      </c>
      <c r="C24" s="112">
        <f>'Datos Consumo '!$C43*IF('Datos Consumo '!$C$12="Si",'Datos Consumo '!$C21,IF('Datos Consumo '!$C$11="No",'Datos Consumo '!$C$14,'Datos Consumo '!$C$16*Auxiliares!$N$4+Auxiliares!$N$5*'Datos Consumo '!$C$18))</f>
        <v>68.517053502196958</v>
      </c>
      <c r="H24" s="24" t="str">
        <f t="shared" ref="H24:H33" si="2">B24</f>
        <v>Febrero</v>
      </c>
      <c r="I24">
        <f>'Datos Consumo '!$C43*IF(Recálculo!$P$4="Si",0,IF(Recálculo!$P$3="No",Recálculo!$P$6,Recálculo!$P$8*Auxiliares!$N$4+Auxiliares!$N$5*Recálculo!$P$10))</f>
        <v>82.244433186870012</v>
      </c>
    </row>
    <row r="25" spans="1:9">
      <c r="A25">
        <v>31</v>
      </c>
      <c r="B25" s="24" t="str">
        <f t="shared" si="1"/>
        <v>Marzo</v>
      </c>
      <c r="C25" s="112">
        <f>'Datos Consumo '!$C44*IF('Datos Consumo '!$C$12="Si",'Datos Consumo '!$C22,IF('Datos Consumo '!$C$11="No",'Datos Consumo '!$C$14,'Datos Consumo '!$C$16*Auxiliares!$N$4+Auxiliares!$N$5*'Datos Consumo '!$C$18))</f>
        <v>57.811263892478685</v>
      </c>
      <c r="H25" s="24" t="str">
        <f t="shared" si="2"/>
        <v>Marzo</v>
      </c>
      <c r="I25">
        <f>'Datos Consumo '!$C44*IF(Recálculo!$P$4="Si",0,IF(Recálculo!$P$3="No",Recálculo!$P$6,Recálculo!$P$8*Auxiliares!$N$4+Auxiliares!$N$5*Recálculo!$P$10))</f>
        <v>69.393740501421576</v>
      </c>
    </row>
    <row r="26" spans="1:9">
      <c r="A26">
        <v>30</v>
      </c>
      <c r="B26" s="24" t="str">
        <f t="shared" si="1"/>
        <v>Abril</v>
      </c>
      <c r="C26" s="112">
        <f>'Datos Consumo '!$C45*IF('Datos Consumo '!$C$12="Si",'Datos Consumo '!$C23,IF('Datos Consumo '!$C$11="No",'Datos Consumo '!$C$14,'Datos Consumo '!$C$16*Auxiliares!$N$4+Auxiliares!$N$5*'Datos Consumo '!$C$18))</f>
        <v>51.387790126647708</v>
      </c>
      <c r="H26" s="24" t="str">
        <f t="shared" si="2"/>
        <v>Abril</v>
      </c>
      <c r="I26">
        <f>'Datos Consumo '!$C45*IF(Recálculo!$P$4="Si",0,IF(Recálculo!$P$3="No",Recálculo!$P$6,Recálculo!$P$8*Auxiliares!$N$4+Auxiliares!$N$5*Recálculo!$P$10))</f>
        <v>61.683324890152498</v>
      </c>
    </row>
    <row r="27" spans="1:9">
      <c r="A27">
        <v>31</v>
      </c>
      <c r="B27" s="24" t="str">
        <f t="shared" si="1"/>
        <v>Mayo</v>
      </c>
      <c r="C27" s="112">
        <f>'Datos Consumo '!$C46*IF('Datos Consumo '!$C$12="Si",'Datos Consumo '!$C24,IF('Datos Consumo '!$C$11="No",'Datos Consumo '!$C$14,'Datos Consumo '!$C$16*Auxiliares!$N$4+Auxiliares!$N$5*'Datos Consumo '!$C$18))</f>
        <v>52.458369087619545</v>
      </c>
      <c r="H27" s="24" t="str">
        <f t="shared" si="2"/>
        <v>Mayo</v>
      </c>
      <c r="I27">
        <f>'Datos Consumo '!$C46*IF(Recálculo!$P$4="Si",0,IF(Recálculo!$P$3="No",Recálculo!$P$6,Recálculo!$P$8*Auxiliares!$N$4+Auxiliares!$N$5*Recálculo!$P$10))</f>
        <v>62.96839415869735</v>
      </c>
    </row>
    <row r="28" spans="1:9">
      <c r="A28">
        <v>30</v>
      </c>
      <c r="B28" s="24" t="str">
        <f t="shared" si="1"/>
        <v>Junio</v>
      </c>
      <c r="C28" s="112">
        <f>'Datos Consumo '!$C47*IF('Datos Consumo '!$C$12="Si",'Datos Consumo '!$C25,IF('Datos Consumo '!$C$11="No",'Datos Consumo '!$C$14,'Datos Consumo '!$C$16*Auxiliares!$N$4+Auxiliares!$N$5*'Datos Consumo '!$C$18))</f>
        <v>53.528948048591367</v>
      </c>
      <c r="H28" s="24" t="str">
        <f t="shared" si="2"/>
        <v>Junio</v>
      </c>
      <c r="I28">
        <f>'Datos Consumo '!$C47*IF(Recálculo!$P$4="Si",0,IF(Recálculo!$P$3="No",Recálculo!$P$6,Recálculo!$P$8*Auxiliares!$N$4+Auxiliares!$N$5*Recálculo!$P$10))</f>
        <v>64.253463427242195</v>
      </c>
    </row>
    <row r="29" spans="1:9">
      <c r="A29">
        <v>31</v>
      </c>
      <c r="B29" s="24" t="str">
        <f t="shared" si="1"/>
        <v>Julio</v>
      </c>
      <c r="C29" s="112">
        <f>'Datos Consumo '!$C48*IF('Datos Consumo '!$C$12="Si",'Datos Consumo '!$C26,IF('Datos Consumo '!$C$11="No",'Datos Consumo '!$C$14,'Datos Consumo '!$C$16*Auxiliares!$N$4+Auxiliares!$N$5*'Datos Consumo '!$C$18))</f>
        <v>66.375895580253299</v>
      </c>
      <c r="H29" s="24" t="str">
        <f t="shared" si="2"/>
        <v>Julio</v>
      </c>
      <c r="I29">
        <f>'Datos Consumo '!$C48*IF(Recálculo!$P$4="Si",0,IF(Recálculo!$P$3="No",Recálculo!$P$6,Recálculo!$P$8*Auxiliares!$N$4+Auxiliares!$N$5*Recálculo!$P$10))</f>
        <v>79.674294649780322</v>
      </c>
    </row>
    <row r="30" spans="1:9">
      <c r="A30">
        <v>31</v>
      </c>
      <c r="B30" s="24" t="str">
        <f t="shared" si="1"/>
        <v>Agosto</v>
      </c>
      <c r="C30" s="112">
        <f>'Datos Consumo '!$C49*IF('Datos Consumo '!$C$12="Si",'Datos Consumo '!$C27,IF('Datos Consumo '!$C$11="No",'Datos Consumo '!$C$14,'Datos Consumo '!$C$16*Auxiliares!$N$4+Auxiliares!$N$5*'Datos Consumo '!$C$18))</f>
        <v>56.740684931506848</v>
      </c>
      <c r="H30" s="24" t="str">
        <f t="shared" si="2"/>
        <v>Agosto</v>
      </c>
      <c r="I30">
        <f>'Datos Consumo '!$C49*IF(Recálculo!$P$4="Si",0,IF(Recálculo!$P$3="No",Recálculo!$P$6,Recálculo!$P$8*Auxiliares!$N$4+Auxiliares!$N$5*Recálculo!$P$10))</f>
        <v>68.108671232876716</v>
      </c>
    </row>
    <row r="31" spans="1:9">
      <c r="A31">
        <v>30</v>
      </c>
      <c r="B31" s="24" t="str">
        <f>B14</f>
        <v>Septiembre</v>
      </c>
      <c r="C31" s="112">
        <f>'Datos Consumo '!$C50*IF('Datos Consumo '!$C$12="Si",'Datos Consumo '!$C28,IF('Datos Consumo '!$C$11="No",'Datos Consumo '!$C$14,'Datos Consumo '!$C$16*Auxiliares!$N$4+Auxiliares!$N$5*'Datos Consumo '!$C$18))</f>
        <v>53.528948048591367</v>
      </c>
      <c r="H31" s="24" t="str">
        <f t="shared" si="2"/>
        <v>Septiembre</v>
      </c>
      <c r="I31">
        <f>'Datos Consumo '!$C50*IF(Recálculo!$P$4="Si",0,IF(Recálculo!$P$3="No",Recálculo!$P$6,Recálculo!$P$8*Auxiliares!$N$4+Auxiliares!$N$5*Recálculo!$P$10))</f>
        <v>64.253463427242195</v>
      </c>
    </row>
    <row r="32" spans="1:9">
      <c r="A32">
        <v>31</v>
      </c>
      <c r="B32" s="24" t="str">
        <f t="shared" si="1"/>
        <v xml:space="preserve">Octubre </v>
      </c>
      <c r="C32" s="112">
        <f>'Datos Consumo '!$C51*IF('Datos Consumo '!$C$12="Si",'Datos Consumo '!$C29,IF('Datos Consumo '!$C$11="No",'Datos Consumo '!$C$14,'Datos Consumo '!$C$16*Auxiliares!$N$4+Auxiliares!$N$5*'Datos Consumo '!$C$18))</f>
        <v>55.670105970535033</v>
      </c>
      <c r="H32" s="24" t="str">
        <f t="shared" si="2"/>
        <v xml:space="preserve">Octubre </v>
      </c>
      <c r="I32">
        <f>'Datos Consumo '!$C51*IF(Recálculo!$P$4="Si",0,IF(Recálculo!$P$3="No",Recálculo!$P$6,Recálculo!$P$8*Auxiliares!$N$4+Auxiliares!$N$5*Recálculo!$P$10))</f>
        <v>66.823601964331885</v>
      </c>
    </row>
    <row r="33" spans="1:33">
      <c r="A33">
        <v>30</v>
      </c>
      <c r="B33" s="24" t="str">
        <f t="shared" si="1"/>
        <v>Noviembre</v>
      </c>
      <c r="C33" s="112">
        <f>'Datos Consumo '!$C52*IF('Datos Consumo '!$C$12="Si",'Datos Consumo '!$C30,IF('Datos Consumo '!$C$11="No",'Datos Consumo '!$C$14,'Datos Consumo '!$C$16*Auxiliares!$N$4+Auxiliares!$N$5*'Datos Consumo '!$C$18))</f>
        <v>53.528948048591367</v>
      </c>
      <c r="H33" s="24" t="str">
        <f t="shared" si="2"/>
        <v>Noviembre</v>
      </c>
      <c r="I33">
        <f>'Datos Consumo '!$C52*IF(Recálculo!$P$4="Si",0,IF(Recálculo!$P$3="No",Recálculo!$P$6,Recálculo!$P$8*Auxiliares!$N$4+Auxiliares!$N$5*Recálculo!$P$10))</f>
        <v>64.253463427242195</v>
      </c>
    </row>
    <row r="34" spans="1:33">
      <c r="A34">
        <v>31</v>
      </c>
      <c r="B34" s="24" t="str">
        <f t="shared" si="1"/>
        <v>Diciembre</v>
      </c>
      <c r="C34" s="112">
        <f>'Datos Consumo '!$C53*IF('Datos Consumo '!$C$12="Si",'Datos Consumo '!$C31,IF('Datos Consumo '!$C$11="No",'Datos Consumo '!$C$14,'Datos Consumo '!$C$16*Auxiliares!$N$4+Auxiliares!$N$5*'Datos Consumo '!$C$18))</f>
        <v>74.940527268027921</v>
      </c>
      <c r="H34" s="24" t="s">
        <v>15</v>
      </c>
      <c r="I34">
        <f>'Datos Consumo '!$C53*IF(Recálculo!$P$4="Si",0,IF(Recálculo!$P$3="No",Recálculo!$P$6,Recálculo!$P$8*Auxiliares!$N$4+Auxiliares!$N$5*Recálculo!$P$10))</f>
        <v>89.954848798139082</v>
      </c>
    </row>
    <row r="35" spans="1:33">
      <c r="B35" t="s">
        <v>16</v>
      </c>
      <c r="C35" s="112">
        <f>SUM(C23:C34)</f>
        <v>719.42906177306804</v>
      </c>
      <c r="D35" s="112"/>
      <c r="E35" s="112"/>
      <c r="F35" s="112"/>
      <c r="G35" s="112"/>
      <c r="H35" s="112" t="s">
        <v>16</v>
      </c>
      <c r="I35" s="112">
        <f t="shared" ref="I35" si="3">SUM(I23:I34)</f>
        <v>863.56654846213507</v>
      </c>
    </row>
    <row r="38" spans="1:33">
      <c r="B38" s="287" t="s">
        <v>441</v>
      </c>
      <c r="C38" s="287"/>
      <c r="D38" s="287"/>
      <c r="E38" s="287"/>
      <c r="F38" s="287"/>
    </row>
    <row r="39" spans="1:33">
      <c r="C39" s="24">
        <v>2021</v>
      </c>
      <c r="D39" s="24">
        <v>2022</v>
      </c>
      <c r="E39" s="24">
        <v>2023</v>
      </c>
      <c r="F39" s="24">
        <v>2024</v>
      </c>
      <c r="G39" s="24">
        <v>2025</v>
      </c>
      <c r="H39" s="24">
        <v>2026</v>
      </c>
      <c r="I39" s="24">
        <v>2027</v>
      </c>
      <c r="J39" s="24">
        <v>2028</v>
      </c>
      <c r="K39" s="24">
        <v>2029</v>
      </c>
      <c r="L39" s="24">
        <v>2030</v>
      </c>
      <c r="M39" s="24">
        <v>2031</v>
      </c>
      <c r="N39" s="24">
        <v>2032</v>
      </c>
      <c r="O39" s="24">
        <v>2033</v>
      </c>
      <c r="P39" s="24">
        <v>2034</v>
      </c>
      <c r="Q39" s="24">
        <v>2035</v>
      </c>
      <c r="R39" s="24">
        <v>2036</v>
      </c>
      <c r="S39" s="24">
        <v>2037</v>
      </c>
      <c r="T39" s="24">
        <v>2038</v>
      </c>
      <c r="U39" s="24">
        <v>2039</v>
      </c>
      <c r="V39" s="24">
        <v>2040</v>
      </c>
      <c r="W39" s="24">
        <v>2041</v>
      </c>
      <c r="X39" s="24">
        <v>2042</v>
      </c>
      <c r="Y39" s="24">
        <v>2043</v>
      </c>
      <c r="Z39" s="24">
        <v>2044</v>
      </c>
      <c r="AA39" s="24">
        <v>2045</v>
      </c>
      <c r="AB39" s="24">
        <v>2046</v>
      </c>
      <c r="AC39" s="24">
        <v>2047</v>
      </c>
      <c r="AD39" s="24">
        <v>2048</v>
      </c>
      <c r="AE39" s="24">
        <v>2049</v>
      </c>
      <c r="AF39" s="24">
        <v>2050</v>
      </c>
      <c r="AG39" s="24">
        <v>2051</v>
      </c>
    </row>
    <row r="40" spans="1:33">
      <c r="B40" s="24" t="str">
        <f t="shared" ref="B40:B51" si="4">B23</f>
        <v>Enero</v>
      </c>
      <c r="C40" s="112">
        <f ca="1">Producción!C43*Producción!$A43*'Datos Consumo '!$F$11</f>
        <v>26.749683069622645</v>
      </c>
      <c r="D40" s="112">
        <f ca="1">Producción!D43*Producción!$A43*'Datos Consumo '!$F$11</f>
        <v>26.568326290480645</v>
      </c>
      <c r="E40" s="112">
        <f ca="1">Producción!E43*Producción!$A43*'Datos Consumo '!$F$11</f>
        <v>26.387948837946016</v>
      </c>
      <c r="F40" s="112">
        <f ca="1">Producción!F43*Producción!$A43*'Datos Consumo '!$F$11</f>
        <v>26.208545423655067</v>
      </c>
      <c r="G40" s="112">
        <f ca="1">Producción!G43*Producción!$A43*'Datos Consumo '!$F$11</f>
        <v>26.030110787801291</v>
      </c>
      <c r="H40" s="112">
        <f ca="1">Producción!H43*Producción!$A43*'Datos Consumo '!$F$11</f>
        <v>25.852639698981125</v>
      </c>
      <c r="I40" s="112">
        <f ca="1">Producción!I43*Producción!$A43*'Datos Consumo '!$F$11</f>
        <v>25.676126954040594</v>
      </c>
      <c r="J40" s="112">
        <f ca="1">Producción!J43*Producción!$A43*'Datos Consumo '!$F$11</f>
        <v>25.500567377922735</v>
      </c>
      <c r="K40" s="112">
        <f ca="1">Producción!K43*Producción!$A43*'Datos Consumo '!$F$11</f>
        <v>25.325955823515912</v>
      </c>
      <c r="L40" s="112">
        <f ca="1">Producción!L43*Producción!$A43*'Datos Consumo '!$F$11</f>
        <v>25.152287171502891</v>
      </c>
      <c r="M40" s="112">
        <f ca="1">Producción!M43*Producción!$A43*'Datos Consumo '!$F$11</f>
        <v>24.979556330210734</v>
      </c>
      <c r="N40" s="112">
        <f ca="1">Producción!N43*Producción!$A43*'Datos Consumo '!$F$11</f>
        <v>24.807758235461566</v>
      </c>
      <c r="O40" s="112">
        <f ca="1">Producción!O43*Producción!$A43*'Datos Consumo '!$F$11</f>
        <v>24.636887850424031</v>
      </c>
      <c r="P40" s="112">
        <f ca="1">Producción!P43*Producción!$A43*'Datos Consumo '!$F$11</f>
        <v>24.466940165465701</v>
      </c>
      <c r="Q40" s="112">
        <f ca="1">Producción!Q43*Producción!$A43*'Datos Consumo '!$F$11</f>
        <v>24.29791019800615</v>
      </c>
      <c r="R40" s="112">
        <f ca="1">Producción!R43*Producción!$A43*'Datos Consumo '!$F$11</f>
        <v>24.129792992370881</v>
      </c>
      <c r="S40" s="112">
        <f ca="1">Producción!S43*Producción!$A43*'Datos Consumo '!$F$11</f>
        <v>23.96258361964604</v>
      </c>
      <c r="T40" s="112">
        <f ca="1">Producción!T43*Producción!$A43*'Datos Consumo '!$F$11</f>
        <v>23.796277177533913</v>
      </c>
      <c r="U40" s="112">
        <f ca="1">Producción!U43*Producción!$A43*'Datos Consumo '!$F$11</f>
        <v>23.630868790209188</v>
      </c>
      <c r="V40" s="112">
        <f ca="1">Producción!V43*Producción!$A43*'Datos Consumo '!$F$11</f>
        <v>23.466353608176021</v>
      </c>
      <c r="W40" s="112">
        <f ca="1">Producción!W43*Producción!$A43*'Datos Consumo '!$F$11</f>
        <v>23.30272680812584</v>
      </c>
      <c r="X40" s="112">
        <f ca="1">Producción!X43*Producción!$A43*'Datos Consumo '!$F$11</f>
        <v>23.139983592795915</v>
      </c>
      <c r="Y40" s="112">
        <f ca="1">Producción!Y43*Producción!$A43*'Datos Consumo '!$F$11</f>
        <v>22.978119190828785</v>
      </c>
      <c r="Z40" s="112">
        <f ca="1">Producción!Z43*Producción!$A43*'Datos Consumo '!$F$11</f>
        <v>22.817128856632269</v>
      </c>
      <c r="AA40" s="112">
        <f ca="1">Producción!AA43*Producción!$A43*'Datos Consumo '!$F$11</f>
        <v>22.65700787024042</v>
      </c>
      <c r="AB40" s="112">
        <f ca="1">Producción!AB43*Producción!$A43*'Datos Consumo '!$F$11</f>
        <v>22.497751537175084</v>
      </c>
      <c r="AC40" s="112">
        <f ca="1">Producción!AC43*Producción!$A43*'Datos Consumo '!$F$11</f>
        <v>22.3393551883083</v>
      </c>
      <c r="AD40" s="112">
        <f ca="1">Producción!AD43*Producción!$A43*'Datos Consumo '!$F$11</f>
        <v>22.181814179725389</v>
      </c>
      <c r="AE40" s="112">
        <f ca="1">Producción!AE43*Producción!$A43*'Datos Consumo '!$F$11</f>
        <v>22.025123892588841</v>
      </c>
      <c r="AF40" s="112">
        <f ca="1">Producción!AF43*Producción!$A43*'Datos Consumo '!$F$11</f>
        <v>21.86927973300282</v>
      </c>
      <c r="AG40" s="112">
        <f ca="1">Producción!AG43*Producción!$A43*'Datos Consumo '!$F$11</f>
        <v>21.714277131878575</v>
      </c>
    </row>
    <row r="41" spans="1:33">
      <c r="B41" s="24" t="str">
        <f t="shared" si="4"/>
        <v>Febrero</v>
      </c>
      <c r="C41" s="112">
        <f ca="1">Producción!C44*Producción!$A44*'Datos Consumo '!$F$11</f>
        <v>27.178214196226413</v>
      </c>
      <c r="D41" s="112">
        <f ca="1">Producción!D44*Producción!$A44*'Datos Consumo '!$F$11</f>
        <v>26.997706933906422</v>
      </c>
      <c r="E41" s="112">
        <f ca="1">Producción!E44*Producción!$A44*'Datos Consumo '!$F$11</f>
        <v>26.818174410802939</v>
      </c>
      <c r="F41" s="112">
        <f ca="1">Producción!F44*Producción!$A44*'Datos Consumo '!$F$11</f>
        <v>26.639611363324232</v>
      </c>
      <c r="G41" s="112">
        <f ca="1">Producción!G44*Producción!$A44*'Datos Consumo '!$F$11</f>
        <v>26.4620125563019</v>
      </c>
      <c r="H41" s="112">
        <f ca="1">Producción!H44*Producción!$A44*'Datos Consumo '!$F$11</f>
        <v>26.285372782837495</v>
      </c>
      <c r="I41" s="112">
        <f ca="1">Producción!I44*Producción!$A44*'Datos Consumo '!$F$11</f>
        <v>26.109686864149797</v>
      </c>
      <c r="J41" s="112">
        <f ca="1">Producción!J44*Producción!$A44*'Datos Consumo '!$F$11</f>
        <v>25.934949649423004</v>
      </c>
      <c r="K41" s="112">
        <f ca="1">Producción!K44*Producción!$A44*'Datos Consumo '!$F$11</f>
        <v>25.761156015655743</v>
      </c>
      <c r="L41" s="112">
        <f ca="1">Producción!L44*Producción!$A44*'Datos Consumo '!$F$11</f>
        <v>25.588300867510828</v>
      </c>
      <c r="M41" s="112">
        <f ca="1">Producción!M44*Producción!$A44*'Datos Consumo '!$F$11</f>
        <v>25.416379137165897</v>
      </c>
      <c r="N41" s="112">
        <f ca="1">Producción!N44*Producción!$A44*'Datos Consumo '!$F$11</f>
        <v>25.245385784164824</v>
      </c>
      <c r="O41" s="112">
        <f ca="1">Producción!O44*Producción!$A44*'Datos Consumo '!$F$11</f>
        <v>25.075315795269958</v>
      </c>
      <c r="P41" s="112">
        <f ca="1">Producción!P44*Producción!$A44*'Datos Consumo '!$F$11</f>
        <v>24.906164184315109</v>
      </c>
      <c r="Q41" s="112">
        <f ca="1">Producción!Q44*Producción!$A44*'Datos Consumo '!$F$11</f>
        <v>24.737925992059445</v>
      </c>
      <c r="R41" s="112">
        <f ca="1">Producción!R44*Producción!$A44*'Datos Consumo '!$F$11</f>
        <v>24.57059628604194</v>
      </c>
      <c r="S41" s="112">
        <f ca="1">Producción!S44*Producción!$A44*'Datos Consumo '!$F$11</f>
        <v>24.404170160436937</v>
      </c>
      <c r="T41" s="112">
        <f ca="1">Producción!T44*Producción!$A44*'Datos Consumo '!$F$11</f>
        <v>24.238642735910204</v>
      </c>
      <c r="U41" s="112">
        <f ca="1">Producción!U44*Producción!$A44*'Datos Consumo '!$F$11</f>
        <v>24.074009159475906</v>
      </c>
      <c r="V41" s="112">
        <f ca="1">Producción!V44*Producción!$A44*'Datos Consumo '!$F$11</f>
        <v>23.910264604354353</v>
      </c>
      <c r="W41" s="112">
        <f ca="1">Producción!W44*Producción!$A44*'Datos Consumo '!$F$11</f>
        <v>23.747404269830465</v>
      </c>
      <c r="X41" s="112">
        <f ca="1">Producción!X44*Producción!$A44*'Datos Consumo '!$F$11</f>
        <v>23.58542338111301</v>
      </c>
      <c r="Y41" s="112">
        <f ca="1">Producción!Y44*Producción!$A44*'Datos Consumo '!$F$11</f>
        <v>23.42431718919461</v>
      </c>
      <c r="Z41" s="112">
        <f ca="1">Producción!Z44*Producción!$A44*'Datos Consumo '!$F$11</f>
        <v>23.264080970712595</v>
      </c>
      <c r="AA41" s="112">
        <f ca="1">Producción!AA44*Producción!$A44*'Datos Consumo '!$F$11</f>
        <v>23.10471002781037</v>
      </c>
      <c r="AB41" s="112">
        <f ca="1">Producción!AB44*Producción!$A44*'Datos Consumo '!$F$11</f>
        <v>22.946199687999805</v>
      </c>
      <c r="AC41" s="112">
        <f ca="1">Producción!AC44*Producción!$A44*'Datos Consumo '!$F$11</f>
        <v>22.788545304024236</v>
      </c>
      <c r="AD41" s="112">
        <f ca="1">Producción!AD44*Producción!$A44*'Datos Consumo '!$F$11</f>
        <v>22.631742253722127</v>
      </c>
      <c r="AE41" s="112">
        <f ca="1">Producción!AE44*Producción!$A44*'Datos Consumo '!$F$11</f>
        <v>22.475785939891654</v>
      </c>
      <c r="AF41" s="112">
        <f ca="1">Producción!AF44*Producción!$A44*'Datos Consumo '!$F$11</f>
        <v>22.32067179015586</v>
      </c>
      <c r="AG41" s="112">
        <f ca="1">Producción!AG44*Producción!$A44*'Datos Consumo '!$F$11</f>
        <v>22.166395256828636</v>
      </c>
    </row>
    <row r="42" spans="1:33">
      <c r="B42" s="24" t="str">
        <f t="shared" si="4"/>
        <v>Marzo</v>
      </c>
      <c r="C42" s="112">
        <f ca="1">Producción!C45*Producción!$A45*'Datos Consumo '!$F$11</f>
        <v>36.059576340566039</v>
      </c>
      <c r="D42" s="112">
        <f ca="1">Producción!D45*Producción!$A45*'Datos Consumo '!$F$11</f>
        <v>35.836382364176039</v>
      </c>
      <c r="E42" s="112">
        <f ca="1">Producción!E45*Producción!$A45*'Datos Consumo '!$F$11</f>
        <v>35.614393635258551</v>
      </c>
      <c r="F42" s="112">
        <f ca="1">Producción!F45*Producción!$A45*'Datos Consumo '!$F$11</f>
        <v>35.393603645477206</v>
      </c>
      <c r="G42" s="112">
        <f ca="1">Producción!G45*Producción!$A45*'Datos Consumo '!$F$11</f>
        <v>35.174005921640678</v>
      </c>
      <c r="H42" s="112">
        <f ca="1">Producción!H45*Producción!$A45*'Datos Consumo '!$F$11</f>
        <v>34.95559402551288</v>
      </c>
      <c r="I42" s="112">
        <f ca="1">Producción!I45*Producción!$A45*'Datos Consumo '!$F$11</f>
        <v>34.738361553624166</v>
      </c>
      <c r="J42" s="112">
        <f ca="1">Producción!J45*Producción!$A45*'Datos Consumo '!$F$11</f>
        <v>34.522302137083649</v>
      </c>
      <c r="K42" s="112">
        <f ca="1">Producción!K45*Producción!$A45*'Datos Consumo '!$F$11</f>
        <v>34.307409441392458</v>
      </c>
      <c r="L42" s="112">
        <f ca="1">Producción!L45*Producción!$A45*'Datos Consumo '!$F$11</f>
        <v>34.093677166257997</v>
      </c>
      <c r="M42" s="112">
        <f ca="1">Producción!M45*Producción!$A45*'Datos Consumo '!$F$11</f>
        <v>33.881099045409265</v>
      </c>
      <c r="N42" s="112">
        <f ca="1">Producción!N45*Producción!$A45*'Datos Consumo '!$F$11</f>
        <v>33.66966884641311</v>
      </c>
      <c r="O42" s="112">
        <f ca="1">Producción!O45*Producción!$A45*'Datos Consumo '!$F$11</f>
        <v>33.459380370491537</v>
      </c>
      <c r="P42" s="112">
        <f ca="1">Producción!P45*Producción!$A45*'Datos Consumo '!$F$11</f>
        <v>33.250227452339935</v>
      </c>
      <c r="Q42" s="112">
        <f ca="1">Producción!Q45*Producción!$A45*'Datos Consumo '!$F$11</f>
        <v>33.042203959946356</v>
      </c>
      <c r="R42" s="112">
        <f ca="1">Producción!R45*Producción!$A45*'Datos Consumo '!$F$11</f>
        <v>32.835303794411708</v>
      </c>
      <c r="S42" s="112">
        <f ca="1">Producción!S45*Producción!$A45*'Datos Consumo '!$F$11</f>
        <v>32.629520889770937</v>
      </c>
      <c r="T42" s="112">
        <f ca="1">Producción!T45*Producción!$A45*'Datos Consumo '!$F$11</f>
        <v>32.424849212815232</v>
      </c>
      <c r="U42" s="112">
        <f ca="1">Producción!U45*Producción!$A45*'Datos Consumo '!$F$11</f>
        <v>32.221282762915088</v>
      </c>
      <c r="V42" s="112">
        <f ca="1">Producción!V45*Producción!$A45*'Datos Consumo '!$F$11</f>
        <v>32.018815571844407</v>
      </c>
      <c r="W42" s="112">
        <f ca="1">Producción!W45*Producción!$A45*'Datos Consumo '!$F$11</f>
        <v>31.817441703605507</v>
      </c>
      <c r="X42" s="112">
        <f ca="1">Producción!X45*Producción!$A45*'Datos Consumo '!$F$11</f>
        <v>31.617155254255092</v>
      </c>
      <c r="Y42" s="112">
        <f ca="1">Producción!Y45*Producción!$A45*'Datos Consumo '!$F$11</f>
        <v>31.417950351731157</v>
      </c>
      <c r="Z42" s="112">
        <f ca="1">Producción!Z45*Producción!$A45*'Datos Consumo '!$F$11</f>
        <v>31.219821155680872</v>
      </c>
      <c r="AA42" s="112">
        <f ca="1">Producción!AA45*Producción!$A45*'Datos Consumo '!$F$11</f>
        <v>31.022761857289254</v>
      </c>
      <c r="AB42" s="112">
        <f ca="1">Producción!AB45*Producción!$A45*'Datos Consumo '!$F$11</f>
        <v>30.826766679108943</v>
      </c>
      <c r="AC42" s="112">
        <f ca="1">Producción!AC45*Producción!$A45*'Datos Consumo '!$F$11</f>
        <v>30.631829874890812</v>
      </c>
      <c r="AD42" s="112">
        <f ca="1">Producción!AD45*Producción!$A45*'Datos Consumo '!$F$11</f>
        <v>30.437945729415461</v>
      </c>
      <c r="AE42" s="112">
        <f ca="1">Producción!AE45*Producción!$A45*'Datos Consumo '!$F$11</f>
        <v>30.245108558325668</v>
      </c>
      <c r="AF42" s="112">
        <f ca="1">Producción!AF45*Producción!$A45*'Datos Consumo '!$F$11</f>
        <v>30.053312707959773</v>
      </c>
      <c r="AG42" s="112">
        <f ca="1">Producción!AG45*Producción!$A45*'Datos Consumo '!$F$11</f>
        <v>29.862552555185843</v>
      </c>
    </row>
    <row r="43" spans="1:33">
      <c r="B43" s="24" t="str">
        <f t="shared" si="4"/>
        <v>Abril</v>
      </c>
      <c r="C43" s="112">
        <f ca="1">Producción!C46*Producción!$A46*'Datos Consumo '!$F$11</f>
        <v>39.696946947169806</v>
      </c>
      <c r="D43" s="112">
        <f ca="1">Producción!D46*Producción!$A46*'Datos Consumo '!$F$11</f>
        <v>39.457274754409809</v>
      </c>
      <c r="E43" s="112">
        <f ca="1">Producción!E46*Producción!$A46*'Datos Consumo '!$F$11</f>
        <v>39.218896791490721</v>
      </c>
      <c r="F43" s="112">
        <f ca="1">Producción!F46*Producción!$A46*'Datos Consumo '!$F$11</f>
        <v>38.981806069571391</v>
      </c>
      <c r="G43" s="112">
        <f ca="1">Producción!G46*Producción!$A46*'Datos Consumo '!$F$11</f>
        <v>38.745995637550415</v>
      </c>
      <c r="H43" s="112">
        <f ca="1">Producción!H46*Producción!$A46*'Datos Consumo '!$F$11</f>
        <v>38.511458581862357</v>
      </c>
      <c r="I43" s="112">
        <f ca="1">Producción!I46*Producción!$A46*'Datos Consumo '!$F$11</f>
        <v>38.278188026275018</v>
      </c>
      <c r="J43" s="112">
        <f ca="1">Producción!J46*Producción!$A46*'Datos Consumo '!$F$11</f>
        <v>38.046177131687863</v>
      </c>
      <c r="K43" s="112">
        <f ca="1">Producción!K46*Producción!$A46*'Datos Consumo '!$F$11</f>
        <v>37.815419095931468</v>
      </c>
      <c r="L43" s="112">
        <f ca="1">Producción!L46*Producción!$A46*'Datos Consumo '!$F$11</f>
        <v>37.585907153568144</v>
      </c>
      <c r="M43" s="112">
        <f ca="1">Producción!M46*Producción!$A46*'Datos Consumo '!$F$11</f>
        <v>37.357634575693588</v>
      </c>
      <c r="N43" s="112">
        <f ca="1">Producción!N46*Producción!$A46*'Datos Consumo '!$F$11</f>
        <v>37.130594669739558</v>
      </c>
      <c r="O43" s="112">
        <f ca="1">Producción!O46*Producción!$A46*'Datos Consumo '!$F$11</f>
        <v>36.904780779277694</v>
      </c>
      <c r="P43" s="112">
        <f ca="1">Producción!P46*Producción!$A46*'Datos Consumo '!$F$11</f>
        <v>36.680186283824305</v>
      </c>
      <c r="Q43" s="112">
        <f ca="1">Producción!Q46*Producción!$A46*'Datos Consumo '!$F$11</f>
        <v>36.456804598646372</v>
      </c>
      <c r="R43" s="112">
        <f ca="1">Producción!R46*Producción!$A46*'Datos Consumo '!$F$11</f>
        <v>36.234629174568397</v>
      </c>
      <c r="S43" s="112">
        <f ca="1">Producción!S46*Producción!$A46*'Datos Consumo '!$F$11</f>
        <v>36.013653497780439</v>
      </c>
      <c r="T43" s="112">
        <f ca="1">Producción!T46*Producción!$A46*'Datos Consumo '!$F$11</f>
        <v>35.793871089647148</v>
      </c>
      <c r="U43" s="112">
        <f ca="1">Producción!U46*Producción!$A46*'Datos Consumo '!$F$11</f>
        <v>35.575275506517777</v>
      </c>
      <c r="V43" s="112">
        <f ca="1">Producción!V46*Producción!$A46*'Datos Consumo '!$F$11</f>
        <v>35.357860339537289</v>
      </c>
      <c r="W43" s="112">
        <f ca="1">Producción!W46*Producción!$A46*'Datos Consumo '!$F$11</f>
        <v>35.141619214458501</v>
      </c>
      <c r="X43" s="112">
        <f ca="1">Producción!X46*Producción!$A46*'Datos Consumo '!$F$11</f>
        <v>34.926545791455155</v>
      </c>
      <c r="Y43" s="112">
        <f ca="1">Producción!Y46*Producción!$A46*'Datos Consumo '!$F$11</f>
        <v>34.712633764936008</v>
      </c>
      <c r="Z43" s="112">
        <f ca="1">Producción!Z46*Producción!$A46*'Datos Consumo '!$F$11</f>
        <v>34.499876863360072</v>
      </c>
      <c r="AA43" s="112">
        <f ca="1">Producción!AA46*Producción!$A46*'Datos Consumo '!$F$11</f>
        <v>34.288268849052642</v>
      </c>
      <c r="AB43" s="112">
        <f ca="1">Producción!AB46*Producción!$A46*'Datos Consumo '!$F$11</f>
        <v>34.077803518022471</v>
      </c>
      <c r="AC43" s="112">
        <f ca="1">Producción!AC46*Producción!$A46*'Datos Consumo '!$F$11</f>
        <v>33.868474699779867</v>
      </c>
      <c r="AD43" s="112">
        <f ca="1">Producción!AD46*Producción!$A46*'Datos Consumo '!$F$11</f>
        <v>33.660276257155765</v>
      </c>
      <c r="AE43" s="112">
        <f ca="1">Producción!AE46*Producción!$A46*'Datos Consumo '!$F$11</f>
        <v>33.453202086121848</v>
      </c>
      <c r="AF43" s="112">
        <f ca="1">Producción!AF46*Producción!$A46*'Datos Consumo '!$F$11</f>
        <v>33.24724611561151</v>
      </c>
      <c r="AG43" s="112">
        <f ca="1">Producción!AG46*Producción!$A46*'Datos Consumo '!$F$11</f>
        <v>33.042402307341916</v>
      </c>
    </row>
    <row r="44" spans="1:33">
      <c r="B44" s="24" t="str">
        <f t="shared" si="4"/>
        <v>Mayo</v>
      </c>
      <c r="C44" s="112">
        <f ca="1">Producción!C47*Producción!$A47*'Datos Consumo '!$F$11</f>
        <v>44.952577977735857</v>
      </c>
      <c r="D44" s="112">
        <f ca="1">Producción!D47*Producción!$A47*'Datos Consumo '!$F$11</f>
        <v>44.683998113259861</v>
      </c>
      <c r="E44" s="112">
        <f ca="1">Producción!E47*Producción!$A47*'Datos Consumo '!$F$11</f>
        <v>44.416868580052032</v>
      </c>
      <c r="F44" s="112">
        <f ca="1">Producción!F47*Producción!$A47*'Datos Consumo '!$F$11</f>
        <v>44.151181546323514</v>
      </c>
      <c r="G44" s="112">
        <f ca="1">Producción!G47*Producción!$A47*'Datos Consumo '!$F$11</f>
        <v>43.886929222577152</v>
      </c>
      <c r="H44" s="112">
        <f ca="1">Producción!H47*Producción!$A47*'Datos Consumo '!$F$11</f>
        <v>43.624103861379005</v>
      </c>
      <c r="I44" s="112">
        <f ca="1">Producción!I47*Producción!$A47*'Datos Consumo '!$F$11</f>
        <v>43.362697757131329</v>
      </c>
      <c r="J44" s="112">
        <f ca="1">Producción!J47*Producción!$A47*'Datos Consumo '!$F$11</f>
        <v>43.102703245846591</v>
      </c>
      <c r="K44" s="112">
        <f ca="1">Producción!K47*Producción!$A47*'Datos Consumo '!$F$11</f>
        <v>42.8441127049228</v>
      </c>
      <c r="L44" s="112">
        <f ca="1">Producción!L47*Producción!$A47*'Datos Consumo '!$F$11</f>
        <v>42.586918552919997</v>
      </c>
      <c r="M44" s="112">
        <f ca="1">Producción!M47*Producción!$A47*'Datos Consumo '!$F$11</f>
        <v>42.331113249338003</v>
      </c>
      <c r="N44" s="112">
        <f ca="1">Producción!N47*Producción!$A47*'Datos Consumo '!$F$11</f>
        <v>42.076689294395344</v>
      </c>
      <c r="O44" s="112">
        <f ca="1">Producción!O47*Producción!$A47*'Datos Consumo '!$F$11</f>
        <v>41.823639228809384</v>
      </c>
      <c r="P44" s="112">
        <f ca="1">Producción!P47*Producción!$A47*'Datos Consumo '!$F$11</f>
        <v>41.571955633577588</v>
      </c>
      <c r="Q44" s="112">
        <f ca="1">Producción!Q47*Producción!$A47*'Datos Consumo '!$F$11</f>
        <v>41.321631129760043</v>
      </c>
      <c r="R44" s="112">
        <f ca="1">Producción!R47*Producción!$A47*'Datos Consumo '!$F$11</f>
        <v>41.072658378263107</v>
      </c>
      <c r="S44" s="112">
        <f ca="1">Producción!S47*Producción!$A47*'Datos Consumo '!$F$11</f>
        <v>40.825030079624248</v>
      </c>
      <c r="T44" s="112">
        <f ca="1">Producción!T47*Producción!$A47*'Datos Consumo '!$F$11</f>
        <v>40.57873897379806</v>
      </c>
      <c r="U44" s="112">
        <f ca="1">Producción!U47*Producción!$A47*'Datos Consumo '!$F$11</f>
        <v>40.33377783994333</v>
      </c>
      <c r="V44" s="112">
        <f ca="1">Producción!V47*Producción!$A47*'Datos Consumo '!$F$11</f>
        <v>40.090139496211407</v>
      </c>
      <c r="W44" s="112">
        <f ca="1">Producción!W47*Producción!$A47*'Datos Consumo '!$F$11</f>
        <v>39.847816799535643</v>
      </c>
      <c r="X44" s="112">
        <f ca="1">Producción!X47*Producción!$A47*'Datos Consumo '!$F$11</f>
        <v>39.606802645421922</v>
      </c>
      <c r="Y44" s="112">
        <f ca="1">Producción!Y47*Producción!$A47*'Datos Consumo '!$F$11</f>
        <v>39.367089967740412</v>
      </c>
      <c r="Z44" s="112">
        <f ca="1">Producción!Z47*Producción!$A47*'Datos Consumo '!$F$11</f>
        <v>39.128671738518392</v>
      </c>
      <c r="AA44" s="112">
        <f ca="1">Producción!AA47*Producción!$A47*'Datos Consumo '!$F$11</f>
        <v>38.891540967734166</v>
      </c>
      <c r="AB44" s="112">
        <f ca="1">Producción!AB47*Producción!$A47*'Datos Consumo '!$F$11</f>
        <v>38.655690703112185</v>
      </c>
      <c r="AC44" s="112">
        <f ca="1">Producción!AC47*Producción!$A47*'Datos Consumo '!$F$11</f>
        <v>38.421114029919138</v>
      </c>
      <c r="AD44" s="112">
        <f ca="1">Producción!AD47*Producción!$A47*'Datos Consumo '!$F$11</f>
        <v>38.187804070761352</v>
      </c>
      <c r="AE44" s="112">
        <f ca="1">Producción!AE47*Producción!$A47*'Datos Consumo '!$F$11</f>
        <v>37.955753985383005</v>
      </c>
      <c r="AF44" s="112">
        <f ca="1">Producción!AF47*Producción!$A47*'Datos Consumo '!$F$11</f>
        <v>37.724956970465712</v>
      </c>
      <c r="AG44" s="112">
        <f ca="1">Producción!AG47*Producción!$A47*'Datos Consumo '!$F$11</f>
        <v>37.495406259428968</v>
      </c>
    </row>
    <row r="45" spans="1:33">
      <c r="B45" s="24" t="str">
        <f t="shared" si="4"/>
        <v>Junio</v>
      </c>
      <c r="C45" s="112">
        <f ca="1">Producción!C48*Producción!$A48*'Datos Consumo '!$F$11</f>
        <v>45.158415028301881</v>
      </c>
      <c r="D45" s="112">
        <f ca="1">Producción!D48*Producción!$A48*'Datos Consumo '!$F$11</f>
        <v>44.888196379601887</v>
      </c>
      <c r="E45" s="112">
        <f ca="1">Producción!E48*Producción!$A48*'Datos Consumo '!$F$11</f>
        <v>44.619436911604865</v>
      </c>
      <c r="F45" s="112">
        <f ca="1">Producción!F48*Producción!$A48*'Datos Consumo '!$F$11</f>
        <v>44.352128744735019</v>
      </c>
      <c r="G45" s="112">
        <f ca="1">Producción!G48*Producción!$A48*'Datos Consumo '!$F$11</f>
        <v>44.086264041966288</v>
      </c>
      <c r="H45" s="112">
        <f ca="1">Producción!H48*Producción!$A48*'Datos Consumo '!$F$11</f>
        <v>43.821835008592487</v>
      </c>
      <c r="I45" s="112">
        <f ca="1">Producción!I48*Producción!$A48*'Datos Consumo '!$F$11</f>
        <v>43.558833891998944</v>
      </c>
      <c r="J45" s="112">
        <f ca="1">Producción!J48*Producción!$A48*'Datos Consumo '!$F$11</f>
        <v>43.29725298143498</v>
      </c>
      <c r="K45" s="112">
        <f ca="1">Producción!K48*Producción!$A48*'Datos Consumo '!$F$11</f>
        <v>43.037084607788053</v>
      </c>
      <c r="L45" s="112">
        <f ca="1">Producción!L48*Producción!$A48*'Datos Consumo '!$F$11</f>
        <v>42.778321143358831</v>
      </c>
      <c r="M45" s="112">
        <f ca="1">Producción!M48*Producción!$A48*'Datos Consumo '!$F$11</f>
        <v>42.520955001637525</v>
      </c>
      <c r="N45" s="112">
        <f ca="1">Producción!N48*Producción!$A48*'Datos Consumo '!$F$11</f>
        <v>42.264978637081526</v>
      </c>
      <c r="O45" s="112">
        <f ca="1">Producción!O48*Producción!$A48*'Datos Consumo '!$F$11</f>
        <v>42.010384544894094</v>
      </c>
      <c r="P45" s="112">
        <f ca="1">Producción!P48*Producción!$A48*'Datos Consumo '!$F$11</f>
        <v>41.757165260804499</v>
      </c>
      <c r="Q45" s="112">
        <f ca="1">Producción!Q48*Producción!$A48*'Datos Consumo '!$F$11</f>
        <v>41.50531336084898</v>
      </c>
      <c r="R45" s="112">
        <f ca="1">Producción!R48*Producción!$A48*'Datos Consumo '!$F$11</f>
        <v>41.254821461153227</v>
      </c>
      <c r="S45" s="112">
        <f ca="1">Producción!S48*Producción!$A48*'Datos Consumo '!$F$11</f>
        <v>41.00568221771583</v>
      </c>
      <c r="T45" s="112">
        <f ca="1">Producción!T48*Producción!$A48*'Datos Consumo '!$F$11</f>
        <v>40.757888326192997</v>
      </c>
      <c r="U45" s="112">
        <f ca="1">Producción!U48*Producción!$A48*'Datos Consumo '!$F$11</f>
        <v>40.511432521684377</v>
      </c>
      <c r="V45" s="112">
        <f ca="1">Producción!V48*Producción!$A48*'Datos Consumo '!$F$11</f>
        <v>40.26630757852012</v>
      </c>
      <c r="W45" s="112">
        <f ca="1">Producción!W48*Producción!$A48*'Datos Consumo '!$F$11</f>
        <v>40.022506310048939</v>
      </c>
      <c r="X45" s="112">
        <f ca="1">Producción!X48*Producción!$A48*'Datos Consumo '!$F$11</f>
        <v>39.780021568427507</v>
      </c>
      <c r="Y45" s="112">
        <f ca="1">Producción!Y48*Producción!$A48*'Datos Consumo '!$F$11</f>
        <v>39.538846244410827</v>
      </c>
      <c r="Z45" s="112">
        <f ca="1">Producción!Z48*Producción!$A48*'Datos Consumo '!$F$11</f>
        <v>39.298973267143843</v>
      </c>
      <c r="AA45" s="112">
        <f ca="1">Producción!AA48*Producción!$A48*'Datos Consumo '!$F$11</f>
        <v>39.060395603954085</v>
      </c>
      <c r="AB45" s="112">
        <f ca="1">Producción!AB48*Producción!$A48*'Datos Consumo '!$F$11</f>
        <v>38.823106260145572</v>
      </c>
      <c r="AC45" s="112">
        <f ca="1">Producción!AC48*Producción!$A48*'Datos Consumo '!$F$11</f>
        <v>38.587098278793611</v>
      </c>
      <c r="AD45" s="112">
        <f ca="1">Producción!AD48*Producción!$A48*'Datos Consumo '!$F$11</f>
        <v>38.352364740540956</v>
      </c>
      <c r="AE45" s="112">
        <f ca="1">Producción!AE48*Producción!$A48*'Datos Consumo '!$F$11</f>
        <v>38.11889876339486</v>
      </c>
      <c r="AF45" s="112">
        <f ca="1">Producción!AF48*Producción!$A48*'Datos Consumo '!$F$11</f>
        <v>37.886693502525361</v>
      </c>
      <c r="AG45" s="112">
        <f ca="1">Producción!AG48*Producción!$A48*'Datos Consumo '!$F$11</f>
        <v>37.655742150064555</v>
      </c>
    </row>
    <row r="46" spans="1:33">
      <c r="B46" s="24" t="str">
        <f t="shared" si="4"/>
        <v>Julio</v>
      </c>
      <c r="C46" s="112">
        <f ca="1">Producción!C49*Producción!$A49*'Datos Consumo '!$F$11</f>
        <v>44.720867255094348</v>
      </c>
      <c r="D46" s="112">
        <f ca="1">Producción!D49*Producción!$A49*'Datos Consumo '!$F$11</f>
        <v>44.446684194558344</v>
      </c>
      <c r="E46" s="112">
        <f ca="1">Producción!E49*Producción!$A49*'Datos Consumo '!$F$11</f>
        <v>44.17398172254925</v>
      </c>
      <c r="F46" s="112">
        <f ca="1">Producción!F49*Producción!$A49*'Datos Consumo '!$F$11</f>
        <v>43.902751843888986</v>
      </c>
      <c r="G46" s="112">
        <f ca="1">Producción!G49*Producción!$A49*'Datos Consumo '!$F$11</f>
        <v>43.632986606573496</v>
      </c>
      <c r="H46" s="112">
        <f ca="1">Producción!H49*Producción!$A49*'Datos Consumo '!$F$11</f>
        <v>43.364678101539511</v>
      </c>
      <c r="I46" s="112">
        <f ca="1">Producción!I49*Producción!$A49*'Datos Consumo '!$F$11</f>
        <v>43.097818462432713</v>
      </c>
      <c r="J46" s="112">
        <f ca="1">Producción!J49*Producción!$A49*'Datos Consumo '!$F$11</f>
        <v>42.832399865377084</v>
      </c>
      <c r="K46" s="112">
        <f ca="1">Producción!K49*Producción!$A49*'Datos Consumo '!$F$11</f>
        <v>42.568414528745556</v>
      </c>
      <c r="L46" s="112">
        <f ca="1">Producción!L49*Producción!$A49*'Datos Consumo '!$F$11</f>
        <v>42.30585471293184</v>
      </c>
      <c r="M46" s="112">
        <f ca="1">Producción!M49*Producción!$A49*'Datos Consumo '!$F$11</f>
        <v>42.044712720123506</v>
      </c>
      <c r="N46" s="112">
        <f ca="1">Producción!N49*Producción!$A49*'Datos Consumo '!$F$11</f>
        <v>41.784980894076348</v>
      </c>
      <c r="O46" s="112">
        <f ca="1">Producción!O49*Producción!$A49*'Datos Consumo '!$F$11</f>
        <v>41.526651619889854</v>
      </c>
      <c r="P46" s="112">
        <f ca="1">Producción!P49*Producción!$A49*'Datos Consumo '!$F$11</f>
        <v>41.269717323783951</v>
      </c>
      <c r="Q46" s="112">
        <f ca="1">Producción!Q49*Producción!$A49*'Datos Consumo '!$F$11</f>
        <v>41.014170472877026</v>
      </c>
      <c r="R46" s="112">
        <f ca="1">Producción!R49*Producción!$A49*'Datos Consumo '!$F$11</f>
        <v>40.760003574964998</v>
      </c>
      <c r="S46" s="112">
        <f ca="1">Producción!S49*Producción!$A49*'Datos Consumo '!$F$11</f>
        <v>40.507209178301707</v>
      </c>
      <c r="T46" s="112">
        <f ca="1">Producción!T49*Producción!$A49*'Datos Consumo '!$F$11</f>
        <v>40.255779871380383</v>
      </c>
      <c r="U46" s="112">
        <f ca="1">Producción!U49*Producción!$A49*'Datos Consumo '!$F$11</f>
        <v>40.005708282716434</v>
      </c>
      <c r="V46" s="112">
        <f ca="1">Producción!V49*Producción!$A49*'Datos Consumo '!$F$11</f>
        <v>39.756987080631276</v>
      </c>
      <c r="W46" s="112">
        <f ca="1">Producción!W49*Producción!$A49*'Datos Consumo '!$F$11</f>
        <v>39.509608973037381</v>
      </c>
      <c r="X46" s="112">
        <f ca="1">Producción!X49*Producción!$A49*'Datos Consumo '!$F$11</f>
        <v>39.263566707224484</v>
      </c>
      <c r="Y46" s="112">
        <f ca="1">Producción!Y49*Producción!$A49*'Datos Consumo '!$F$11</f>
        <v>39.01885306964698</v>
      </c>
      <c r="Z46" s="112">
        <f ca="1">Producción!Z49*Producción!$A49*'Datos Consumo '!$F$11</f>
        <v>38.775460885712391</v>
      </c>
      <c r="AA46" s="112">
        <f ca="1">Producción!AA49*Producción!$A49*'Datos Consumo '!$F$11</f>
        <v>38.533383019571062</v>
      </c>
      <c r="AB46" s="112">
        <f ca="1">Producción!AB49*Producción!$A49*'Datos Consumo '!$F$11</f>
        <v>38.292612373906891</v>
      </c>
      <c r="AC46" s="112">
        <f ca="1">Producción!AC49*Producción!$A49*'Datos Consumo '!$F$11</f>
        <v>38.053141889729297</v>
      </c>
      <c r="AD46" s="112">
        <f ca="1">Producción!AD49*Producción!$A49*'Datos Consumo '!$F$11</f>
        <v>37.814964546166266</v>
      </c>
      <c r="AE46" s="112">
        <f ca="1">Producción!AE49*Producción!$A49*'Datos Consumo '!$F$11</f>
        <v>37.578073360258479</v>
      </c>
      <c r="AF46" s="112">
        <f ca="1">Producción!AF49*Producción!$A49*'Datos Consumo '!$F$11</f>
        <v>37.342461386754579</v>
      </c>
      <c r="AG46" s="112">
        <f ca="1">Producción!AG49*Producción!$A49*'Datos Consumo '!$F$11</f>
        <v>37.108121717907629</v>
      </c>
    </row>
    <row r="47" spans="1:33">
      <c r="B47" s="24" t="str">
        <f t="shared" si="4"/>
        <v>Agosto</v>
      </c>
      <c r="C47" s="112">
        <f ca="1">Producción!C50*Producción!$A50*'Datos Consumo '!$F$11</f>
        <v>42.244640730000008</v>
      </c>
      <c r="D47" s="112">
        <f ca="1">Producción!D50*Producción!$A50*'Datos Consumo '!$F$11</f>
        <v>41.988574670058014</v>
      </c>
      <c r="E47" s="112">
        <f ca="1">Producción!E50*Producción!$A50*'Datos Consumo '!$F$11</f>
        <v>41.7338913668397</v>
      </c>
      <c r="F47" s="112">
        <f ca="1">Producción!F50*Producción!$A50*'Datos Consumo '!$F$11</f>
        <v>41.480583353458762</v>
      </c>
      <c r="G47" s="112">
        <f ca="1">Producción!G50*Producción!$A50*'Datos Consumo '!$F$11</f>
        <v>41.228643203350082</v>
      </c>
      <c r="H47" s="112">
        <f ca="1">Producción!H50*Producción!$A50*'Datos Consumo '!$F$11</f>
        <v>40.978063530051998</v>
      </c>
      <c r="I47" s="112">
        <f ca="1">Producción!I50*Producción!$A50*'Datos Consumo '!$F$11</f>
        <v>40.728836986989705</v>
      </c>
      <c r="J47" s="112">
        <f ca="1">Producción!J50*Producción!$A50*'Datos Consumo '!$F$11</f>
        <v>40.48095626725997</v>
      </c>
      <c r="K47" s="112">
        <f ca="1">Producción!K50*Producción!$A50*'Datos Consumo '!$F$11</f>
        <v>40.234414103416775</v>
      </c>
      <c r="L47" s="112">
        <f ca="1">Producción!L50*Producción!$A50*'Datos Consumo '!$F$11</f>
        <v>39.989203267258318</v>
      </c>
      <c r="M47" s="112">
        <f ca="1">Producción!M50*Producción!$A50*'Datos Consumo '!$F$11</f>
        <v>39.745316569615113</v>
      </c>
      <c r="N47" s="112">
        <f ca="1">Producción!N50*Producción!$A50*'Datos Consumo '!$F$11</f>
        <v>39.502746860139204</v>
      </c>
      <c r="O47" s="112">
        <f ca="1">Producción!O50*Producción!$A50*'Datos Consumo '!$F$11</f>
        <v>39.261487027094454</v>
      </c>
      <c r="P47" s="112">
        <f ca="1">Producción!P50*Producción!$A50*'Datos Consumo '!$F$11</f>
        <v>39.021529997148143</v>
      </c>
      <c r="Q47" s="112">
        <f ca="1">Producción!Q50*Producción!$A50*'Datos Consumo '!$F$11</f>
        <v>38.782868735163539</v>
      </c>
      <c r="R47" s="112">
        <f ca="1">Producción!R50*Producción!$A50*'Datos Consumo '!$F$11</f>
        <v>38.545496243993654</v>
      </c>
      <c r="S47" s="112">
        <f ca="1">Producción!S50*Producción!$A50*'Datos Consumo '!$F$11</f>
        <v>38.309405564276084</v>
      </c>
      <c r="T47" s="112">
        <f ca="1">Producción!T50*Producción!$A50*'Datos Consumo '!$F$11</f>
        <v>38.074589774228997</v>
      </c>
      <c r="U47" s="112">
        <f ca="1">Producción!U50*Producción!$A50*'Datos Consumo '!$F$11</f>
        <v>37.841041989448158</v>
      </c>
      <c r="V47" s="112">
        <f ca="1">Producción!V50*Producción!$A50*'Datos Consumo '!$F$11</f>
        <v>37.608755362705132</v>
      </c>
      <c r="W47" s="112">
        <f ca="1">Producción!W50*Producción!$A50*'Datos Consumo '!$F$11</f>
        <v>37.377723083746531</v>
      </c>
      <c r="X47" s="112">
        <f ca="1">Producción!X50*Producción!$A50*'Datos Consumo '!$F$11</f>
        <v>37.147938379094306</v>
      </c>
      <c r="Y47" s="112">
        <f ca="1">Producción!Y50*Producción!$A50*'Datos Consumo '!$F$11</f>
        <v>36.919394511847194</v>
      </c>
      <c r="Z47" s="112">
        <f ca="1">Producción!Z50*Producción!$A50*'Datos Consumo '!$F$11</f>
        <v>36.692084781483217</v>
      </c>
      <c r="AA47" s="112">
        <f ca="1">Producción!AA50*Producción!$A50*'Datos Consumo '!$F$11</f>
        <v>36.466002523663207</v>
      </c>
      <c r="AB47" s="112">
        <f ca="1">Producción!AB50*Producción!$A50*'Datos Consumo '!$F$11</f>
        <v>36.241141110035429</v>
      </c>
      <c r="AC47" s="112">
        <f ca="1">Producción!AC50*Producción!$A50*'Datos Consumo '!$F$11</f>
        <v>36.017493948041228</v>
      </c>
      <c r="AD47" s="112">
        <f ca="1">Producción!AD50*Producción!$A50*'Datos Consumo '!$F$11</f>
        <v>35.795054480721809</v>
      </c>
      <c r="AE47" s="112">
        <f ca="1">Producción!AE50*Producción!$A50*'Datos Consumo '!$F$11</f>
        <v>35.573816186525917</v>
      </c>
      <c r="AF47" s="112">
        <f ca="1">Producción!AF50*Producción!$A50*'Datos Consumo '!$F$11</f>
        <v>35.353772579118662</v>
      </c>
      <c r="AG47" s="112">
        <f ca="1">Producción!AG50*Producción!$A50*'Datos Consumo '!$F$11</f>
        <v>35.134917207191428</v>
      </c>
    </row>
    <row r="48" spans="1:33">
      <c r="B48" s="24" t="str">
        <f t="shared" si="4"/>
        <v>Septiembre</v>
      </c>
      <c r="C48" s="112">
        <f ca="1">Producción!C51*Producción!$A51*'Datos Consumo '!$F$11</f>
        <v>36.823911928301889</v>
      </c>
      <c r="D48" s="112">
        <f ca="1">Producción!D51*Producción!$A51*'Datos Consumo '!$F$11</f>
        <v>36.598699596341888</v>
      </c>
      <c r="E48" s="112">
        <f ca="1">Producción!E51*Producción!$A51*'Datos Consumo '!$F$11</f>
        <v>36.374703410974476</v>
      </c>
      <c r="F48" s="112">
        <f ca="1">Producción!F51*Producción!$A51*'Datos Consumo '!$F$11</f>
        <v>36.151916805008042</v>
      </c>
      <c r="G48" s="112">
        <f ca="1">Producción!G51*Producción!$A51*'Datos Consumo '!$F$11</f>
        <v>35.930333246713829</v>
      </c>
      <c r="H48" s="112">
        <f ca="1">Producción!H51*Producción!$A51*'Datos Consumo '!$F$11</f>
        <v>35.709946239634405</v>
      </c>
      <c r="I48" s="112">
        <f ca="1">Producción!I51*Producción!$A51*'Datos Consumo '!$F$11</f>
        <v>35.490749322393206</v>
      </c>
      <c r="J48" s="112">
        <f ca="1">Producción!J51*Producción!$A51*'Datos Consumo '!$F$11</f>
        <v>35.272736068505111</v>
      </c>
      <c r="K48" s="112">
        <f ca="1">Producción!K51*Producción!$A51*'Datos Consumo '!$F$11</f>
        <v>35.055900086188018</v>
      </c>
      <c r="L48" s="112">
        <f ca="1">Producción!L51*Producción!$A51*'Datos Consumo '!$F$11</f>
        <v>34.840235018175434</v>
      </c>
      <c r="M48" s="112">
        <f ca="1">Producción!M51*Producción!$A51*'Datos Consumo '!$F$11</f>
        <v>34.625734541530122</v>
      </c>
      <c r="N48" s="112">
        <f ca="1">Producción!N51*Producción!$A51*'Datos Consumo '!$F$11</f>
        <v>34.412392367458686</v>
      </c>
      <c r="O48" s="112">
        <f ca="1">Producción!O51*Producción!$A51*'Datos Consumo '!$F$11</f>
        <v>34.200202241127236</v>
      </c>
      <c r="P48" s="112">
        <f ca="1">Producción!P51*Producción!$A51*'Datos Consumo '!$F$11</f>
        <v>33.989157941477984</v>
      </c>
      <c r="Q48" s="112">
        <f ca="1">Producción!Q51*Producción!$A51*'Datos Consumo '!$F$11</f>
        <v>33.779253281046827</v>
      </c>
      <c r="R48" s="112">
        <f ca="1">Producción!R51*Producción!$A51*'Datos Consumo '!$F$11</f>
        <v>33.570482105781998</v>
      </c>
      <c r="S48" s="112">
        <f ca="1">Producción!S51*Producción!$A51*'Datos Consumo '!$F$11</f>
        <v>33.362838294863614</v>
      </c>
      <c r="T48" s="112">
        <f ca="1">Producción!T51*Producción!$A51*'Datos Consumo '!$F$11</f>
        <v>33.156315760524187</v>
      </c>
      <c r="U48" s="112">
        <f ca="1">Producción!U51*Producción!$A51*'Datos Consumo '!$F$11</f>
        <v>32.950908447870177</v>
      </c>
      <c r="V48" s="112">
        <f ca="1">Producción!V51*Producción!$A51*'Datos Consumo '!$F$11</f>
        <v>32.746610334704506</v>
      </c>
      <c r="W48" s="112">
        <f ca="1">Producción!W51*Producción!$A51*'Datos Consumo '!$F$11</f>
        <v>32.543415431349921</v>
      </c>
      <c r="X48" s="112">
        <f ca="1">Producción!X51*Producción!$A51*'Datos Consumo '!$F$11</f>
        <v>32.341317780473481</v>
      </c>
      <c r="Y48" s="112">
        <f ca="1">Producción!Y51*Producción!$A51*'Datos Consumo '!$F$11</f>
        <v>32.140311456911746</v>
      </c>
      <c r="Z48" s="112">
        <f ca="1">Producción!Z51*Producción!$A51*'Datos Consumo '!$F$11</f>
        <v>31.940390567497253</v>
      </c>
      <c r="AA48" s="112">
        <f ca="1">Producción!AA51*Producción!$A51*'Datos Consumo '!$F$11</f>
        <v>31.741549250885598</v>
      </c>
      <c r="AB48" s="112">
        <f ca="1">Producción!AB51*Producción!$A51*'Datos Consumo '!$F$11</f>
        <v>31.543781677383652</v>
      </c>
      <c r="AC48" s="112">
        <f ca="1">Producción!AC51*Producción!$A51*'Datos Consumo '!$F$11</f>
        <v>31.347082048778606</v>
      </c>
      <c r="AD48" s="112">
        <f ca="1">Producción!AD51*Producción!$A51*'Datos Consumo '!$F$11</f>
        <v>31.151444598168027</v>
      </c>
      <c r="AE48" s="112">
        <f ca="1">Producción!AE51*Producción!$A51*'Datos Consumo '!$F$11</f>
        <v>30.956863589790757</v>
      </c>
      <c r="AF48" s="112">
        <f ca="1">Producción!AF51*Producción!$A51*'Datos Consumo '!$F$11</f>
        <v>30.763333318858713</v>
      </c>
      <c r="AG48" s="112">
        <f ca="1">Producción!AG51*Producción!$A51*'Datos Consumo '!$F$11</f>
        <v>30.570848111389708</v>
      </c>
    </row>
    <row r="49" spans="2:33">
      <c r="B49" s="24" t="str">
        <f t="shared" si="4"/>
        <v xml:space="preserve">Octubre </v>
      </c>
      <c r="C49" s="112">
        <f ca="1">Producción!C52*Producción!$A52*'Datos Consumo '!$F$11</f>
        <v>33.487848959433968</v>
      </c>
      <c r="D49" s="112">
        <f ca="1">Producción!D52*Producción!$A52*'Datos Consumo '!$F$11</f>
        <v>33.279596839203961</v>
      </c>
      <c r="E49" s="112">
        <f ca="1">Producción!E52*Producción!$A52*'Datos Consumo '!$F$11</f>
        <v>33.072469280423199</v>
      </c>
      <c r="F49" s="112">
        <f ca="1">Producción!F52*Producción!$A52*'Datos Consumo '!$F$11</f>
        <v>32.866460210459863</v>
      </c>
      <c r="G49" s="112">
        <f ca="1">Producción!G52*Producción!$A52*'Datos Consumo '!$F$11</f>
        <v>32.661563589474319</v>
      </c>
      <c r="H49" s="112">
        <f ca="1">Producción!H52*Producción!$A52*'Datos Consumo '!$F$11</f>
        <v>32.457773410242105</v>
      </c>
      <c r="I49" s="112">
        <f ca="1">Producción!I52*Producción!$A52*'Datos Consumo '!$F$11</f>
        <v>32.255083697977739</v>
      </c>
      <c r="J49" s="112">
        <f ca="1">Producción!J52*Producción!$A52*'Datos Consumo '!$F$11</f>
        <v>32.05348851015961</v>
      </c>
      <c r="K49" s="112">
        <f ca="1">Producción!K52*Producción!$A52*'Datos Consumo '!$F$11</f>
        <v>31.852981936355686</v>
      </c>
      <c r="L49" s="112">
        <f ca="1">Producción!L52*Producción!$A52*'Datos Consumo '!$F$11</f>
        <v>31.653558098050311</v>
      </c>
      <c r="M49" s="112">
        <f ca="1">Producción!M52*Producción!$A52*'Datos Consumo '!$F$11</f>
        <v>31.455211148471786</v>
      </c>
      <c r="N49" s="112">
        <f ca="1">Producción!N52*Producción!$A52*'Datos Consumo '!$F$11</f>
        <v>31.25793527242098</v>
      </c>
      <c r="O49" s="112">
        <f ca="1">Producción!O52*Producción!$A52*'Datos Consumo '!$F$11</f>
        <v>31.061724686100849</v>
      </c>
      <c r="P49" s="112">
        <f ca="1">Producción!P52*Producción!$A52*'Datos Consumo '!$F$11</f>
        <v>30.866573636946846</v>
      </c>
      <c r="Q49" s="112">
        <f ca="1">Producción!Q52*Producción!$A52*'Datos Consumo '!$F$11</f>
        <v>30.67247640345828</v>
      </c>
      <c r="R49" s="112">
        <f ca="1">Producción!R52*Producción!$A52*'Datos Consumo '!$F$11</f>
        <v>30.479427295030536</v>
      </c>
      <c r="S49" s="112">
        <f ca="1">Producción!S52*Producción!$A52*'Datos Consumo '!$F$11</f>
        <v>30.287420651788324</v>
      </c>
      <c r="T49" s="112">
        <f ca="1">Producción!T52*Producción!$A52*'Datos Consumo '!$F$11</f>
        <v>30.096450844419618</v>
      </c>
      <c r="U49" s="112">
        <f ca="1">Producción!U52*Producción!$A52*'Datos Consumo '!$F$11</f>
        <v>29.906512274010687</v>
      </c>
      <c r="V49" s="112">
        <f ca="1">Producción!V52*Producción!$A52*'Datos Consumo '!$F$11</f>
        <v>29.717599371881967</v>
      </c>
      <c r="W49" s="112">
        <f ca="1">Producción!W52*Producción!$A52*'Datos Consumo '!$F$11</f>
        <v>29.529706599424756</v>
      </c>
      <c r="X49" s="112">
        <f ca="1">Producción!X52*Producción!$A52*'Datos Consumo '!$F$11</f>
        <v>29.342828447938803</v>
      </c>
      <c r="Y49" s="112">
        <f ca="1">Producción!Y52*Producción!$A52*'Datos Consumo '!$F$11</f>
        <v>29.156959438470864</v>
      </c>
      <c r="Z49" s="112">
        <f ca="1">Producción!Z52*Producción!$A52*'Datos Consumo '!$F$11</f>
        <v>28.972094121654084</v>
      </c>
      <c r="AA49" s="112">
        <f ca="1">Producción!AA52*Producción!$A52*'Datos Consumo '!$F$11</f>
        <v>28.788227077548086</v>
      </c>
      <c r="AB49" s="112">
        <f ca="1">Producción!AB52*Producción!$A52*'Datos Consumo '!$F$11</f>
        <v>28.605352915480275</v>
      </c>
      <c r="AC49" s="112">
        <f ca="1">Producción!AC52*Producción!$A52*'Datos Consumo '!$F$11</f>
        <v>28.423466273887627</v>
      </c>
      <c r="AD49" s="112">
        <f ca="1">Producción!AD52*Producción!$A52*'Datos Consumo '!$F$11</f>
        <v>28.242561820159576</v>
      </c>
      <c r="AE49" s="112">
        <f ca="1">Producción!AE52*Producción!$A52*'Datos Consumo '!$F$11</f>
        <v>28.062634250481654</v>
      </c>
      <c r="AF49" s="112">
        <f ca="1">Producción!AF52*Producción!$A52*'Datos Consumo '!$F$11</f>
        <v>27.883678289679992</v>
      </c>
      <c r="AG49" s="112">
        <f ca="1">Producción!AG52*Producción!$A52*'Datos Consumo '!$F$11</f>
        <v>27.705688691066669</v>
      </c>
    </row>
    <row r="50" spans="2:33">
      <c r="B50" s="24" t="str">
        <f t="shared" si="4"/>
        <v>Noviembre</v>
      </c>
      <c r="C50" s="112">
        <f ca="1">Producción!C53*Producción!$A53*'Datos Consumo '!$F$11</f>
        <v>28.623296428301884</v>
      </c>
      <c r="D50" s="112">
        <f ca="1">Producción!D53*Producción!$A53*'Datos Consumo '!$F$11</f>
        <v>28.442367420041876</v>
      </c>
      <c r="E50" s="112">
        <f ca="1">Producción!E53*Producción!$A53*'Datos Consumo '!$F$11</f>
        <v>28.262415428426483</v>
      </c>
      <c r="F50" s="112">
        <f ca="1">Producción!F53*Producción!$A53*'Datos Consumo '!$F$11</f>
        <v>28.083435177565818</v>
      </c>
      <c r="G50" s="112">
        <f ca="1">Producción!G53*Producción!$A53*'Datos Consumo '!$F$11</f>
        <v>27.905421420059795</v>
      </c>
      <c r="H50" s="112">
        <f ca="1">Producción!H53*Producción!$A53*'Datos Consumo '!$F$11</f>
        <v>27.728368936844291</v>
      </c>
      <c r="I50" s="112">
        <f ca="1">Producción!I53*Producción!$A53*'Datos Consumo '!$F$11</f>
        <v>27.552272537038171</v>
      </c>
      <c r="J50" s="112">
        <f ca="1">Producción!J53*Producción!$A53*'Datos Consumo '!$F$11</f>
        <v>27.37712705779099</v>
      </c>
      <c r="K50" s="112">
        <f ca="1">Producción!K53*Producción!$A53*'Datos Consumo '!$F$11</f>
        <v>27.202927364131746</v>
      </c>
      <c r="L50" s="112">
        <f ca="1">Producción!L53*Producción!$A53*'Datos Consumo '!$F$11</f>
        <v>27.02966834881828</v>
      </c>
      <c r="M50" s="112">
        <f ca="1">Producción!M53*Producción!$A53*'Datos Consumo '!$F$11</f>
        <v>26.857344932187484</v>
      </c>
      <c r="N50" s="112">
        <f ca="1">Producción!N53*Producción!$A53*'Datos Consumo '!$F$11</f>
        <v>26.6859520620065</v>
      </c>
      <c r="O50" s="112">
        <f ca="1">Producción!O53*Producción!$A53*'Datos Consumo '!$F$11</f>
        <v>26.515484713324497</v>
      </c>
      <c r="P50" s="112">
        <f ca="1">Producción!P53*Producción!$A53*'Datos Consumo '!$F$11</f>
        <v>26.34593788832537</v>
      </c>
      <c r="Q50" s="112">
        <f ca="1">Producción!Q53*Producción!$A53*'Datos Consumo '!$F$11</f>
        <v>26.177306616181244</v>
      </c>
      <c r="R50" s="112">
        <f ca="1">Producción!R53*Producción!$A53*'Datos Consumo '!$F$11</f>
        <v>26.009585952906697</v>
      </c>
      <c r="S50" s="112">
        <f ca="1">Producción!S53*Producción!$A53*'Datos Consumo '!$F$11</f>
        <v>25.842770981213832</v>
      </c>
      <c r="T50" s="112">
        <f ca="1">Producción!T53*Producción!$A53*'Datos Consumo '!$F$11</f>
        <v>25.676856810368111</v>
      </c>
      <c r="U50" s="112">
        <f ca="1">Producción!U53*Producción!$A53*'Datos Consumo '!$F$11</f>
        <v>25.511838576044951</v>
      </c>
      <c r="V50" s="112">
        <f ca="1">Producción!V53*Producción!$A53*'Datos Consumo '!$F$11</f>
        <v>25.347711440187137</v>
      </c>
      <c r="W50" s="112">
        <f ca="1">Producción!W53*Producción!$A53*'Datos Consumo '!$F$11</f>
        <v>25.184470590862947</v>
      </c>
      <c r="X50" s="112">
        <f ca="1">Producción!X53*Producción!$A53*'Datos Consumo '!$F$11</f>
        <v>25.022111242125124</v>
      </c>
      <c r="Y50" s="112">
        <f ca="1">Producción!Y53*Producción!$A53*'Datos Consumo '!$F$11</f>
        <v>24.86062863387048</v>
      </c>
      <c r="Z50" s="112">
        <f ca="1">Producción!Z53*Producción!$A53*'Datos Consumo '!$F$11</f>
        <v>24.700018031700406</v>
      </c>
      <c r="AA50" s="112">
        <f ca="1">Producción!AA53*Producción!$A53*'Datos Consumo '!$F$11</f>
        <v>24.540274726782059</v>
      </c>
      <c r="AB50" s="112">
        <f ca="1">Producción!AB53*Producción!$A53*'Datos Consumo '!$F$11</f>
        <v>24.381394035710265</v>
      </c>
      <c r="AC50" s="112">
        <f ca="1">Producción!AC53*Producción!$A53*'Datos Consumo '!$F$11</f>
        <v>24.22337130037026</v>
      </c>
      <c r="AD50" s="112">
        <f ca="1">Producción!AD53*Producción!$A53*'Datos Consumo '!$F$11</f>
        <v>24.066201887801085</v>
      </c>
      <c r="AE50" s="112">
        <f ca="1">Producción!AE53*Producción!$A53*'Datos Consumo '!$F$11</f>
        <v>23.909881190059792</v>
      </c>
      <c r="AF50" s="112">
        <f ca="1">Producción!AF53*Producción!$A53*'Datos Consumo '!$F$11</f>
        <v>23.754404624086302</v>
      </c>
      <c r="AG50" s="112">
        <f ca="1">Producción!AG53*Producción!$A53*'Datos Consumo '!$F$11</f>
        <v>23.599767631569062</v>
      </c>
    </row>
    <row r="51" spans="2:33">
      <c r="B51" s="24" t="str">
        <f t="shared" si="4"/>
        <v>Diciembre</v>
      </c>
      <c r="C51" s="112">
        <f ca="1">Producción!C54*Producción!$A54*'Datos Consumo '!$F$11</f>
        <v>25.677466539622642</v>
      </c>
      <c r="D51" s="112">
        <f ca="1">Producción!D54*Producción!$A54*'Datos Consumo '!$F$11</f>
        <v>25.50189972974264</v>
      </c>
      <c r="E51" s="112">
        <f ca="1">Producción!E54*Producción!$A54*'Datos Consumo '!$F$11</f>
        <v>25.327280980635997</v>
      </c>
      <c r="F51" s="112">
        <f ca="1">Producción!F54*Producción!$A54*'Datos Consumo '!$F$11</f>
        <v>25.153605172774519</v>
      </c>
      <c r="G51" s="112">
        <f ca="1">Producción!G54*Producción!$A54*'Datos Consumo '!$F$11</f>
        <v>24.980867214275502</v>
      </c>
      <c r="H51" s="112">
        <f ca="1">Producción!H54*Producción!$A54*'Datos Consumo '!$F$11</f>
        <v>24.809062040752377</v>
      </c>
      <c r="I51" s="112">
        <f ca="1">Producción!I54*Producción!$A54*'Datos Consumo '!$F$11</f>
        <v>24.638184615166278</v>
      </c>
      <c r="J51" s="112">
        <f ca="1">Producción!J54*Producción!$A54*'Datos Consumo '!$F$11</f>
        <v>24.468229927678344</v>
      </c>
      <c r="K51" s="112">
        <f ca="1">Producción!K54*Producción!$A54*'Datos Consumo '!$F$11</f>
        <v>24.299192995502843</v>
      </c>
      <c r="L51" s="112">
        <f ca="1">Producción!L54*Producción!$A54*'Datos Consumo '!$F$11</f>
        <v>24.131068862761094</v>
      </c>
      <c r="M51" s="112">
        <f ca="1">Producción!M54*Producción!$A54*'Datos Consumo '!$F$11</f>
        <v>23.963852600336139</v>
      </c>
      <c r="N51" s="112">
        <f ca="1">Producción!N54*Producción!$A54*'Datos Consumo '!$F$11</f>
        <v>23.797539305728289</v>
      </c>
      <c r="O51" s="112">
        <f ca="1">Producción!O54*Producción!$A54*'Datos Consumo '!$F$11</f>
        <v>23.63212410291132</v>
      </c>
      <c r="P51" s="112">
        <f ca="1">Producción!P54*Producción!$A54*'Datos Consumo '!$F$11</f>
        <v>23.467602142189552</v>
      </c>
      <c r="Q51" s="112">
        <f ca="1">Producción!Q54*Producción!$A54*'Datos Consumo '!$F$11</f>
        <v>23.303968600055697</v>
      </c>
      <c r="R51" s="112">
        <f ca="1">Producción!R54*Producción!$A54*'Datos Consumo '!$F$11</f>
        <v>23.141218679049359</v>
      </c>
      <c r="S51" s="112">
        <f ca="1">Producción!S54*Producción!$A54*'Datos Consumo '!$F$11</f>
        <v>22.979347607616454</v>
      </c>
      <c r="T51" s="112">
        <f ca="1">Producción!T54*Producción!$A54*'Datos Consumo '!$F$11</f>
        <v>22.818350639969289</v>
      </c>
      <c r="U51" s="112">
        <f ca="1">Producción!U54*Producción!$A54*'Datos Consumo '!$F$11</f>
        <v>22.658223055947417</v>
      </c>
      <c r="V51" s="112">
        <f ca="1">Producción!V54*Producción!$A54*'Datos Consumo '!$F$11</f>
        <v>22.498960160879264</v>
      </c>
      <c r="W51" s="112">
        <f ca="1">Producción!W54*Producción!$A54*'Datos Consumo '!$F$11</f>
        <v>22.340557285444476</v>
      </c>
      <c r="X51" s="112">
        <f ca="1">Producción!X54*Producción!$A54*'Datos Consumo '!$F$11</f>
        <v>22.183009785537038</v>
      </c>
      <c r="Y51" s="112">
        <f ca="1">Producción!Y54*Producción!$A54*'Datos Consumo '!$F$11</f>
        <v>22.0263130421291</v>
      </c>
      <c r="Z51" s="112">
        <f ca="1">Producción!Z54*Producción!$A54*'Datos Consumo '!$F$11</f>
        <v>21.870462461135567</v>
      </c>
      <c r="AA51" s="112">
        <f ca="1">Producción!AA54*Producción!$A54*'Datos Consumo '!$F$11</f>
        <v>21.715453473279396</v>
      </c>
      <c r="AB51" s="112">
        <f ca="1">Producción!AB54*Producción!$A54*'Datos Consumo '!$F$11</f>
        <v>21.561281533957651</v>
      </c>
      <c r="AC51" s="112">
        <f ca="1">Producción!AC54*Producción!$A54*'Datos Consumo '!$F$11</f>
        <v>21.407942123108239</v>
      </c>
      <c r="AD51" s="112">
        <f ca="1">Producción!AD54*Producción!$A54*'Datos Consumo '!$F$11</f>
        <v>21.255430745077412</v>
      </c>
      <c r="AE51" s="112">
        <f ca="1">Producción!AE54*Producción!$A54*'Datos Consumo '!$F$11</f>
        <v>21.103742928487961</v>
      </c>
      <c r="AF51" s="112">
        <f ca="1">Producción!AF54*Producción!$A54*'Datos Consumo '!$F$11</f>
        <v>20.952874226108086</v>
      </c>
      <c r="AG51" s="112">
        <f ca="1">Producción!AG54*Producción!$A54*'Datos Consumo '!$F$11</f>
        <v>20.802820214721066</v>
      </c>
    </row>
    <row r="54" spans="2:33" ht="28.8" customHeight="1">
      <c r="B54" s="287" t="s">
        <v>442</v>
      </c>
      <c r="C54" s="287"/>
      <c r="D54" s="287"/>
      <c r="E54" s="287"/>
      <c r="F54" s="287"/>
    </row>
    <row r="55" spans="2:33">
      <c r="C55" s="24">
        <v>2021</v>
      </c>
      <c r="D55" s="24">
        <v>2022</v>
      </c>
      <c r="E55" s="24">
        <v>2023</v>
      </c>
      <c r="F55" s="24">
        <v>2024</v>
      </c>
      <c r="G55" s="24">
        <v>2025</v>
      </c>
      <c r="H55" s="24">
        <v>2026</v>
      </c>
      <c r="I55" s="24">
        <v>2027</v>
      </c>
      <c r="J55" s="24">
        <v>2028</v>
      </c>
      <c r="K55" s="24">
        <v>2029</v>
      </c>
      <c r="L55" s="24">
        <v>2030</v>
      </c>
      <c r="M55" s="24">
        <v>2031</v>
      </c>
      <c r="N55" s="24">
        <v>2032</v>
      </c>
      <c r="O55" s="24">
        <v>2033</v>
      </c>
      <c r="P55" s="24">
        <v>2034</v>
      </c>
      <c r="Q55" s="24">
        <v>2035</v>
      </c>
      <c r="R55" s="24">
        <v>2036</v>
      </c>
      <c r="S55" s="24">
        <v>2037</v>
      </c>
      <c r="T55" s="24">
        <v>2038</v>
      </c>
      <c r="U55" s="24">
        <v>2039</v>
      </c>
      <c r="V55" s="24">
        <v>2040</v>
      </c>
      <c r="W55" s="24">
        <v>2041</v>
      </c>
      <c r="X55" s="24">
        <v>2042</v>
      </c>
      <c r="Y55" s="24">
        <v>2043</v>
      </c>
      <c r="Z55" s="24">
        <v>2044</v>
      </c>
      <c r="AA55" s="24">
        <v>2045</v>
      </c>
      <c r="AB55" s="24">
        <v>2046</v>
      </c>
      <c r="AC55" s="24">
        <v>2047</v>
      </c>
      <c r="AD55" s="24">
        <v>2048</v>
      </c>
      <c r="AE55" s="24">
        <v>2049</v>
      </c>
      <c r="AF55" s="24">
        <v>2050</v>
      </c>
      <c r="AG55" s="24">
        <v>2051</v>
      </c>
    </row>
    <row r="56" spans="2:33">
      <c r="B56" s="24" t="str">
        <f t="shared" ref="B56:B67" si="5">B40</f>
        <v>Enero</v>
      </c>
      <c r="C56" s="112">
        <f ca="1">Producción!C63*Producción!$A63*'Datos Consumo '!$F$11</f>
        <v>24.620789844622646</v>
      </c>
      <c r="D56" s="112">
        <f ca="1">Producción!D63*Producción!$A63*'Datos Consumo '!$F$11</f>
        <v>24.620789844622646</v>
      </c>
      <c r="E56" s="112">
        <f ca="1">Producción!E63*Producción!$A63*'Datos Consumo '!$F$11</f>
        <v>24.281985581249572</v>
      </c>
      <c r="F56" s="112">
        <f ca="1">Producción!F63*Producción!$A63*'Datos Consumo '!$F$11</f>
        <v>24.113954368544782</v>
      </c>
      <c r="G56" s="112">
        <f ca="1">Producción!G63*Producción!$A63*'Datos Consumo '!$F$11</f>
        <v>23.946830524388606</v>
      </c>
      <c r="H56" s="112">
        <f ca="1">Producción!H63*Producción!$A63*'Datos Consumo '!$F$11</f>
        <v>23.78060914899087</v>
      </c>
      <c r="I56" s="112">
        <f ca="1">Producción!I63*Producción!$A63*'Datos Consumo '!$F$11</f>
        <v>23.615285369020285</v>
      </c>
      <c r="J56" s="112">
        <f ca="1">Producción!J63*Producción!$A63*'Datos Consumo '!$F$11</f>
        <v>23.450854337461536</v>
      </c>
      <c r="K56" s="112">
        <f ca="1">Producción!K63*Producción!$A63*'Datos Consumo '!$F$11</f>
        <v>23.287311233473204</v>
      </c>
      <c r="L56" s="112">
        <f ca="1">Producción!L63*Producción!$A63*'Datos Consumo '!$F$11</f>
        <v>23.124651262246413</v>
      </c>
      <c r="M56" s="112">
        <f ca="1">Producción!M63*Producción!$A63*'Datos Consumo '!$F$11</f>
        <v>22.962869654864246</v>
      </c>
      <c r="N56" s="112">
        <f ca="1">Producción!N63*Producción!$A63*'Datos Consumo '!$F$11</f>
        <v>22.801961668161933</v>
      </c>
      <c r="O56" s="112">
        <f ca="1">Producción!O63*Producción!$A63*'Datos Consumo '!$F$11</f>
        <v>23.546425836741737</v>
      </c>
      <c r="P56" s="112">
        <f ca="1">Producción!P63*Producción!$A63*'Datos Consumo '!$F$11</f>
        <v>23.382366646657299</v>
      </c>
      <c r="Q56" s="112">
        <f ca="1">Producción!Q63*Producción!$A63*'Datos Consumo '!$F$11</f>
        <v>23.2191933761993</v>
      </c>
      <c r="R56" s="112">
        <f ca="1">Producción!R63*Producción!$A63*'Datos Consumo '!$F$11</f>
        <v>23.056901241401789</v>
      </c>
      <c r="S56" s="112">
        <f ca="1">Producción!S63*Producción!$A63*'Datos Consumo '!$F$11</f>
        <v>22.89548548413218</v>
      </c>
      <c r="T56" s="112">
        <f ca="1">Producción!T63*Producción!$A63*'Datos Consumo '!$F$11</f>
        <v>22.734941371951834</v>
      </c>
      <c r="U56" s="112">
        <f ca="1">Producción!U63*Producción!$A63*'Datos Consumo '!$F$11</f>
        <v>22.575264197977258</v>
      </c>
      <c r="V56" s="112">
        <f ca="1">Producción!V63*Producción!$A63*'Datos Consumo '!$F$11</f>
        <v>22.416449280742142</v>
      </c>
      <c r="W56" s="112">
        <f ca="1">Producción!W63*Producción!$A63*'Datos Consumo '!$F$11</f>
        <v>22.258491964060099</v>
      </c>
      <c r="X56" s="112">
        <f ca="1">Producción!X63*Producción!$A63*'Datos Consumo '!$F$11</f>
        <v>22.101387616888132</v>
      </c>
      <c r="Y56" s="112">
        <f ca="1">Producción!Y63*Producción!$A63*'Datos Consumo '!$F$11</f>
        <v>21.945131633190901</v>
      </c>
      <c r="Z56" s="112">
        <f ca="1">Producción!Z63*Producción!$A63*'Datos Consumo '!$F$11</f>
        <v>21.789719431805622</v>
      </c>
      <c r="AA56" s="112">
        <f ca="1">Producción!AA63*Producción!$A63*'Datos Consumo '!$F$11</f>
        <v>21.635146456307844</v>
      </c>
      <c r="AB56" s="112">
        <f ca="1">Producción!AB63*Producción!$A63*'Datos Consumo '!$F$11</f>
        <v>21.481408174877743</v>
      </c>
      <c r="AC56" s="112">
        <f ca="1">Producción!AC63*Producción!$A63*'Datos Consumo '!$F$11</f>
        <v>21.328500080167363</v>
      </c>
      <c r="AD56" s="112">
        <f ca="1">Producción!AD63*Producción!$A63*'Datos Consumo '!$F$11</f>
        <v>21.176417689168421</v>
      </c>
      <c r="AE56" s="112">
        <f ca="1">Producción!AE63*Producción!$A63*'Datos Consumo '!$F$11</f>
        <v>21.025156543080872</v>
      </c>
      <c r="AF56" s="112">
        <f ca="1">Producción!AF63*Producción!$A63*'Datos Consumo '!$F$11</f>
        <v>20.874712207182199</v>
      </c>
      <c r="AG56" s="112">
        <f ca="1">Producción!AG63*Producción!$A63*'Datos Consumo '!$F$11</f>
        <v>20.725080270697379</v>
      </c>
    </row>
    <row r="57" spans="2:33">
      <c r="B57" s="24" t="str">
        <f t="shared" si="5"/>
        <v>Febrero</v>
      </c>
      <c r="C57" s="112">
        <f ca="1">Producción!C64*Producción!$A64*'Datos Consumo '!$F$11</f>
        <v>25.059293196226406</v>
      </c>
      <c r="D57" s="112">
        <f ca="1">Producción!D64*Producción!$A64*'Datos Consumo '!$F$11</f>
        <v>24.890228107306417</v>
      </c>
      <c r="E57" s="112">
        <f ca="1">Producción!E64*Producción!$A64*'Datos Consumo '!$F$11</f>
        <v>24.722075969866584</v>
      </c>
      <c r="F57" s="112">
        <f ca="1">Producción!F64*Producción!$A64*'Datos Consumo '!$F$11</f>
        <v>24.554831853968921</v>
      </c>
      <c r="G57" s="112">
        <f ca="1">Producción!G64*Producción!$A64*'Datos Consumo '!$F$11</f>
        <v>24.388490856297111</v>
      </c>
      <c r="H57" s="112">
        <f ca="1">Producción!H64*Producción!$A64*'Datos Consumo '!$F$11</f>
        <v>24.223048100012733</v>
      </c>
      <c r="I57" s="112">
        <f ca="1">Producción!I64*Producción!$A64*'Datos Consumo '!$F$11</f>
        <v>24.058498734612296</v>
      </c>
      <c r="J57" s="112">
        <f ca="1">Producción!J64*Producción!$A64*'Datos Consumo '!$F$11</f>
        <v>23.894837935785006</v>
      </c>
      <c r="K57" s="112">
        <f ca="1">Producción!K64*Producción!$A64*'Datos Consumo '!$F$11</f>
        <v>23.732060905271389</v>
      </c>
      <c r="L57" s="112">
        <f ca="1">Producción!L64*Producción!$A64*'Datos Consumo '!$F$11</f>
        <v>23.570162870722555</v>
      </c>
      <c r="M57" s="112">
        <f ca="1">Producción!M64*Producción!$A64*'Datos Consumo '!$F$11</f>
        <v>23.409139085560259</v>
      </c>
      <c r="N57" s="112">
        <f ca="1">Producción!N64*Producción!$A64*'Datos Consumo '!$F$11</f>
        <v>23.248984828837866</v>
      </c>
      <c r="O57" s="112">
        <f ca="1">Producción!O64*Producción!$A64*'Datos Consumo '!$F$11</f>
        <v>23.989961756204096</v>
      </c>
      <c r="P57" s="112">
        <f ca="1">Producción!P64*Producción!$A64*'Datos Consumo '!$F$11</f>
        <v>23.82667105706021</v>
      </c>
      <c r="Q57" s="112">
        <f ca="1">Producción!Q64*Producción!$A64*'Datos Consumo '!$F$11</f>
        <v>23.6642621276917</v>
      </c>
      <c r="R57" s="112">
        <f ca="1">Producción!R64*Producción!$A64*'Datos Consumo '!$F$11</f>
        <v>23.502730206541795</v>
      </c>
      <c r="S57" s="112">
        <f ca="1">Producción!S64*Producción!$A64*'Datos Consumo '!$F$11</f>
        <v>23.342070557766085</v>
      </c>
      <c r="T57" s="112">
        <f ca="1">Producción!T64*Producción!$A64*'Datos Consumo '!$F$11</f>
        <v>23.18227847109377</v>
      </c>
      <c r="U57" s="112">
        <f ca="1">Producción!U64*Producción!$A64*'Datos Consumo '!$F$11</f>
        <v>23.023349261689489</v>
      </c>
      <c r="V57" s="112">
        <f ca="1">Producción!V64*Producción!$A64*'Datos Consumo '!$F$11</f>
        <v>22.865278270015992</v>
      </c>
      <c r="W57" s="112">
        <f ca="1">Producción!W64*Producción!$A64*'Datos Consumo '!$F$11</f>
        <v>22.708060861697533</v>
      </c>
      <c r="X57" s="112">
        <f ca="1">Producción!X64*Producción!$A64*'Datos Consumo '!$F$11</f>
        <v>22.551692427383983</v>
      </c>
      <c r="Y57" s="112">
        <f ca="1">Producción!Y64*Producción!$A64*'Datos Consumo '!$F$11</f>
        <v>22.396168382615727</v>
      </c>
      <c r="Z57" s="112">
        <f ca="1">Producción!Z64*Producción!$A64*'Datos Consumo '!$F$11</f>
        <v>22.241484167689229</v>
      </c>
      <c r="AA57" s="112">
        <f ca="1">Producción!AA64*Producción!$A64*'Datos Consumo '!$F$11</f>
        <v>22.087635247523327</v>
      </c>
      <c r="AB57" s="112">
        <f ca="1">Producción!AB64*Producción!$A64*'Datos Consumo '!$F$11</f>
        <v>21.934617111526325</v>
      </c>
      <c r="AC57" s="112">
        <f ca="1">Producción!AC64*Producción!$A64*'Datos Consumo '!$F$11</f>
        <v>21.782425273463705</v>
      </c>
      <c r="AD57" s="112">
        <f ca="1">Producción!AD64*Producción!$A64*'Datos Consumo '!$F$11</f>
        <v>21.63105527132662</v>
      </c>
      <c r="AE57" s="112">
        <f ca="1">Producción!AE64*Producción!$A64*'Datos Consumo '!$F$11</f>
        <v>21.48050266720108</v>
      </c>
      <c r="AF57" s="112">
        <f ca="1">Producción!AF64*Producción!$A64*'Datos Consumo '!$F$11</f>
        <v>21.330763047137818</v>
      </c>
      <c r="AG57" s="112">
        <f ca="1">Producción!AG64*Producción!$A64*'Datos Consumo '!$F$11</f>
        <v>21.181832021022895</v>
      </c>
    </row>
    <row r="58" spans="2:33">
      <c r="B58" s="24" t="str">
        <f t="shared" si="5"/>
        <v>Marzo</v>
      </c>
      <c r="C58" s="112">
        <f ca="1">Producción!C65*Producción!$A65*'Datos Consumo '!$F$11</f>
        <v>33.439568715566033</v>
      </c>
      <c r="D58" s="112">
        <f ca="1">Producción!D65*Producción!$A65*'Datos Consumo '!$F$11</f>
        <v>33.230522780351031</v>
      </c>
      <c r="E58" s="112">
        <f ca="1">Producción!E65*Producción!$A65*'Datos Consumo '!$F$11</f>
        <v>33.0226056931862</v>
      </c>
      <c r="F58" s="112">
        <f ca="1">Producción!F65*Producción!$A65*'Datos Consumo '!$F$11</f>
        <v>32.815811358292052</v>
      </c>
      <c r="G58" s="112">
        <f ca="1">Producción!G65*Producción!$A65*'Datos Consumo '!$F$11</f>
        <v>32.610133712806331</v>
      </c>
      <c r="H58" s="112">
        <f ca="1">Producción!H65*Producción!$A65*'Datos Consumo '!$F$11</f>
        <v>32.405566726606231</v>
      </c>
      <c r="I58" s="112">
        <f ca="1">Producción!I65*Producción!$A65*'Datos Consumo '!$F$11</f>
        <v>32.202104402131617</v>
      </c>
      <c r="J58" s="112">
        <f ca="1">Producción!J65*Producción!$A65*'Datos Consumo '!$F$11</f>
        <v>31.999740774209158</v>
      </c>
      <c r="K58" s="112">
        <f ca="1">Producción!K65*Producción!$A65*'Datos Consumo '!$F$11</f>
        <v>31.798469909877493</v>
      </c>
      <c r="L58" s="112">
        <f ca="1">Producción!L65*Producción!$A65*'Datos Consumo '!$F$11</f>
        <v>31.598285908213217</v>
      </c>
      <c r="M58" s="112">
        <f ca="1">Producción!M65*Producción!$A65*'Datos Consumo '!$F$11</f>
        <v>31.399182900157911</v>
      </c>
      <c r="N58" s="112">
        <f ca="1">Producción!N65*Producción!$A65*'Datos Consumo '!$F$11</f>
        <v>31.20115504834612</v>
      </c>
      <c r="O58" s="112">
        <f ca="1">Producción!O65*Producción!$A65*'Datos Consumo '!$F$11</f>
        <v>32.117359663642581</v>
      </c>
      <c r="P58" s="112">
        <f ca="1">Producción!P65*Producción!$A65*'Datos Consumo '!$F$11</f>
        <v>31.915453657307964</v>
      </c>
      <c r="Q58" s="112">
        <f ca="1">Producción!Q65*Producción!$A65*'Datos Consumo '!$F$11</f>
        <v>31.714637943407549</v>
      </c>
      <c r="R58" s="112">
        <f ca="1">Producción!R65*Producción!$A65*'Datos Consumo '!$F$11</f>
        <v>31.514906634362205</v>
      </c>
      <c r="S58" s="112">
        <f ca="1">Producción!S65*Producción!$A65*'Datos Consumo '!$F$11</f>
        <v>31.316253874385701</v>
      </c>
      <c r="T58" s="112">
        <f ca="1">Producción!T65*Producción!$A65*'Datos Consumo '!$F$11</f>
        <v>31.118673839313079</v>
      </c>
      <c r="U58" s="112">
        <f ca="1">Producción!U65*Producción!$A65*'Datos Consumo '!$F$11</f>
        <v>30.922160736429852</v>
      </c>
      <c r="V58" s="112">
        <f ca="1">Producción!V65*Producción!$A65*'Datos Consumo '!$F$11</f>
        <v>30.726708804302184</v>
      </c>
      <c r="W58" s="112">
        <f ca="1">Producción!W65*Producción!$A65*'Datos Consumo '!$F$11</f>
        <v>30.532312312608013</v>
      </c>
      <c r="X58" s="112">
        <f ca="1">Producción!X65*Producción!$A65*'Datos Consumo '!$F$11</f>
        <v>30.338965561968987</v>
      </c>
      <c r="Y58" s="112">
        <f ca="1">Producción!Y65*Producción!$A65*'Datos Consumo '!$F$11</f>
        <v>30.146662883783407</v>
      </c>
      <c r="Z58" s="112">
        <f ca="1">Producción!Z65*Producción!$A65*'Datos Consumo '!$F$11</f>
        <v>29.955398640060025</v>
      </c>
      <c r="AA58" s="112">
        <f ca="1">Producción!AA65*Producción!$A65*'Datos Consumo '!$F$11</f>
        <v>29.765167223252764</v>
      </c>
      <c r="AB58" s="112">
        <f ca="1">Producción!AB65*Producción!$A65*'Datos Consumo '!$F$11</f>
        <v>29.575963056096256</v>
      </c>
      <c r="AC58" s="112">
        <f ca="1">Producción!AC65*Producción!$A65*'Datos Consumo '!$F$11</f>
        <v>29.387780591442393</v>
      </c>
      <c r="AD58" s="112">
        <f ca="1">Producción!AD65*Producción!$A65*'Datos Consumo '!$F$11</f>
        <v>29.200614312097656</v>
      </c>
      <c r="AE58" s="112">
        <f ca="1">Producción!AE65*Producción!$A65*'Datos Consumo '!$F$11</f>
        <v>29.014458730661389</v>
      </c>
      <c r="AF58" s="112">
        <f ca="1">Producción!AF65*Producción!$A65*'Datos Consumo '!$F$11</f>
        <v>28.829308389364872</v>
      </c>
      <c r="AG58" s="112">
        <f ca="1">Producción!AG65*Producción!$A65*'Datos Consumo '!$F$11</f>
        <v>28.645157859911365</v>
      </c>
    </row>
    <row r="59" spans="2:33">
      <c r="B59" s="24" t="str">
        <f t="shared" si="5"/>
        <v>Abril</v>
      </c>
      <c r="C59" s="112">
        <f ca="1">Producción!C66*Producción!$A66*'Datos Consumo '!$F$11</f>
        <v>36.883506447169815</v>
      </c>
      <c r="D59" s="112">
        <f ca="1">Producción!D66*Producción!$A66*'Datos Consumo '!$F$11</f>
        <v>36.65902683310982</v>
      </c>
      <c r="E59" s="112">
        <f ca="1">Producción!E66*Producción!$A66*'Datos Consumo '!$F$11</f>
        <v>36.435759408965737</v>
      </c>
      <c r="F59" s="112">
        <f ca="1">Producción!F66*Producción!$A66*'Datos Consumo '!$F$11</f>
        <v>36.213697628912044</v>
      </c>
      <c r="G59" s="112">
        <f ca="1">Producción!G66*Producción!$A66*'Datos Consumo '!$F$11</f>
        <v>35.992834982470633</v>
      </c>
      <c r="H59" s="112">
        <f ca="1">Producción!H66*Producción!$A66*'Datos Consumo '!$F$11</f>
        <v>35.773164994320005</v>
      </c>
      <c r="I59" s="112">
        <f ca="1">Producción!I66*Producción!$A66*'Datos Consumo '!$F$11</f>
        <v>35.554681224105394</v>
      </c>
      <c r="J59" s="112">
        <f ca="1">Producción!J66*Producción!$A66*'Datos Consumo '!$F$11</f>
        <v>35.337377266249952</v>
      </c>
      <c r="K59" s="112">
        <f ca="1">Producción!K66*Producción!$A66*'Datos Consumo '!$F$11</f>
        <v>35.121246749766918</v>
      </c>
      <c r="L59" s="112">
        <f ca="1">Producción!L66*Producción!$A66*'Datos Consumo '!$F$11</f>
        <v>34.906283338072896</v>
      </c>
      <c r="M59" s="112">
        <f ca="1">Producción!M66*Producción!$A66*'Datos Consumo '!$F$11</f>
        <v>34.692480728802011</v>
      </c>
      <c r="N59" s="112">
        <f ca="1">Producción!N66*Producción!$A66*'Datos Consumo '!$F$11</f>
        <v>34.479832653621195</v>
      </c>
      <c r="O59" s="112">
        <f ca="1">Producción!O66*Producción!$A66*'Datos Consumo '!$F$11</f>
        <v>35.463679855578093</v>
      </c>
      <c r="P59" s="112">
        <f ca="1">Producción!P66*Producción!$A66*'Datos Consumo '!$F$11</f>
        <v>35.24686730511268</v>
      </c>
      <c r="Q59" s="112">
        <f ca="1">Producción!Q66*Producción!$A66*'Datos Consumo '!$F$11</f>
        <v>35.03122554241979</v>
      </c>
      <c r="R59" s="112">
        <f ca="1">Producción!R66*Producción!$A66*'Datos Consumo '!$F$11</f>
        <v>34.816748245245442</v>
      </c>
      <c r="S59" s="112">
        <f ca="1">Producción!S66*Producción!$A66*'Datos Consumo '!$F$11</f>
        <v>34.603429125475827</v>
      </c>
      <c r="T59" s="112">
        <f ca="1">Producción!T66*Producción!$A66*'Datos Consumo '!$F$11</f>
        <v>34.391261928952979</v>
      </c>
      <c r="U59" s="112">
        <f ca="1">Producción!U66*Producción!$A66*'Datos Consumo '!$F$11</f>
        <v>34.180240435291346</v>
      </c>
      <c r="V59" s="112">
        <f ca="1">Producción!V66*Producción!$A66*'Datos Consumo '!$F$11</f>
        <v>33.970358457695504</v>
      </c>
      <c r="W59" s="112">
        <f ca="1">Producción!W66*Producción!$A66*'Datos Consumo '!$F$11</f>
        <v>33.761609842778668</v>
      </c>
      <c r="X59" s="112">
        <f ca="1">Producción!X66*Producción!$A66*'Datos Consumo '!$F$11</f>
        <v>33.553988470382365</v>
      </c>
      <c r="Y59" s="112">
        <f ca="1">Producción!Y66*Producción!$A66*'Datos Consumo '!$F$11</f>
        <v>33.347488253397017</v>
      </c>
      <c r="Z59" s="112">
        <f ca="1">Producción!Z66*Producción!$A66*'Datos Consumo '!$F$11</f>
        <v>33.142103137583391</v>
      </c>
      <c r="AA59" s="112">
        <f ca="1">Producción!AA66*Producción!$A66*'Datos Consumo '!$F$11</f>
        <v>32.937827101395158</v>
      </c>
      <c r="AB59" s="112">
        <f ca="1">Producción!AB66*Producción!$A66*'Datos Consumo '!$F$11</f>
        <v>32.734654155802346</v>
      </c>
      <c r="AC59" s="112">
        <f ca="1">Producción!AC66*Producción!$A66*'Datos Consumo '!$F$11</f>
        <v>32.532578344115727</v>
      </c>
      <c r="AD59" s="112">
        <f ca="1">Producción!AD66*Producción!$A66*'Datos Consumo '!$F$11</f>
        <v>32.331593741812206</v>
      </c>
      <c r="AE59" s="112">
        <f ca="1">Producción!AE66*Producción!$A66*'Datos Consumo '!$F$11</f>
        <v>32.131694456361146</v>
      </c>
      <c r="AF59" s="112">
        <f ca="1">Producción!AF66*Producción!$A66*'Datos Consumo '!$F$11</f>
        <v>31.932874627051515</v>
      </c>
      <c r="AG59" s="112">
        <f ca="1">Producción!AG66*Producción!$A66*'Datos Consumo '!$F$11</f>
        <v>31.735128424820154</v>
      </c>
    </row>
    <row r="60" spans="2:33">
      <c r="B60" s="24" t="str">
        <f t="shared" si="5"/>
        <v>Mayo</v>
      </c>
      <c r="C60" s="112">
        <f ca="1">Producción!C67*Producción!$A67*'Datos Consumo '!$F$11</f>
        <v>41.79979892773585</v>
      </c>
      <c r="D60" s="112">
        <f ca="1">Producción!D67*Producción!$A67*'Datos Consumo '!$F$11</f>
        <v>41.548244070129847</v>
      </c>
      <c r="E60" s="112">
        <f ca="1">Producción!E67*Producción!$A67*'Datos Consumo '!$F$11</f>
        <v>41.298047608754921</v>
      </c>
      <c r="F60" s="112">
        <f ca="1">Producción!F67*Producción!$A67*'Datos Consumo '!$F$11</f>
        <v>41.049202208271424</v>
      </c>
      <c r="G60" s="112">
        <f ca="1">Producción!G67*Producción!$A67*'Datos Consumo '!$F$11</f>
        <v>40.801700572950523</v>
      </c>
      <c r="H60" s="112">
        <f ca="1">Producción!H67*Producción!$A67*'Datos Consumo '!$F$11</f>
        <v>40.555535446460368</v>
      </c>
      <c r="I60" s="112">
        <f ca="1">Producción!I67*Producción!$A67*'Datos Consumo '!$F$11</f>
        <v>40.310699611653263</v>
      </c>
      <c r="J60" s="112">
        <f ca="1">Producción!J67*Producción!$A67*'Datos Consumo '!$F$11</f>
        <v>40.067185890354104</v>
      </c>
      <c r="K60" s="112">
        <f ca="1">Producción!K67*Producción!$A67*'Datos Consumo '!$F$11</f>
        <v>39.824987143149968</v>
      </c>
      <c r="L60" s="112">
        <f ca="1">Producción!L67*Producción!$A67*'Datos Consumo '!$F$11</f>
        <v>39.584096269180733</v>
      </c>
      <c r="M60" s="112">
        <f ca="1">Producción!M67*Producción!$A67*'Datos Consumo '!$F$11</f>
        <v>39.344506205930919</v>
      </c>
      <c r="N60" s="112">
        <f ca="1">Producción!N67*Producción!$A67*'Datos Consumo '!$F$11</f>
        <v>39.106209929022668</v>
      </c>
      <c r="O60" s="112">
        <f ca="1">Producción!O67*Producción!$A67*'Datos Consumo '!$F$11</f>
        <v>40.208722261069788</v>
      </c>
      <c r="P60" s="112">
        <f ca="1">Producción!P67*Producción!$A67*'Datos Consumo '!$F$11</f>
        <v>39.965759217463784</v>
      </c>
      <c r="Q60" s="112">
        <f ca="1">Producción!Q67*Producción!$A67*'Datos Consumo '!$F$11</f>
        <v>39.724108174293249</v>
      </c>
      <c r="R60" s="112">
        <f ca="1">Producción!R67*Producción!$A67*'Datos Consumo '!$F$11</f>
        <v>39.483762046755842</v>
      </c>
      <c r="S60" s="112">
        <f ca="1">Producción!S67*Producción!$A67*'Datos Consumo '!$F$11</f>
        <v>39.244713788307131</v>
      </c>
      <c r="T60" s="112">
        <f ca="1">Producción!T67*Producción!$A67*'Datos Consumo '!$F$11</f>
        <v>39.006956390454036</v>
      </c>
      <c r="U60" s="112">
        <f ca="1">Producción!U67*Producción!$A67*'Datos Consumo '!$F$11</f>
        <v>38.770482882549373</v>
      </c>
      <c r="V60" s="112">
        <f ca="1">Producción!V67*Producción!$A67*'Datos Consumo '!$F$11</f>
        <v>38.535286331587379</v>
      </c>
      <c r="W60" s="112">
        <f ca="1">Producción!W67*Producción!$A67*'Datos Consumo '!$F$11</f>
        <v>38.301359842000579</v>
      </c>
      <c r="X60" s="112">
        <f ca="1">Producción!X67*Producción!$A67*'Datos Consumo '!$F$11</f>
        <v>38.068696555457549</v>
      </c>
      <c r="Y60" s="112">
        <f ca="1">Producción!Y67*Producción!$A67*'Datos Consumo '!$F$11</f>
        <v>37.837289650661852</v>
      </c>
      <c r="Z60" s="112">
        <f ca="1">Producción!Z67*Producción!$A67*'Datos Consumo '!$F$11</f>
        <v>37.607132343152045</v>
      </c>
      <c r="AA60" s="112">
        <f ca="1">Producción!AA67*Producción!$A67*'Datos Consumo '!$F$11</f>
        <v>37.378217885102792</v>
      </c>
      <c r="AB60" s="112">
        <f ca="1">Producción!AB67*Producción!$A67*'Datos Consumo '!$F$11</f>
        <v>37.150539565127012</v>
      </c>
      <c r="AC60" s="112">
        <f ca="1">Producción!AC67*Producción!$A67*'Datos Consumo '!$F$11</f>
        <v>36.924090708079106</v>
      </c>
      <c r="AD60" s="112">
        <f ca="1">Producción!AD67*Producción!$A67*'Datos Consumo '!$F$11</f>
        <v>36.698864674859244</v>
      </c>
      <c r="AE60" s="112">
        <f ca="1">Producción!AE67*Producción!$A67*'Datos Consumo '!$F$11</f>
        <v>36.474854862218784</v>
      </c>
      <c r="AF60" s="112">
        <f ca="1">Producción!AF67*Producción!$A67*'Datos Consumo '!$F$11</f>
        <v>36.252054702566582</v>
      </c>
      <c r="AG60" s="112">
        <f ca="1">Producción!AG67*Producción!$A67*'Datos Consumo '!$F$11</f>
        <v>36.030457663776495</v>
      </c>
    </row>
    <row r="61" spans="2:33">
      <c r="B61" s="24" t="str">
        <f t="shared" si="5"/>
        <v>Junio</v>
      </c>
      <c r="C61" s="112">
        <f ca="1">Producción!C68*Producción!$A68*'Datos Consumo '!$F$11</f>
        <v>41.986398778301883</v>
      </c>
      <c r="D61" s="112">
        <f ca="1">Producción!D68*Producción!$A68*'Datos Consumo '!$F$11</f>
        <v>41.733309017351878</v>
      </c>
      <c r="E61" s="112">
        <f ca="1">Producción!E68*Producción!$A68*'Datos Consumo '!$F$11</f>
        <v>41.481585941111007</v>
      </c>
      <c r="F61" s="112">
        <f ca="1">Producción!F68*Producción!$A68*'Datos Consumo '!$F$11</f>
        <v>41.231222169481846</v>
      </c>
      <c r="G61" s="112">
        <f ca="1">Producción!G68*Producción!$A68*'Datos Consumo '!$F$11</f>
        <v>40.982210362219476</v>
      </c>
      <c r="H61" s="112">
        <f ca="1">Producción!H68*Producción!$A68*'Datos Consumo '!$F$11</f>
        <v>40.734543218716318</v>
      </c>
      <c r="I61" s="112">
        <f ca="1">Producción!I68*Producción!$A68*'Datos Consumo '!$F$11</f>
        <v>40.488213477788079</v>
      </c>
      <c r="J61" s="112">
        <f ca="1">Producción!J68*Producción!$A68*'Datos Consumo '!$F$11</f>
        <v>40.243213917460857</v>
      </c>
      <c r="K61" s="112">
        <f ca="1">Producción!K68*Producción!$A68*'Datos Consumo '!$F$11</f>
        <v>39.999537354759397</v>
      </c>
      <c r="L61" s="112">
        <f ca="1">Producción!L68*Producción!$A68*'Datos Consumo '!$F$11</f>
        <v>39.757176645496529</v>
      </c>
      <c r="M61" s="112">
        <f ca="1">Producción!M68*Producción!$A68*'Datos Consumo '!$F$11</f>
        <v>39.516124684063669</v>
      </c>
      <c r="N61" s="112">
        <f ca="1">Producción!N68*Producción!$A68*'Datos Consumo '!$F$11</f>
        <v>39.276374403222555</v>
      </c>
      <c r="O61" s="112">
        <f ca="1">Producción!O68*Producción!$A68*'Datos Consumo '!$F$11</f>
        <v>40.385613895624942</v>
      </c>
      <c r="P61" s="112">
        <f ca="1">Producción!P68*Producción!$A68*'Datos Consumo '!$F$11</f>
        <v>40.141168373041396</v>
      </c>
      <c r="Q61" s="112">
        <f ca="1">Producción!Q68*Producción!$A68*'Datos Consumo '!$F$11</f>
        <v>39.898042856279801</v>
      </c>
      <c r="R61" s="112">
        <f ca="1">Producción!R68*Producción!$A68*'Datos Consumo '!$F$11</f>
        <v>39.656230217308718</v>
      </c>
      <c r="S61" s="112">
        <f ca="1">Producción!S68*Producción!$A68*'Datos Consumo '!$F$11</f>
        <v>39.415723366588075</v>
      </c>
      <c r="T61" s="112">
        <f ca="1">Producción!T68*Producción!$A68*'Datos Consumo '!$F$11</f>
        <v>39.176515252861329</v>
      </c>
      <c r="U61" s="112">
        <f ca="1">Producción!U68*Producción!$A68*'Datos Consumo '!$F$11</f>
        <v>38.938598862948716</v>
      </c>
      <c r="V61" s="112">
        <f ca="1">Producción!V68*Producción!$A68*'Datos Consumo '!$F$11</f>
        <v>38.701967221541622</v>
      </c>
      <c r="W61" s="112">
        <f ca="1">Producción!W68*Producción!$A68*'Datos Consumo '!$F$11</f>
        <v>38.466613390998127</v>
      </c>
      <c r="X61" s="112">
        <f ca="1">Producción!X68*Producción!$A68*'Datos Consumo '!$F$11</f>
        <v>38.232530471139562</v>
      </c>
      <c r="Y61" s="112">
        <f ca="1">Producción!Y68*Producción!$A68*'Datos Consumo '!$F$11</f>
        <v>37.99971159904824</v>
      </c>
      <c r="Z61" s="112">
        <f ca="1">Producción!Z68*Producción!$A68*'Datos Consumo '!$F$11</f>
        <v>37.768149948866203</v>
      </c>
      <c r="AA61" s="112">
        <f ca="1">Producción!AA68*Producción!$A68*'Datos Consumo '!$F$11</f>
        <v>37.537838731595166</v>
      </c>
      <c r="AB61" s="112">
        <f ca="1">Producción!AB68*Producción!$A68*'Datos Consumo '!$F$11</f>
        <v>37.308771194897375</v>
      </c>
      <c r="AC61" s="112">
        <f ca="1">Producción!AC68*Producción!$A68*'Datos Consumo '!$F$11</f>
        <v>37.080940622897756</v>
      </c>
      <c r="AD61" s="112">
        <f ca="1">Producción!AD68*Producción!$A68*'Datos Consumo '!$F$11</f>
        <v>36.85434033598694</v>
      </c>
      <c r="AE61" s="112">
        <f ca="1">Producción!AE68*Producción!$A68*'Datos Consumo '!$F$11</f>
        <v>36.628963690625447</v>
      </c>
      <c r="AF61" s="112">
        <f ca="1">Producción!AF68*Producción!$A68*'Datos Consumo '!$F$11</f>
        <v>36.404804079148896</v>
      </c>
      <c r="AG61" s="112">
        <f ca="1">Producción!AG68*Producción!$A68*'Datos Consumo '!$F$11</f>
        <v>36.181854929574321</v>
      </c>
    </row>
    <row r="62" spans="2:33">
      <c r="B62" s="24" t="str">
        <f t="shared" si="5"/>
        <v>Julio</v>
      </c>
      <c r="C62" s="112">
        <f ca="1">Producción!C69*Producción!$A69*'Datos Consumo '!$F$11</f>
        <v>41.502313955094344</v>
      </c>
      <c r="D62" s="112">
        <f ca="1">Producción!D69*Producción!$A69*'Datos Consumo '!$F$11</f>
        <v>41.245511082378336</v>
      </c>
      <c r="E62" s="112">
        <f ca="1">Producción!E69*Producción!$A69*'Datos Consumo '!$F$11</f>
        <v>40.990094945175009</v>
      </c>
      <c r="F62" s="112">
        <f ca="1">Producción!F69*Producción!$A69*'Datos Consumo '!$F$11</f>
        <v>40.736058055112579</v>
      </c>
      <c r="G62" s="112">
        <f ca="1">Producción!G69*Producción!$A69*'Datos Consumo '!$F$11</f>
        <v>40.483392964256474</v>
      </c>
      <c r="H62" s="112">
        <f ca="1">Producción!H69*Producción!$A69*'Datos Consumo '!$F$11</f>
        <v>40.232092264891001</v>
      </c>
      <c r="I62" s="112">
        <f ca="1">Producción!I69*Producción!$A69*'Datos Consumo '!$F$11</f>
        <v>39.982148589302099</v>
      </c>
      <c r="J62" s="112">
        <f ca="1">Producción!J69*Producción!$A69*'Datos Consumo '!$F$11</f>
        <v>39.733554609561381</v>
      </c>
      <c r="K62" s="112">
        <f ca="1">Producción!K69*Producción!$A69*'Datos Consumo '!$F$11</f>
        <v>39.486303037311252</v>
      </c>
      <c r="L62" s="112">
        <f ca="1">Producción!L69*Producción!$A69*'Datos Consumo '!$F$11</f>
        <v>39.240386623551288</v>
      </c>
      <c r="M62" s="112">
        <f ca="1">Producción!M69*Producción!$A69*'Datos Consumo '!$F$11</f>
        <v>38.995798158425615</v>
      </c>
      <c r="N62" s="112">
        <f ca="1">Producción!N69*Producción!$A69*'Datos Consumo '!$F$11</f>
        <v>38.752530471011625</v>
      </c>
      <c r="O62" s="112">
        <f ca="1">Producción!O69*Producción!$A69*'Datos Consumo '!$F$11</f>
        <v>39.87804375574401</v>
      </c>
      <c r="P62" s="112">
        <f ca="1">Producción!P69*Producción!$A69*'Datos Consumo '!$F$11</f>
        <v>39.630011942104503</v>
      </c>
      <c r="Q62" s="112">
        <f ca="1">Producción!Q69*Producción!$A69*'Datos Consumo '!$F$11</f>
        <v>39.383319500258644</v>
      </c>
      <c r="R62" s="112">
        <f ca="1">Producción!R69*Producción!$A69*'Datos Consumo '!$F$11</f>
        <v>39.137959197598754</v>
      </c>
      <c r="S62" s="112">
        <f ca="1">Producción!S69*Producción!$A69*'Datos Consumo '!$F$11</f>
        <v>38.893923840573223</v>
      </c>
      <c r="T62" s="112">
        <f ca="1">Producción!T69*Producción!$A69*'Datos Consumo '!$F$11</f>
        <v>38.651206274475648</v>
      </c>
      <c r="U62" s="112">
        <f ca="1">Producción!U69*Producción!$A69*'Datos Consumo '!$F$11</f>
        <v>38.409799383234997</v>
      </c>
      <c r="V62" s="112">
        <f ca="1">Producción!V69*Producción!$A69*'Datos Consumo '!$F$11</f>
        <v>38.169696089207029</v>
      </c>
      <c r="W62" s="112">
        <f ca="1">Producción!W69*Producción!$A69*'Datos Consumo '!$F$11</f>
        <v>37.930889352966823</v>
      </c>
      <c r="X62" s="112">
        <f ca="1">Producción!X69*Producción!$A69*'Datos Consumo '!$F$11</f>
        <v>37.693372173102311</v>
      </c>
      <c r="Y62" s="112">
        <f ca="1">Producción!Y69*Producción!$A69*'Datos Consumo '!$F$11</f>
        <v>37.457137586009054</v>
      </c>
      <c r="Z62" s="112">
        <f ca="1">Producción!Z69*Producción!$A69*'Datos Consumo '!$F$11</f>
        <v>37.222178665686123</v>
      </c>
      <c r="AA62" s="112">
        <f ca="1">Producción!AA69*Producción!$A69*'Datos Consumo '!$F$11</f>
        <v>36.988488523532922</v>
      </c>
      <c r="AB62" s="112">
        <f ca="1">Producción!AB69*Producción!$A69*'Datos Consumo '!$F$11</f>
        <v>36.756060308147362</v>
      </c>
      <c r="AC62" s="112">
        <f ca="1">Producción!AC69*Producción!$A69*'Datos Consumo '!$F$11</f>
        <v>36.52488720512487</v>
      </c>
      <c r="AD62" s="112">
        <f ca="1">Producción!AD69*Producción!$A69*'Datos Consumo '!$F$11</f>
        <v>36.294962436858697</v>
      </c>
      <c r="AE62" s="112">
        <f ca="1">Producción!AE69*Producción!$A69*'Datos Consumo '!$F$11</f>
        <v>36.066279262341176</v>
      </c>
      <c r="AF62" s="112">
        <f ca="1">Producción!AF69*Producción!$A69*'Datos Consumo '!$F$11</f>
        <v>35.838830976966044</v>
      </c>
      <c r="AG62" s="112">
        <f ca="1">Producción!AG69*Producción!$A69*'Datos Consumo '!$F$11</f>
        <v>35.612610912331938</v>
      </c>
    </row>
    <row r="63" spans="2:33">
      <c r="B63" s="24" t="str">
        <f t="shared" si="5"/>
        <v>Agosto</v>
      </c>
      <c r="C63" s="112">
        <f ca="1">Producción!C70*Producción!$A70*'Datos Consumo '!$F$11</f>
        <v>39.238757505000002</v>
      </c>
      <c r="D63" s="112">
        <f ca="1">Producción!D70*Producción!$A70*'Datos Consumo '!$F$11</f>
        <v>38.998923214473002</v>
      </c>
      <c r="E63" s="112">
        <f ca="1">Producción!E70*Producción!$A70*'Datos Consumo '!$F$11</f>
        <v>38.760384029114846</v>
      </c>
      <c r="F63" s="112">
        <f ca="1">Producción!F70*Producción!$A70*'Datos Consumo '!$F$11</f>
        <v>38.523132955357624</v>
      </c>
      <c r="G63" s="112">
        <f ca="1">Producción!G70*Producción!$A70*'Datos Consumo '!$F$11</f>
        <v>38.287163037398699</v>
      </c>
      <c r="H63" s="112">
        <f ca="1">Producción!H70*Producción!$A70*'Datos Consumo '!$F$11</f>
        <v>38.052467356996743</v>
      </c>
      <c r="I63" s="112">
        <f ca="1">Producción!I70*Producción!$A70*'Datos Consumo '!$F$11</f>
        <v>37.819039033268972</v>
      </c>
      <c r="J63" s="112">
        <f ca="1">Producción!J70*Producción!$A70*'Datos Consumo '!$F$11</f>
        <v>37.586871222489314</v>
      </c>
      <c r="K63" s="112">
        <f ca="1">Producción!K70*Producción!$A70*'Datos Consumo '!$F$11</f>
        <v>37.355957117887868</v>
      </c>
      <c r="L63" s="112">
        <f ca="1">Producción!L70*Producción!$A70*'Datos Consumo '!$F$11</f>
        <v>37.126289949451277</v>
      </c>
      <c r="M63" s="112">
        <f ca="1">Producción!M70*Producción!$A70*'Datos Consumo '!$F$11</f>
        <v>36.897862983724231</v>
      </c>
      <c r="N63" s="112">
        <f ca="1">Producción!N70*Producción!$A70*'Datos Consumo '!$F$11</f>
        <v>36.670669523612126</v>
      </c>
      <c r="O63" s="112">
        <f ca="1">Producción!O70*Producción!$A70*'Datos Consumo '!$F$11</f>
        <v>37.72181306132881</v>
      </c>
      <c r="P63" s="112">
        <f ca="1">Producción!P70*Producción!$A70*'Datos Consumo '!$F$11</f>
        <v>37.490170270797634</v>
      </c>
      <c r="Q63" s="112">
        <f ca="1">Producción!Q70*Producción!$A70*'Datos Consumo '!$F$11</f>
        <v>37.259778351335321</v>
      </c>
      <c r="R63" s="112">
        <f ca="1">Producción!R70*Producción!$A70*'Datos Consumo '!$F$11</f>
        <v>37.030630548238115</v>
      </c>
      <c r="S63" s="112">
        <f ca="1">Producción!S70*Producción!$A70*'Datos Consumo '!$F$11</f>
        <v>36.802720143277632</v>
      </c>
      <c r="T63" s="112">
        <f ca="1">Producción!T70*Producción!$A70*'Datos Consumo '!$F$11</f>
        <v>36.576040454503925</v>
      </c>
      <c r="U63" s="112">
        <f ca="1">Producción!U70*Producción!$A70*'Datos Consumo '!$F$11</f>
        <v>36.350584836049613</v>
      </c>
      <c r="V63" s="112">
        <f ca="1">Producción!V70*Producción!$A70*'Datos Consumo '!$F$11</f>
        <v>36.126346677934947</v>
      </c>
      <c r="W63" s="112">
        <f ca="1">Producción!W70*Producción!$A70*'Datos Consumo '!$F$11</f>
        <v>35.9033194058741</v>
      </c>
      <c r="X63" s="112">
        <f ca="1">Producción!X70*Producción!$A70*'Datos Consumo '!$F$11</f>
        <v>35.681496481082377</v>
      </c>
      <c r="Y63" s="112">
        <f ca="1">Producción!Y70*Producción!$A70*'Datos Consumo '!$F$11</f>
        <v>35.460871400084521</v>
      </c>
      <c r="Z63" s="112">
        <f ca="1">Producción!Z70*Producción!$A70*'Datos Consumo '!$F$11</f>
        <v>35.241437694524073</v>
      </c>
      <c r="AA63" s="112">
        <f ca="1">Producción!AA70*Producción!$A70*'Datos Consumo '!$F$11</f>
        <v>35.023188930973639</v>
      </c>
      <c r="AB63" s="112">
        <f ca="1">Producción!AB70*Producción!$A70*'Datos Consumo '!$F$11</f>
        <v>34.806118710746375</v>
      </c>
      <c r="AC63" s="112">
        <f ca="1">Producción!AC70*Producción!$A70*'Datos Consumo '!$F$11</f>
        <v>34.590220669708351</v>
      </c>
      <c r="AD63" s="112">
        <f ca="1">Producción!AD70*Producción!$A70*'Datos Consumo '!$F$11</f>
        <v>34.375488478091931</v>
      </c>
      <c r="AE63" s="112">
        <f ca="1">Producción!AE70*Producción!$A70*'Datos Consumo '!$F$11</f>
        <v>34.161915840310229</v>
      </c>
      <c r="AF63" s="112">
        <f ca="1">Producción!AF70*Producción!$A70*'Datos Consumo '!$F$11</f>
        <v>33.949496494772561</v>
      </c>
      <c r="AG63" s="112">
        <f ca="1">Producción!AG70*Producción!$A70*'Datos Consumo '!$F$11</f>
        <v>33.738224213700782</v>
      </c>
    </row>
    <row r="64" spans="2:33">
      <c r="B64" s="24" t="str">
        <f t="shared" si="5"/>
        <v>Septiembre</v>
      </c>
      <c r="C64" s="112">
        <f ca="1">Producción!C71*Producción!$A71*'Datos Consumo '!$F$11</f>
        <v>34.180211428301888</v>
      </c>
      <c r="D64" s="112">
        <f ca="1">Producción!D71*Producción!$A71*'Datos Consumo '!$F$11</f>
        <v>33.969275079041893</v>
      </c>
      <c r="E64" s="112">
        <f ca="1">Producción!E71*Producción!$A71*'Datos Consumo '!$F$11</f>
        <v>33.759477786067897</v>
      </c>
      <c r="F64" s="112">
        <f ca="1">Producción!F71*Producción!$A71*'Datos Consumo '!$F$11</f>
        <v>33.55081339847596</v>
      </c>
      <c r="G64" s="112">
        <f ca="1">Producción!G71*Producción!$A71*'Datos Consumo '!$F$11</f>
        <v>33.343275798577018</v>
      </c>
      <c r="H64" s="112">
        <f ca="1">Producción!H71*Producción!$A71*'Datos Consumo '!$F$11</f>
        <v>33.136858901717531</v>
      </c>
      <c r="I64" s="112">
        <f ca="1">Producción!I71*Producción!$A71*'Datos Consumo '!$F$11</f>
        <v>32.931556656101087</v>
      </c>
      <c r="J64" s="112">
        <f ca="1">Producción!J71*Producción!$A71*'Datos Consumo '!$F$11</f>
        <v>32.727363042610982</v>
      </c>
      <c r="K64" s="112">
        <f ca="1">Producción!K71*Producción!$A71*'Datos Consumo '!$F$11</f>
        <v>32.5242720746337</v>
      </c>
      <c r="L64" s="112">
        <f ca="1">Producción!L71*Producción!$A71*'Datos Consumo '!$F$11</f>
        <v>32.322277797883515</v>
      </c>
      <c r="M64" s="112">
        <f ca="1">Producción!M71*Producción!$A71*'Datos Consumo '!$F$11</f>
        <v>32.12137429022777</v>
      </c>
      <c r="N64" s="112">
        <f ca="1">Producción!N71*Producción!$A71*'Datos Consumo '!$F$11</f>
        <v>31.921555661513366</v>
      </c>
      <c r="O64" s="112">
        <f ca="1">Producción!O71*Producción!$A71*'Datos Consumo '!$F$11</f>
        <v>32.84604556621796</v>
      </c>
      <c r="P64" s="112">
        <f ca="1">Producción!P71*Producción!$A71*'Datos Consumo '!$F$11</f>
        <v>32.642313712613216</v>
      </c>
      <c r="Q64" s="112">
        <f ca="1">Producción!Q71*Producción!$A71*'Datos Consumo '!$F$11</f>
        <v>32.439682011017929</v>
      </c>
      <c r="R64" s="112">
        <f ca="1">Producción!R71*Producción!$A71*'Datos Consumo '!$F$11</f>
        <v>32.238144520611264</v>
      </c>
      <c r="S64" s="112">
        <f ca="1">Producción!S71*Producción!$A71*'Datos Consumo '!$F$11</f>
        <v>32.037695332652788</v>
      </c>
      <c r="T64" s="112">
        <f ca="1">Producción!T71*Producción!$A71*'Datos Consumo '!$F$11</f>
        <v>31.838328570309297</v>
      </c>
      <c r="U64" s="112">
        <f ca="1">Producción!U71*Producción!$A71*'Datos Consumo '!$F$11</f>
        <v>31.640038388482459</v>
      </c>
      <c r="V64" s="112">
        <f ca="1">Producción!V71*Producción!$A71*'Datos Consumo '!$F$11</f>
        <v>31.442818973637486</v>
      </c>
      <c r="W64" s="112">
        <f ca="1">Producción!W71*Producción!$A71*'Datos Consumo '!$F$11</f>
        <v>31.246664543632676</v>
      </c>
      <c r="X64" s="112">
        <f ca="1">Producción!X71*Producción!$A71*'Datos Consumo '!$F$11</f>
        <v>31.051569347549886</v>
      </c>
      <c r="Y64" s="112">
        <f ca="1">Producción!Y71*Producción!$A71*'Datos Consumo '!$F$11</f>
        <v>30.857527665525943</v>
      </c>
      <c r="Z64" s="112">
        <f ca="1">Producción!Z71*Producción!$A71*'Datos Consumo '!$F$11</f>
        <v>30.664533808584931</v>
      </c>
      <c r="AA64" s="112">
        <f ca="1">Producción!AA71*Producción!$A71*'Datos Consumo '!$F$11</f>
        <v>30.472582118471408</v>
      </c>
      <c r="AB64" s="112">
        <f ca="1">Producción!AB71*Producción!$A71*'Datos Consumo '!$F$11</f>
        <v>30.281666967484497</v>
      </c>
      <c r="AC64" s="112">
        <f ca="1">Producción!AC71*Producción!$A71*'Datos Consumo '!$F$11</f>
        <v>30.091782758312903</v>
      </c>
      <c r="AD64" s="112">
        <f ca="1">Producción!AD71*Producción!$A71*'Datos Consumo '!$F$11</f>
        <v>29.902923923870844</v>
      </c>
      <c r="AE64" s="112">
        <f ca="1">Producción!AE71*Producción!$A71*'Datos Consumo '!$F$11</f>
        <v>29.715084927134768</v>
      </c>
      <c r="AF64" s="112">
        <f ca="1">Producción!AF71*Producción!$A71*'Datos Consumo '!$F$11</f>
        <v>29.528260260981074</v>
      </c>
      <c r="AG64" s="112">
        <f ca="1">Producción!AG71*Producción!$A71*'Datos Consumo '!$F$11</f>
        <v>29.342444448024608</v>
      </c>
    </row>
    <row r="65" spans="2:33">
      <c r="B65" s="24" t="str">
        <f t="shared" si="5"/>
        <v xml:space="preserve">Octubre </v>
      </c>
      <c r="C65" s="112">
        <f ca="1">Producción!C72*Producción!$A72*'Datos Consumo '!$F$11</f>
        <v>31.043239334433963</v>
      </c>
      <c r="D65" s="112">
        <f ca="1">Producción!D72*Producción!$A72*'Datos Consumo '!$F$11</f>
        <v>30.848188106178966</v>
      </c>
      <c r="E65" s="112">
        <f ca="1">Producción!E72*Producción!$A72*'Datos Consumo '!$F$11</f>
        <v>30.654190154556545</v>
      </c>
      <c r="F65" s="112">
        <f ca="1">Producción!F72*Producción!$A72*'Datos Consumo '!$F$11</f>
        <v>30.461239791872874</v>
      </c>
      <c r="G65" s="112">
        <f ca="1">Producción!G72*Producción!$A72*'Datos Consumo '!$F$11</f>
        <v>30.26933136114771</v>
      </c>
      <c r="H65" s="112">
        <f ca="1">Producción!H72*Producción!$A72*'Datos Consumo '!$F$11</f>
        <v>30.078459235948454</v>
      </c>
      <c r="I65" s="112">
        <f ca="1">Producción!I72*Producción!$A72*'Datos Consumo '!$F$11</f>
        <v>29.888617820225285</v>
      </c>
      <c r="J65" s="112">
        <f ca="1">Producción!J72*Producción!$A72*'Datos Consumo '!$F$11</f>
        <v>29.699801548147015</v>
      </c>
      <c r="K65" s="112">
        <f ca="1">Producción!K72*Producción!$A72*'Datos Consumo '!$F$11</f>
        <v>29.512004883937962</v>
      </c>
      <c r="L65" s="112">
        <f ca="1">Producción!L72*Producción!$A72*'Datos Consumo '!$F$11</f>
        <v>29.325222321715639</v>
      </c>
      <c r="M65" s="112">
        <f ca="1">Producción!M72*Producción!$A72*'Datos Consumo '!$F$11</f>
        <v>29.13944838532931</v>
      </c>
      <c r="N65" s="112">
        <f ca="1">Producción!N72*Producción!$A72*'Datos Consumo '!$F$11</f>
        <v>28.954677628199477</v>
      </c>
      <c r="O65" s="112">
        <f ca="1">Producción!O72*Producción!$A72*'Datos Consumo '!$F$11</f>
        <v>29.809546369668553</v>
      </c>
      <c r="P65" s="112">
        <f ca="1">Producción!P72*Producción!$A72*'Datos Consumo '!$F$11</f>
        <v>29.621157083423288</v>
      </c>
      <c r="Q65" s="112">
        <f ca="1">Producción!Q72*Producción!$A72*'Datos Consumo '!$F$11</f>
        <v>29.433785099323746</v>
      </c>
      <c r="R65" s="112">
        <f ca="1">Producción!R72*Producción!$A72*'Datos Consumo '!$F$11</f>
        <v>29.247424923938343</v>
      </c>
      <c r="S65" s="112">
        <f ca="1">Producción!S72*Producción!$A72*'Datos Consumo '!$F$11</f>
        <v>29.062071093500016</v>
      </c>
      <c r="T65" s="112">
        <f ca="1">Producción!T72*Producción!$A72*'Datos Consumo '!$F$11</f>
        <v>28.877718173746064</v>
      </c>
      <c r="U65" s="112">
        <f ca="1">Producción!U72*Producción!$A72*'Datos Consumo '!$F$11</f>
        <v>28.69436075975878</v>
      </c>
      <c r="V65" s="112">
        <f ca="1">Producción!V72*Producción!$A72*'Datos Consumo '!$F$11</f>
        <v>28.511993475807021</v>
      </c>
      <c r="W65" s="112">
        <f ca="1">Producción!W72*Producción!$A72*'Datos Consumo '!$F$11</f>
        <v>28.330610975188609</v>
      </c>
      <c r="X65" s="112">
        <f ca="1">Producción!X72*Producción!$A72*'Datos Consumo '!$F$11</f>
        <v>28.150207940073535</v>
      </c>
      <c r="Y65" s="112">
        <f ca="1">Producción!Y72*Producción!$A72*'Datos Consumo '!$F$11</f>
        <v>27.970779081348077</v>
      </c>
      <c r="Z65" s="112">
        <f ca="1">Producción!Z72*Producción!$A72*'Datos Consumo '!$F$11</f>
        <v>27.792319138459739</v>
      </c>
      <c r="AA65" s="112">
        <f ca="1">Producción!AA72*Producción!$A72*'Datos Consumo '!$F$11</f>
        <v>27.614822879263002</v>
      </c>
      <c r="AB65" s="112">
        <f ca="1">Producción!AB72*Producción!$A72*'Datos Consumo '!$F$11</f>
        <v>27.438285099865922</v>
      </c>
      <c r="AC65" s="112">
        <f ca="1">Producción!AC72*Producción!$A72*'Datos Consumo '!$F$11</f>
        <v>27.262700624477585</v>
      </c>
      <c r="AD65" s="112">
        <f ca="1">Producción!AD72*Producción!$A72*'Datos Consumo '!$F$11</f>
        <v>27.088064305256349</v>
      </c>
      <c r="AE65" s="112">
        <f ca="1">Producción!AE72*Producción!$A72*'Datos Consumo '!$F$11</f>
        <v>26.914371022158917</v>
      </c>
      <c r="AF65" s="112">
        <f ca="1">Producción!AF72*Producción!$A72*'Datos Consumo '!$F$11</f>
        <v>26.741615682790201</v>
      </c>
      <c r="AG65" s="112">
        <f ca="1">Producción!AG72*Producción!$A72*'Datos Consumo '!$F$11</f>
        <v>26.569793222254074</v>
      </c>
    </row>
    <row r="66" spans="2:33">
      <c r="B66" s="24" t="str">
        <f t="shared" si="5"/>
        <v>Noviembre</v>
      </c>
      <c r="C66" s="112">
        <f ca="1">Producción!C73*Producción!$A73*'Datos Consumo '!$F$11</f>
        <v>26.499424678301882</v>
      </c>
      <c r="D66" s="112">
        <f ca="1">Producción!D73*Producción!$A73*'Datos Consumo '!$F$11</f>
        <v>26.329964577491882</v>
      </c>
      <c r="E66" s="112">
        <f ca="1">Producción!E73*Producción!$A73*'Datos Consumo '!$F$11</f>
        <v>26.161419561226257</v>
      </c>
      <c r="F66" s="112">
        <f ca="1">Producción!F73*Producción!$A73*'Datos Consumo '!$F$11</f>
        <v>25.993784688048464</v>
      </c>
      <c r="G66" s="112">
        <f ca="1">Producción!G73*Producción!$A73*'Datos Consumo '!$F$11</f>
        <v>25.827055043185837</v>
      </c>
      <c r="H66" s="112">
        <f ca="1">Producción!H73*Producción!$A73*'Datos Consumo '!$F$11</f>
        <v>25.661225738405463</v>
      </c>
      <c r="I66" s="112">
        <f ca="1">Producción!I73*Producción!$A73*'Datos Consumo '!$F$11</f>
        <v>25.496291911870902</v>
      </c>
      <c r="J66" s="112">
        <f ca="1">Producción!J73*Producción!$A73*'Datos Consumo '!$F$11</f>
        <v>25.332248727999634</v>
      </c>
      <c r="K66" s="112">
        <f ca="1">Producción!K73*Producción!$A73*'Datos Consumo '!$F$11</f>
        <v>25.169091377321266</v>
      </c>
      <c r="L66" s="112">
        <f ca="1">Producción!L73*Producción!$A73*'Datos Consumo '!$F$11</f>
        <v>25.006815076336558</v>
      </c>
      <c r="M66" s="112">
        <f ca="1">Producción!M73*Producción!$A73*'Datos Consumo '!$F$11</f>
        <v>24.845415067377168</v>
      </c>
      <c r="N66" s="112">
        <f ca="1">Producción!N73*Producción!$A73*'Datos Consumo '!$F$11</f>
        <v>24.684886618466159</v>
      </c>
      <c r="O66" s="112">
        <f ca="1">Producción!O73*Producción!$A73*'Datos Consumo '!$F$11</f>
        <v>25.42759480033558</v>
      </c>
      <c r="P66" s="112">
        <f ca="1">Producción!P73*Producción!$A73*'Datos Consumo '!$F$11</f>
        <v>25.263922580866598</v>
      </c>
      <c r="Q66" s="112">
        <f ca="1">Producción!Q73*Producción!$A73*'Datos Consumo '!$F$11</f>
        <v>25.101134191382751</v>
      </c>
      <c r="R66" s="112">
        <f ca="1">Producción!R73*Producción!$A73*'Datos Consumo '!$F$11</f>
        <v>24.93922485920211</v>
      </c>
      <c r="S66" s="112">
        <f ca="1">Producción!S73*Producción!$A73*'Datos Consumo '!$F$11</f>
        <v>24.778189837415248</v>
      </c>
      <c r="T66" s="112">
        <f ca="1">Producción!T73*Producción!$A73*'Datos Consumo '!$F$11</f>
        <v>24.618024404746038</v>
      </c>
      <c r="U66" s="112">
        <f ca="1">Producción!U73*Producción!$A73*'Datos Consumo '!$F$11</f>
        <v>24.458723865413237</v>
      </c>
      <c r="V66" s="112">
        <f ca="1">Producción!V73*Producción!$A73*'Datos Consumo '!$F$11</f>
        <v>24.300283548992841</v>
      </c>
      <c r="W66" s="112">
        <f ca="1">Producción!W73*Producción!$A73*'Datos Consumo '!$F$11</f>
        <v>24.142698810281111</v>
      </c>
      <c r="X66" s="112">
        <f ca="1">Producción!X73*Producción!$A73*'Datos Consumo '!$F$11</f>
        <v>23.985965029158425</v>
      </c>
      <c r="Y66" s="112">
        <f ca="1">Producción!Y73*Producción!$A73*'Datos Consumo '!$F$11</f>
        <v>23.830077610453795</v>
      </c>
      <c r="Z66" s="112">
        <f ca="1">Producción!Z73*Producción!$A73*'Datos Consumo '!$F$11</f>
        <v>23.675031983810172</v>
      </c>
      <c r="AA66" s="112">
        <f ca="1">Producción!AA73*Producción!$A73*'Datos Consumo '!$F$11</f>
        <v>23.520823603550429</v>
      </c>
      <c r="AB66" s="112">
        <f ca="1">Producción!AB73*Producción!$A73*'Datos Consumo '!$F$11</f>
        <v>23.36744794854409</v>
      </c>
      <c r="AC66" s="112">
        <f ca="1">Producción!AC73*Producción!$A73*'Datos Consumo '!$F$11</f>
        <v>23.214900522074778</v>
      </c>
      <c r="AD66" s="112">
        <f ca="1">Producción!AD73*Producción!$A73*'Datos Consumo '!$F$11</f>
        <v>23.063176851708405</v>
      </c>
      <c r="AE66" s="112">
        <f ca="1">Producción!AE73*Producción!$A73*'Datos Consumo '!$F$11</f>
        <v>22.912272489162007</v>
      </c>
      <c r="AF66" s="112">
        <f ca="1">Producción!AF73*Producción!$A73*'Datos Consumo '!$F$11</f>
        <v>22.762183010173366</v>
      </c>
      <c r="AG66" s="112">
        <f ca="1">Producción!AG73*Producción!$A73*'Datos Consumo '!$F$11</f>
        <v>22.612904014371257</v>
      </c>
    </row>
    <row r="67" spans="2:33">
      <c r="B67" s="24" t="str">
        <f t="shared" si="5"/>
        <v>Diciembre</v>
      </c>
      <c r="C67" s="112">
        <f ca="1">Producción!C74*Producción!$A74*'Datos Consumo '!$F$11</f>
        <v>23.616540039622645</v>
      </c>
      <c r="D67" s="112">
        <f ca="1">Producción!D74*Producción!$A74*'Datos Consumo '!$F$11</f>
        <v>23.452102232842645</v>
      </c>
      <c r="E67" s="112">
        <f ca="1">Producción!E74*Producción!$A74*'Datos Consumo '!$F$11</f>
        <v>23.288552390219255</v>
      </c>
      <c r="F67" s="112">
        <f ca="1">Producción!F74*Producción!$A74*'Datos Consumo '!$F$11</f>
        <v>23.125885716746041</v>
      </c>
      <c r="G67" s="112">
        <f ca="1">Producción!G74*Producción!$A74*'Datos Consumo '!$F$11</f>
        <v>22.964097443309569</v>
      </c>
      <c r="H67" s="112">
        <f ca="1">Producción!H74*Producción!$A74*'Datos Consumo '!$F$11</f>
        <v>22.803182826549666</v>
      </c>
      <c r="I67" s="112">
        <f ca="1">Producción!I74*Producción!$A74*'Datos Consumo '!$F$11</f>
        <v>22.643137148720257</v>
      </c>
      <c r="J67" s="112">
        <f ca="1">Producción!J74*Producción!$A74*'Datos Consumo '!$F$11</f>
        <v>22.483955717551133</v>
      </c>
      <c r="K67" s="112">
        <f ca="1">Producción!K74*Producción!$A74*'Datos Consumo '!$F$11</f>
        <v>22.325633866110316</v>
      </c>
      <c r="L67" s="112">
        <f ca="1">Producción!L74*Producción!$A74*'Datos Consumo '!$F$11</f>
        <v>22.168166952667281</v>
      </c>
      <c r="M67" s="112">
        <f ca="1">Producción!M74*Producción!$A74*'Datos Consumo '!$F$11</f>
        <v>22.011550360556839</v>
      </c>
      <c r="N67" s="112">
        <f ca="1">Producción!N74*Producción!$A74*'Datos Consumo '!$F$11</f>
        <v>21.855779498043798</v>
      </c>
      <c r="O67" s="112">
        <f ca="1">Producción!O74*Producción!$A74*'Datos Consumo '!$F$11</f>
        <v>22.576476015515482</v>
      </c>
      <c r="P67" s="112">
        <f ca="1">Producción!P74*Producción!$A74*'Datos Consumo '!$F$11</f>
        <v>22.417654554465667</v>
      </c>
      <c r="Q67" s="112">
        <f ca="1">Producción!Q74*Producción!$A74*'Datos Consumo '!$F$11</f>
        <v>22.259690729305504</v>
      </c>
      <c r="R67" s="112">
        <f ca="1">Producción!R74*Producción!$A74*'Datos Consumo '!$F$11</f>
        <v>22.102579908801221</v>
      </c>
      <c r="S67" s="112">
        <f ca="1">Producción!S74*Producción!$A74*'Datos Consumo '!$F$11</f>
        <v>21.946317486727658</v>
      </c>
      <c r="T67" s="112">
        <f ca="1">Producción!T74*Producción!$A74*'Datos Consumo '!$F$11</f>
        <v>21.790898881733291</v>
      </c>
      <c r="U67" s="112">
        <f ca="1">Producción!U74*Producción!$A74*'Datos Consumo '!$F$11</f>
        <v>21.636319537205893</v>
      </c>
      <c r="V67" s="112">
        <f ca="1">Producción!V74*Producción!$A74*'Datos Consumo '!$F$11</f>
        <v>21.482574921138948</v>
      </c>
      <c r="W67" s="112">
        <f ca="1">Producción!W74*Producción!$A74*'Datos Consumo '!$F$11</f>
        <v>21.329660525998761</v>
      </c>
      <c r="X67" s="112">
        <f ca="1">Producción!X74*Producción!$A74*'Datos Consumo '!$F$11</f>
        <v>21.177571868592327</v>
      </c>
      <c r="Y67" s="112">
        <f ca="1">Producción!Y74*Producción!$A74*'Datos Consumo '!$F$11</f>
        <v>21.026304489935882</v>
      </c>
      <c r="Z67" s="112">
        <f ca="1">Producción!Z74*Producción!$A74*'Datos Consumo '!$F$11</f>
        <v>20.875853955124192</v>
      </c>
      <c r="AA67" s="112">
        <f ca="1">Producción!AA74*Producción!$A74*'Datos Consumo '!$F$11</f>
        <v>20.72621585320049</v>
      </c>
      <c r="AB67" s="112">
        <f ca="1">Producción!AB74*Producción!$A74*'Datos Consumo '!$F$11</f>
        <v>20.577385797027162</v>
      </c>
      <c r="AC67" s="112">
        <f ca="1">Producción!AC74*Producción!$A74*'Datos Consumo '!$F$11</f>
        <v>20.429359423157177</v>
      </c>
      <c r="AD67" s="112">
        <f ca="1">Producción!AD74*Producción!$A74*'Datos Consumo '!$F$11</f>
        <v>20.282132391706096</v>
      </c>
      <c r="AE67" s="112">
        <f ca="1">Producción!AE74*Producción!$A74*'Datos Consumo '!$F$11</f>
        <v>20.135700386224844</v>
      </c>
      <c r="AF67" s="112">
        <f ca="1">Producción!AF74*Producción!$A74*'Datos Consumo '!$F$11</f>
        <v>19.990059113573196</v>
      </c>
      <c r="AG67" s="112">
        <f ca="1">Producción!AG74*Producción!$A74*'Datos Consumo '!$F$11</f>
        <v>19.84520430379386</v>
      </c>
    </row>
    <row r="70" spans="2:33">
      <c r="B70" s="288" t="s">
        <v>440</v>
      </c>
      <c r="C70" s="288"/>
      <c r="D70" s="288"/>
      <c r="E70" s="288"/>
      <c r="F70" s="288"/>
    </row>
    <row r="72" spans="2:33">
      <c r="C72" s="24">
        <f t="shared" ref="C72:AG72" si="6">C39</f>
        <v>2021</v>
      </c>
      <c r="D72" s="24">
        <f t="shared" si="6"/>
        <v>2022</v>
      </c>
      <c r="E72" s="24">
        <f t="shared" si="6"/>
        <v>2023</v>
      </c>
      <c r="F72" s="24">
        <f t="shared" si="6"/>
        <v>2024</v>
      </c>
      <c r="G72" s="24">
        <f t="shared" si="6"/>
        <v>2025</v>
      </c>
      <c r="H72" s="24">
        <f t="shared" si="6"/>
        <v>2026</v>
      </c>
      <c r="I72" s="24">
        <f t="shared" si="6"/>
        <v>2027</v>
      </c>
      <c r="J72" s="24">
        <f t="shared" si="6"/>
        <v>2028</v>
      </c>
      <c r="K72" s="24">
        <f t="shared" si="6"/>
        <v>2029</v>
      </c>
      <c r="L72" s="24">
        <f t="shared" si="6"/>
        <v>2030</v>
      </c>
      <c r="M72" s="24">
        <f t="shared" si="6"/>
        <v>2031</v>
      </c>
      <c r="N72" s="24">
        <f t="shared" si="6"/>
        <v>2032</v>
      </c>
      <c r="O72" s="24">
        <f t="shared" si="6"/>
        <v>2033</v>
      </c>
      <c r="P72" s="24">
        <f t="shared" si="6"/>
        <v>2034</v>
      </c>
      <c r="Q72" s="24">
        <f t="shared" si="6"/>
        <v>2035</v>
      </c>
      <c r="R72" s="24">
        <f t="shared" si="6"/>
        <v>2036</v>
      </c>
      <c r="S72" s="24">
        <f t="shared" si="6"/>
        <v>2037</v>
      </c>
      <c r="T72" s="24">
        <f t="shared" si="6"/>
        <v>2038</v>
      </c>
      <c r="U72" s="24">
        <f t="shared" si="6"/>
        <v>2039</v>
      </c>
      <c r="V72" s="24">
        <f t="shared" si="6"/>
        <v>2040</v>
      </c>
      <c r="W72" s="24">
        <f t="shared" si="6"/>
        <v>2041</v>
      </c>
      <c r="X72" s="24">
        <f t="shared" si="6"/>
        <v>2042</v>
      </c>
      <c r="Y72" s="24">
        <f t="shared" si="6"/>
        <v>2043</v>
      </c>
      <c r="Z72" s="24">
        <f t="shared" si="6"/>
        <v>2044</v>
      </c>
      <c r="AA72" s="24">
        <f t="shared" si="6"/>
        <v>2045</v>
      </c>
      <c r="AB72" s="24">
        <f t="shared" si="6"/>
        <v>2046</v>
      </c>
      <c r="AC72" s="24">
        <f t="shared" si="6"/>
        <v>2047</v>
      </c>
      <c r="AD72" s="24">
        <f t="shared" si="6"/>
        <v>2048</v>
      </c>
      <c r="AE72" s="24">
        <f t="shared" si="6"/>
        <v>2049</v>
      </c>
      <c r="AF72" s="24">
        <f t="shared" si="6"/>
        <v>2050</v>
      </c>
      <c r="AG72" s="24">
        <f t="shared" si="6"/>
        <v>2051</v>
      </c>
    </row>
    <row r="73" spans="2:33">
      <c r="B73" s="24" t="str">
        <f t="shared" ref="B73:B84" si="7">B40</f>
        <v>Enero</v>
      </c>
      <c r="C73">
        <f>IF('Datos Consumo '!$C$12="Si",'Datos Consumo '!$C20,IF('Datos Consumo '!$C$11="No",'Datos Consumo '!$C$14,'Datos Consumo '!$C$16*Auxiliares!$N$4+Auxiliares!$N$5*'Datos Consumo '!$C$18))*'Datos Consumo '!$C42*Auxiliares!$J$15*Auxiliares!$J$16</f>
        <v>95.317999828964815</v>
      </c>
      <c r="D73">
        <f>IF('Datos Consumo '!$C$12="Si",'Datos Consumo '!$C20,IF('Datos Consumo '!$C$11="No",'Datos Consumo '!$C$14,'Datos Consumo '!$C$16*Auxiliares!$N$4+Auxiliares!$N$5*'Datos Consumo '!$C$18))*'Datos Consumo '!$C42*Auxiliares!$J$15*Auxiliares!$J$16</f>
        <v>95.317999828964815</v>
      </c>
      <c r="E73">
        <f>IF('Datos Consumo '!$C$12="Si",'Datos Consumo '!$C20,IF('Datos Consumo '!$C$11="No",'Datos Consumo '!$C$14,'Datos Consumo '!$C$16*Auxiliares!$N$4+Auxiliares!$N$5*'Datos Consumo '!$C$18))*'Datos Consumo '!$C42*Auxiliares!$J$15*Auxiliares!$J$16</f>
        <v>95.317999828964815</v>
      </c>
      <c r="F73">
        <f>IF('Datos Consumo '!$C$12="Si",'Datos Consumo '!$C20,IF('Datos Consumo '!$C$11="No",'Datos Consumo '!$C$14,'Datos Consumo '!$C$16*Auxiliares!$N$4+Auxiliares!$N$5*'Datos Consumo '!$C$18))*'Datos Consumo '!$C42*Auxiliares!$J$15*Auxiliares!$J$16</f>
        <v>95.317999828964815</v>
      </c>
      <c r="G73">
        <f>IF('Datos Consumo '!$C$12="Si",'Datos Consumo '!$C20,IF('Datos Consumo '!$C$11="No",'Datos Consumo '!$C$14,'Datos Consumo '!$C$16*Auxiliares!$N$4+Auxiliares!$N$5*'Datos Consumo '!$C$18))*'Datos Consumo '!$C42*Auxiliares!$J$15*Auxiliares!$J$16</f>
        <v>95.317999828964815</v>
      </c>
      <c r="H73">
        <f>IF('Datos Consumo '!$C$12="Si",'Datos Consumo '!$C20,IF('Datos Consumo '!$C$11="No",'Datos Consumo '!$C$14,'Datos Consumo '!$C$16*Auxiliares!$N$4+Auxiliares!$N$5*'Datos Consumo '!$C$18))*'Datos Consumo '!$C42*Auxiliares!$J$15*Auxiliares!$J$16</f>
        <v>95.317999828964815</v>
      </c>
      <c r="I73">
        <f>IF('Datos Consumo '!$C$12="Si",'Datos Consumo '!$C20,IF('Datos Consumo '!$C$11="No",'Datos Consumo '!$C$14,'Datos Consumo '!$C$16*Auxiliares!$N$4+Auxiliares!$N$5*'Datos Consumo '!$C$18))*'Datos Consumo '!$C42*Auxiliares!$J$15*Auxiliares!$J$16</f>
        <v>95.317999828964815</v>
      </c>
      <c r="J73">
        <f>IF('Datos Consumo '!$C$12="Si",'Datos Consumo '!$C20,IF('Datos Consumo '!$C$11="No",'Datos Consumo '!$C$14,'Datos Consumo '!$C$16*Auxiliares!$N$4+Auxiliares!$N$5*'Datos Consumo '!$C$18))*'Datos Consumo '!$C42*Auxiliares!$J$15*Auxiliares!$J$16</f>
        <v>95.317999828964815</v>
      </c>
      <c r="K73">
        <f>IF('Datos Consumo '!$C$12="Si",'Datos Consumo '!$C20,IF('Datos Consumo '!$C$11="No",'Datos Consumo '!$C$14,'Datos Consumo '!$C$16*Auxiliares!$N$4+Auxiliares!$N$5*'Datos Consumo '!$C$18))*'Datos Consumo '!$C42*Auxiliares!$J$15*Auxiliares!$J$16</f>
        <v>95.317999828964815</v>
      </c>
      <c r="L73">
        <f>IF('Datos Consumo '!$C$12="Si",'Datos Consumo '!$C20,IF('Datos Consumo '!$C$11="No",'Datos Consumo '!$C$14,'Datos Consumo '!$C$16*Auxiliares!$N$4+Auxiliares!$N$5*'Datos Consumo '!$C$18))*'Datos Consumo '!$C42*Auxiliares!$J$15*Auxiliares!$J$16</f>
        <v>95.317999828964815</v>
      </c>
      <c r="M73">
        <f>IF('Datos Consumo '!$C$12="Si",'Datos Consumo '!$C20,IF('Datos Consumo '!$C$11="No",'Datos Consumo '!$C$14,'Datos Consumo '!$C$16*Auxiliares!$N$4+Auxiliares!$N$5*'Datos Consumo '!$C$18))*'Datos Consumo '!$C42*Auxiliares!$J$15*Auxiliares!$J$16</f>
        <v>95.317999828964815</v>
      </c>
      <c r="N73">
        <f>IF('Datos Consumo '!$C$12="Si",'Datos Consumo '!$C20,IF('Datos Consumo '!$C$11="No",'Datos Consumo '!$C$14,'Datos Consumo '!$C$16*Auxiliares!$N$4+Auxiliares!$N$5*'Datos Consumo '!$C$18))*'Datos Consumo '!$C42*Auxiliares!$J$15*Auxiliares!$J$16</f>
        <v>95.317999828964815</v>
      </c>
      <c r="O73">
        <f>IF('Datos Consumo '!$C$12="Si",'Datos Consumo '!$C20,IF('Datos Consumo '!$C$11="No",'Datos Consumo '!$C$14,'Datos Consumo '!$C$16*Auxiliares!$N$4+Auxiliares!$N$5*'Datos Consumo '!$C$18))*'Datos Consumo '!$C42*Auxiliares!$J$15*Auxiliares!$J$16</f>
        <v>95.317999828964815</v>
      </c>
      <c r="P73">
        <f>IF('Datos Consumo '!$C$12="Si",'Datos Consumo '!$C20,IF('Datos Consumo '!$C$11="No",'Datos Consumo '!$C$14,'Datos Consumo '!$C$16*Auxiliares!$N$4+Auxiliares!$N$5*'Datos Consumo '!$C$18))*'Datos Consumo '!$C42*Auxiliares!$J$15*Auxiliares!$J$16</f>
        <v>95.317999828964815</v>
      </c>
      <c r="Q73">
        <f>IF('Datos Consumo '!$C$12="Si",'Datos Consumo '!$C20,IF('Datos Consumo '!$C$11="No",'Datos Consumo '!$C$14,'Datos Consumo '!$C$16*Auxiliares!$N$4+Auxiliares!$N$5*'Datos Consumo '!$C$18))*'Datos Consumo '!$C42*Auxiliares!$J$15*Auxiliares!$J$16</f>
        <v>95.317999828964815</v>
      </c>
      <c r="R73">
        <f>IF('Datos Consumo '!$C$12="Si",'Datos Consumo '!$C20,IF('Datos Consumo '!$C$11="No",'Datos Consumo '!$C$14,'Datos Consumo '!$C$16*Auxiliares!$N$4+Auxiliares!$N$5*'Datos Consumo '!$C$18))*'Datos Consumo '!$C42*Auxiliares!$J$15*Auxiliares!$J$16</f>
        <v>95.317999828964815</v>
      </c>
      <c r="S73">
        <f>IF('Datos Consumo '!$C$12="Si",'Datos Consumo '!$C20,IF('Datos Consumo '!$C$11="No",'Datos Consumo '!$C$14,'Datos Consumo '!$C$16*Auxiliares!$N$4+Auxiliares!$N$5*'Datos Consumo '!$C$18))*'Datos Consumo '!$C42*Auxiliares!$J$15*Auxiliares!$J$16</f>
        <v>95.317999828964815</v>
      </c>
      <c r="T73">
        <f>IF('Datos Consumo '!$C$12="Si",'Datos Consumo '!$C20,IF('Datos Consumo '!$C$11="No",'Datos Consumo '!$C$14,'Datos Consumo '!$C$16*Auxiliares!$N$4+Auxiliares!$N$5*'Datos Consumo '!$C$18))*'Datos Consumo '!$C42*Auxiliares!$J$15*Auxiliares!$J$16</f>
        <v>95.317999828964815</v>
      </c>
      <c r="U73">
        <f>IF('Datos Consumo '!$C$12="Si",'Datos Consumo '!$C20,IF('Datos Consumo '!$C$11="No",'Datos Consumo '!$C$14,'Datos Consumo '!$C$16*Auxiliares!$N$4+Auxiliares!$N$5*'Datos Consumo '!$C$18))*'Datos Consumo '!$C42*Auxiliares!$J$15*Auxiliares!$J$16</f>
        <v>95.317999828964815</v>
      </c>
      <c r="V73">
        <f>IF('Datos Consumo '!$C$12="Si",'Datos Consumo '!$C20,IF('Datos Consumo '!$C$11="No",'Datos Consumo '!$C$14,'Datos Consumo '!$C$16*Auxiliares!$N$4+Auxiliares!$N$5*'Datos Consumo '!$C$18))*'Datos Consumo '!$C42*Auxiliares!$J$15*Auxiliares!$J$16</f>
        <v>95.317999828964815</v>
      </c>
      <c r="W73">
        <f>IF('Datos Consumo '!$C$12="Si",'Datos Consumo '!$C20,IF('Datos Consumo '!$C$11="No",'Datos Consumo '!$C$14,'Datos Consumo '!$C$16*Auxiliares!$N$4+Auxiliares!$N$5*'Datos Consumo '!$C$18))*'Datos Consumo '!$C42*Auxiliares!$J$15*Auxiliares!$J$16</f>
        <v>95.317999828964815</v>
      </c>
      <c r="X73">
        <f>IF('Datos Consumo '!$C$12="Si",'Datos Consumo '!$C20,IF('Datos Consumo '!$C$11="No",'Datos Consumo '!$C$14,'Datos Consumo '!$C$16*Auxiliares!$N$4+Auxiliares!$N$5*'Datos Consumo '!$C$18))*'Datos Consumo '!$C42*Auxiliares!$J$15*Auxiliares!$J$16</f>
        <v>95.317999828964815</v>
      </c>
      <c r="Y73">
        <f>IF('Datos Consumo '!$C$12="Si",'Datos Consumo '!$C20,IF('Datos Consumo '!$C$11="No",'Datos Consumo '!$C$14,'Datos Consumo '!$C$16*Auxiliares!$N$4+Auxiliares!$N$5*'Datos Consumo '!$C$18))*'Datos Consumo '!$C42*Auxiliares!$J$15*Auxiliares!$J$16</f>
        <v>95.317999828964815</v>
      </c>
      <c r="Z73">
        <f>IF('Datos Consumo '!$C$12="Si",'Datos Consumo '!$C20,IF('Datos Consumo '!$C$11="No",'Datos Consumo '!$C$14,'Datos Consumo '!$C$16*Auxiliares!$N$4+Auxiliares!$N$5*'Datos Consumo '!$C$18))*'Datos Consumo '!$C42*Auxiliares!$J$15*Auxiliares!$J$16</f>
        <v>95.317999828964815</v>
      </c>
      <c r="AA73">
        <f>IF('Datos Consumo '!$C$12="Si",'Datos Consumo '!$C20,IF('Datos Consumo '!$C$11="No",'Datos Consumo '!$C$14,'Datos Consumo '!$C$16*Auxiliares!$N$4+Auxiliares!$N$5*'Datos Consumo '!$C$18))*'Datos Consumo '!$C42*Auxiliares!$J$15*Auxiliares!$J$16</f>
        <v>95.317999828964815</v>
      </c>
      <c r="AB73">
        <f>IF('Datos Consumo '!$C$12="Si",'Datos Consumo '!$C20,IF('Datos Consumo '!$C$11="No",'Datos Consumo '!$C$14,'Datos Consumo '!$C$16*Auxiliares!$N$4+Auxiliares!$N$5*'Datos Consumo '!$C$18))*'Datos Consumo '!$C42*Auxiliares!$J$15*Auxiliares!$J$16</f>
        <v>95.317999828964815</v>
      </c>
      <c r="AC73">
        <f>IF('Datos Consumo '!$C$12="Si",'Datos Consumo '!$C20,IF('Datos Consumo '!$C$11="No",'Datos Consumo '!$C$14,'Datos Consumo '!$C$16*Auxiliares!$N$4+Auxiliares!$N$5*'Datos Consumo '!$C$18))*'Datos Consumo '!$C42*Auxiliares!$J$15*Auxiliares!$J$16</f>
        <v>95.317999828964815</v>
      </c>
      <c r="AD73">
        <f>IF('Datos Consumo '!$C$12="Si",'Datos Consumo '!$C20,IF('Datos Consumo '!$C$11="No",'Datos Consumo '!$C$14,'Datos Consumo '!$C$16*Auxiliares!$N$4+Auxiliares!$N$5*'Datos Consumo '!$C$18))*'Datos Consumo '!$C42*Auxiliares!$J$15*Auxiliares!$J$16</f>
        <v>95.317999828964815</v>
      </c>
      <c r="AE73">
        <f>IF('Datos Consumo '!$C$12="Si",'Datos Consumo '!$C20,IF('Datos Consumo '!$C$11="No",'Datos Consumo '!$C$14,'Datos Consumo '!$C$16*Auxiliares!$N$4+Auxiliares!$N$5*'Datos Consumo '!$C$18))*'Datos Consumo '!$C42*Auxiliares!$J$15*Auxiliares!$J$16</f>
        <v>95.317999828964815</v>
      </c>
      <c r="AF73">
        <f>IF('Datos Consumo '!$C$12="Si",'Datos Consumo '!$C20,IF('Datos Consumo '!$C$11="No",'Datos Consumo '!$C$14,'Datos Consumo '!$C$16*Auxiliares!$N$4+Auxiliares!$N$5*'Datos Consumo '!$C$18))*'Datos Consumo '!$C42*Auxiliares!$J$15*Auxiliares!$J$16</f>
        <v>95.317999828964815</v>
      </c>
      <c r="AG73">
        <f>IF('Datos Consumo '!$C$12="Si",'Datos Consumo '!$C20,IF('Datos Consumo '!$C$11="No",'Datos Consumo '!$C$14,'Datos Consumo '!$C$16*Auxiliares!$N$4+Auxiliares!$N$5*'Datos Consumo '!$C$18))*'Datos Consumo '!$C42*Auxiliares!$J$15*Auxiliares!$J$16</f>
        <v>95.317999828964815</v>
      </c>
    </row>
    <row r="74" spans="2:33">
      <c r="B74" s="24" t="str">
        <f t="shared" si="7"/>
        <v>Febrero</v>
      </c>
      <c r="C74">
        <f>IF('Datos Consumo '!$C$12="Si",'Datos Consumo '!$C21,IF('Datos Consumo '!$C$11="No",'Datos Consumo '!$C$14,'Datos Consumo '!$C$16*Auxiliares!$N$4+Auxiliares!$N$5*'Datos Consumo '!$C$18))*'Datos Consumo '!$C43*Auxiliares!$J$15*Auxiliares!$J$16</f>
        <v>87.147885557910712</v>
      </c>
      <c r="D74">
        <f>IF('Datos Consumo '!$C$12="Si",'Datos Consumo '!$C21,IF('Datos Consumo '!$C$11="No",'Datos Consumo '!$C$14,'Datos Consumo '!$C$16*Auxiliares!$N$4+Auxiliares!$N$5*'Datos Consumo '!$C$18))*'Datos Consumo '!$C43*Auxiliares!$J$15*Auxiliares!$J$16</f>
        <v>87.147885557910712</v>
      </c>
      <c r="E74">
        <f>IF('Datos Consumo '!$C$12="Si",'Datos Consumo '!$C21,IF('Datos Consumo '!$C$11="No",'Datos Consumo '!$C$14,'Datos Consumo '!$C$16*Auxiliares!$N$4+Auxiliares!$N$5*'Datos Consumo '!$C$18))*'Datos Consumo '!$C43*Auxiliares!$J$15*Auxiliares!$J$16</f>
        <v>87.147885557910712</v>
      </c>
      <c r="F74">
        <f>IF('Datos Consumo '!$C$12="Si",'Datos Consumo '!$C21,IF('Datos Consumo '!$C$11="No",'Datos Consumo '!$C$14,'Datos Consumo '!$C$16*Auxiliares!$N$4+Auxiliares!$N$5*'Datos Consumo '!$C$18))*'Datos Consumo '!$C43*Auxiliares!$J$15*Auxiliares!$J$16</f>
        <v>87.147885557910712</v>
      </c>
      <c r="G74">
        <f>IF('Datos Consumo '!$C$12="Si",'Datos Consumo '!$C21,IF('Datos Consumo '!$C$11="No",'Datos Consumo '!$C$14,'Datos Consumo '!$C$16*Auxiliares!$N$4+Auxiliares!$N$5*'Datos Consumo '!$C$18))*'Datos Consumo '!$C43*Auxiliares!$J$15*Auxiliares!$J$16</f>
        <v>87.147885557910712</v>
      </c>
      <c r="H74">
        <f>IF('Datos Consumo '!$C$12="Si",'Datos Consumo '!$C21,IF('Datos Consumo '!$C$11="No",'Datos Consumo '!$C$14,'Datos Consumo '!$C$16*Auxiliares!$N$4+Auxiliares!$N$5*'Datos Consumo '!$C$18))*'Datos Consumo '!$C43*Auxiliares!$J$15*Auxiliares!$J$16</f>
        <v>87.147885557910712</v>
      </c>
      <c r="I74">
        <f>IF('Datos Consumo '!$C$12="Si",'Datos Consumo '!$C21,IF('Datos Consumo '!$C$11="No",'Datos Consumo '!$C$14,'Datos Consumo '!$C$16*Auxiliares!$N$4+Auxiliares!$N$5*'Datos Consumo '!$C$18))*'Datos Consumo '!$C43*Auxiliares!$J$15*Auxiliares!$J$16</f>
        <v>87.147885557910712</v>
      </c>
      <c r="J74">
        <f>IF('Datos Consumo '!$C$12="Si",'Datos Consumo '!$C21,IF('Datos Consumo '!$C$11="No",'Datos Consumo '!$C$14,'Datos Consumo '!$C$16*Auxiliares!$N$4+Auxiliares!$N$5*'Datos Consumo '!$C$18))*'Datos Consumo '!$C43*Auxiliares!$J$15*Auxiliares!$J$16</f>
        <v>87.147885557910712</v>
      </c>
      <c r="K74">
        <f>IF('Datos Consumo '!$C$12="Si",'Datos Consumo '!$C21,IF('Datos Consumo '!$C$11="No",'Datos Consumo '!$C$14,'Datos Consumo '!$C$16*Auxiliares!$N$4+Auxiliares!$N$5*'Datos Consumo '!$C$18))*'Datos Consumo '!$C43*Auxiliares!$J$15*Auxiliares!$J$16</f>
        <v>87.147885557910712</v>
      </c>
      <c r="L74">
        <f>IF('Datos Consumo '!$C$12="Si",'Datos Consumo '!$C21,IF('Datos Consumo '!$C$11="No",'Datos Consumo '!$C$14,'Datos Consumo '!$C$16*Auxiliares!$N$4+Auxiliares!$N$5*'Datos Consumo '!$C$18))*'Datos Consumo '!$C43*Auxiliares!$J$15*Auxiliares!$J$16</f>
        <v>87.147885557910712</v>
      </c>
      <c r="M74">
        <f>IF('Datos Consumo '!$C$12="Si",'Datos Consumo '!$C21,IF('Datos Consumo '!$C$11="No",'Datos Consumo '!$C$14,'Datos Consumo '!$C$16*Auxiliares!$N$4+Auxiliares!$N$5*'Datos Consumo '!$C$18))*'Datos Consumo '!$C43*Auxiliares!$J$15*Auxiliares!$J$16</f>
        <v>87.147885557910712</v>
      </c>
      <c r="N74">
        <f>IF('Datos Consumo '!$C$12="Si",'Datos Consumo '!$C21,IF('Datos Consumo '!$C$11="No",'Datos Consumo '!$C$14,'Datos Consumo '!$C$16*Auxiliares!$N$4+Auxiliares!$N$5*'Datos Consumo '!$C$18))*'Datos Consumo '!$C43*Auxiliares!$J$15*Auxiliares!$J$16</f>
        <v>87.147885557910712</v>
      </c>
      <c r="O74">
        <f>IF('Datos Consumo '!$C$12="Si",'Datos Consumo '!$C21,IF('Datos Consumo '!$C$11="No",'Datos Consumo '!$C$14,'Datos Consumo '!$C$16*Auxiliares!$N$4+Auxiliares!$N$5*'Datos Consumo '!$C$18))*'Datos Consumo '!$C43*Auxiliares!$J$15*Auxiliares!$J$16</f>
        <v>87.147885557910712</v>
      </c>
      <c r="P74">
        <f>IF('Datos Consumo '!$C$12="Si",'Datos Consumo '!$C21,IF('Datos Consumo '!$C$11="No",'Datos Consumo '!$C$14,'Datos Consumo '!$C$16*Auxiliares!$N$4+Auxiliares!$N$5*'Datos Consumo '!$C$18))*'Datos Consumo '!$C43*Auxiliares!$J$15*Auxiliares!$J$16</f>
        <v>87.147885557910712</v>
      </c>
      <c r="Q74">
        <f>IF('Datos Consumo '!$C$12="Si",'Datos Consumo '!$C21,IF('Datos Consumo '!$C$11="No",'Datos Consumo '!$C$14,'Datos Consumo '!$C$16*Auxiliares!$N$4+Auxiliares!$N$5*'Datos Consumo '!$C$18))*'Datos Consumo '!$C43*Auxiliares!$J$15*Auxiliares!$J$16</f>
        <v>87.147885557910712</v>
      </c>
      <c r="R74">
        <f>IF('Datos Consumo '!$C$12="Si",'Datos Consumo '!$C21,IF('Datos Consumo '!$C$11="No",'Datos Consumo '!$C$14,'Datos Consumo '!$C$16*Auxiliares!$N$4+Auxiliares!$N$5*'Datos Consumo '!$C$18))*'Datos Consumo '!$C43*Auxiliares!$J$15*Auxiliares!$J$16</f>
        <v>87.147885557910712</v>
      </c>
      <c r="S74">
        <f>IF('Datos Consumo '!$C$12="Si",'Datos Consumo '!$C21,IF('Datos Consumo '!$C$11="No",'Datos Consumo '!$C$14,'Datos Consumo '!$C$16*Auxiliares!$N$4+Auxiliares!$N$5*'Datos Consumo '!$C$18))*'Datos Consumo '!$C43*Auxiliares!$J$15*Auxiliares!$J$16</f>
        <v>87.147885557910712</v>
      </c>
      <c r="T74">
        <f>IF('Datos Consumo '!$C$12="Si",'Datos Consumo '!$C21,IF('Datos Consumo '!$C$11="No",'Datos Consumo '!$C$14,'Datos Consumo '!$C$16*Auxiliares!$N$4+Auxiliares!$N$5*'Datos Consumo '!$C$18))*'Datos Consumo '!$C43*Auxiliares!$J$15*Auxiliares!$J$16</f>
        <v>87.147885557910712</v>
      </c>
      <c r="U74">
        <f>IF('Datos Consumo '!$C$12="Si",'Datos Consumo '!$C21,IF('Datos Consumo '!$C$11="No",'Datos Consumo '!$C$14,'Datos Consumo '!$C$16*Auxiliares!$N$4+Auxiliares!$N$5*'Datos Consumo '!$C$18))*'Datos Consumo '!$C43*Auxiliares!$J$15*Auxiliares!$J$16</f>
        <v>87.147885557910712</v>
      </c>
      <c r="V74">
        <f>IF('Datos Consumo '!$C$12="Si",'Datos Consumo '!$C21,IF('Datos Consumo '!$C$11="No",'Datos Consumo '!$C$14,'Datos Consumo '!$C$16*Auxiliares!$N$4+Auxiliares!$N$5*'Datos Consumo '!$C$18))*'Datos Consumo '!$C43*Auxiliares!$J$15*Auxiliares!$J$16</f>
        <v>87.147885557910712</v>
      </c>
      <c r="W74">
        <f>IF('Datos Consumo '!$C$12="Si",'Datos Consumo '!$C21,IF('Datos Consumo '!$C$11="No",'Datos Consumo '!$C$14,'Datos Consumo '!$C$16*Auxiliares!$N$4+Auxiliares!$N$5*'Datos Consumo '!$C$18))*'Datos Consumo '!$C43*Auxiliares!$J$15*Auxiliares!$J$16</f>
        <v>87.147885557910712</v>
      </c>
      <c r="X74">
        <f>IF('Datos Consumo '!$C$12="Si",'Datos Consumo '!$C21,IF('Datos Consumo '!$C$11="No",'Datos Consumo '!$C$14,'Datos Consumo '!$C$16*Auxiliares!$N$4+Auxiliares!$N$5*'Datos Consumo '!$C$18))*'Datos Consumo '!$C43*Auxiliares!$J$15*Auxiliares!$J$16</f>
        <v>87.147885557910712</v>
      </c>
      <c r="Y74">
        <f>IF('Datos Consumo '!$C$12="Si",'Datos Consumo '!$C21,IF('Datos Consumo '!$C$11="No",'Datos Consumo '!$C$14,'Datos Consumo '!$C$16*Auxiliares!$N$4+Auxiliares!$N$5*'Datos Consumo '!$C$18))*'Datos Consumo '!$C43*Auxiliares!$J$15*Auxiliares!$J$16</f>
        <v>87.147885557910712</v>
      </c>
      <c r="Z74">
        <f>IF('Datos Consumo '!$C$12="Si",'Datos Consumo '!$C21,IF('Datos Consumo '!$C$11="No",'Datos Consumo '!$C$14,'Datos Consumo '!$C$16*Auxiliares!$N$4+Auxiliares!$N$5*'Datos Consumo '!$C$18))*'Datos Consumo '!$C43*Auxiliares!$J$15*Auxiliares!$J$16</f>
        <v>87.147885557910712</v>
      </c>
      <c r="AA74">
        <f>IF('Datos Consumo '!$C$12="Si",'Datos Consumo '!$C21,IF('Datos Consumo '!$C$11="No",'Datos Consumo '!$C$14,'Datos Consumo '!$C$16*Auxiliares!$N$4+Auxiliares!$N$5*'Datos Consumo '!$C$18))*'Datos Consumo '!$C43*Auxiliares!$J$15*Auxiliares!$J$16</f>
        <v>87.147885557910712</v>
      </c>
      <c r="AB74">
        <f>IF('Datos Consumo '!$C$12="Si",'Datos Consumo '!$C21,IF('Datos Consumo '!$C$11="No",'Datos Consumo '!$C$14,'Datos Consumo '!$C$16*Auxiliares!$N$4+Auxiliares!$N$5*'Datos Consumo '!$C$18))*'Datos Consumo '!$C43*Auxiliares!$J$15*Auxiliares!$J$16</f>
        <v>87.147885557910712</v>
      </c>
      <c r="AC74">
        <f>IF('Datos Consumo '!$C$12="Si",'Datos Consumo '!$C21,IF('Datos Consumo '!$C$11="No",'Datos Consumo '!$C$14,'Datos Consumo '!$C$16*Auxiliares!$N$4+Auxiliares!$N$5*'Datos Consumo '!$C$18))*'Datos Consumo '!$C43*Auxiliares!$J$15*Auxiliares!$J$16</f>
        <v>87.147885557910712</v>
      </c>
      <c r="AD74">
        <f>IF('Datos Consumo '!$C$12="Si",'Datos Consumo '!$C21,IF('Datos Consumo '!$C$11="No",'Datos Consumo '!$C$14,'Datos Consumo '!$C$16*Auxiliares!$N$4+Auxiliares!$N$5*'Datos Consumo '!$C$18))*'Datos Consumo '!$C43*Auxiliares!$J$15*Auxiliares!$J$16</f>
        <v>87.147885557910712</v>
      </c>
      <c r="AE74">
        <f>IF('Datos Consumo '!$C$12="Si",'Datos Consumo '!$C21,IF('Datos Consumo '!$C$11="No",'Datos Consumo '!$C$14,'Datos Consumo '!$C$16*Auxiliares!$N$4+Auxiliares!$N$5*'Datos Consumo '!$C$18))*'Datos Consumo '!$C43*Auxiliares!$J$15*Auxiliares!$J$16</f>
        <v>87.147885557910712</v>
      </c>
      <c r="AF74">
        <f>IF('Datos Consumo '!$C$12="Si",'Datos Consumo '!$C21,IF('Datos Consumo '!$C$11="No",'Datos Consumo '!$C$14,'Datos Consumo '!$C$16*Auxiliares!$N$4+Auxiliares!$N$5*'Datos Consumo '!$C$18))*'Datos Consumo '!$C43*Auxiliares!$J$15*Auxiliares!$J$16</f>
        <v>87.147885557910712</v>
      </c>
      <c r="AG74">
        <f>IF('Datos Consumo '!$C$12="Si",'Datos Consumo '!$C21,IF('Datos Consumo '!$C$11="No",'Datos Consumo '!$C$14,'Datos Consumo '!$C$16*Auxiliares!$N$4+Auxiliares!$N$5*'Datos Consumo '!$C$18))*'Datos Consumo '!$C43*Auxiliares!$J$15*Auxiliares!$J$16</f>
        <v>87.147885557910712</v>
      </c>
    </row>
    <row r="75" spans="2:33">
      <c r="B75" s="24" t="str">
        <f t="shared" si="7"/>
        <v>Marzo</v>
      </c>
      <c r="C75">
        <f>IF('Datos Consumo '!$C$12="Si",'Datos Consumo '!$C22,IF('Datos Consumo '!$C$11="No",'Datos Consumo '!$C$14,'Datos Consumo '!$C$16*Auxiliares!$N$4+Auxiliares!$N$5*'Datos Consumo '!$C$18))*'Datos Consumo '!$C44*Auxiliares!$J$15*Auxiliares!$J$16</f>
        <v>73.531028439487159</v>
      </c>
      <c r="D75">
        <f>IF('Datos Consumo '!$C$12="Si",'Datos Consumo '!$C22,IF('Datos Consumo '!$C$11="No",'Datos Consumo '!$C$14,'Datos Consumo '!$C$16*Auxiliares!$N$4+Auxiliares!$N$5*'Datos Consumo '!$C$18))*'Datos Consumo '!$C44*Auxiliares!$J$15*Auxiliares!$J$16</f>
        <v>73.531028439487159</v>
      </c>
      <c r="E75">
        <f>IF('Datos Consumo '!$C$12="Si",'Datos Consumo '!$C22,IF('Datos Consumo '!$C$11="No",'Datos Consumo '!$C$14,'Datos Consumo '!$C$16*Auxiliares!$N$4+Auxiliares!$N$5*'Datos Consumo '!$C$18))*'Datos Consumo '!$C44*Auxiliares!$J$15*Auxiliares!$J$16</f>
        <v>73.531028439487159</v>
      </c>
      <c r="F75">
        <f>IF('Datos Consumo '!$C$12="Si",'Datos Consumo '!$C22,IF('Datos Consumo '!$C$11="No",'Datos Consumo '!$C$14,'Datos Consumo '!$C$16*Auxiliares!$N$4+Auxiliares!$N$5*'Datos Consumo '!$C$18))*'Datos Consumo '!$C44*Auxiliares!$J$15*Auxiliares!$J$16</f>
        <v>73.531028439487159</v>
      </c>
      <c r="G75">
        <f>IF('Datos Consumo '!$C$12="Si",'Datos Consumo '!$C22,IF('Datos Consumo '!$C$11="No",'Datos Consumo '!$C$14,'Datos Consumo '!$C$16*Auxiliares!$N$4+Auxiliares!$N$5*'Datos Consumo '!$C$18))*'Datos Consumo '!$C44*Auxiliares!$J$15*Auxiliares!$J$16</f>
        <v>73.531028439487159</v>
      </c>
      <c r="H75">
        <f>IF('Datos Consumo '!$C$12="Si",'Datos Consumo '!$C22,IF('Datos Consumo '!$C$11="No",'Datos Consumo '!$C$14,'Datos Consumo '!$C$16*Auxiliares!$N$4+Auxiliares!$N$5*'Datos Consumo '!$C$18))*'Datos Consumo '!$C44*Auxiliares!$J$15*Auxiliares!$J$16</f>
        <v>73.531028439487159</v>
      </c>
      <c r="I75">
        <f>IF('Datos Consumo '!$C$12="Si",'Datos Consumo '!$C22,IF('Datos Consumo '!$C$11="No",'Datos Consumo '!$C$14,'Datos Consumo '!$C$16*Auxiliares!$N$4+Auxiliares!$N$5*'Datos Consumo '!$C$18))*'Datos Consumo '!$C44*Auxiliares!$J$15*Auxiliares!$J$16</f>
        <v>73.531028439487159</v>
      </c>
      <c r="J75">
        <f>IF('Datos Consumo '!$C$12="Si",'Datos Consumo '!$C22,IF('Datos Consumo '!$C$11="No",'Datos Consumo '!$C$14,'Datos Consumo '!$C$16*Auxiliares!$N$4+Auxiliares!$N$5*'Datos Consumo '!$C$18))*'Datos Consumo '!$C44*Auxiliares!$J$15*Auxiliares!$J$16</f>
        <v>73.531028439487159</v>
      </c>
      <c r="K75">
        <f>IF('Datos Consumo '!$C$12="Si",'Datos Consumo '!$C22,IF('Datos Consumo '!$C$11="No",'Datos Consumo '!$C$14,'Datos Consumo '!$C$16*Auxiliares!$N$4+Auxiliares!$N$5*'Datos Consumo '!$C$18))*'Datos Consumo '!$C44*Auxiliares!$J$15*Auxiliares!$J$16</f>
        <v>73.531028439487159</v>
      </c>
      <c r="L75">
        <f>IF('Datos Consumo '!$C$12="Si",'Datos Consumo '!$C22,IF('Datos Consumo '!$C$11="No",'Datos Consumo '!$C$14,'Datos Consumo '!$C$16*Auxiliares!$N$4+Auxiliares!$N$5*'Datos Consumo '!$C$18))*'Datos Consumo '!$C44*Auxiliares!$J$15*Auxiliares!$J$16</f>
        <v>73.531028439487159</v>
      </c>
      <c r="M75">
        <f>IF('Datos Consumo '!$C$12="Si",'Datos Consumo '!$C22,IF('Datos Consumo '!$C$11="No",'Datos Consumo '!$C$14,'Datos Consumo '!$C$16*Auxiliares!$N$4+Auxiliares!$N$5*'Datos Consumo '!$C$18))*'Datos Consumo '!$C44*Auxiliares!$J$15*Auxiliares!$J$16</f>
        <v>73.531028439487159</v>
      </c>
      <c r="N75">
        <f>IF('Datos Consumo '!$C$12="Si",'Datos Consumo '!$C22,IF('Datos Consumo '!$C$11="No",'Datos Consumo '!$C$14,'Datos Consumo '!$C$16*Auxiliares!$N$4+Auxiliares!$N$5*'Datos Consumo '!$C$18))*'Datos Consumo '!$C44*Auxiliares!$J$15*Auxiliares!$J$16</f>
        <v>73.531028439487159</v>
      </c>
      <c r="O75">
        <f>IF('Datos Consumo '!$C$12="Si",'Datos Consumo '!$C22,IF('Datos Consumo '!$C$11="No",'Datos Consumo '!$C$14,'Datos Consumo '!$C$16*Auxiliares!$N$4+Auxiliares!$N$5*'Datos Consumo '!$C$18))*'Datos Consumo '!$C44*Auxiliares!$J$15*Auxiliares!$J$16</f>
        <v>73.531028439487159</v>
      </c>
      <c r="P75">
        <f>IF('Datos Consumo '!$C$12="Si",'Datos Consumo '!$C22,IF('Datos Consumo '!$C$11="No",'Datos Consumo '!$C$14,'Datos Consumo '!$C$16*Auxiliares!$N$4+Auxiliares!$N$5*'Datos Consumo '!$C$18))*'Datos Consumo '!$C44*Auxiliares!$J$15*Auxiliares!$J$16</f>
        <v>73.531028439487159</v>
      </c>
      <c r="Q75">
        <f>IF('Datos Consumo '!$C$12="Si",'Datos Consumo '!$C22,IF('Datos Consumo '!$C$11="No",'Datos Consumo '!$C$14,'Datos Consumo '!$C$16*Auxiliares!$N$4+Auxiliares!$N$5*'Datos Consumo '!$C$18))*'Datos Consumo '!$C44*Auxiliares!$J$15*Auxiliares!$J$16</f>
        <v>73.531028439487159</v>
      </c>
      <c r="R75">
        <f>IF('Datos Consumo '!$C$12="Si",'Datos Consumo '!$C22,IF('Datos Consumo '!$C$11="No",'Datos Consumo '!$C$14,'Datos Consumo '!$C$16*Auxiliares!$N$4+Auxiliares!$N$5*'Datos Consumo '!$C$18))*'Datos Consumo '!$C44*Auxiliares!$J$15*Auxiliares!$J$16</f>
        <v>73.531028439487159</v>
      </c>
      <c r="S75">
        <f>IF('Datos Consumo '!$C$12="Si",'Datos Consumo '!$C22,IF('Datos Consumo '!$C$11="No",'Datos Consumo '!$C$14,'Datos Consumo '!$C$16*Auxiliares!$N$4+Auxiliares!$N$5*'Datos Consumo '!$C$18))*'Datos Consumo '!$C44*Auxiliares!$J$15*Auxiliares!$J$16</f>
        <v>73.531028439487159</v>
      </c>
      <c r="T75">
        <f>IF('Datos Consumo '!$C$12="Si",'Datos Consumo '!$C22,IF('Datos Consumo '!$C$11="No",'Datos Consumo '!$C$14,'Datos Consumo '!$C$16*Auxiliares!$N$4+Auxiliares!$N$5*'Datos Consumo '!$C$18))*'Datos Consumo '!$C44*Auxiliares!$J$15*Auxiliares!$J$16</f>
        <v>73.531028439487159</v>
      </c>
      <c r="U75">
        <f>IF('Datos Consumo '!$C$12="Si",'Datos Consumo '!$C22,IF('Datos Consumo '!$C$11="No",'Datos Consumo '!$C$14,'Datos Consumo '!$C$16*Auxiliares!$N$4+Auxiliares!$N$5*'Datos Consumo '!$C$18))*'Datos Consumo '!$C44*Auxiliares!$J$15*Auxiliares!$J$16</f>
        <v>73.531028439487159</v>
      </c>
      <c r="V75">
        <f>IF('Datos Consumo '!$C$12="Si",'Datos Consumo '!$C22,IF('Datos Consumo '!$C$11="No",'Datos Consumo '!$C$14,'Datos Consumo '!$C$16*Auxiliares!$N$4+Auxiliares!$N$5*'Datos Consumo '!$C$18))*'Datos Consumo '!$C44*Auxiliares!$J$15*Auxiliares!$J$16</f>
        <v>73.531028439487159</v>
      </c>
      <c r="W75">
        <f>IF('Datos Consumo '!$C$12="Si",'Datos Consumo '!$C22,IF('Datos Consumo '!$C$11="No",'Datos Consumo '!$C$14,'Datos Consumo '!$C$16*Auxiliares!$N$4+Auxiliares!$N$5*'Datos Consumo '!$C$18))*'Datos Consumo '!$C44*Auxiliares!$J$15*Auxiliares!$J$16</f>
        <v>73.531028439487159</v>
      </c>
      <c r="X75">
        <f>IF('Datos Consumo '!$C$12="Si",'Datos Consumo '!$C22,IF('Datos Consumo '!$C$11="No",'Datos Consumo '!$C$14,'Datos Consumo '!$C$16*Auxiliares!$N$4+Auxiliares!$N$5*'Datos Consumo '!$C$18))*'Datos Consumo '!$C44*Auxiliares!$J$15*Auxiliares!$J$16</f>
        <v>73.531028439487159</v>
      </c>
      <c r="Y75">
        <f>IF('Datos Consumo '!$C$12="Si",'Datos Consumo '!$C22,IF('Datos Consumo '!$C$11="No",'Datos Consumo '!$C$14,'Datos Consumo '!$C$16*Auxiliares!$N$4+Auxiliares!$N$5*'Datos Consumo '!$C$18))*'Datos Consumo '!$C44*Auxiliares!$J$15*Auxiliares!$J$16</f>
        <v>73.531028439487159</v>
      </c>
      <c r="Z75">
        <f>IF('Datos Consumo '!$C$12="Si",'Datos Consumo '!$C22,IF('Datos Consumo '!$C$11="No",'Datos Consumo '!$C$14,'Datos Consumo '!$C$16*Auxiliares!$N$4+Auxiliares!$N$5*'Datos Consumo '!$C$18))*'Datos Consumo '!$C44*Auxiliares!$J$15*Auxiliares!$J$16</f>
        <v>73.531028439487159</v>
      </c>
      <c r="AA75">
        <f>IF('Datos Consumo '!$C$12="Si",'Datos Consumo '!$C22,IF('Datos Consumo '!$C$11="No",'Datos Consumo '!$C$14,'Datos Consumo '!$C$16*Auxiliares!$N$4+Auxiliares!$N$5*'Datos Consumo '!$C$18))*'Datos Consumo '!$C44*Auxiliares!$J$15*Auxiliares!$J$16</f>
        <v>73.531028439487159</v>
      </c>
      <c r="AB75">
        <f>IF('Datos Consumo '!$C$12="Si",'Datos Consumo '!$C22,IF('Datos Consumo '!$C$11="No",'Datos Consumo '!$C$14,'Datos Consumo '!$C$16*Auxiliares!$N$4+Auxiliares!$N$5*'Datos Consumo '!$C$18))*'Datos Consumo '!$C44*Auxiliares!$J$15*Auxiliares!$J$16</f>
        <v>73.531028439487159</v>
      </c>
      <c r="AC75">
        <f>IF('Datos Consumo '!$C$12="Si",'Datos Consumo '!$C22,IF('Datos Consumo '!$C$11="No",'Datos Consumo '!$C$14,'Datos Consumo '!$C$16*Auxiliares!$N$4+Auxiliares!$N$5*'Datos Consumo '!$C$18))*'Datos Consumo '!$C44*Auxiliares!$J$15*Auxiliares!$J$16</f>
        <v>73.531028439487159</v>
      </c>
      <c r="AD75">
        <f>IF('Datos Consumo '!$C$12="Si",'Datos Consumo '!$C22,IF('Datos Consumo '!$C$11="No",'Datos Consumo '!$C$14,'Datos Consumo '!$C$16*Auxiliares!$N$4+Auxiliares!$N$5*'Datos Consumo '!$C$18))*'Datos Consumo '!$C44*Auxiliares!$J$15*Auxiliares!$J$16</f>
        <v>73.531028439487159</v>
      </c>
      <c r="AE75">
        <f>IF('Datos Consumo '!$C$12="Si",'Datos Consumo '!$C22,IF('Datos Consumo '!$C$11="No",'Datos Consumo '!$C$14,'Datos Consumo '!$C$16*Auxiliares!$N$4+Auxiliares!$N$5*'Datos Consumo '!$C$18))*'Datos Consumo '!$C44*Auxiliares!$J$15*Auxiliares!$J$16</f>
        <v>73.531028439487159</v>
      </c>
      <c r="AF75">
        <f>IF('Datos Consumo '!$C$12="Si",'Datos Consumo '!$C22,IF('Datos Consumo '!$C$11="No",'Datos Consumo '!$C$14,'Datos Consumo '!$C$16*Auxiliares!$N$4+Auxiliares!$N$5*'Datos Consumo '!$C$18))*'Datos Consumo '!$C44*Auxiliares!$J$15*Auxiliares!$J$16</f>
        <v>73.531028439487159</v>
      </c>
      <c r="AG75">
        <f>IF('Datos Consumo '!$C$12="Si",'Datos Consumo '!$C22,IF('Datos Consumo '!$C$11="No",'Datos Consumo '!$C$14,'Datos Consumo '!$C$16*Auxiliares!$N$4+Auxiliares!$N$5*'Datos Consumo '!$C$18))*'Datos Consumo '!$C44*Auxiliares!$J$15*Auxiliares!$J$16</f>
        <v>73.531028439487159</v>
      </c>
    </row>
    <row r="76" spans="2:33">
      <c r="B76" s="24" t="str">
        <f t="shared" si="7"/>
        <v>Abril</v>
      </c>
      <c r="C76">
        <f>IF('Datos Consumo '!$C$12="Si",'Datos Consumo '!$C23,IF('Datos Consumo '!$C$11="No",'Datos Consumo '!$C$14,'Datos Consumo '!$C$16*Auxiliares!$N$4+Auxiliares!$N$5*'Datos Consumo '!$C$18))*'Datos Consumo '!$C45*Auxiliares!$J$15*Auxiliares!$J$16</f>
        <v>65.360914168433013</v>
      </c>
      <c r="D76">
        <f>IF('Datos Consumo '!$C$12="Si",'Datos Consumo '!$C23,IF('Datos Consumo '!$C$11="No",'Datos Consumo '!$C$14,'Datos Consumo '!$C$16*Auxiliares!$N$4+Auxiliares!$N$5*'Datos Consumo '!$C$18))*'Datos Consumo '!$C45*Auxiliares!$J$15*Auxiliares!$J$16</f>
        <v>65.360914168433013</v>
      </c>
      <c r="E76">
        <f>IF('Datos Consumo '!$C$12="Si",'Datos Consumo '!$C23,IF('Datos Consumo '!$C$11="No",'Datos Consumo '!$C$14,'Datos Consumo '!$C$16*Auxiliares!$N$4+Auxiliares!$N$5*'Datos Consumo '!$C$18))*'Datos Consumo '!$C45*Auxiliares!$J$15*Auxiliares!$J$16</f>
        <v>65.360914168433013</v>
      </c>
      <c r="F76">
        <f>IF('Datos Consumo '!$C$12="Si",'Datos Consumo '!$C23,IF('Datos Consumo '!$C$11="No",'Datos Consumo '!$C$14,'Datos Consumo '!$C$16*Auxiliares!$N$4+Auxiliares!$N$5*'Datos Consumo '!$C$18))*'Datos Consumo '!$C45*Auxiliares!$J$15*Auxiliares!$J$16</f>
        <v>65.360914168433013</v>
      </c>
      <c r="G76">
        <f>IF('Datos Consumo '!$C$12="Si",'Datos Consumo '!$C23,IF('Datos Consumo '!$C$11="No",'Datos Consumo '!$C$14,'Datos Consumo '!$C$16*Auxiliares!$N$4+Auxiliares!$N$5*'Datos Consumo '!$C$18))*'Datos Consumo '!$C45*Auxiliares!$J$15*Auxiliares!$J$16</f>
        <v>65.360914168433013</v>
      </c>
      <c r="H76">
        <f>IF('Datos Consumo '!$C$12="Si",'Datos Consumo '!$C23,IF('Datos Consumo '!$C$11="No",'Datos Consumo '!$C$14,'Datos Consumo '!$C$16*Auxiliares!$N$4+Auxiliares!$N$5*'Datos Consumo '!$C$18))*'Datos Consumo '!$C45*Auxiliares!$J$15*Auxiliares!$J$16</f>
        <v>65.360914168433013</v>
      </c>
      <c r="I76">
        <f>IF('Datos Consumo '!$C$12="Si",'Datos Consumo '!$C23,IF('Datos Consumo '!$C$11="No",'Datos Consumo '!$C$14,'Datos Consumo '!$C$16*Auxiliares!$N$4+Auxiliares!$N$5*'Datos Consumo '!$C$18))*'Datos Consumo '!$C45*Auxiliares!$J$15*Auxiliares!$J$16</f>
        <v>65.360914168433013</v>
      </c>
      <c r="J76">
        <f>IF('Datos Consumo '!$C$12="Si",'Datos Consumo '!$C23,IF('Datos Consumo '!$C$11="No",'Datos Consumo '!$C$14,'Datos Consumo '!$C$16*Auxiliares!$N$4+Auxiliares!$N$5*'Datos Consumo '!$C$18))*'Datos Consumo '!$C45*Auxiliares!$J$15*Auxiliares!$J$16</f>
        <v>65.360914168433013</v>
      </c>
      <c r="K76">
        <f>IF('Datos Consumo '!$C$12="Si",'Datos Consumo '!$C23,IF('Datos Consumo '!$C$11="No",'Datos Consumo '!$C$14,'Datos Consumo '!$C$16*Auxiliares!$N$4+Auxiliares!$N$5*'Datos Consumo '!$C$18))*'Datos Consumo '!$C45*Auxiliares!$J$15*Auxiliares!$J$16</f>
        <v>65.360914168433013</v>
      </c>
      <c r="L76">
        <f>IF('Datos Consumo '!$C$12="Si",'Datos Consumo '!$C23,IF('Datos Consumo '!$C$11="No",'Datos Consumo '!$C$14,'Datos Consumo '!$C$16*Auxiliares!$N$4+Auxiliares!$N$5*'Datos Consumo '!$C$18))*'Datos Consumo '!$C45*Auxiliares!$J$15*Auxiliares!$J$16</f>
        <v>65.360914168433013</v>
      </c>
      <c r="M76">
        <f>IF('Datos Consumo '!$C$12="Si",'Datos Consumo '!$C23,IF('Datos Consumo '!$C$11="No",'Datos Consumo '!$C$14,'Datos Consumo '!$C$16*Auxiliares!$N$4+Auxiliares!$N$5*'Datos Consumo '!$C$18))*'Datos Consumo '!$C45*Auxiliares!$J$15*Auxiliares!$J$16</f>
        <v>65.360914168433013</v>
      </c>
      <c r="N76">
        <f>IF('Datos Consumo '!$C$12="Si",'Datos Consumo '!$C23,IF('Datos Consumo '!$C$11="No",'Datos Consumo '!$C$14,'Datos Consumo '!$C$16*Auxiliares!$N$4+Auxiliares!$N$5*'Datos Consumo '!$C$18))*'Datos Consumo '!$C45*Auxiliares!$J$15*Auxiliares!$J$16</f>
        <v>65.360914168433013</v>
      </c>
      <c r="O76">
        <f>IF('Datos Consumo '!$C$12="Si",'Datos Consumo '!$C23,IF('Datos Consumo '!$C$11="No",'Datos Consumo '!$C$14,'Datos Consumo '!$C$16*Auxiliares!$N$4+Auxiliares!$N$5*'Datos Consumo '!$C$18))*'Datos Consumo '!$C45*Auxiliares!$J$15*Auxiliares!$J$16</f>
        <v>65.360914168433013</v>
      </c>
      <c r="P76">
        <f>IF('Datos Consumo '!$C$12="Si",'Datos Consumo '!$C23,IF('Datos Consumo '!$C$11="No",'Datos Consumo '!$C$14,'Datos Consumo '!$C$16*Auxiliares!$N$4+Auxiliares!$N$5*'Datos Consumo '!$C$18))*'Datos Consumo '!$C45*Auxiliares!$J$15*Auxiliares!$J$16</f>
        <v>65.360914168433013</v>
      </c>
      <c r="Q76">
        <f>IF('Datos Consumo '!$C$12="Si",'Datos Consumo '!$C23,IF('Datos Consumo '!$C$11="No",'Datos Consumo '!$C$14,'Datos Consumo '!$C$16*Auxiliares!$N$4+Auxiliares!$N$5*'Datos Consumo '!$C$18))*'Datos Consumo '!$C45*Auxiliares!$J$15*Auxiliares!$J$16</f>
        <v>65.360914168433013</v>
      </c>
      <c r="R76">
        <f>IF('Datos Consumo '!$C$12="Si",'Datos Consumo '!$C23,IF('Datos Consumo '!$C$11="No",'Datos Consumo '!$C$14,'Datos Consumo '!$C$16*Auxiliares!$N$4+Auxiliares!$N$5*'Datos Consumo '!$C$18))*'Datos Consumo '!$C45*Auxiliares!$J$15*Auxiliares!$J$16</f>
        <v>65.360914168433013</v>
      </c>
      <c r="S76">
        <f>IF('Datos Consumo '!$C$12="Si",'Datos Consumo '!$C23,IF('Datos Consumo '!$C$11="No",'Datos Consumo '!$C$14,'Datos Consumo '!$C$16*Auxiliares!$N$4+Auxiliares!$N$5*'Datos Consumo '!$C$18))*'Datos Consumo '!$C45*Auxiliares!$J$15*Auxiliares!$J$16</f>
        <v>65.360914168433013</v>
      </c>
      <c r="T76">
        <f>IF('Datos Consumo '!$C$12="Si",'Datos Consumo '!$C23,IF('Datos Consumo '!$C$11="No",'Datos Consumo '!$C$14,'Datos Consumo '!$C$16*Auxiliares!$N$4+Auxiliares!$N$5*'Datos Consumo '!$C$18))*'Datos Consumo '!$C45*Auxiliares!$J$15*Auxiliares!$J$16</f>
        <v>65.360914168433013</v>
      </c>
      <c r="U76">
        <f>IF('Datos Consumo '!$C$12="Si",'Datos Consumo '!$C23,IF('Datos Consumo '!$C$11="No",'Datos Consumo '!$C$14,'Datos Consumo '!$C$16*Auxiliares!$N$4+Auxiliares!$N$5*'Datos Consumo '!$C$18))*'Datos Consumo '!$C45*Auxiliares!$J$15*Auxiliares!$J$16</f>
        <v>65.360914168433013</v>
      </c>
      <c r="V76">
        <f>IF('Datos Consumo '!$C$12="Si",'Datos Consumo '!$C23,IF('Datos Consumo '!$C$11="No",'Datos Consumo '!$C$14,'Datos Consumo '!$C$16*Auxiliares!$N$4+Auxiliares!$N$5*'Datos Consumo '!$C$18))*'Datos Consumo '!$C45*Auxiliares!$J$15*Auxiliares!$J$16</f>
        <v>65.360914168433013</v>
      </c>
      <c r="W76">
        <f>IF('Datos Consumo '!$C$12="Si",'Datos Consumo '!$C23,IF('Datos Consumo '!$C$11="No",'Datos Consumo '!$C$14,'Datos Consumo '!$C$16*Auxiliares!$N$4+Auxiliares!$N$5*'Datos Consumo '!$C$18))*'Datos Consumo '!$C45*Auxiliares!$J$15*Auxiliares!$J$16</f>
        <v>65.360914168433013</v>
      </c>
      <c r="X76">
        <f>IF('Datos Consumo '!$C$12="Si",'Datos Consumo '!$C23,IF('Datos Consumo '!$C$11="No",'Datos Consumo '!$C$14,'Datos Consumo '!$C$16*Auxiliares!$N$4+Auxiliares!$N$5*'Datos Consumo '!$C$18))*'Datos Consumo '!$C45*Auxiliares!$J$15*Auxiliares!$J$16</f>
        <v>65.360914168433013</v>
      </c>
      <c r="Y76">
        <f>IF('Datos Consumo '!$C$12="Si",'Datos Consumo '!$C23,IF('Datos Consumo '!$C$11="No",'Datos Consumo '!$C$14,'Datos Consumo '!$C$16*Auxiliares!$N$4+Auxiliares!$N$5*'Datos Consumo '!$C$18))*'Datos Consumo '!$C45*Auxiliares!$J$15*Auxiliares!$J$16</f>
        <v>65.360914168433013</v>
      </c>
      <c r="Z76">
        <f>IF('Datos Consumo '!$C$12="Si",'Datos Consumo '!$C23,IF('Datos Consumo '!$C$11="No",'Datos Consumo '!$C$14,'Datos Consumo '!$C$16*Auxiliares!$N$4+Auxiliares!$N$5*'Datos Consumo '!$C$18))*'Datos Consumo '!$C45*Auxiliares!$J$15*Auxiliares!$J$16</f>
        <v>65.360914168433013</v>
      </c>
      <c r="AA76">
        <f>IF('Datos Consumo '!$C$12="Si",'Datos Consumo '!$C23,IF('Datos Consumo '!$C$11="No",'Datos Consumo '!$C$14,'Datos Consumo '!$C$16*Auxiliares!$N$4+Auxiliares!$N$5*'Datos Consumo '!$C$18))*'Datos Consumo '!$C45*Auxiliares!$J$15*Auxiliares!$J$16</f>
        <v>65.360914168433013</v>
      </c>
      <c r="AB76">
        <f>IF('Datos Consumo '!$C$12="Si",'Datos Consumo '!$C23,IF('Datos Consumo '!$C$11="No",'Datos Consumo '!$C$14,'Datos Consumo '!$C$16*Auxiliares!$N$4+Auxiliares!$N$5*'Datos Consumo '!$C$18))*'Datos Consumo '!$C45*Auxiliares!$J$15*Auxiliares!$J$16</f>
        <v>65.360914168433013</v>
      </c>
      <c r="AC76">
        <f>IF('Datos Consumo '!$C$12="Si",'Datos Consumo '!$C23,IF('Datos Consumo '!$C$11="No",'Datos Consumo '!$C$14,'Datos Consumo '!$C$16*Auxiliares!$N$4+Auxiliares!$N$5*'Datos Consumo '!$C$18))*'Datos Consumo '!$C45*Auxiliares!$J$15*Auxiliares!$J$16</f>
        <v>65.360914168433013</v>
      </c>
      <c r="AD76">
        <f>IF('Datos Consumo '!$C$12="Si",'Datos Consumo '!$C23,IF('Datos Consumo '!$C$11="No",'Datos Consumo '!$C$14,'Datos Consumo '!$C$16*Auxiliares!$N$4+Auxiliares!$N$5*'Datos Consumo '!$C$18))*'Datos Consumo '!$C45*Auxiliares!$J$15*Auxiliares!$J$16</f>
        <v>65.360914168433013</v>
      </c>
      <c r="AE76">
        <f>IF('Datos Consumo '!$C$12="Si",'Datos Consumo '!$C23,IF('Datos Consumo '!$C$11="No",'Datos Consumo '!$C$14,'Datos Consumo '!$C$16*Auxiliares!$N$4+Auxiliares!$N$5*'Datos Consumo '!$C$18))*'Datos Consumo '!$C45*Auxiliares!$J$15*Auxiliares!$J$16</f>
        <v>65.360914168433013</v>
      </c>
      <c r="AF76">
        <f>IF('Datos Consumo '!$C$12="Si",'Datos Consumo '!$C23,IF('Datos Consumo '!$C$11="No",'Datos Consumo '!$C$14,'Datos Consumo '!$C$16*Auxiliares!$N$4+Auxiliares!$N$5*'Datos Consumo '!$C$18))*'Datos Consumo '!$C45*Auxiliares!$J$15*Auxiliares!$J$16</f>
        <v>65.360914168433013</v>
      </c>
      <c r="AG76">
        <f>IF('Datos Consumo '!$C$12="Si",'Datos Consumo '!$C23,IF('Datos Consumo '!$C$11="No",'Datos Consumo '!$C$14,'Datos Consumo '!$C$16*Auxiliares!$N$4+Auxiliares!$N$5*'Datos Consumo '!$C$18))*'Datos Consumo '!$C45*Auxiliares!$J$15*Auxiliares!$J$16</f>
        <v>65.360914168433013</v>
      </c>
    </row>
    <row r="77" spans="2:33">
      <c r="B77" s="24" t="str">
        <f t="shared" si="7"/>
        <v>Mayo</v>
      </c>
      <c r="C77">
        <f>IF('Datos Consumo '!$C$12="Si",'Datos Consumo '!$C24,IF('Datos Consumo '!$C$11="No",'Datos Consumo '!$C$14,'Datos Consumo '!$C$16*Auxiliares!$N$4+Auxiliares!$N$5*'Datos Consumo '!$C$18))*'Datos Consumo '!$C46*Auxiliares!$J$15*Auxiliares!$J$16</f>
        <v>66.722599880275382</v>
      </c>
      <c r="D77">
        <f>IF('Datos Consumo '!$C$12="Si",'Datos Consumo '!$C24,IF('Datos Consumo '!$C$11="No",'Datos Consumo '!$C$14,'Datos Consumo '!$C$16*Auxiliares!$N$4+Auxiliares!$N$5*'Datos Consumo '!$C$18))*'Datos Consumo '!$C46*Auxiliares!$J$15*Auxiliares!$J$16</f>
        <v>66.722599880275382</v>
      </c>
      <c r="E77">
        <f>IF('Datos Consumo '!$C$12="Si",'Datos Consumo '!$C24,IF('Datos Consumo '!$C$11="No",'Datos Consumo '!$C$14,'Datos Consumo '!$C$16*Auxiliares!$N$4+Auxiliares!$N$5*'Datos Consumo '!$C$18))*'Datos Consumo '!$C46*Auxiliares!$J$15*Auxiliares!$J$16</f>
        <v>66.722599880275382</v>
      </c>
      <c r="F77">
        <f>IF('Datos Consumo '!$C$12="Si",'Datos Consumo '!$C24,IF('Datos Consumo '!$C$11="No",'Datos Consumo '!$C$14,'Datos Consumo '!$C$16*Auxiliares!$N$4+Auxiliares!$N$5*'Datos Consumo '!$C$18))*'Datos Consumo '!$C46*Auxiliares!$J$15*Auxiliares!$J$16</f>
        <v>66.722599880275382</v>
      </c>
      <c r="G77">
        <f>IF('Datos Consumo '!$C$12="Si",'Datos Consumo '!$C24,IF('Datos Consumo '!$C$11="No",'Datos Consumo '!$C$14,'Datos Consumo '!$C$16*Auxiliares!$N$4+Auxiliares!$N$5*'Datos Consumo '!$C$18))*'Datos Consumo '!$C46*Auxiliares!$J$15*Auxiliares!$J$16</f>
        <v>66.722599880275382</v>
      </c>
      <c r="H77">
        <f>IF('Datos Consumo '!$C$12="Si",'Datos Consumo '!$C24,IF('Datos Consumo '!$C$11="No",'Datos Consumo '!$C$14,'Datos Consumo '!$C$16*Auxiliares!$N$4+Auxiliares!$N$5*'Datos Consumo '!$C$18))*'Datos Consumo '!$C46*Auxiliares!$J$15*Auxiliares!$J$16</f>
        <v>66.722599880275382</v>
      </c>
      <c r="I77">
        <f>IF('Datos Consumo '!$C$12="Si",'Datos Consumo '!$C24,IF('Datos Consumo '!$C$11="No",'Datos Consumo '!$C$14,'Datos Consumo '!$C$16*Auxiliares!$N$4+Auxiliares!$N$5*'Datos Consumo '!$C$18))*'Datos Consumo '!$C46*Auxiliares!$J$15*Auxiliares!$J$16</f>
        <v>66.722599880275382</v>
      </c>
      <c r="J77">
        <f>IF('Datos Consumo '!$C$12="Si",'Datos Consumo '!$C24,IF('Datos Consumo '!$C$11="No",'Datos Consumo '!$C$14,'Datos Consumo '!$C$16*Auxiliares!$N$4+Auxiliares!$N$5*'Datos Consumo '!$C$18))*'Datos Consumo '!$C46*Auxiliares!$J$15*Auxiliares!$J$16</f>
        <v>66.722599880275382</v>
      </c>
      <c r="K77">
        <f>IF('Datos Consumo '!$C$12="Si",'Datos Consumo '!$C24,IF('Datos Consumo '!$C$11="No",'Datos Consumo '!$C$14,'Datos Consumo '!$C$16*Auxiliares!$N$4+Auxiliares!$N$5*'Datos Consumo '!$C$18))*'Datos Consumo '!$C46*Auxiliares!$J$15*Auxiliares!$J$16</f>
        <v>66.722599880275382</v>
      </c>
      <c r="L77">
        <f>IF('Datos Consumo '!$C$12="Si",'Datos Consumo '!$C24,IF('Datos Consumo '!$C$11="No",'Datos Consumo '!$C$14,'Datos Consumo '!$C$16*Auxiliares!$N$4+Auxiliares!$N$5*'Datos Consumo '!$C$18))*'Datos Consumo '!$C46*Auxiliares!$J$15*Auxiliares!$J$16</f>
        <v>66.722599880275382</v>
      </c>
      <c r="M77">
        <f>IF('Datos Consumo '!$C$12="Si",'Datos Consumo '!$C24,IF('Datos Consumo '!$C$11="No",'Datos Consumo '!$C$14,'Datos Consumo '!$C$16*Auxiliares!$N$4+Auxiliares!$N$5*'Datos Consumo '!$C$18))*'Datos Consumo '!$C46*Auxiliares!$J$15*Auxiliares!$J$16</f>
        <v>66.722599880275382</v>
      </c>
      <c r="N77">
        <f>IF('Datos Consumo '!$C$12="Si",'Datos Consumo '!$C24,IF('Datos Consumo '!$C$11="No",'Datos Consumo '!$C$14,'Datos Consumo '!$C$16*Auxiliares!$N$4+Auxiliares!$N$5*'Datos Consumo '!$C$18))*'Datos Consumo '!$C46*Auxiliares!$J$15*Auxiliares!$J$16</f>
        <v>66.722599880275382</v>
      </c>
      <c r="O77">
        <f>IF('Datos Consumo '!$C$12="Si",'Datos Consumo '!$C24,IF('Datos Consumo '!$C$11="No",'Datos Consumo '!$C$14,'Datos Consumo '!$C$16*Auxiliares!$N$4+Auxiliares!$N$5*'Datos Consumo '!$C$18))*'Datos Consumo '!$C46*Auxiliares!$J$15*Auxiliares!$J$16</f>
        <v>66.722599880275382</v>
      </c>
      <c r="P77">
        <f>IF('Datos Consumo '!$C$12="Si",'Datos Consumo '!$C24,IF('Datos Consumo '!$C$11="No",'Datos Consumo '!$C$14,'Datos Consumo '!$C$16*Auxiliares!$N$4+Auxiliares!$N$5*'Datos Consumo '!$C$18))*'Datos Consumo '!$C46*Auxiliares!$J$15*Auxiliares!$J$16</f>
        <v>66.722599880275382</v>
      </c>
      <c r="Q77">
        <f>IF('Datos Consumo '!$C$12="Si",'Datos Consumo '!$C24,IF('Datos Consumo '!$C$11="No",'Datos Consumo '!$C$14,'Datos Consumo '!$C$16*Auxiliares!$N$4+Auxiliares!$N$5*'Datos Consumo '!$C$18))*'Datos Consumo '!$C46*Auxiliares!$J$15*Auxiliares!$J$16</f>
        <v>66.722599880275382</v>
      </c>
      <c r="R77">
        <f>IF('Datos Consumo '!$C$12="Si",'Datos Consumo '!$C24,IF('Datos Consumo '!$C$11="No",'Datos Consumo '!$C$14,'Datos Consumo '!$C$16*Auxiliares!$N$4+Auxiliares!$N$5*'Datos Consumo '!$C$18))*'Datos Consumo '!$C46*Auxiliares!$J$15*Auxiliares!$J$16</f>
        <v>66.722599880275382</v>
      </c>
      <c r="S77">
        <f>IF('Datos Consumo '!$C$12="Si",'Datos Consumo '!$C24,IF('Datos Consumo '!$C$11="No",'Datos Consumo '!$C$14,'Datos Consumo '!$C$16*Auxiliares!$N$4+Auxiliares!$N$5*'Datos Consumo '!$C$18))*'Datos Consumo '!$C46*Auxiliares!$J$15*Auxiliares!$J$16</f>
        <v>66.722599880275382</v>
      </c>
      <c r="T77">
        <f>IF('Datos Consumo '!$C$12="Si",'Datos Consumo '!$C24,IF('Datos Consumo '!$C$11="No",'Datos Consumo '!$C$14,'Datos Consumo '!$C$16*Auxiliares!$N$4+Auxiliares!$N$5*'Datos Consumo '!$C$18))*'Datos Consumo '!$C46*Auxiliares!$J$15*Auxiliares!$J$16</f>
        <v>66.722599880275382</v>
      </c>
      <c r="U77">
        <f>IF('Datos Consumo '!$C$12="Si",'Datos Consumo '!$C24,IF('Datos Consumo '!$C$11="No",'Datos Consumo '!$C$14,'Datos Consumo '!$C$16*Auxiliares!$N$4+Auxiliares!$N$5*'Datos Consumo '!$C$18))*'Datos Consumo '!$C46*Auxiliares!$J$15*Auxiliares!$J$16</f>
        <v>66.722599880275382</v>
      </c>
      <c r="V77">
        <f>IF('Datos Consumo '!$C$12="Si",'Datos Consumo '!$C24,IF('Datos Consumo '!$C$11="No",'Datos Consumo '!$C$14,'Datos Consumo '!$C$16*Auxiliares!$N$4+Auxiliares!$N$5*'Datos Consumo '!$C$18))*'Datos Consumo '!$C46*Auxiliares!$J$15*Auxiliares!$J$16</f>
        <v>66.722599880275382</v>
      </c>
      <c r="W77">
        <f>IF('Datos Consumo '!$C$12="Si",'Datos Consumo '!$C24,IF('Datos Consumo '!$C$11="No",'Datos Consumo '!$C$14,'Datos Consumo '!$C$16*Auxiliares!$N$4+Auxiliares!$N$5*'Datos Consumo '!$C$18))*'Datos Consumo '!$C46*Auxiliares!$J$15*Auxiliares!$J$16</f>
        <v>66.722599880275382</v>
      </c>
      <c r="X77">
        <f>IF('Datos Consumo '!$C$12="Si",'Datos Consumo '!$C24,IF('Datos Consumo '!$C$11="No",'Datos Consumo '!$C$14,'Datos Consumo '!$C$16*Auxiliares!$N$4+Auxiliares!$N$5*'Datos Consumo '!$C$18))*'Datos Consumo '!$C46*Auxiliares!$J$15*Auxiliares!$J$16</f>
        <v>66.722599880275382</v>
      </c>
      <c r="Y77">
        <f>IF('Datos Consumo '!$C$12="Si",'Datos Consumo '!$C24,IF('Datos Consumo '!$C$11="No",'Datos Consumo '!$C$14,'Datos Consumo '!$C$16*Auxiliares!$N$4+Auxiliares!$N$5*'Datos Consumo '!$C$18))*'Datos Consumo '!$C46*Auxiliares!$J$15*Auxiliares!$J$16</f>
        <v>66.722599880275382</v>
      </c>
      <c r="Z77">
        <f>IF('Datos Consumo '!$C$12="Si",'Datos Consumo '!$C24,IF('Datos Consumo '!$C$11="No",'Datos Consumo '!$C$14,'Datos Consumo '!$C$16*Auxiliares!$N$4+Auxiliares!$N$5*'Datos Consumo '!$C$18))*'Datos Consumo '!$C46*Auxiliares!$J$15*Auxiliares!$J$16</f>
        <v>66.722599880275382</v>
      </c>
      <c r="AA77">
        <f>IF('Datos Consumo '!$C$12="Si",'Datos Consumo '!$C24,IF('Datos Consumo '!$C$11="No",'Datos Consumo '!$C$14,'Datos Consumo '!$C$16*Auxiliares!$N$4+Auxiliares!$N$5*'Datos Consumo '!$C$18))*'Datos Consumo '!$C46*Auxiliares!$J$15*Auxiliares!$J$16</f>
        <v>66.722599880275382</v>
      </c>
      <c r="AB77">
        <f>IF('Datos Consumo '!$C$12="Si",'Datos Consumo '!$C24,IF('Datos Consumo '!$C$11="No",'Datos Consumo '!$C$14,'Datos Consumo '!$C$16*Auxiliares!$N$4+Auxiliares!$N$5*'Datos Consumo '!$C$18))*'Datos Consumo '!$C46*Auxiliares!$J$15*Auxiliares!$J$16</f>
        <v>66.722599880275382</v>
      </c>
      <c r="AC77">
        <f>IF('Datos Consumo '!$C$12="Si",'Datos Consumo '!$C24,IF('Datos Consumo '!$C$11="No",'Datos Consumo '!$C$14,'Datos Consumo '!$C$16*Auxiliares!$N$4+Auxiliares!$N$5*'Datos Consumo '!$C$18))*'Datos Consumo '!$C46*Auxiliares!$J$15*Auxiliares!$J$16</f>
        <v>66.722599880275382</v>
      </c>
      <c r="AD77">
        <f>IF('Datos Consumo '!$C$12="Si",'Datos Consumo '!$C24,IF('Datos Consumo '!$C$11="No",'Datos Consumo '!$C$14,'Datos Consumo '!$C$16*Auxiliares!$N$4+Auxiliares!$N$5*'Datos Consumo '!$C$18))*'Datos Consumo '!$C46*Auxiliares!$J$15*Auxiliares!$J$16</f>
        <v>66.722599880275382</v>
      </c>
      <c r="AE77">
        <f>IF('Datos Consumo '!$C$12="Si",'Datos Consumo '!$C24,IF('Datos Consumo '!$C$11="No",'Datos Consumo '!$C$14,'Datos Consumo '!$C$16*Auxiliares!$N$4+Auxiliares!$N$5*'Datos Consumo '!$C$18))*'Datos Consumo '!$C46*Auxiliares!$J$15*Auxiliares!$J$16</f>
        <v>66.722599880275382</v>
      </c>
      <c r="AF77">
        <f>IF('Datos Consumo '!$C$12="Si",'Datos Consumo '!$C24,IF('Datos Consumo '!$C$11="No",'Datos Consumo '!$C$14,'Datos Consumo '!$C$16*Auxiliares!$N$4+Auxiliares!$N$5*'Datos Consumo '!$C$18))*'Datos Consumo '!$C46*Auxiliares!$J$15*Auxiliares!$J$16</f>
        <v>66.722599880275382</v>
      </c>
      <c r="AG77">
        <f>IF('Datos Consumo '!$C$12="Si",'Datos Consumo '!$C24,IF('Datos Consumo '!$C$11="No",'Datos Consumo '!$C$14,'Datos Consumo '!$C$16*Auxiliares!$N$4+Auxiliares!$N$5*'Datos Consumo '!$C$18))*'Datos Consumo '!$C46*Auxiliares!$J$15*Auxiliares!$J$16</f>
        <v>66.722599880275382</v>
      </c>
    </row>
    <row r="78" spans="2:33">
      <c r="B78" s="24" t="str">
        <f t="shared" si="7"/>
        <v>Junio</v>
      </c>
      <c r="C78">
        <f>IF('Datos Consumo '!$C$12="Si",'Datos Consumo '!$C25,IF('Datos Consumo '!$C$11="No",'Datos Consumo '!$C$14,'Datos Consumo '!$C$16*Auxiliares!$N$4+Auxiliares!$N$5*'Datos Consumo '!$C$18))*'Datos Consumo '!$C47*Auxiliares!$J$15*Auxiliares!$J$16</f>
        <v>68.084285592117723</v>
      </c>
      <c r="D78">
        <f>IF('Datos Consumo '!$C$12="Si",'Datos Consumo '!$C25,IF('Datos Consumo '!$C$11="No",'Datos Consumo '!$C$14,'Datos Consumo '!$C$16*Auxiliares!$N$4+Auxiliares!$N$5*'Datos Consumo '!$C$18))*'Datos Consumo '!$C47*Auxiliares!$J$15*Auxiliares!$J$16</f>
        <v>68.084285592117723</v>
      </c>
      <c r="E78">
        <f>IF('Datos Consumo '!$C$12="Si",'Datos Consumo '!$C25,IF('Datos Consumo '!$C$11="No",'Datos Consumo '!$C$14,'Datos Consumo '!$C$16*Auxiliares!$N$4+Auxiliares!$N$5*'Datos Consumo '!$C$18))*'Datos Consumo '!$C47*Auxiliares!$J$15*Auxiliares!$J$16</f>
        <v>68.084285592117723</v>
      </c>
      <c r="F78">
        <f>IF('Datos Consumo '!$C$12="Si",'Datos Consumo '!$C25,IF('Datos Consumo '!$C$11="No",'Datos Consumo '!$C$14,'Datos Consumo '!$C$16*Auxiliares!$N$4+Auxiliares!$N$5*'Datos Consumo '!$C$18))*'Datos Consumo '!$C47*Auxiliares!$J$15*Auxiliares!$J$16</f>
        <v>68.084285592117723</v>
      </c>
      <c r="G78">
        <f>IF('Datos Consumo '!$C$12="Si",'Datos Consumo '!$C25,IF('Datos Consumo '!$C$11="No",'Datos Consumo '!$C$14,'Datos Consumo '!$C$16*Auxiliares!$N$4+Auxiliares!$N$5*'Datos Consumo '!$C$18))*'Datos Consumo '!$C47*Auxiliares!$J$15*Auxiliares!$J$16</f>
        <v>68.084285592117723</v>
      </c>
      <c r="H78">
        <f>IF('Datos Consumo '!$C$12="Si",'Datos Consumo '!$C25,IF('Datos Consumo '!$C$11="No",'Datos Consumo '!$C$14,'Datos Consumo '!$C$16*Auxiliares!$N$4+Auxiliares!$N$5*'Datos Consumo '!$C$18))*'Datos Consumo '!$C47*Auxiliares!$J$15*Auxiliares!$J$16</f>
        <v>68.084285592117723</v>
      </c>
      <c r="I78">
        <f>IF('Datos Consumo '!$C$12="Si",'Datos Consumo '!$C25,IF('Datos Consumo '!$C$11="No",'Datos Consumo '!$C$14,'Datos Consumo '!$C$16*Auxiliares!$N$4+Auxiliares!$N$5*'Datos Consumo '!$C$18))*'Datos Consumo '!$C47*Auxiliares!$J$15*Auxiliares!$J$16</f>
        <v>68.084285592117723</v>
      </c>
      <c r="J78">
        <f>IF('Datos Consumo '!$C$12="Si",'Datos Consumo '!$C25,IF('Datos Consumo '!$C$11="No",'Datos Consumo '!$C$14,'Datos Consumo '!$C$16*Auxiliares!$N$4+Auxiliares!$N$5*'Datos Consumo '!$C$18))*'Datos Consumo '!$C47*Auxiliares!$J$15*Auxiliares!$J$16</f>
        <v>68.084285592117723</v>
      </c>
      <c r="K78">
        <f>IF('Datos Consumo '!$C$12="Si",'Datos Consumo '!$C25,IF('Datos Consumo '!$C$11="No",'Datos Consumo '!$C$14,'Datos Consumo '!$C$16*Auxiliares!$N$4+Auxiliares!$N$5*'Datos Consumo '!$C$18))*'Datos Consumo '!$C47*Auxiliares!$J$15*Auxiliares!$J$16</f>
        <v>68.084285592117723</v>
      </c>
      <c r="L78">
        <f>IF('Datos Consumo '!$C$12="Si",'Datos Consumo '!$C25,IF('Datos Consumo '!$C$11="No",'Datos Consumo '!$C$14,'Datos Consumo '!$C$16*Auxiliares!$N$4+Auxiliares!$N$5*'Datos Consumo '!$C$18))*'Datos Consumo '!$C47*Auxiliares!$J$15*Auxiliares!$J$16</f>
        <v>68.084285592117723</v>
      </c>
      <c r="M78">
        <f>IF('Datos Consumo '!$C$12="Si",'Datos Consumo '!$C25,IF('Datos Consumo '!$C$11="No",'Datos Consumo '!$C$14,'Datos Consumo '!$C$16*Auxiliares!$N$4+Auxiliares!$N$5*'Datos Consumo '!$C$18))*'Datos Consumo '!$C47*Auxiliares!$J$15*Auxiliares!$J$16</f>
        <v>68.084285592117723</v>
      </c>
      <c r="N78">
        <f>IF('Datos Consumo '!$C$12="Si",'Datos Consumo '!$C25,IF('Datos Consumo '!$C$11="No",'Datos Consumo '!$C$14,'Datos Consumo '!$C$16*Auxiliares!$N$4+Auxiliares!$N$5*'Datos Consumo '!$C$18))*'Datos Consumo '!$C47*Auxiliares!$J$15*Auxiliares!$J$16</f>
        <v>68.084285592117723</v>
      </c>
      <c r="O78">
        <f>IF('Datos Consumo '!$C$12="Si",'Datos Consumo '!$C25,IF('Datos Consumo '!$C$11="No",'Datos Consumo '!$C$14,'Datos Consumo '!$C$16*Auxiliares!$N$4+Auxiliares!$N$5*'Datos Consumo '!$C$18))*'Datos Consumo '!$C47*Auxiliares!$J$15*Auxiliares!$J$16</f>
        <v>68.084285592117723</v>
      </c>
      <c r="P78">
        <f>IF('Datos Consumo '!$C$12="Si",'Datos Consumo '!$C25,IF('Datos Consumo '!$C$11="No",'Datos Consumo '!$C$14,'Datos Consumo '!$C$16*Auxiliares!$N$4+Auxiliares!$N$5*'Datos Consumo '!$C$18))*'Datos Consumo '!$C47*Auxiliares!$J$15*Auxiliares!$J$16</f>
        <v>68.084285592117723</v>
      </c>
      <c r="Q78">
        <f>IF('Datos Consumo '!$C$12="Si",'Datos Consumo '!$C25,IF('Datos Consumo '!$C$11="No",'Datos Consumo '!$C$14,'Datos Consumo '!$C$16*Auxiliares!$N$4+Auxiliares!$N$5*'Datos Consumo '!$C$18))*'Datos Consumo '!$C47*Auxiliares!$J$15*Auxiliares!$J$16</f>
        <v>68.084285592117723</v>
      </c>
      <c r="R78">
        <f>IF('Datos Consumo '!$C$12="Si",'Datos Consumo '!$C25,IF('Datos Consumo '!$C$11="No",'Datos Consumo '!$C$14,'Datos Consumo '!$C$16*Auxiliares!$N$4+Auxiliares!$N$5*'Datos Consumo '!$C$18))*'Datos Consumo '!$C47*Auxiliares!$J$15*Auxiliares!$J$16</f>
        <v>68.084285592117723</v>
      </c>
      <c r="S78">
        <f>IF('Datos Consumo '!$C$12="Si",'Datos Consumo '!$C25,IF('Datos Consumo '!$C$11="No",'Datos Consumo '!$C$14,'Datos Consumo '!$C$16*Auxiliares!$N$4+Auxiliares!$N$5*'Datos Consumo '!$C$18))*'Datos Consumo '!$C47*Auxiliares!$J$15*Auxiliares!$J$16</f>
        <v>68.084285592117723</v>
      </c>
      <c r="T78">
        <f>IF('Datos Consumo '!$C$12="Si",'Datos Consumo '!$C25,IF('Datos Consumo '!$C$11="No",'Datos Consumo '!$C$14,'Datos Consumo '!$C$16*Auxiliares!$N$4+Auxiliares!$N$5*'Datos Consumo '!$C$18))*'Datos Consumo '!$C47*Auxiliares!$J$15*Auxiliares!$J$16</f>
        <v>68.084285592117723</v>
      </c>
      <c r="U78">
        <f>IF('Datos Consumo '!$C$12="Si",'Datos Consumo '!$C25,IF('Datos Consumo '!$C$11="No",'Datos Consumo '!$C$14,'Datos Consumo '!$C$16*Auxiliares!$N$4+Auxiliares!$N$5*'Datos Consumo '!$C$18))*'Datos Consumo '!$C47*Auxiliares!$J$15*Auxiliares!$J$16</f>
        <v>68.084285592117723</v>
      </c>
      <c r="V78">
        <f>IF('Datos Consumo '!$C$12="Si",'Datos Consumo '!$C25,IF('Datos Consumo '!$C$11="No",'Datos Consumo '!$C$14,'Datos Consumo '!$C$16*Auxiliares!$N$4+Auxiliares!$N$5*'Datos Consumo '!$C$18))*'Datos Consumo '!$C47*Auxiliares!$J$15*Auxiliares!$J$16</f>
        <v>68.084285592117723</v>
      </c>
      <c r="W78">
        <f>IF('Datos Consumo '!$C$12="Si",'Datos Consumo '!$C25,IF('Datos Consumo '!$C$11="No",'Datos Consumo '!$C$14,'Datos Consumo '!$C$16*Auxiliares!$N$4+Auxiliares!$N$5*'Datos Consumo '!$C$18))*'Datos Consumo '!$C47*Auxiliares!$J$15*Auxiliares!$J$16</f>
        <v>68.084285592117723</v>
      </c>
      <c r="X78">
        <f>IF('Datos Consumo '!$C$12="Si",'Datos Consumo '!$C25,IF('Datos Consumo '!$C$11="No",'Datos Consumo '!$C$14,'Datos Consumo '!$C$16*Auxiliares!$N$4+Auxiliares!$N$5*'Datos Consumo '!$C$18))*'Datos Consumo '!$C47*Auxiliares!$J$15*Auxiliares!$J$16</f>
        <v>68.084285592117723</v>
      </c>
      <c r="Y78">
        <f>IF('Datos Consumo '!$C$12="Si",'Datos Consumo '!$C25,IF('Datos Consumo '!$C$11="No",'Datos Consumo '!$C$14,'Datos Consumo '!$C$16*Auxiliares!$N$4+Auxiliares!$N$5*'Datos Consumo '!$C$18))*'Datos Consumo '!$C47*Auxiliares!$J$15*Auxiliares!$J$16</f>
        <v>68.084285592117723</v>
      </c>
      <c r="Z78">
        <f>IF('Datos Consumo '!$C$12="Si",'Datos Consumo '!$C25,IF('Datos Consumo '!$C$11="No",'Datos Consumo '!$C$14,'Datos Consumo '!$C$16*Auxiliares!$N$4+Auxiliares!$N$5*'Datos Consumo '!$C$18))*'Datos Consumo '!$C47*Auxiliares!$J$15*Auxiliares!$J$16</f>
        <v>68.084285592117723</v>
      </c>
      <c r="AA78">
        <f>IF('Datos Consumo '!$C$12="Si",'Datos Consumo '!$C25,IF('Datos Consumo '!$C$11="No",'Datos Consumo '!$C$14,'Datos Consumo '!$C$16*Auxiliares!$N$4+Auxiliares!$N$5*'Datos Consumo '!$C$18))*'Datos Consumo '!$C47*Auxiliares!$J$15*Auxiliares!$J$16</f>
        <v>68.084285592117723</v>
      </c>
      <c r="AB78">
        <f>IF('Datos Consumo '!$C$12="Si",'Datos Consumo '!$C25,IF('Datos Consumo '!$C$11="No",'Datos Consumo '!$C$14,'Datos Consumo '!$C$16*Auxiliares!$N$4+Auxiliares!$N$5*'Datos Consumo '!$C$18))*'Datos Consumo '!$C47*Auxiliares!$J$15*Auxiliares!$J$16</f>
        <v>68.084285592117723</v>
      </c>
      <c r="AC78">
        <f>IF('Datos Consumo '!$C$12="Si",'Datos Consumo '!$C25,IF('Datos Consumo '!$C$11="No",'Datos Consumo '!$C$14,'Datos Consumo '!$C$16*Auxiliares!$N$4+Auxiliares!$N$5*'Datos Consumo '!$C$18))*'Datos Consumo '!$C47*Auxiliares!$J$15*Auxiliares!$J$16</f>
        <v>68.084285592117723</v>
      </c>
      <c r="AD78">
        <f>IF('Datos Consumo '!$C$12="Si",'Datos Consumo '!$C25,IF('Datos Consumo '!$C$11="No",'Datos Consumo '!$C$14,'Datos Consumo '!$C$16*Auxiliares!$N$4+Auxiliares!$N$5*'Datos Consumo '!$C$18))*'Datos Consumo '!$C47*Auxiliares!$J$15*Auxiliares!$J$16</f>
        <v>68.084285592117723</v>
      </c>
      <c r="AE78">
        <f>IF('Datos Consumo '!$C$12="Si",'Datos Consumo '!$C25,IF('Datos Consumo '!$C$11="No",'Datos Consumo '!$C$14,'Datos Consumo '!$C$16*Auxiliares!$N$4+Auxiliares!$N$5*'Datos Consumo '!$C$18))*'Datos Consumo '!$C47*Auxiliares!$J$15*Auxiliares!$J$16</f>
        <v>68.084285592117723</v>
      </c>
      <c r="AF78">
        <f>IF('Datos Consumo '!$C$12="Si",'Datos Consumo '!$C25,IF('Datos Consumo '!$C$11="No",'Datos Consumo '!$C$14,'Datos Consumo '!$C$16*Auxiliares!$N$4+Auxiliares!$N$5*'Datos Consumo '!$C$18))*'Datos Consumo '!$C47*Auxiliares!$J$15*Auxiliares!$J$16</f>
        <v>68.084285592117723</v>
      </c>
      <c r="AG78">
        <f>IF('Datos Consumo '!$C$12="Si",'Datos Consumo '!$C25,IF('Datos Consumo '!$C$11="No",'Datos Consumo '!$C$14,'Datos Consumo '!$C$16*Auxiliares!$N$4+Auxiliares!$N$5*'Datos Consumo '!$C$18))*'Datos Consumo '!$C47*Auxiliares!$J$15*Auxiliares!$J$16</f>
        <v>68.084285592117723</v>
      </c>
    </row>
    <row r="79" spans="2:33">
      <c r="B79" s="24" t="str">
        <f t="shared" si="7"/>
        <v>Julio</v>
      </c>
      <c r="C79">
        <f>IF('Datos Consumo '!$C$12="Si",'Datos Consumo '!$C26,IF('Datos Consumo '!$C$11="No",'Datos Consumo '!$C$14,'Datos Consumo '!$C$16*Auxiliares!$N$4+Auxiliares!$N$5*'Datos Consumo '!$C$18))*'Datos Consumo '!$C48*Auxiliares!$J$15*Auxiliares!$J$16</f>
        <v>84.424514134225973</v>
      </c>
      <c r="D79">
        <f>IF('Datos Consumo '!$C$12="Si",'Datos Consumo '!$C26,IF('Datos Consumo '!$C$11="No",'Datos Consumo '!$C$14,'Datos Consumo '!$C$16*Auxiliares!$N$4+Auxiliares!$N$5*'Datos Consumo '!$C$18))*'Datos Consumo '!$C48*Auxiliares!$J$15*Auxiliares!$J$16</f>
        <v>84.424514134225973</v>
      </c>
      <c r="E79">
        <f>IF('Datos Consumo '!$C$12="Si",'Datos Consumo '!$C26,IF('Datos Consumo '!$C$11="No",'Datos Consumo '!$C$14,'Datos Consumo '!$C$16*Auxiliares!$N$4+Auxiliares!$N$5*'Datos Consumo '!$C$18))*'Datos Consumo '!$C48*Auxiliares!$J$15*Auxiliares!$J$16</f>
        <v>84.424514134225973</v>
      </c>
      <c r="F79">
        <f>IF('Datos Consumo '!$C$12="Si",'Datos Consumo '!$C26,IF('Datos Consumo '!$C$11="No",'Datos Consumo '!$C$14,'Datos Consumo '!$C$16*Auxiliares!$N$4+Auxiliares!$N$5*'Datos Consumo '!$C$18))*'Datos Consumo '!$C48*Auxiliares!$J$15*Auxiliares!$J$16</f>
        <v>84.424514134225973</v>
      </c>
      <c r="G79">
        <f>IF('Datos Consumo '!$C$12="Si",'Datos Consumo '!$C26,IF('Datos Consumo '!$C$11="No",'Datos Consumo '!$C$14,'Datos Consumo '!$C$16*Auxiliares!$N$4+Auxiliares!$N$5*'Datos Consumo '!$C$18))*'Datos Consumo '!$C48*Auxiliares!$J$15*Auxiliares!$J$16</f>
        <v>84.424514134225973</v>
      </c>
      <c r="H79">
        <f>IF('Datos Consumo '!$C$12="Si",'Datos Consumo '!$C26,IF('Datos Consumo '!$C$11="No",'Datos Consumo '!$C$14,'Datos Consumo '!$C$16*Auxiliares!$N$4+Auxiliares!$N$5*'Datos Consumo '!$C$18))*'Datos Consumo '!$C48*Auxiliares!$J$15*Auxiliares!$J$16</f>
        <v>84.424514134225973</v>
      </c>
      <c r="I79">
        <f>IF('Datos Consumo '!$C$12="Si",'Datos Consumo '!$C26,IF('Datos Consumo '!$C$11="No",'Datos Consumo '!$C$14,'Datos Consumo '!$C$16*Auxiliares!$N$4+Auxiliares!$N$5*'Datos Consumo '!$C$18))*'Datos Consumo '!$C48*Auxiliares!$J$15*Auxiliares!$J$16</f>
        <v>84.424514134225973</v>
      </c>
      <c r="J79">
        <f>IF('Datos Consumo '!$C$12="Si",'Datos Consumo '!$C26,IF('Datos Consumo '!$C$11="No",'Datos Consumo '!$C$14,'Datos Consumo '!$C$16*Auxiliares!$N$4+Auxiliares!$N$5*'Datos Consumo '!$C$18))*'Datos Consumo '!$C48*Auxiliares!$J$15*Auxiliares!$J$16</f>
        <v>84.424514134225973</v>
      </c>
      <c r="K79">
        <f>IF('Datos Consumo '!$C$12="Si",'Datos Consumo '!$C26,IF('Datos Consumo '!$C$11="No",'Datos Consumo '!$C$14,'Datos Consumo '!$C$16*Auxiliares!$N$4+Auxiliares!$N$5*'Datos Consumo '!$C$18))*'Datos Consumo '!$C48*Auxiliares!$J$15*Auxiliares!$J$16</f>
        <v>84.424514134225973</v>
      </c>
      <c r="L79">
        <f>IF('Datos Consumo '!$C$12="Si",'Datos Consumo '!$C26,IF('Datos Consumo '!$C$11="No",'Datos Consumo '!$C$14,'Datos Consumo '!$C$16*Auxiliares!$N$4+Auxiliares!$N$5*'Datos Consumo '!$C$18))*'Datos Consumo '!$C48*Auxiliares!$J$15*Auxiliares!$J$16</f>
        <v>84.424514134225973</v>
      </c>
      <c r="M79">
        <f>IF('Datos Consumo '!$C$12="Si",'Datos Consumo '!$C26,IF('Datos Consumo '!$C$11="No",'Datos Consumo '!$C$14,'Datos Consumo '!$C$16*Auxiliares!$N$4+Auxiliares!$N$5*'Datos Consumo '!$C$18))*'Datos Consumo '!$C48*Auxiliares!$J$15*Auxiliares!$J$16</f>
        <v>84.424514134225973</v>
      </c>
      <c r="N79">
        <f>IF('Datos Consumo '!$C$12="Si",'Datos Consumo '!$C26,IF('Datos Consumo '!$C$11="No",'Datos Consumo '!$C$14,'Datos Consumo '!$C$16*Auxiliares!$N$4+Auxiliares!$N$5*'Datos Consumo '!$C$18))*'Datos Consumo '!$C48*Auxiliares!$J$15*Auxiliares!$J$16</f>
        <v>84.424514134225973</v>
      </c>
      <c r="O79">
        <f>IF('Datos Consumo '!$C$12="Si",'Datos Consumo '!$C26,IF('Datos Consumo '!$C$11="No",'Datos Consumo '!$C$14,'Datos Consumo '!$C$16*Auxiliares!$N$4+Auxiliares!$N$5*'Datos Consumo '!$C$18))*'Datos Consumo '!$C48*Auxiliares!$J$15*Auxiliares!$J$16</f>
        <v>84.424514134225973</v>
      </c>
      <c r="P79">
        <f>IF('Datos Consumo '!$C$12="Si",'Datos Consumo '!$C26,IF('Datos Consumo '!$C$11="No",'Datos Consumo '!$C$14,'Datos Consumo '!$C$16*Auxiliares!$N$4+Auxiliares!$N$5*'Datos Consumo '!$C$18))*'Datos Consumo '!$C48*Auxiliares!$J$15*Auxiliares!$J$16</f>
        <v>84.424514134225973</v>
      </c>
      <c r="Q79">
        <f>IF('Datos Consumo '!$C$12="Si",'Datos Consumo '!$C26,IF('Datos Consumo '!$C$11="No",'Datos Consumo '!$C$14,'Datos Consumo '!$C$16*Auxiliares!$N$4+Auxiliares!$N$5*'Datos Consumo '!$C$18))*'Datos Consumo '!$C48*Auxiliares!$J$15*Auxiliares!$J$16</f>
        <v>84.424514134225973</v>
      </c>
      <c r="R79">
        <f>IF('Datos Consumo '!$C$12="Si",'Datos Consumo '!$C26,IF('Datos Consumo '!$C$11="No",'Datos Consumo '!$C$14,'Datos Consumo '!$C$16*Auxiliares!$N$4+Auxiliares!$N$5*'Datos Consumo '!$C$18))*'Datos Consumo '!$C48*Auxiliares!$J$15*Auxiliares!$J$16</f>
        <v>84.424514134225973</v>
      </c>
      <c r="S79">
        <f>IF('Datos Consumo '!$C$12="Si",'Datos Consumo '!$C26,IF('Datos Consumo '!$C$11="No",'Datos Consumo '!$C$14,'Datos Consumo '!$C$16*Auxiliares!$N$4+Auxiliares!$N$5*'Datos Consumo '!$C$18))*'Datos Consumo '!$C48*Auxiliares!$J$15*Auxiliares!$J$16</f>
        <v>84.424514134225973</v>
      </c>
      <c r="T79">
        <f>IF('Datos Consumo '!$C$12="Si",'Datos Consumo '!$C26,IF('Datos Consumo '!$C$11="No",'Datos Consumo '!$C$14,'Datos Consumo '!$C$16*Auxiliares!$N$4+Auxiliares!$N$5*'Datos Consumo '!$C$18))*'Datos Consumo '!$C48*Auxiliares!$J$15*Auxiliares!$J$16</f>
        <v>84.424514134225973</v>
      </c>
      <c r="U79">
        <f>IF('Datos Consumo '!$C$12="Si",'Datos Consumo '!$C26,IF('Datos Consumo '!$C$11="No",'Datos Consumo '!$C$14,'Datos Consumo '!$C$16*Auxiliares!$N$4+Auxiliares!$N$5*'Datos Consumo '!$C$18))*'Datos Consumo '!$C48*Auxiliares!$J$15*Auxiliares!$J$16</f>
        <v>84.424514134225973</v>
      </c>
      <c r="V79">
        <f>IF('Datos Consumo '!$C$12="Si",'Datos Consumo '!$C26,IF('Datos Consumo '!$C$11="No",'Datos Consumo '!$C$14,'Datos Consumo '!$C$16*Auxiliares!$N$4+Auxiliares!$N$5*'Datos Consumo '!$C$18))*'Datos Consumo '!$C48*Auxiliares!$J$15*Auxiliares!$J$16</f>
        <v>84.424514134225973</v>
      </c>
      <c r="W79">
        <f>IF('Datos Consumo '!$C$12="Si",'Datos Consumo '!$C26,IF('Datos Consumo '!$C$11="No",'Datos Consumo '!$C$14,'Datos Consumo '!$C$16*Auxiliares!$N$4+Auxiliares!$N$5*'Datos Consumo '!$C$18))*'Datos Consumo '!$C48*Auxiliares!$J$15*Auxiliares!$J$16</f>
        <v>84.424514134225973</v>
      </c>
      <c r="X79">
        <f>IF('Datos Consumo '!$C$12="Si",'Datos Consumo '!$C26,IF('Datos Consumo '!$C$11="No",'Datos Consumo '!$C$14,'Datos Consumo '!$C$16*Auxiliares!$N$4+Auxiliares!$N$5*'Datos Consumo '!$C$18))*'Datos Consumo '!$C48*Auxiliares!$J$15*Auxiliares!$J$16</f>
        <v>84.424514134225973</v>
      </c>
      <c r="Y79">
        <f>IF('Datos Consumo '!$C$12="Si",'Datos Consumo '!$C26,IF('Datos Consumo '!$C$11="No",'Datos Consumo '!$C$14,'Datos Consumo '!$C$16*Auxiliares!$N$4+Auxiliares!$N$5*'Datos Consumo '!$C$18))*'Datos Consumo '!$C48*Auxiliares!$J$15*Auxiliares!$J$16</f>
        <v>84.424514134225973</v>
      </c>
      <c r="Z79">
        <f>IF('Datos Consumo '!$C$12="Si",'Datos Consumo '!$C26,IF('Datos Consumo '!$C$11="No",'Datos Consumo '!$C$14,'Datos Consumo '!$C$16*Auxiliares!$N$4+Auxiliares!$N$5*'Datos Consumo '!$C$18))*'Datos Consumo '!$C48*Auxiliares!$J$15*Auxiliares!$J$16</f>
        <v>84.424514134225973</v>
      </c>
      <c r="AA79">
        <f>IF('Datos Consumo '!$C$12="Si",'Datos Consumo '!$C26,IF('Datos Consumo '!$C$11="No",'Datos Consumo '!$C$14,'Datos Consumo '!$C$16*Auxiliares!$N$4+Auxiliares!$N$5*'Datos Consumo '!$C$18))*'Datos Consumo '!$C48*Auxiliares!$J$15*Auxiliares!$J$16</f>
        <v>84.424514134225973</v>
      </c>
      <c r="AB79">
        <f>IF('Datos Consumo '!$C$12="Si",'Datos Consumo '!$C26,IF('Datos Consumo '!$C$11="No",'Datos Consumo '!$C$14,'Datos Consumo '!$C$16*Auxiliares!$N$4+Auxiliares!$N$5*'Datos Consumo '!$C$18))*'Datos Consumo '!$C48*Auxiliares!$J$15*Auxiliares!$J$16</f>
        <v>84.424514134225973</v>
      </c>
      <c r="AC79">
        <f>IF('Datos Consumo '!$C$12="Si",'Datos Consumo '!$C26,IF('Datos Consumo '!$C$11="No",'Datos Consumo '!$C$14,'Datos Consumo '!$C$16*Auxiliares!$N$4+Auxiliares!$N$5*'Datos Consumo '!$C$18))*'Datos Consumo '!$C48*Auxiliares!$J$15*Auxiliares!$J$16</f>
        <v>84.424514134225973</v>
      </c>
      <c r="AD79">
        <f>IF('Datos Consumo '!$C$12="Si",'Datos Consumo '!$C26,IF('Datos Consumo '!$C$11="No",'Datos Consumo '!$C$14,'Datos Consumo '!$C$16*Auxiliares!$N$4+Auxiliares!$N$5*'Datos Consumo '!$C$18))*'Datos Consumo '!$C48*Auxiliares!$J$15*Auxiliares!$J$16</f>
        <v>84.424514134225973</v>
      </c>
      <c r="AE79">
        <f>IF('Datos Consumo '!$C$12="Si",'Datos Consumo '!$C26,IF('Datos Consumo '!$C$11="No",'Datos Consumo '!$C$14,'Datos Consumo '!$C$16*Auxiliares!$N$4+Auxiliares!$N$5*'Datos Consumo '!$C$18))*'Datos Consumo '!$C48*Auxiliares!$J$15*Auxiliares!$J$16</f>
        <v>84.424514134225973</v>
      </c>
      <c r="AF79">
        <f>IF('Datos Consumo '!$C$12="Si",'Datos Consumo '!$C26,IF('Datos Consumo '!$C$11="No",'Datos Consumo '!$C$14,'Datos Consumo '!$C$16*Auxiliares!$N$4+Auxiliares!$N$5*'Datos Consumo '!$C$18))*'Datos Consumo '!$C48*Auxiliares!$J$15*Auxiliares!$J$16</f>
        <v>84.424514134225973</v>
      </c>
      <c r="AG79">
        <f>IF('Datos Consumo '!$C$12="Si",'Datos Consumo '!$C26,IF('Datos Consumo '!$C$11="No",'Datos Consumo '!$C$14,'Datos Consumo '!$C$16*Auxiliares!$N$4+Auxiliares!$N$5*'Datos Consumo '!$C$18))*'Datos Consumo '!$C48*Auxiliares!$J$15*Auxiliares!$J$16</f>
        <v>84.424514134225973</v>
      </c>
    </row>
    <row r="80" spans="2:33">
      <c r="B80" s="24" t="str">
        <f t="shared" si="7"/>
        <v>Agosto</v>
      </c>
      <c r="C80">
        <f>IF('Datos Consumo '!$C$12="Si",'Datos Consumo '!$C27,IF('Datos Consumo '!$C$11="No",'Datos Consumo '!$C$14,'Datos Consumo '!$C$16*Auxiliares!$N$4+Auxiliares!$N$5*'Datos Consumo '!$C$18))*'Datos Consumo '!$C49*Auxiliares!$J$15*Auxiliares!$J$16</f>
        <v>72.169342727644789</v>
      </c>
      <c r="D80">
        <f>IF('Datos Consumo '!$C$12="Si",'Datos Consumo '!$C27,IF('Datos Consumo '!$C$11="No",'Datos Consumo '!$C$14,'Datos Consumo '!$C$16*Auxiliares!$N$4+Auxiliares!$N$5*'Datos Consumo '!$C$18))*'Datos Consumo '!$C49*Auxiliares!$J$15*Auxiliares!$J$16</f>
        <v>72.169342727644789</v>
      </c>
      <c r="E80">
        <f>IF('Datos Consumo '!$C$12="Si",'Datos Consumo '!$C27,IF('Datos Consumo '!$C$11="No",'Datos Consumo '!$C$14,'Datos Consumo '!$C$16*Auxiliares!$N$4+Auxiliares!$N$5*'Datos Consumo '!$C$18))*'Datos Consumo '!$C49*Auxiliares!$J$15*Auxiliares!$J$16</f>
        <v>72.169342727644789</v>
      </c>
      <c r="F80">
        <f>IF('Datos Consumo '!$C$12="Si",'Datos Consumo '!$C27,IF('Datos Consumo '!$C$11="No",'Datos Consumo '!$C$14,'Datos Consumo '!$C$16*Auxiliares!$N$4+Auxiliares!$N$5*'Datos Consumo '!$C$18))*'Datos Consumo '!$C49*Auxiliares!$J$15*Auxiliares!$J$16</f>
        <v>72.169342727644789</v>
      </c>
      <c r="G80">
        <f>IF('Datos Consumo '!$C$12="Si",'Datos Consumo '!$C27,IF('Datos Consumo '!$C$11="No",'Datos Consumo '!$C$14,'Datos Consumo '!$C$16*Auxiliares!$N$4+Auxiliares!$N$5*'Datos Consumo '!$C$18))*'Datos Consumo '!$C49*Auxiliares!$J$15*Auxiliares!$J$16</f>
        <v>72.169342727644789</v>
      </c>
      <c r="H80">
        <f>IF('Datos Consumo '!$C$12="Si",'Datos Consumo '!$C27,IF('Datos Consumo '!$C$11="No",'Datos Consumo '!$C$14,'Datos Consumo '!$C$16*Auxiliares!$N$4+Auxiliares!$N$5*'Datos Consumo '!$C$18))*'Datos Consumo '!$C49*Auxiliares!$J$15*Auxiliares!$J$16</f>
        <v>72.169342727644789</v>
      </c>
      <c r="I80">
        <f>IF('Datos Consumo '!$C$12="Si",'Datos Consumo '!$C27,IF('Datos Consumo '!$C$11="No",'Datos Consumo '!$C$14,'Datos Consumo '!$C$16*Auxiliares!$N$4+Auxiliares!$N$5*'Datos Consumo '!$C$18))*'Datos Consumo '!$C49*Auxiliares!$J$15*Auxiliares!$J$16</f>
        <v>72.169342727644789</v>
      </c>
      <c r="J80">
        <f>IF('Datos Consumo '!$C$12="Si",'Datos Consumo '!$C27,IF('Datos Consumo '!$C$11="No",'Datos Consumo '!$C$14,'Datos Consumo '!$C$16*Auxiliares!$N$4+Auxiliares!$N$5*'Datos Consumo '!$C$18))*'Datos Consumo '!$C49*Auxiliares!$J$15*Auxiliares!$J$16</f>
        <v>72.169342727644789</v>
      </c>
      <c r="K80">
        <f>IF('Datos Consumo '!$C$12="Si",'Datos Consumo '!$C27,IF('Datos Consumo '!$C$11="No",'Datos Consumo '!$C$14,'Datos Consumo '!$C$16*Auxiliares!$N$4+Auxiliares!$N$5*'Datos Consumo '!$C$18))*'Datos Consumo '!$C49*Auxiliares!$J$15*Auxiliares!$J$16</f>
        <v>72.169342727644789</v>
      </c>
      <c r="L80">
        <f>IF('Datos Consumo '!$C$12="Si",'Datos Consumo '!$C27,IF('Datos Consumo '!$C$11="No",'Datos Consumo '!$C$14,'Datos Consumo '!$C$16*Auxiliares!$N$4+Auxiliares!$N$5*'Datos Consumo '!$C$18))*'Datos Consumo '!$C49*Auxiliares!$J$15*Auxiliares!$J$16</f>
        <v>72.169342727644789</v>
      </c>
      <c r="M80">
        <f>IF('Datos Consumo '!$C$12="Si",'Datos Consumo '!$C27,IF('Datos Consumo '!$C$11="No",'Datos Consumo '!$C$14,'Datos Consumo '!$C$16*Auxiliares!$N$4+Auxiliares!$N$5*'Datos Consumo '!$C$18))*'Datos Consumo '!$C49*Auxiliares!$J$15*Auxiliares!$J$16</f>
        <v>72.169342727644789</v>
      </c>
      <c r="N80">
        <f>IF('Datos Consumo '!$C$12="Si",'Datos Consumo '!$C27,IF('Datos Consumo '!$C$11="No",'Datos Consumo '!$C$14,'Datos Consumo '!$C$16*Auxiliares!$N$4+Auxiliares!$N$5*'Datos Consumo '!$C$18))*'Datos Consumo '!$C49*Auxiliares!$J$15*Auxiliares!$J$16</f>
        <v>72.169342727644789</v>
      </c>
      <c r="O80">
        <f>IF('Datos Consumo '!$C$12="Si",'Datos Consumo '!$C27,IF('Datos Consumo '!$C$11="No",'Datos Consumo '!$C$14,'Datos Consumo '!$C$16*Auxiliares!$N$4+Auxiliares!$N$5*'Datos Consumo '!$C$18))*'Datos Consumo '!$C49*Auxiliares!$J$15*Auxiliares!$J$16</f>
        <v>72.169342727644789</v>
      </c>
      <c r="P80">
        <f>IF('Datos Consumo '!$C$12="Si",'Datos Consumo '!$C27,IF('Datos Consumo '!$C$11="No",'Datos Consumo '!$C$14,'Datos Consumo '!$C$16*Auxiliares!$N$4+Auxiliares!$N$5*'Datos Consumo '!$C$18))*'Datos Consumo '!$C49*Auxiliares!$J$15*Auxiliares!$J$16</f>
        <v>72.169342727644789</v>
      </c>
      <c r="Q80">
        <f>IF('Datos Consumo '!$C$12="Si",'Datos Consumo '!$C27,IF('Datos Consumo '!$C$11="No",'Datos Consumo '!$C$14,'Datos Consumo '!$C$16*Auxiliares!$N$4+Auxiliares!$N$5*'Datos Consumo '!$C$18))*'Datos Consumo '!$C49*Auxiliares!$J$15*Auxiliares!$J$16</f>
        <v>72.169342727644789</v>
      </c>
      <c r="R80">
        <f>IF('Datos Consumo '!$C$12="Si",'Datos Consumo '!$C27,IF('Datos Consumo '!$C$11="No",'Datos Consumo '!$C$14,'Datos Consumo '!$C$16*Auxiliares!$N$4+Auxiliares!$N$5*'Datos Consumo '!$C$18))*'Datos Consumo '!$C49*Auxiliares!$J$15*Auxiliares!$J$16</f>
        <v>72.169342727644789</v>
      </c>
      <c r="S80">
        <f>IF('Datos Consumo '!$C$12="Si",'Datos Consumo '!$C27,IF('Datos Consumo '!$C$11="No",'Datos Consumo '!$C$14,'Datos Consumo '!$C$16*Auxiliares!$N$4+Auxiliares!$N$5*'Datos Consumo '!$C$18))*'Datos Consumo '!$C49*Auxiliares!$J$15*Auxiliares!$J$16</f>
        <v>72.169342727644789</v>
      </c>
      <c r="T80">
        <f>IF('Datos Consumo '!$C$12="Si",'Datos Consumo '!$C27,IF('Datos Consumo '!$C$11="No",'Datos Consumo '!$C$14,'Datos Consumo '!$C$16*Auxiliares!$N$4+Auxiliares!$N$5*'Datos Consumo '!$C$18))*'Datos Consumo '!$C49*Auxiliares!$J$15*Auxiliares!$J$16</f>
        <v>72.169342727644789</v>
      </c>
      <c r="U80">
        <f>IF('Datos Consumo '!$C$12="Si",'Datos Consumo '!$C27,IF('Datos Consumo '!$C$11="No",'Datos Consumo '!$C$14,'Datos Consumo '!$C$16*Auxiliares!$N$4+Auxiliares!$N$5*'Datos Consumo '!$C$18))*'Datos Consumo '!$C49*Auxiliares!$J$15*Auxiliares!$J$16</f>
        <v>72.169342727644789</v>
      </c>
      <c r="V80">
        <f>IF('Datos Consumo '!$C$12="Si",'Datos Consumo '!$C27,IF('Datos Consumo '!$C$11="No",'Datos Consumo '!$C$14,'Datos Consumo '!$C$16*Auxiliares!$N$4+Auxiliares!$N$5*'Datos Consumo '!$C$18))*'Datos Consumo '!$C49*Auxiliares!$J$15*Auxiliares!$J$16</f>
        <v>72.169342727644789</v>
      </c>
      <c r="W80">
        <f>IF('Datos Consumo '!$C$12="Si",'Datos Consumo '!$C27,IF('Datos Consumo '!$C$11="No",'Datos Consumo '!$C$14,'Datos Consumo '!$C$16*Auxiliares!$N$4+Auxiliares!$N$5*'Datos Consumo '!$C$18))*'Datos Consumo '!$C49*Auxiliares!$J$15*Auxiliares!$J$16</f>
        <v>72.169342727644789</v>
      </c>
      <c r="X80">
        <f>IF('Datos Consumo '!$C$12="Si",'Datos Consumo '!$C27,IF('Datos Consumo '!$C$11="No",'Datos Consumo '!$C$14,'Datos Consumo '!$C$16*Auxiliares!$N$4+Auxiliares!$N$5*'Datos Consumo '!$C$18))*'Datos Consumo '!$C49*Auxiliares!$J$15*Auxiliares!$J$16</f>
        <v>72.169342727644789</v>
      </c>
      <c r="Y80">
        <f>IF('Datos Consumo '!$C$12="Si",'Datos Consumo '!$C27,IF('Datos Consumo '!$C$11="No",'Datos Consumo '!$C$14,'Datos Consumo '!$C$16*Auxiliares!$N$4+Auxiliares!$N$5*'Datos Consumo '!$C$18))*'Datos Consumo '!$C49*Auxiliares!$J$15*Auxiliares!$J$16</f>
        <v>72.169342727644789</v>
      </c>
      <c r="Z80">
        <f>IF('Datos Consumo '!$C$12="Si",'Datos Consumo '!$C27,IF('Datos Consumo '!$C$11="No",'Datos Consumo '!$C$14,'Datos Consumo '!$C$16*Auxiliares!$N$4+Auxiliares!$N$5*'Datos Consumo '!$C$18))*'Datos Consumo '!$C49*Auxiliares!$J$15*Auxiliares!$J$16</f>
        <v>72.169342727644789</v>
      </c>
      <c r="AA80">
        <f>IF('Datos Consumo '!$C$12="Si",'Datos Consumo '!$C27,IF('Datos Consumo '!$C$11="No",'Datos Consumo '!$C$14,'Datos Consumo '!$C$16*Auxiliares!$N$4+Auxiliares!$N$5*'Datos Consumo '!$C$18))*'Datos Consumo '!$C49*Auxiliares!$J$15*Auxiliares!$J$16</f>
        <v>72.169342727644789</v>
      </c>
      <c r="AB80">
        <f>IF('Datos Consumo '!$C$12="Si",'Datos Consumo '!$C27,IF('Datos Consumo '!$C$11="No",'Datos Consumo '!$C$14,'Datos Consumo '!$C$16*Auxiliares!$N$4+Auxiliares!$N$5*'Datos Consumo '!$C$18))*'Datos Consumo '!$C49*Auxiliares!$J$15*Auxiliares!$J$16</f>
        <v>72.169342727644789</v>
      </c>
      <c r="AC80">
        <f>IF('Datos Consumo '!$C$12="Si",'Datos Consumo '!$C27,IF('Datos Consumo '!$C$11="No",'Datos Consumo '!$C$14,'Datos Consumo '!$C$16*Auxiliares!$N$4+Auxiliares!$N$5*'Datos Consumo '!$C$18))*'Datos Consumo '!$C49*Auxiliares!$J$15*Auxiliares!$J$16</f>
        <v>72.169342727644789</v>
      </c>
      <c r="AD80">
        <f>IF('Datos Consumo '!$C$12="Si",'Datos Consumo '!$C27,IF('Datos Consumo '!$C$11="No",'Datos Consumo '!$C$14,'Datos Consumo '!$C$16*Auxiliares!$N$4+Auxiliares!$N$5*'Datos Consumo '!$C$18))*'Datos Consumo '!$C49*Auxiliares!$J$15*Auxiliares!$J$16</f>
        <v>72.169342727644789</v>
      </c>
      <c r="AE80">
        <f>IF('Datos Consumo '!$C$12="Si",'Datos Consumo '!$C27,IF('Datos Consumo '!$C$11="No",'Datos Consumo '!$C$14,'Datos Consumo '!$C$16*Auxiliares!$N$4+Auxiliares!$N$5*'Datos Consumo '!$C$18))*'Datos Consumo '!$C49*Auxiliares!$J$15*Auxiliares!$J$16</f>
        <v>72.169342727644789</v>
      </c>
      <c r="AF80">
        <f>IF('Datos Consumo '!$C$12="Si",'Datos Consumo '!$C27,IF('Datos Consumo '!$C$11="No",'Datos Consumo '!$C$14,'Datos Consumo '!$C$16*Auxiliares!$N$4+Auxiliares!$N$5*'Datos Consumo '!$C$18))*'Datos Consumo '!$C49*Auxiliares!$J$15*Auxiliares!$J$16</f>
        <v>72.169342727644789</v>
      </c>
      <c r="AG80">
        <f>IF('Datos Consumo '!$C$12="Si",'Datos Consumo '!$C27,IF('Datos Consumo '!$C$11="No",'Datos Consumo '!$C$14,'Datos Consumo '!$C$16*Auxiliares!$N$4+Auxiliares!$N$5*'Datos Consumo '!$C$18))*'Datos Consumo '!$C49*Auxiliares!$J$15*Auxiliares!$J$16</f>
        <v>72.169342727644789</v>
      </c>
    </row>
    <row r="81" spans="2:33">
      <c r="B81" s="24" t="str">
        <f t="shared" si="7"/>
        <v>Septiembre</v>
      </c>
      <c r="C81">
        <f>IF('Datos Consumo '!$C$12="Si",'Datos Consumo '!$C28,IF('Datos Consumo '!$C$11="No",'Datos Consumo '!$C$14,'Datos Consumo '!$C$16*Auxiliares!$N$4+Auxiliares!$N$5*'Datos Consumo '!$C$18))*'Datos Consumo '!$C50*Auxiliares!$J$15*Auxiliares!$J$16</f>
        <v>68.084285592117723</v>
      </c>
      <c r="D81">
        <f>IF('Datos Consumo '!$C$12="Si",'Datos Consumo '!$C28,IF('Datos Consumo '!$C$11="No",'Datos Consumo '!$C$14,'Datos Consumo '!$C$16*Auxiliares!$N$4+Auxiliares!$N$5*'Datos Consumo '!$C$18))*'Datos Consumo '!$C50*Auxiliares!$J$15*Auxiliares!$J$16</f>
        <v>68.084285592117723</v>
      </c>
      <c r="E81">
        <f>IF('Datos Consumo '!$C$12="Si",'Datos Consumo '!$C28,IF('Datos Consumo '!$C$11="No",'Datos Consumo '!$C$14,'Datos Consumo '!$C$16*Auxiliares!$N$4+Auxiliares!$N$5*'Datos Consumo '!$C$18))*'Datos Consumo '!$C50*Auxiliares!$J$15*Auxiliares!$J$16</f>
        <v>68.084285592117723</v>
      </c>
      <c r="F81">
        <f>IF('Datos Consumo '!$C$12="Si",'Datos Consumo '!$C28,IF('Datos Consumo '!$C$11="No",'Datos Consumo '!$C$14,'Datos Consumo '!$C$16*Auxiliares!$N$4+Auxiliares!$N$5*'Datos Consumo '!$C$18))*'Datos Consumo '!$C50*Auxiliares!$J$15*Auxiliares!$J$16</f>
        <v>68.084285592117723</v>
      </c>
      <c r="G81">
        <f>IF('Datos Consumo '!$C$12="Si",'Datos Consumo '!$C28,IF('Datos Consumo '!$C$11="No",'Datos Consumo '!$C$14,'Datos Consumo '!$C$16*Auxiliares!$N$4+Auxiliares!$N$5*'Datos Consumo '!$C$18))*'Datos Consumo '!$C50*Auxiliares!$J$15*Auxiliares!$J$16</f>
        <v>68.084285592117723</v>
      </c>
      <c r="H81">
        <f>IF('Datos Consumo '!$C$12="Si",'Datos Consumo '!$C28,IF('Datos Consumo '!$C$11="No",'Datos Consumo '!$C$14,'Datos Consumo '!$C$16*Auxiliares!$N$4+Auxiliares!$N$5*'Datos Consumo '!$C$18))*'Datos Consumo '!$C50*Auxiliares!$J$15*Auxiliares!$J$16</f>
        <v>68.084285592117723</v>
      </c>
      <c r="I81">
        <f>IF('Datos Consumo '!$C$12="Si",'Datos Consumo '!$C28,IF('Datos Consumo '!$C$11="No",'Datos Consumo '!$C$14,'Datos Consumo '!$C$16*Auxiliares!$N$4+Auxiliares!$N$5*'Datos Consumo '!$C$18))*'Datos Consumo '!$C50*Auxiliares!$J$15*Auxiliares!$J$16</f>
        <v>68.084285592117723</v>
      </c>
      <c r="J81">
        <f>IF('Datos Consumo '!$C$12="Si",'Datos Consumo '!$C28,IF('Datos Consumo '!$C$11="No",'Datos Consumo '!$C$14,'Datos Consumo '!$C$16*Auxiliares!$N$4+Auxiliares!$N$5*'Datos Consumo '!$C$18))*'Datos Consumo '!$C50*Auxiliares!$J$15*Auxiliares!$J$16</f>
        <v>68.084285592117723</v>
      </c>
      <c r="K81">
        <f>IF('Datos Consumo '!$C$12="Si",'Datos Consumo '!$C28,IF('Datos Consumo '!$C$11="No",'Datos Consumo '!$C$14,'Datos Consumo '!$C$16*Auxiliares!$N$4+Auxiliares!$N$5*'Datos Consumo '!$C$18))*'Datos Consumo '!$C50*Auxiliares!$J$15*Auxiliares!$J$16</f>
        <v>68.084285592117723</v>
      </c>
      <c r="L81">
        <f>IF('Datos Consumo '!$C$12="Si",'Datos Consumo '!$C28,IF('Datos Consumo '!$C$11="No",'Datos Consumo '!$C$14,'Datos Consumo '!$C$16*Auxiliares!$N$4+Auxiliares!$N$5*'Datos Consumo '!$C$18))*'Datos Consumo '!$C50*Auxiliares!$J$15*Auxiliares!$J$16</f>
        <v>68.084285592117723</v>
      </c>
      <c r="M81">
        <f>IF('Datos Consumo '!$C$12="Si",'Datos Consumo '!$C28,IF('Datos Consumo '!$C$11="No",'Datos Consumo '!$C$14,'Datos Consumo '!$C$16*Auxiliares!$N$4+Auxiliares!$N$5*'Datos Consumo '!$C$18))*'Datos Consumo '!$C50*Auxiliares!$J$15*Auxiliares!$J$16</f>
        <v>68.084285592117723</v>
      </c>
      <c r="N81">
        <f>IF('Datos Consumo '!$C$12="Si",'Datos Consumo '!$C28,IF('Datos Consumo '!$C$11="No",'Datos Consumo '!$C$14,'Datos Consumo '!$C$16*Auxiliares!$N$4+Auxiliares!$N$5*'Datos Consumo '!$C$18))*'Datos Consumo '!$C50*Auxiliares!$J$15*Auxiliares!$J$16</f>
        <v>68.084285592117723</v>
      </c>
      <c r="O81">
        <f>IF('Datos Consumo '!$C$12="Si",'Datos Consumo '!$C28,IF('Datos Consumo '!$C$11="No",'Datos Consumo '!$C$14,'Datos Consumo '!$C$16*Auxiliares!$N$4+Auxiliares!$N$5*'Datos Consumo '!$C$18))*'Datos Consumo '!$C50*Auxiliares!$J$15*Auxiliares!$J$16</f>
        <v>68.084285592117723</v>
      </c>
      <c r="P81">
        <f>IF('Datos Consumo '!$C$12="Si",'Datos Consumo '!$C28,IF('Datos Consumo '!$C$11="No",'Datos Consumo '!$C$14,'Datos Consumo '!$C$16*Auxiliares!$N$4+Auxiliares!$N$5*'Datos Consumo '!$C$18))*'Datos Consumo '!$C50*Auxiliares!$J$15*Auxiliares!$J$16</f>
        <v>68.084285592117723</v>
      </c>
      <c r="Q81">
        <f>IF('Datos Consumo '!$C$12="Si",'Datos Consumo '!$C28,IF('Datos Consumo '!$C$11="No",'Datos Consumo '!$C$14,'Datos Consumo '!$C$16*Auxiliares!$N$4+Auxiliares!$N$5*'Datos Consumo '!$C$18))*'Datos Consumo '!$C50*Auxiliares!$J$15*Auxiliares!$J$16</f>
        <v>68.084285592117723</v>
      </c>
      <c r="R81">
        <f>IF('Datos Consumo '!$C$12="Si",'Datos Consumo '!$C28,IF('Datos Consumo '!$C$11="No",'Datos Consumo '!$C$14,'Datos Consumo '!$C$16*Auxiliares!$N$4+Auxiliares!$N$5*'Datos Consumo '!$C$18))*'Datos Consumo '!$C50*Auxiliares!$J$15*Auxiliares!$J$16</f>
        <v>68.084285592117723</v>
      </c>
      <c r="S81">
        <f>IF('Datos Consumo '!$C$12="Si",'Datos Consumo '!$C28,IF('Datos Consumo '!$C$11="No",'Datos Consumo '!$C$14,'Datos Consumo '!$C$16*Auxiliares!$N$4+Auxiliares!$N$5*'Datos Consumo '!$C$18))*'Datos Consumo '!$C50*Auxiliares!$J$15*Auxiliares!$J$16</f>
        <v>68.084285592117723</v>
      </c>
      <c r="T81">
        <f>IF('Datos Consumo '!$C$12="Si",'Datos Consumo '!$C28,IF('Datos Consumo '!$C$11="No",'Datos Consumo '!$C$14,'Datos Consumo '!$C$16*Auxiliares!$N$4+Auxiliares!$N$5*'Datos Consumo '!$C$18))*'Datos Consumo '!$C50*Auxiliares!$J$15*Auxiliares!$J$16</f>
        <v>68.084285592117723</v>
      </c>
      <c r="U81">
        <f>IF('Datos Consumo '!$C$12="Si",'Datos Consumo '!$C28,IF('Datos Consumo '!$C$11="No",'Datos Consumo '!$C$14,'Datos Consumo '!$C$16*Auxiliares!$N$4+Auxiliares!$N$5*'Datos Consumo '!$C$18))*'Datos Consumo '!$C50*Auxiliares!$J$15*Auxiliares!$J$16</f>
        <v>68.084285592117723</v>
      </c>
      <c r="V81">
        <f>IF('Datos Consumo '!$C$12="Si",'Datos Consumo '!$C28,IF('Datos Consumo '!$C$11="No",'Datos Consumo '!$C$14,'Datos Consumo '!$C$16*Auxiliares!$N$4+Auxiliares!$N$5*'Datos Consumo '!$C$18))*'Datos Consumo '!$C50*Auxiliares!$J$15*Auxiliares!$J$16</f>
        <v>68.084285592117723</v>
      </c>
      <c r="W81">
        <f>IF('Datos Consumo '!$C$12="Si",'Datos Consumo '!$C28,IF('Datos Consumo '!$C$11="No",'Datos Consumo '!$C$14,'Datos Consumo '!$C$16*Auxiliares!$N$4+Auxiliares!$N$5*'Datos Consumo '!$C$18))*'Datos Consumo '!$C50*Auxiliares!$J$15*Auxiliares!$J$16</f>
        <v>68.084285592117723</v>
      </c>
      <c r="X81">
        <f>IF('Datos Consumo '!$C$12="Si",'Datos Consumo '!$C28,IF('Datos Consumo '!$C$11="No",'Datos Consumo '!$C$14,'Datos Consumo '!$C$16*Auxiliares!$N$4+Auxiliares!$N$5*'Datos Consumo '!$C$18))*'Datos Consumo '!$C50*Auxiliares!$J$15*Auxiliares!$J$16</f>
        <v>68.084285592117723</v>
      </c>
      <c r="Y81">
        <f>IF('Datos Consumo '!$C$12="Si",'Datos Consumo '!$C28,IF('Datos Consumo '!$C$11="No",'Datos Consumo '!$C$14,'Datos Consumo '!$C$16*Auxiliares!$N$4+Auxiliares!$N$5*'Datos Consumo '!$C$18))*'Datos Consumo '!$C50*Auxiliares!$J$15*Auxiliares!$J$16</f>
        <v>68.084285592117723</v>
      </c>
      <c r="Z81">
        <f>IF('Datos Consumo '!$C$12="Si",'Datos Consumo '!$C28,IF('Datos Consumo '!$C$11="No",'Datos Consumo '!$C$14,'Datos Consumo '!$C$16*Auxiliares!$N$4+Auxiliares!$N$5*'Datos Consumo '!$C$18))*'Datos Consumo '!$C50*Auxiliares!$J$15*Auxiliares!$J$16</f>
        <v>68.084285592117723</v>
      </c>
      <c r="AA81">
        <f>IF('Datos Consumo '!$C$12="Si",'Datos Consumo '!$C28,IF('Datos Consumo '!$C$11="No",'Datos Consumo '!$C$14,'Datos Consumo '!$C$16*Auxiliares!$N$4+Auxiliares!$N$5*'Datos Consumo '!$C$18))*'Datos Consumo '!$C50*Auxiliares!$J$15*Auxiliares!$J$16</f>
        <v>68.084285592117723</v>
      </c>
      <c r="AB81">
        <f>IF('Datos Consumo '!$C$12="Si",'Datos Consumo '!$C28,IF('Datos Consumo '!$C$11="No",'Datos Consumo '!$C$14,'Datos Consumo '!$C$16*Auxiliares!$N$4+Auxiliares!$N$5*'Datos Consumo '!$C$18))*'Datos Consumo '!$C50*Auxiliares!$J$15*Auxiliares!$J$16</f>
        <v>68.084285592117723</v>
      </c>
      <c r="AC81">
        <f>IF('Datos Consumo '!$C$12="Si",'Datos Consumo '!$C28,IF('Datos Consumo '!$C$11="No",'Datos Consumo '!$C$14,'Datos Consumo '!$C$16*Auxiliares!$N$4+Auxiliares!$N$5*'Datos Consumo '!$C$18))*'Datos Consumo '!$C50*Auxiliares!$J$15*Auxiliares!$J$16</f>
        <v>68.084285592117723</v>
      </c>
      <c r="AD81">
        <f>IF('Datos Consumo '!$C$12="Si",'Datos Consumo '!$C28,IF('Datos Consumo '!$C$11="No",'Datos Consumo '!$C$14,'Datos Consumo '!$C$16*Auxiliares!$N$4+Auxiliares!$N$5*'Datos Consumo '!$C$18))*'Datos Consumo '!$C50*Auxiliares!$J$15*Auxiliares!$J$16</f>
        <v>68.084285592117723</v>
      </c>
      <c r="AE81">
        <f>IF('Datos Consumo '!$C$12="Si",'Datos Consumo '!$C28,IF('Datos Consumo '!$C$11="No",'Datos Consumo '!$C$14,'Datos Consumo '!$C$16*Auxiliares!$N$4+Auxiliares!$N$5*'Datos Consumo '!$C$18))*'Datos Consumo '!$C50*Auxiliares!$J$15*Auxiliares!$J$16</f>
        <v>68.084285592117723</v>
      </c>
      <c r="AF81">
        <f>IF('Datos Consumo '!$C$12="Si",'Datos Consumo '!$C28,IF('Datos Consumo '!$C$11="No",'Datos Consumo '!$C$14,'Datos Consumo '!$C$16*Auxiliares!$N$4+Auxiliares!$N$5*'Datos Consumo '!$C$18))*'Datos Consumo '!$C50*Auxiliares!$J$15*Auxiliares!$J$16</f>
        <v>68.084285592117723</v>
      </c>
      <c r="AG81">
        <f>IF('Datos Consumo '!$C$12="Si",'Datos Consumo '!$C28,IF('Datos Consumo '!$C$11="No",'Datos Consumo '!$C$14,'Datos Consumo '!$C$16*Auxiliares!$N$4+Auxiliares!$N$5*'Datos Consumo '!$C$18))*'Datos Consumo '!$C50*Auxiliares!$J$15*Auxiliares!$J$16</f>
        <v>68.084285592117723</v>
      </c>
    </row>
    <row r="82" spans="2:33">
      <c r="B82" s="24" t="str">
        <f t="shared" si="7"/>
        <v xml:space="preserve">Octubre </v>
      </c>
      <c r="C82">
        <f>IF('Datos Consumo '!$C$12="Si",'Datos Consumo '!$C29,IF('Datos Consumo '!$C$11="No",'Datos Consumo '!$C$14,'Datos Consumo '!$C$16*Auxiliares!$N$4+Auxiliares!$N$5*'Datos Consumo '!$C$18))*'Datos Consumo '!$C51*Auxiliares!$J$15*Auxiliares!$J$16</f>
        <v>70.807657015802448</v>
      </c>
      <c r="D82">
        <f>IF('Datos Consumo '!$C$12="Si",'Datos Consumo '!$C29,IF('Datos Consumo '!$C$11="No",'Datos Consumo '!$C$14,'Datos Consumo '!$C$16*Auxiliares!$N$4+Auxiliares!$N$5*'Datos Consumo '!$C$18))*'Datos Consumo '!$C51*Auxiliares!$J$15*Auxiliares!$J$16</f>
        <v>70.807657015802448</v>
      </c>
      <c r="E82">
        <f>IF('Datos Consumo '!$C$12="Si",'Datos Consumo '!$C29,IF('Datos Consumo '!$C$11="No",'Datos Consumo '!$C$14,'Datos Consumo '!$C$16*Auxiliares!$N$4+Auxiliares!$N$5*'Datos Consumo '!$C$18))*'Datos Consumo '!$C51*Auxiliares!$J$15*Auxiliares!$J$16</f>
        <v>70.807657015802448</v>
      </c>
      <c r="F82">
        <f>IF('Datos Consumo '!$C$12="Si",'Datos Consumo '!$C29,IF('Datos Consumo '!$C$11="No",'Datos Consumo '!$C$14,'Datos Consumo '!$C$16*Auxiliares!$N$4+Auxiliares!$N$5*'Datos Consumo '!$C$18))*'Datos Consumo '!$C51*Auxiliares!$J$15*Auxiliares!$J$16</f>
        <v>70.807657015802448</v>
      </c>
      <c r="G82">
        <f>IF('Datos Consumo '!$C$12="Si",'Datos Consumo '!$C29,IF('Datos Consumo '!$C$11="No",'Datos Consumo '!$C$14,'Datos Consumo '!$C$16*Auxiliares!$N$4+Auxiliares!$N$5*'Datos Consumo '!$C$18))*'Datos Consumo '!$C51*Auxiliares!$J$15*Auxiliares!$J$16</f>
        <v>70.807657015802448</v>
      </c>
      <c r="H82">
        <f>IF('Datos Consumo '!$C$12="Si",'Datos Consumo '!$C29,IF('Datos Consumo '!$C$11="No",'Datos Consumo '!$C$14,'Datos Consumo '!$C$16*Auxiliares!$N$4+Auxiliares!$N$5*'Datos Consumo '!$C$18))*'Datos Consumo '!$C51*Auxiliares!$J$15*Auxiliares!$J$16</f>
        <v>70.807657015802448</v>
      </c>
      <c r="I82">
        <f>IF('Datos Consumo '!$C$12="Si",'Datos Consumo '!$C29,IF('Datos Consumo '!$C$11="No",'Datos Consumo '!$C$14,'Datos Consumo '!$C$16*Auxiliares!$N$4+Auxiliares!$N$5*'Datos Consumo '!$C$18))*'Datos Consumo '!$C51*Auxiliares!$J$15*Auxiliares!$J$16</f>
        <v>70.807657015802448</v>
      </c>
      <c r="J82">
        <f>IF('Datos Consumo '!$C$12="Si",'Datos Consumo '!$C29,IF('Datos Consumo '!$C$11="No",'Datos Consumo '!$C$14,'Datos Consumo '!$C$16*Auxiliares!$N$4+Auxiliares!$N$5*'Datos Consumo '!$C$18))*'Datos Consumo '!$C51*Auxiliares!$J$15*Auxiliares!$J$16</f>
        <v>70.807657015802448</v>
      </c>
      <c r="K82">
        <f>IF('Datos Consumo '!$C$12="Si",'Datos Consumo '!$C29,IF('Datos Consumo '!$C$11="No",'Datos Consumo '!$C$14,'Datos Consumo '!$C$16*Auxiliares!$N$4+Auxiliares!$N$5*'Datos Consumo '!$C$18))*'Datos Consumo '!$C51*Auxiliares!$J$15*Auxiliares!$J$16</f>
        <v>70.807657015802448</v>
      </c>
      <c r="L82">
        <f>IF('Datos Consumo '!$C$12="Si",'Datos Consumo '!$C29,IF('Datos Consumo '!$C$11="No",'Datos Consumo '!$C$14,'Datos Consumo '!$C$16*Auxiliares!$N$4+Auxiliares!$N$5*'Datos Consumo '!$C$18))*'Datos Consumo '!$C51*Auxiliares!$J$15*Auxiliares!$J$16</f>
        <v>70.807657015802448</v>
      </c>
      <c r="M82">
        <f>IF('Datos Consumo '!$C$12="Si",'Datos Consumo '!$C29,IF('Datos Consumo '!$C$11="No",'Datos Consumo '!$C$14,'Datos Consumo '!$C$16*Auxiliares!$N$4+Auxiliares!$N$5*'Datos Consumo '!$C$18))*'Datos Consumo '!$C51*Auxiliares!$J$15*Auxiliares!$J$16</f>
        <v>70.807657015802448</v>
      </c>
      <c r="N82">
        <f>IF('Datos Consumo '!$C$12="Si",'Datos Consumo '!$C29,IF('Datos Consumo '!$C$11="No",'Datos Consumo '!$C$14,'Datos Consumo '!$C$16*Auxiliares!$N$4+Auxiliares!$N$5*'Datos Consumo '!$C$18))*'Datos Consumo '!$C51*Auxiliares!$J$15*Auxiliares!$J$16</f>
        <v>70.807657015802448</v>
      </c>
      <c r="O82">
        <f>IF('Datos Consumo '!$C$12="Si",'Datos Consumo '!$C29,IF('Datos Consumo '!$C$11="No",'Datos Consumo '!$C$14,'Datos Consumo '!$C$16*Auxiliares!$N$4+Auxiliares!$N$5*'Datos Consumo '!$C$18))*'Datos Consumo '!$C51*Auxiliares!$J$15*Auxiliares!$J$16</f>
        <v>70.807657015802448</v>
      </c>
      <c r="P82">
        <f>IF('Datos Consumo '!$C$12="Si",'Datos Consumo '!$C29,IF('Datos Consumo '!$C$11="No",'Datos Consumo '!$C$14,'Datos Consumo '!$C$16*Auxiliares!$N$4+Auxiliares!$N$5*'Datos Consumo '!$C$18))*'Datos Consumo '!$C51*Auxiliares!$J$15*Auxiliares!$J$16</f>
        <v>70.807657015802448</v>
      </c>
      <c r="Q82">
        <f>IF('Datos Consumo '!$C$12="Si",'Datos Consumo '!$C29,IF('Datos Consumo '!$C$11="No",'Datos Consumo '!$C$14,'Datos Consumo '!$C$16*Auxiliares!$N$4+Auxiliares!$N$5*'Datos Consumo '!$C$18))*'Datos Consumo '!$C51*Auxiliares!$J$15*Auxiliares!$J$16</f>
        <v>70.807657015802448</v>
      </c>
      <c r="R82">
        <f>IF('Datos Consumo '!$C$12="Si",'Datos Consumo '!$C29,IF('Datos Consumo '!$C$11="No",'Datos Consumo '!$C$14,'Datos Consumo '!$C$16*Auxiliares!$N$4+Auxiliares!$N$5*'Datos Consumo '!$C$18))*'Datos Consumo '!$C51*Auxiliares!$J$15*Auxiliares!$J$16</f>
        <v>70.807657015802448</v>
      </c>
      <c r="S82">
        <f>IF('Datos Consumo '!$C$12="Si",'Datos Consumo '!$C29,IF('Datos Consumo '!$C$11="No",'Datos Consumo '!$C$14,'Datos Consumo '!$C$16*Auxiliares!$N$4+Auxiliares!$N$5*'Datos Consumo '!$C$18))*'Datos Consumo '!$C51*Auxiliares!$J$15*Auxiliares!$J$16</f>
        <v>70.807657015802448</v>
      </c>
      <c r="T82">
        <f>IF('Datos Consumo '!$C$12="Si",'Datos Consumo '!$C29,IF('Datos Consumo '!$C$11="No",'Datos Consumo '!$C$14,'Datos Consumo '!$C$16*Auxiliares!$N$4+Auxiliares!$N$5*'Datos Consumo '!$C$18))*'Datos Consumo '!$C51*Auxiliares!$J$15*Auxiliares!$J$16</f>
        <v>70.807657015802448</v>
      </c>
      <c r="U82">
        <f>IF('Datos Consumo '!$C$12="Si",'Datos Consumo '!$C29,IF('Datos Consumo '!$C$11="No",'Datos Consumo '!$C$14,'Datos Consumo '!$C$16*Auxiliares!$N$4+Auxiliares!$N$5*'Datos Consumo '!$C$18))*'Datos Consumo '!$C51*Auxiliares!$J$15*Auxiliares!$J$16</f>
        <v>70.807657015802448</v>
      </c>
      <c r="V82">
        <f>IF('Datos Consumo '!$C$12="Si",'Datos Consumo '!$C29,IF('Datos Consumo '!$C$11="No",'Datos Consumo '!$C$14,'Datos Consumo '!$C$16*Auxiliares!$N$4+Auxiliares!$N$5*'Datos Consumo '!$C$18))*'Datos Consumo '!$C51*Auxiliares!$J$15*Auxiliares!$J$16</f>
        <v>70.807657015802448</v>
      </c>
      <c r="W82">
        <f>IF('Datos Consumo '!$C$12="Si",'Datos Consumo '!$C29,IF('Datos Consumo '!$C$11="No",'Datos Consumo '!$C$14,'Datos Consumo '!$C$16*Auxiliares!$N$4+Auxiliares!$N$5*'Datos Consumo '!$C$18))*'Datos Consumo '!$C51*Auxiliares!$J$15*Auxiliares!$J$16</f>
        <v>70.807657015802448</v>
      </c>
      <c r="X82">
        <f>IF('Datos Consumo '!$C$12="Si",'Datos Consumo '!$C29,IF('Datos Consumo '!$C$11="No",'Datos Consumo '!$C$14,'Datos Consumo '!$C$16*Auxiliares!$N$4+Auxiliares!$N$5*'Datos Consumo '!$C$18))*'Datos Consumo '!$C51*Auxiliares!$J$15*Auxiliares!$J$16</f>
        <v>70.807657015802448</v>
      </c>
      <c r="Y82">
        <f>IF('Datos Consumo '!$C$12="Si",'Datos Consumo '!$C29,IF('Datos Consumo '!$C$11="No",'Datos Consumo '!$C$14,'Datos Consumo '!$C$16*Auxiliares!$N$4+Auxiliares!$N$5*'Datos Consumo '!$C$18))*'Datos Consumo '!$C51*Auxiliares!$J$15*Auxiliares!$J$16</f>
        <v>70.807657015802448</v>
      </c>
      <c r="Z82">
        <f>IF('Datos Consumo '!$C$12="Si",'Datos Consumo '!$C29,IF('Datos Consumo '!$C$11="No",'Datos Consumo '!$C$14,'Datos Consumo '!$C$16*Auxiliares!$N$4+Auxiliares!$N$5*'Datos Consumo '!$C$18))*'Datos Consumo '!$C51*Auxiliares!$J$15*Auxiliares!$J$16</f>
        <v>70.807657015802448</v>
      </c>
      <c r="AA82">
        <f>IF('Datos Consumo '!$C$12="Si",'Datos Consumo '!$C29,IF('Datos Consumo '!$C$11="No",'Datos Consumo '!$C$14,'Datos Consumo '!$C$16*Auxiliares!$N$4+Auxiliares!$N$5*'Datos Consumo '!$C$18))*'Datos Consumo '!$C51*Auxiliares!$J$15*Auxiliares!$J$16</f>
        <v>70.807657015802448</v>
      </c>
      <c r="AB82">
        <f>IF('Datos Consumo '!$C$12="Si",'Datos Consumo '!$C29,IF('Datos Consumo '!$C$11="No",'Datos Consumo '!$C$14,'Datos Consumo '!$C$16*Auxiliares!$N$4+Auxiliares!$N$5*'Datos Consumo '!$C$18))*'Datos Consumo '!$C51*Auxiliares!$J$15*Auxiliares!$J$16</f>
        <v>70.807657015802448</v>
      </c>
      <c r="AC82">
        <f>IF('Datos Consumo '!$C$12="Si",'Datos Consumo '!$C29,IF('Datos Consumo '!$C$11="No",'Datos Consumo '!$C$14,'Datos Consumo '!$C$16*Auxiliares!$N$4+Auxiliares!$N$5*'Datos Consumo '!$C$18))*'Datos Consumo '!$C51*Auxiliares!$J$15*Auxiliares!$J$16</f>
        <v>70.807657015802448</v>
      </c>
      <c r="AD82">
        <f>IF('Datos Consumo '!$C$12="Si",'Datos Consumo '!$C29,IF('Datos Consumo '!$C$11="No",'Datos Consumo '!$C$14,'Datos Consumo '!$C$16*Auxiliares!$N$4+Auxiliares!$N$5*'Datos Consumo '!$C$18))*'Datos Consumo '!$C51*Auxiliares!$J$15*Auxiliares!$J$16</f>
        <v>70.807657015802448</v>
      </c>
      <c r="AE82">
        <f>IF('Datos Consumo '!$C$12="Si",'Datos Consumo '!$C29,IF('Datos Consumo '!$C$11="No",'Datos Consumo '!$C$14,'Datos Consumo '!$C$16*Auxiliares!$N$4+Auxiliares!$N$5*'Datos Consumo '!$C$18))*'Datos Consumo '!$C51*Auxiliares!$J$15*Auxiliares!$J$16</f>
        <v>70.807657015802448</v>
      </c>
      <c r="AF82">
        <f>IF('Datos Consumo '!$C$12="Si",'Datos Consumo '!$C29,IF('Datos Consumo '!$C$11="No",'Datos Consumo '!$C$14,'Datos Consumo '!$C$16*Auxiliares!$N$4+Auxiliares!$N$5*'Datos Consumo '!$C$18))*'Datos Consumo '!$C51*Auxiliares!$J$15*Auxiliares!$J$16</f>
        <v>70.807657015802448</v>
      </c>
      <c r="AG82">
        <f>IF('Datos Consumo '!$C$12="Si",'Datos Consumo '!$C29,IF('Datos Consumo '!$C$11="No",'Datos Consumo '!$C$14,'Datos Consumo '!$C$16*Auxiliares!$N$4+Auxiliares!$N$5*'Datos Consumo '!$C$18))*'Datos Consumo '!$C51*Auxiliares!$J$15*Auxiliares!$J$16</f>
        <v>70.807657015802448</v>
      </c>
    </row>
    <row r="83" spans="2:33">
      <c r="B83" s="24" t="str">
        <f t="shared" si="7"/>
        <v>Noviembre</v>
      </c>
      <c r="C83">
        <f>IF('Datos Consumo '!$C$12="Si",'Datos Consumo '!$C30,IF('Datos Consumo '!$C$11="No",'Datos Consumo '!$C$14,'Datos Consumo '!$C$16*Auxiliares!$N$4+Auxiliares!$N$5*'Datos Consumo '!$C$18))*'Datos Consumo '!$C52*Auxiliares!$J$15*Auxiliares!$J$16</f>
        <v>68.084285592117723</v>
      </c>
      <c r="D83">
        <f>IF('Datos Consumo '!$C$12="Si",'Datos Consumo '!$C30,IF('Datos Consumo '!$C$11="No",'Datos Consumo '!$C$14,'Datos Consumo '!$C$16*Auxiliares!$N$4+Auxiliares!$N$5*'Datos Consumo '!$C$18))*'Datos Consumo '!$C52*Auxiliares!$J$15*Auxiliares!$J$16</f>
        <v>68.084285592117723</v>
      </c>
      <c r="E83">
        <f>IF('Datos Consumo '!$C$12="Si",'Datos Consumo '!$C30,IF('Datos Consumo '!$C$11="No",'Datos Consumo '!$C$14,'Datos Consumo '!$C$16*Auxiliares!$N$4+Auxiliares!$N$5*'Datos Consumo '!$C$18))*'Datos Consumo '!$C52*Auxiliares!$J$15*Auxiliares!$J$16</f>
        <v>68.084285592117723</v>
      </c>
      <c r="F83">
        <f>IF('Datos Consumo '!$C$12="Si",'Datos Consumo '!$C30,IF('Datos Consumo '!$C$11="No",'Datos Consumo '!$C$14,'Datos Consumo '!$C$16*Auxiliares!$N$4+Auxiliares!$N$5*'Datos Consumo '!$C$18))*'Datos Consumo '!$C52*Auxiliares!$J$15*Auxiliares!$J$16</f>
        <v>68.084285592117723</v>
      </c>
      <c r="G83">
        <f>IF('Datos Consumo '!$C$12="Si",'Datos Consumo '!$C30,IF('Datos Consumo '!$C$11="No",'Datos Consumo '!$C$14,'Datos Consumo '!$C$16*Auxiliares!$N$4+Auxiliares!$N$5*'Datos Consumo '!$C$18))*'Datos Consumo '!$C52*Auxiliares!$J$15*Auxiliares!$J$16</f>
        <v>68.084285592117723</v>
      </c>
      <c r="H83">
        <f>IF('Datos Consumo '!$C$12="Si",'Datos Consumo '!$C30,IF('Datos Consumo '!$C$11="No",'Datos Consumo '!$C$14,'Datos Consumo '!$C$16*Auxiliares!$N$4+Auxiliares!$N$5*'Datos Consumo '!$C$18))*'Datos Consumo '!$C52*Auxiliares!$J$15*Auxiliares!$J$16</f>
        <v>68.084285592117723</v>
      </c>
      <c r="I83">
        <f>IF('Datos Consumo '!$C$12="Si",'Datos Consumo '!$C30,IF('Datos Consumo '!$C$11="No",'Datos Consumo '!$C$14,'Datos Consumo '!$C$16*Auxiliares!$N$4+Auxiliares!$N$5*'Datos Consumo '!$C$18))*'Datos Consumo '!$C52*Auxiliares!$J$15*Auxiliares!$J$16</f>
        <v>68.084285592117723</v>
      </c>
      <c r="J83">
        <f>IF('Datos Consumo '!$C$12="Si",'Datos Consumo '!$C30,IF('Datos Consumo '!$C$11="No",'Datos Consumo '!$C$14,'Datos Consumo '!$C$16*Auxiliares!$N$4+Auxiliares!$N$5*'Datos Consumo '!$C$18))*'Datos Consumo '!$C52*Auxiliares!$J$15*Auxiliares!$J$16</f>
        <v>68.084285592117723</v>
      </c>
      <c r="K83">
        <f>IF('Datos Consumo '!$C$12="Si",'Datos Consumo '!$C30,IF('Datos Consumo '!$C$11="No",'Datos Consumo '!$C$14,'Datos Consumo '!$C$16*Auxiliares!$N$4+Auxiliares!$N$5*'Datos Consumo '!$C$18))*'Datos Consumo '!$C52*Auxiliares!$J$15*Auxiliares!$J$16</f>
        <v>68.084285592117723</v>
      </c>
      <c r="L83">
        <f>IF('Datos Consumo '!$C$12="Si",'Datos Consumo '!$C30,IF('Datos Consumo '!$C$11="No",'Datos Consumo '!$C$14,'Datos Consumo '!$C$16*Auxiliares!$N$4+Auxiliares!$N$5*'Datos Consumo '!$C$18))*'Datos Consumo '!$C52*Auxiliares!$J$15*Auxiliares!$J$16</f>
        <v>68.084285592117723</v>
      </c>
      <c r="M83">
        <f>IF('Datos Consumo '!$C$12="Si",'Datos Consumo '!$C30,IF('Datos Consumo '!$C$11="No",'Datos Consumo '!$C$14,'Datos Consumo '!$C$16*Auxiliares!$N$4+Auxiliares!$N$5*'Datos Consumo '!$C$18))*'Datos Consumo '!$C52*Auxiliares!$J$15*Auxiliares!$J$16</f>
        <v>68.084285592117723</v>
      </c>
      <c r="N83">
        <f>IF('Datos Consumo '!$C$12="Si",'Datos Consumo '!$C30,IF('Datos Consumo '!$C$11="No",'Datos Consumo '!$C$14,'Datos Consumo '!$C$16*Auxiliares!$N$4+Auxiliares!$N$5*'Datos Consumo '!$C$18))*'Datos Consumo '!$C52*Auxiliares!$J$15*Auxiliares!$J$16</f>
        <v>68.084285592117723</v>
      </c>
      <c r="O83">
        <f>IF('Datos Consumo '!$C$12="Si",'Datos Consumo '!$C30,IF('Datos Consumo '!$C$11="No",'Datos Consumo '!$C$14,'Datos Consumo '!$C$16*Auxiliares!$N$4+Auxiliares!$N$5*'Datos Consumo '!$C$18))*'Datos Consumo '!$C52*Auxiliares!$J$15*Auxiliares!$J$16</f>
        <v>68.084285592117723</v>
      </c>
      <c r="P83">
        <f>IF('Datos Consumo '!$C$12="Si",'Datos Consumo '!$C30,IF('Datos Consumo '!$C$11="No",'Datos Consumo '!$C$14,'Datos Consumo '!$C$16*Auxiliares!$N$4+Auxiliares!$N$5*'Datos Consumo '!$C$18))*'Datos Consumo '!$C52*Auxiliares!$J$15*Auxiliares!$J$16</f>
        <v>68.084285592117723</v>
      </c>
      <c r="Q83">
        <f>IF('Datos Consumo '!$C$12="Si",'Datos Consumo '!$C30,IF('Datos Consumo '!$C$11="No",'Datos Consumo '!$C$14,'Datos Consumo '!$C$16*Auxiliares!$N$4+Auxiliares!$N$5*'Datos Consumo '!$C$18))*'Datos Consumo '!$C52*Auxiliares!$J$15*Auxiliares!$J$16</f>
        <v>68.084285592117723</v>
      </c>
      <c r="R83">
        <f>IF('Datos Consumo '!$C$12="Si",'Datos Consumo '!$C30,IF('Datos Consumo '!$C$11="No",'Datos Consumo '!$C$14,'Datos Consumo '!$C$16*Auxiliares!$N$4+Auxiliares!$N$5*'Datos Consumo '!$C$18))*'Datos Consumo '!$C52*Auxiliares!$J$15*Auxiliares!$J$16</f>
        <v>68.084285592117723</v>
      </c>
      <c r="S83">
        <f>IF('Datos Consumo '!$C$12="Si",'Datos Consumo '!$C30,IF('Datos Consumo '!$C$11="No",'Datos Consumo '!$C$14,'Datos Consumo '!$C$16*Auxiliares!$N$4+Auxiliares!$N$5*'Datos Consumo '!$C$18))*'Datos Consumo '!$C52*Auxiliares!$J$15*Auxiliares!$J$16</f>
        <v>68.084285592117723</v>
      </c>
      <c r="T83">
        <f>IF('Datos Consumo '!$C$12="Si",'Datos Consumo '!$C30,IF('Datos Consumo '!$C$11="No",'Datos Consumo '!$C$14,'Datos Consumo '!$C$16*Auxiliares!$N$4+Auxiliares!$N$5*'Datos Consumo '!$C$18))*'Datos Consumo '!$C52*Auxiliares!$J$15*Auxiliares!$J$16</f>
        <v>68.084285592117723</v>
      </c>
      <c r="U83">
        <f>IF('Datos Consumo '!$C$12="Si",'Datos Consumo '!$C30,IF('Datos Consumo '!$C$11="No",'Datos Consumo '!$C$14,'Datos Consumo '!$C$16*Auxiliares!$N$4+Auxiliares!$N$5*'Datos Consumo '!$C$18))*'Datos Consumo '!$C52*Auxiliares!$J$15*Auxiliares!$J$16</f>
        <v>68.084285592117723</v>
      </c>
      <c r="V83">
        <f>IF('Datos Consumo '!$C$12="Si",'Datos Consumo '!$C30,IF('Datos Consumo '!$C$11="No",'Datos Consumo '!$C$14,'Datos Consumo '!$C$16*Auxiliares!$N$4+Auxiliares!$N$5*'Datos Consumo '!$C$18))*'Datos Consumo '!$C52*Auxiliares!$J$15*Auxiliares!$J$16</f>
        <v>68.084285592117723</v>
      </c>
      <c r="W83">
        <f>IF('Datos Consumo '!$C$12="Si",'Datos Consumo '!$C30,IF('Datos Consumo '!$C$11="No",'Datos Consumo '!$C$14,'Datos Consumo '!$C$16*Auxiliares!$N$4+Auxiliares!$N$5*'Datos Consumo '!$C$18))*'Datos Consumo '!$C52*Auxiliares!$J$15*Auxiliares!$J$16</f>
        <v>68.084285592117723</v>
      </c>
      <c r="X83">
        <f>IF('Datos Consumo '!$C$12="Si",'Datos Consumo '!$C30,IF('Datos Consumo '!$C$11="No",'Datos Consumo '!$C$14,'Datos Consumo '!$C$16*Auxiliares!$N$4+Auxiliares!$N$5*'Datos Consumo '!$C$18))*'Datos Consumo '!$C52*Auxiliares!$J$15*Auxiliares!$J$16</f>
        <v>68.084285592117723</v>
      </c>
      <c r="Y83">
        <f>IF('Datos Consumo '!$C$12="Si",'Datos Consumo '!$C30,IF('Datos Consumo '!$C$11="No",'Datos Consumo '!$C$14,'Datos Consumo '!$C$16*Auxiliares!$N$4+Auxiliares!$N$5*'Datos Consumo '!$C$18))*'Datos Consumo '!$C52*Auxiliares!$J$15*Auxiliares!$J$16</f>
        <v>68.084285592117723</v>
      </c>
      <c r="Z83">
        <f>IF('Datos Consumo '!$C$12="Si",'Datos Consumo '!$C30,IF('Datos Consumo '!$C$11="No",'Datos Consumo '!$C$14,'Datos Consumo '!$C$16*Auxiliares!$N$4+Auxiliares!$N$5*'Datos Consumo '!$C$18))*'Datos Consumo '!$C52*Auxiliares!$J$15*Auxiliares!$J$16</f>
        <v>68.084285592117723</v>
      </c>
      <c r="AA83">
        <f>IF('Datos Consumo '!$C$12="Si",'Datos Consumo '!$C30,IF('Datos Consumo '!$C$11="No",'Datos Consumo '!$C$14,'Datos Consumo '!$C$16*Auxiliares!$N$4+Auxiliares!$N$5*'Datos Consumo '!$C$18))*'Datos Consumo '!$C52*Auxiliares!$J$15*Auxiliares!$J$16</f>
        <v>68.084285592117723</v>
      </c>
      <c r="AB83">
        <f>IF('Datos Consumo '!$C$12="Si",'Datos Consumo '!$C30,IF('Datos Consumo '!$C$11="No",'Datos Consumo '!$C$14,'Datos Consumo '!$C$16*Auxiliares!$N$4+Auxiliares!$N$5*'Datos Consumo '!$C$18))*'Datos Consumo '!$C52*Auxiliares!$J$15*Auxiliares!$J$16</f>
        <v>68.084285592117723</v>
      </c>
      <c r="AC83">
        <f>IF('Datos Consumo '!$C$12="Si",'Datos Consumo '!$C30,IF('Datos Consumo '!$C$11="No",'Datos Consumo '!$C$14,'Datos Consumo '!$C$16*Auxiliares!$N$4+Auxiliares!$N$5*'Datos Consumo '!$C$18))*'Datos Consumo '!$C52*Auxiliares!$J$15*Auxiliares!$J$16</f>
        <v>68.084285592117723</v>
      </c>
      <c r="AD83">
        <f>IF('Datos Consumo '!$C$12="Si",'Datos Consumo '!$C30,IF('Datos Consumo '!$C$11="No",'Datos Consumo '!$C$14,'Datos Consumo '!$C$16*Auxiliares!$N$4+Auxiliares!$N$5*'Datos Consumo '!$C$18))*'Datos Consumo '!$C52*Auxiliares!$J$15*Auxiliares!$J$16</f>
        <v>68.084285592117723</v>
      </c>
      <c r="AE83">
        <f>IF('Datos Consumo '!$C$12="Si",'Datos Consumo '!$C30,IF('Datos Consumo '!$C$11="No",'Datos Consumo '!$C$14,'Datos Consumo '!$C$16*Auxiliares!$N$4+Auxiliares!$N$5*'Datos Consumo '!$C$18))*'Datos Consumo '!$C52*Auxiliares!$J$15*Auxiliares!$J$16</f>
        <v>68.084285592117723</v>
      </c>
      <c r="AF83">
        <f>IF('Datos Consumo '!$C$12="Si",'Datos Consumo '!$C30,IF('Datos Consumo '!$C$11="No",'Datos Consumo '!$C$14,'Datos Consumo '!$C$16*Auxiliares!$N$4+Auxiliares!$N$5*'Datos Consumo '!$C$18))*'Datos Consumo '!$C52*Auxiliares!$J$15*Auxiliares!$J$16</f>
        <v>68.084285592117723</v>
      </c>
      <c r="AG83">
        <f>IF('Datos Consumo '!$C$12="Si",'Datos Consumo '!$C30,IF('Datos Consumo '!$C$11="No",'Datos Consumo '!$C$14,'Datos Consumo '!$C$16*Auxiliares!$N$4+Auxiliares!$N$5*'Datos Consumo '!$C$18))*'Datos Consumo '!$C52*Auxiliares!$J$15*Auxiliares!$J$16</f>
        <v>68.084285592117723</v>
      </c>
    </row>
    <row r="84" spans="2:33">
      <c r="B84" s="24" t="str">
        <f t="shared" si="7"/>
        <v>Diciembre</v>
      </c>
      <c r="C84">
        <f>IF('Datos Consumo '!$C$12="Si",'Datos Consumo '!$C31,IF('Datos Consumo '!$C$11="No",'Datos Consumo '!$C$14,'Datos Consumo '!$C$16*Auxiliares!$N$4+Auxiliares!$N$5*'Datos Consumo '!$C$18))*'Datos Consumo '!$C53*Auxiliares!$J$15*Auxiliares!$J$16</f>
        <v>95.317999828964815</v>
      </c>
      <c r="D84">
        <f>IF('Datos Consumo '!$C$12="Si",'Datos Consumo '!$C31,IF('Datos Consumo '!$C$11="No",'Datos Consumo '!$C$14,'Datos Consumo '!$C$16*Auxiliares!$N$4+Auxiliares!$N$5*'Datos Consumo '!$C$18))*'Datos Consumo '!$C53*Auxiliares!$J$15*Auxiliares!$J$16</f>
        <v>95.317999828964815</v>
      </c>
      <c r="E84">
        <f>IF('Datos Consumo '!$C$12="Si",'Datos Consumo '!$C31,IF('Datos Consumo '!$C$11="No",'Datos Consumo '!$C$14,'Datos Consumo '!$C$16*Auxiliares!$N$4+Auxiliares!$N$5*'Datos Consumo '!$C$18))*'Datos Consumo '!$C53*Auxiliares!$J$15*Auxiliares!$J$16</f>
        <v>95.317999828964815</v>
      </c>
      <c r="F84">
        <f>IF('Datos Consumo '!$C$12="Si",'Datos Consumo '!$C31,IF('Datos Consumo '!$C$11="No",'Datos Consumo '!$C$14,'Datos Consumo '!$C$16*Auxiliares!$N$4+Auxiliares!$N$5*'Datos Consumo '!$C$18))*'Datos Consumo '!$C53*Auxiliares!$J$15*Auxiliares!$J$16</f>
        <v>95.317999828964815</v>
      </c>
      <c r="G84">
        <f>IF('Datos Consumo '!$C$12="Si",'Datos Consumo '!$C31,IF('Datos Consumo '!$C$11="No",'Datos Consumo '!$C$14,'Datos Consumo '!$C$16*Auxiliares!$N$4+Auxiliares!$N$5*'Datos Consumo '!$C$18))*'Datos Consumo '!$C53*Auxiliares!$J$15*Auxiliares!$J$16</f>
        <v>95.317999828964815</v>
      </c>
      <c r="H84">
        <f>IF('Datos Consumo '!$C$12="Si",'Datos Consumo '!$C31,IF('Datos Consumo '!$C$11="No",'Datos Consumo '!$C$14,'Datos Consumo '!$C$16*Auxiliares!$N$4+Auxiliares!$N$5*'Datos Consumo '!$C$18))*'Datos Consumo '!$C53*Auxiliares!$J$15*Auxiliares!$J$16</f>
        <v>95.317999828964815</v>
      </c>
      <c r="I84">
        <f>IF('Datos Consumo '!$C$12="Si",'Datos Consumo '!$C31,IF('Datos Consumo '!$C$11="No",'Datos Consumo '!$C$14,'Datos Consumo '!$C$16*Auxiliares!$N$4+Auxiliares!$N$5*'Datos Consumo '!$C$18))*'Datos Consumo '!$C53*Auxiliares!$J$15*Auxiliares!$J$16</f>
        <v>95.317999828964815</v>
      </c>
      <c r="J84">
        <f>IF('Datos Consumo '!$C$12="Si",'Datos Consumo '!$C31,IF('Datos Consumo '!$C$11="No",'Datos Consumo '!$C$14,'Datos Consumo '!$C$16*Auxiliares!$N$4+Auxiliares!$N$5*'Datos Consumo '!$C$18))*'Datos Consumo '!$C53*Auxiliares!$J$15*Auxiliares!$J$16</f>
        <v>95.317999828964815</v>
      </c>
      <c r="K84">
        <f>IF('Datos Consumo '!$C$12="Si",'Datos Consumo '!$C31,IF('Datos Consumo '!$C$11="No",'Datos Consumo '!$C$14,'Datos Consumo '!$C$16*Auxiliares!$N$4+Auxiliares!$N$5*'Datos Consumo '!$C$18))*'Datos Consumo '!$C53*Auxiliares!$J$15*Auxiliares!$J$16</f>
        <v>95.317999828964815</v>
      </c>
      <c r="L84">
        <f>IF('Datos Consumo '!$C$12="Si",'Datos Consumo '!$C31,IF('Datos Consumo '!$C$11="No",'Datos Consumo '!$C$14,'Datos Consumo '!$C$16*Auxiliares!$N$4+Auxiliares!$N$5*'Datos Consumo '!$C$18))*'Datos Consumo '!$C53*Auxiliares!$J$15*Auxiliares!$J$16</f>
        <v>95.317999828964815</v>
      </c>
      <c r="M84">
        <f>IF('Datos Consumo '!$C$12="Si",'Datos Consumo '!$C31,IF('Datos Consumo '!$C$11="No",'Datos Consumo '!$C$14,'Datos Consumo '!$C$16*Auxiliares!$N$4+Auxiliares!$N$5*'Datos Consumo '!$C$18))*'Datos Consumo '!$C53*Auxiliares!$J$15*Auxiliares!$J$16</f>
        <v>95.317999828964815</v>
      </c>
      <c r="N84">
        <f>IF('Datos Consumo '!$C$12="Si",'Datos Consumo '!$C31,IF('Datos Consumo '!$C$11="No",'Datos Consumo '!$C$14,'Datos Consumo '!$C$16*Auxiliares!$N$4+Auxiliares!$N$5*'Datos Consumo '!$C$18))*'Datos Consumo '!$C53*Auxiliares!$J$15*Auxiliares!$J$16</f>
        <v>95.317999828964815</v>
      </c>
      <c r="O84">
        <f>IF('Datos Consumo '!$C$12="Si",'Datos Consumo '!$C31,IF('Datos Consumo '!$C$11="No",'Datos Consumo '!$C$14,'Datos Consumo '!$C$16*Auxiliares!$N$4+Auxiliares!$N$5*'Datos Consumo '!$C$18))*'Datos Consumo '!$C53*Auxiliares!$J$15*Auxiliares!$J$16</f>
        <v>95.317999828964815</v>
      </c>
      <c r="P84">
        <f>IF('Datos Consumo '!$C$12="Si",'Datos Consumo '!$C31,IF('Datos Consumo '!$C$11="No",'Datos Consumo '!$C$14,'Datos Consumo '!$C$16*Auxiliares!$N$4+Auxiliares!$N$5*'Datos Consumo '!$C$18))*'Datos Consumo '!$C53*Auxiliares!$J$15*Auxiliares!$J$16</f>
        <v>95.317999828964815</v>
      </c>
      <c r="Q84">
        <f>IF('Datos Consumo '!$C$12="Si",'Datos Consumo '!$C31,IF('Datos Consumo '!$C$11="No",'Datos Consumo '!$C$14,'Datos Consumo '!$C$16*Auxiliares!$N$4+Auxiliares!$N$5*'Datos Consumo '!$C$18))*'Datos Consumo '!$C53*Auxiliares!$J$15*Auxiliares!$J$16</f>
        <v>95.317999828964815</v>
      </c>
      <c r="R84">
        <f>IF('Datos Consumo '!$C$12="Si",'Datos Consumo '!$C31,IF('Datos Consumo '!$C$11="No",'Datos Consumo '!$C$14,'Datos Consumo '!$C$16*Auxiliares!$N$4+Auxiliares!$N$5*'Datos Consumo '!$C$18))*'Datos Consumo '!$C53*Auxiliares!$J$15*Auxiliares!$J$16</f>
        <v>95.317999828964815</v>
      </c>
      <c r="S84">
        <f>IF('Datos Consumo '!$C$12="Si",'Datos Consumo '!$C31,IF('Datos Consumo '!$C$11="No",'Datos Consumo '!$C$14,'Datos Consumo '!$C$16*Auxiliares!$N$4+Auxiliares!$N$5*'Datos Consumo '!$C$18))*'Datos Consumo '!$C53*Auxiliares!$J$15*Auxiliares!$J$16</f>
        <v>95.317999828964815</v>
      </c>
      <c r="T84">
        <f>IF('Datos Consumo '!$C$12="Si",'Datos Consumo '!$C31,IF('Datos Consumo '!$C$11="No",'Datos Consumo '!$C$14,'Datos Consumo '!$C$16*Auxiliares!$N$4+Auxiliares!$N$5*'Datos Consumo '!$C$18))*'Datos Consumo '!$C53*Auxiliares!$J$15*Auxiliares!$J$16</f>
        <v>95.317999828964815</v>
      </c>
      <c r="U84">
        <f>IF('Datos Consumo '!$C$12="Si",'Datos Consumo '!$C31,IF('Datos Consumo '!$C$11="No",'Datos Consumo '!$C$14,'Datos Consumo '!$C$16*Auxiliares!$N$4+Auxiliares!$N$5*'Datos Consumo '!$C$18))*'Datos Consumo '!$C53*Auxiliares!$J$15*Auxiliares!$J$16</f>
        <v>95.317999828964815</v>
      </c>
      <c r="V84">
        <f>IF('Datos Consumo '!$C$12="Si",'Datos Consumo '!$C31,IF('Datos Consumo '!$C$11="No",'Datos Consumo '!$C$14,'Datos Consumo '!$C$16*Auxiliares!$N$4+Auxiliares!$N$5*'Datos Consumo '!$C$18))*'Datos Consumo '!$C53*Auxiliares!$J$15*Auxiliares!$J$16</f>
        <v>95.317999828964815</v>
      </c>
      <c r="W84">
        <f>IF('Datos Consumo '!$C$12="Si",'Datos Consumo '!$C31,IF('Datos Consumo '!$C$11="No",'Datos Consumo '!$C$14,'Datos Consumo '!$C$16*Auxiliares!$N$4+Auxiliares!$N$5*'Datos Consumo '!$C$18))*'Datos Consumo '!$C53*Auxiliares!$J$15*Auxiliares!$J$16</f>
        <v>95.317999828964815</v>
      </c>
      <c r="X84">
        <f>IF('Datos Consumo '!$C$12="Si",'Datos Consumo '!$C31,IF('Datos Consumo '!$C$11="No",'Datos Consumo '!$C$14,'Datos Consumo '!$C$16*Auxiliares!$N$4+Auxiliares!$N$5*'Datos Consumo '!$C$18))*'Datos Consumo '!$C53*Auxiliares!$J$15*Auxiliares!$J$16</f>
        <v>95.317999828964815</v>
      </c>
      <c r="Y84">
        <f>IF('Datos Consumo '!$C$12="Si",'Datos Consumo '!$C31,IF('Datos Consumo '!$C$11="No",'Datos Consumo '!$C$14,'Datos Consumo '!$C$16*Auxiliares!$N$4+Auxiliares!$N$5*'Datos Consumo '!$C$18))*'Datos Consumo '!$C53*Auxiliares!$J$15*Auxiliares!$J$16</f>
        <v>95.317999828964815</v>
      </c>
      <c r="Z84">
        <f>IF('Datos Consumo '!$C$12="Si",'Datos Consumo '!$C31,IF('Datos Consumo '!$C$11="No",'Datos Consumo '!$C$14,'Datos Consumo '!$C$16*Auxiliares!$N$4+Auxiliares!$N$5*'Datos Consumo '!$C$18))*'Datos Consumo '!$C53*Auxiliares!$J$15*Auxiliares!$J$16</f>
        <v>95.317999828964815</v>
      </c>
      <c r="AA84">
        <f>IF('Datos Consumo '!$C$12="Si",'Datos Consumo '!$C31,IF('Datos Consumo '!$C$11="No",'Datos Consumo '!$C$14,'Datos Consumo '!$C$16*Auxiliares!$N$4+Auxiliares!$N$5*'Datos Consumo '!$C$18))*'Datos Consumo '!$C53*Auxiliares!$J$15*Auxiliares!$J$16</f>
        <v>95.317999828964815</v>
      </c>
      <c r="AB84">
        <f>IF('Datos Consumo '!$C$12="Si",'Datos Consumo '!$C31,IF('Datos Consumo '!$C$11="No",'Datos Consumo '!$C$14,'Datos Consumo '!$C$16*Auxiliares!$N$4+Auxiliares!$N$5*'Datos Consumo '!$C$18))*'Datos Consumo '!$C53*Auxiliares!$J$15*Auxiliares!$J$16</f>
        <v>95.317999828964815</v>
      </c>
      <c r="AC84">
        <f>IF('Datos Consumo '!$C$12="Si",'Datos Consumo '!$C31,IF('Datos Consumo '!$C$11="No",'Datos Consumo '!$C$14,'Datos Consumo '!$C$16*Auxiliares!$N$4+Auxiliares!$N$5*'Datos Consumo '!$C$18))*'Datos Consumo '!$C53*Auxiliares!$J$15*Auxiliares!$J$16</f>
        <v>95.317999828964815</v>
      </c>
      <c r="AD84">
        <f>IF('Datos Consumo '!$C$12="Si",'Datos Consumo '!$C31,IF('Datos Consumo '!$C$11="No",'Datos Consumo '!$C$14,'Datos Consumo '!$C$16*Auxiliares!$N$4+Auxiliares!$N$5*'Datos Consumo '!$C$18))*'Datos Consumo '!$C53*Auxiliares!$J$15*Auxiliares!$J$16</f>
        <v>95.317999828964815</v>
      </c>
      <c r="AE84">
        <f>IF('Datos Consumo '!$C$12="Si",'Datos Consumo '!$C31,IF('Datos Consumo '!$C$11="No",'Datos Consumo '!$C$14,'Datos Consumo '!$C$16*Auxiliares!$N$4+Auxiliares!$N$5*'Datos Consumo '!$C$18))*'Datos Consumo '!$C53*Auxiliares!$J$15*Auxiliares!$J$16</f>
        <v>95.317999828964815</v>
      </c>
      <c r="AF84">
        <f>IF('Datos Consumo '!$C$12="Si",'Datos Consumo '!$C31,IF('Datos Consumo '!$C$11="No",'Datos Consumo '!$C$14,'Datos Consumo '!$C$16*Auxiliares!$N$4+Auxiliares!$N$5*'Datos Consumo '!$C$18))*'Datos Consumo '!$C53*Auxiliares!$J$15*Auxiliares!$J$16</f>
        <v>95.317999828964815</v>
      </c>
      <c r="AG84">
        <f>IF('Datos Consumo '!$C$12="Si",'Datos Consumo '!$C31,IF('Datos Consumo '!$C$11="No",'Datos Consumo '!$C$14,'Datos Consumo '!$C$16*Auxiliares!$N$4+Auxiliares!$N$5*'Datos Consumo '!$C$18))*'Datos Consumo '!$C53*Auxiliares!$J$15*Auxiliares!$J$16</f>
        <v>95.317999828964815</v>
      </c>
    </row>
  </sheetData>
  <mergeCells count="5">
    <mergeCell ref="B3:F3"/>
    <mergeCell ref="B20:F20"/>
    <mergeCell ref="B38:F38"/>
    <mergeCell ref="B70:F70"/>
    <mergeCell ref="B54:F54"/>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54BE3-AE82-4698-9FAE-71E861E1CEC7}">
  <dimension ref="A1:AN44"/>
  <sheetViews>
    <sheetView topLeftCell="A16" zoomScale="70" zoomScaleNormal="70" workbookViewId="0">
      <selection activeCell="C25" sqref="C25"/>
    </sheetView>
  </sheetViews>
  <sheetFormatPr baseColWidth="10" defaultRowHeight="13.8"/>
  <cols>
    <col min="1" max="1" width="20.6640625" style="2" customWidth="1"/>
    <col min="2" max="2" width="22" style="2" customWidth="1"/>
    <col min="3" max="3" width="11.5546875" style="2"/>
    <col min="4" max="4" width="21.109375" style="2" customWidth="1"/>
    <col min="5" max="11" width="11.5546875" style="2"/>
    <col min="12" max="12" width="12.21875" style="2" customWidth="1"/>
    <col min="13" max="15" width="11.5546875" style="2"/>
    <col min="16" max="16" width="13.5546875" style="2" bestFit="1" customWidth="1"/>
    <col min="17" max="16384" width="11.5546875" style="2"/>
  </cols>
  <sheetData>
    <row r="1" spans="1:32" ht="14.4" thickBot="1"/>
    <row r="2" spans="1:32" ht="14.4" thickBot="1">
      <c r="B2" s="289" t="s">
        <v>2</v>
      </c>
      <c r="C2" s="290"/>
      <c r="D2" s="291"/>
    </row>
    <row r="10" spans="1:32">
      <c r="B10" s="13" t="s">
        <v>3</v>
      </c>
      <c r="C10" s="13">
        <v>2021</v>
      </c>
      <c r="D10" s="13">
        <f>IF('Rendimiento Paneles'!C9&gt;0,C10+1,"")</f>
        <v>2022</v>
      </c>
      <c r="E10" s="13">
        <f>IF('Rendimiento Paneles'!D9&gt;0,D10+1,"")</f>
        <v>2023</v>
      </c>
      <c r="F10" s="13">
        <f>IF('Rendimiento Paneles'!E9&gt;0,E10+1,"")</f>
        <v>2024</v>
      </c>
      <c r="G10" s="13">
        <f>IF('Rendimiento Paneles'!F9&gt;0,F10+1,"")</f>
        <v>2025</v>
      </c>
      <c r="H10" s="13">
        <f>IF('Rendimiento Paneles'!G9&gt;0,G10+1,"")</f>
        <v>2026</v>
      </c>
      <c r="I10" s="13">
        <f>IF('Rendimiento Paneles'!H9&gt;0,H10+1,"")</f>
        <v>2027</v>
      </c>
      <c r="J10" s="13">
        <f>IF('Rendimiento Paneles'!I9&gt;0,I10+1,"")</f>
        <v>2028</v>
      </c>
      <c r="K10" s="13">
        <f>IF('Rendimiento Paneles'!J9&gt;0,J10+1,"")</f>
        <v>2029</v>
      </c>
      <c r="L10" s="13">
        <f>IF('Rendimiento Paneles'!K9&gt;0,K10+1,"")</f>
        <v>2030</v>
      </c>
      <c r="M10" s="13">
        <f>IF('Rendimiento Paneles'!L9&gt;0,L10+1,"")</f>
        <v>2031</v>
      </c>
      <c r="N10" s="13">
        <f>IF('Rendimiento Paneles'!M9&gt;0,M10+1,"")</f>
        <v>2032</v>
      </c>
      <c r="O10" s="13">
        <f>IF('Rendimiento Paneles'!N9&gt;0,N10+1,"")</f>
        <v>2033</v>
      </c>
      <c r="P10" s="13">
        <f>IF('Rendimiento Paneles'!O9&gt;0,O10+1,"")</f>
        <v>2034</v>
      </c>
      <c r="Q10" s="13">
        <f>IF('Rendimiento Paneles'!P9&gt;0,P10+1,"")</f>
        <v>2035</v>
      </c>
      <c r="R10" s="13">
        <f>IF('Rendimiento Paneles'!Q9&gt;0,Q10+1,"")</f>
        <v>2036</v>
      </c>
      <c r="S10" s="13">
        <f>IF('Rendimiento Paneles'!R9&gt;0,R10+1,"")</f>
        <v>2037</v>
      </c>
      <c r="T10" s="13">
        <f>IF('Rendimiento Paneles'!S9&gt;0,S10+1,"")</f>
        <v>2038</v>
      </c>
      <c r="U10" s="13">
        <f>IF('Rendimiento Paneles'!T9&gt;0,T10+1,"")</f>
        <v>2039</v>
      </c>
      <c r="V10" s="13">
        <f>IF('Rendimiento Paneles'!U9&gt;0,U10+1,"")</f>
        <v>2040</v>
      </c>
      <c r="W10" s="13">
        <f>IF('Rendimiento Paneles'!V9&gt;0,V10+1,"")</f>
        <v>2041</v>
      </c>
      <c r="X10" s="13">
        <f>IF('Rendimiento Paneles'!W9&gt;0,W10+1,"")</f>
        <v>2042</v>
      </c>
      <c r="Y10" s="13">
        <f>IF('Rendimiento Paneles'!X9&gt;0,X10+1,"")</f>
        <v>2043</v>
      </c>
      <c r="Z10" s="13">
        <f>IF('Rendimiento Paneles'!Y9&gt;0,Y10+1,"")</f>
        <v>2044</v>
      </c>
      <c r="AA10" s="13">
        <f>IF('Rendimiento Paneles'!Z9&gt;0,Z10+1,"")</f>
        <v>2045</v>
      </c>
      <c r="AB10" s="13">
        <f>IF('Rendimiento Paneles'!AA9&gt;0,AA10+1,"")</f>
        <v>2046</v>
      </c>
      <c r="AC10" s="13">
        <f>IF('Rendimiento Paneles'!AB9&gt;0,AB10+1,"")</f>
        <v>2047</v>
      </c>
      <c r="AD10" s="13">
        <f>IF('Rendimiento Paneles'!AC9&gt;0,AC10+1,"")</f>
        <v>2048</v>
      </c>
      <c r="AE10" s="13">
        <f>IF('Rendimiento Paneles'!AD9&gt;0,AD10+1,"")</f>
        <v>2049</v>
      </c>
      <c r="AF10" s="13">
        <f>IF('Rendimiento Paneles'!AE9&gt;0,AE10+1,"")</f>
        <v>2050</v>
      </c>
    </row>
    <row r="11" spans="1:32">
      <c r="A11" s="292" t="s">
        <v>17</v>
      </c>
      <c r="B11" s="13" t="s">
        <v>4</v>
      </c>
      <c r="C11" s="2">
        <f ca="1">IF(ISNUMBER(C$10),IF('Datos Instalación'!$F$6="Autoconsumo Aislado",CostesNoGeneración!C73,Ingresos!D4+Ingresos!D43),"")</f>
        <v>50.579183026863859</v>
      </c>
      <c r="D11" s="2">
        <f ca="1">IF(ISNUMBER(D$10),IF('Datos Instalación'!$F$6="Autoconsumo Aislado",CostesNoGeneración!D73,Ingresos!E4+Ingresos!E43),"")</f>
        <v>50.397826247721852</v>
      </c>
      <c r="E11" s="2">
        <f ca="1">IF(ISNUMBER(E$10),IF('Datos Instalación'!$F$6="Autoconsumo Aislado",CostesNoGeneración!E73,Ingresos!F4+Ingresos!F43),"")</f>
        <v>50.217448795187224</v>
      </c>
      <c r="F11" s="2">
        <f ca="1">IF(ISNUMBER(F$10),IF('Datos Instalación'!$F$6="Autoconsumo Aislado",CostesNoGeneración!F73,Ingresos!G4+Ingresos!G43),"")</f>
        <v>50.038045380896278</v>
      </c>
      <c r="G11" s="2">
        <f ca="1">IF(ISNUMBER(G$10),IF('Datos Instalación'!$F$6="Autoconsumo Aislado",CostesNoGeneración!G73,Ingresos!H4+Ingresos!H43),"")</f>
        <v>49.859610745042502</v>
      </c>
      <c r="H11" s="2">
        <f ca="1">IF(ISNUMBER(H$10),IF('Datos Instalación'!$F$6="Autoconsumo Aislado",CostesNoGeneración!H73,Ingresos!I4+Ingresos!I43),"")</f>
        <v>49.682139656222333</v>
      </c>
      <c r="I11" s="2">
        <f ca="1">IF(ISNUMBER(I$10),IF('Datos Instalación'!$F$6="Autoconsumo Aislado",CostesNoGeneración!I73,Ingresos!J4+Ingresos!J43),"")</f>
        <v>49.505626911281809</v>
      </c>
      <c r="J11" s="2">
        <f ca="1">IF(ISNUMBER(J$10),IF('Datos Instalación'!$F$6="Autoconsumo Aislado",CostesNoGeneración!J73,Ingresos!K4+Ingresos!K43),"")</f>
        <v>49.330067335163946</v>
      </c>
      <c r="K11" s="2">
        <f ca="1">IF(ISNUMBER(K$10),IF('Datos Instalación'!$F$6="Autoconsumo Aislado",CostesNoGeneración!K73,Ingresos!L4+Ingresos!L43),"")</f>
        <v>49.155455780757123</v>
      </c>
      <c r="L11" s="2">
        <f ca="1">IF(ISNUMBER(L$10),IF('Datos Instalación'!$F$6="Autoconsumo Aislado",CostesNoGeneración!L73,Ingresos!M4+Ingresos!M43),"")</f>
        <v>48.981787128744102</v>
      </c>
      <c r="M11" s="2">
        <f ca="1">IF(ISNUMBER(M$10),IF('Datos Instalación'!$F$6="Autoconsumo Aislado",CostesNoGeneración!M73,Ingresos!N4+Ingresos!N43),"")</f>
        <v>48.809056287451945</v>
      </c>
      <c r="N11" s="2">
        <f ca="1">IF(ISNUMBER(N$10),IF('Datos Instalación'!$F$6="Autoconsumo Aislado",CostesNoGeneración!N73,Ingresos!O4+Ingresos!O43),"")</f>
        <v>48.637258192702774</v>
      </c>
      <c r="O11" s="2">
        <f ca="1">IF(ISNUMBER(O$10),IF('Datos Instalación'!$F$6="Autoconsumo Aislado",CostesNoGeneración!O73,Ingresos!P4+Ingresos!P43),"")</f>
        <v>48.466387807665242</v>
      </c>
      <c r="P11" s="2">
        <f ca="1">IF(ISNUMBER(P$10),IF('Datos Instalación'!$F$6="Autoconsumo Aislado",CostesNoGeneración!P73,Ingresos!Q4+Ingresos!Q43),"")</f>
        <v>48.296440122706912</v>
      </c>
      <c r="Q11" s="2">
        <f ca="1">IF(ISNUMBER(Q$10),IF('Datos Instalación'!$F$6="Autoconsumo Aislado",CostesNoGeneración!Q73,Ingresos!R4+Ingresos!R43),"")</f>
        <v>48.127410155247361</v>
      </c>
      <c r="R11" s="2">
        <f ca="1">IF(ISNUMBER(R$10),IF('Datos Instalación'!$F$6="Autoconsumo Aislado",CostesNoGeneración!R73,Ingresos!S4+Ingresos!S43),"")</f>
        <v>47.959292949612092</v>
      </c>
      <c r="S11" s="2">
        <f ca="1">IF(ISNUMBER(S$10),IF('Datos Instalación'!$F$6="Autoconsumo Aislado",CostesNoGeneración!S73,Ingresos!T4+Ingresos!T43),"")</f>
        <v>47.792083576887251</v>
      </c>
      <c r="T11" s="2">
        <f ca="1">IF(ISNUMBER(T$10),IF('Datos Instalación'!$F$6="Autoconsumo Aislado",CostesNoGeneración!T73,Ingresos!U4+Ingresos!U43),"")</f>
        <v>47.62577713477512</v>
      </c>
      <c r="U11" s="2">
        <f ca="1">IF(ISNUMBER(U$10),IF('Datos Instalación'!$F$6="Autoconsumo Aislado",CostesNoGeneración!U73,Ingresos!V4+Ingresos!V43),"")</f>
        <v>47.460368747450403</v>
      </c>
      <c r="V11" s="2">
        <f ca="1">IF(ISNUMBER(V$10),IF('Datos Instalación'!$F$6="Autoconsumo Aislado",CostesNoGeneración!V73,Ingresos!W4+Ingresos!W43),"")</f>
        <v>47.295853565417232</v>
      </c>
      <c r="W11" s="2">
        <f ca="1">IF(ISNUMBER(W$10),IF('Datos Instalación'!$F$6="Autoconsumo Aislado",CostesNoGeneración!W73,Ingresos!X4+Ingresos!X43),"")</f>
        <v>47.132226765367051</v>
      </c>
      <c r="X11" s="2">
        <f ca="1">IF(ISNUMBER(X$10),IF('Datos Instalación'!$F$6="Autoconsumo Aislado",CostesNoGeneración!X73,Ingresos!Y4+Ingresos!Y43),"")</f>
        <v>46.969483550037125</v>
      </c>
      <c r="Y11" s="2">
        <f ca="1">IF(ISNUMBER(Y$10),IF('Datos Instalación'!$F$6="Autoconsumo Aislado",CostesNoGeneración!Y73,Ingresos!Z4+Ingresos!Z43),"")</f>
        <v>46.807619148069996</v>
      </c>
      <c r="Z11" s="2">
        <f ca="1">IF(ISNUMBER(Z$10),IF('Datos Instalación'!$F$6="Autoconsumo Aislado",CostesNoGeneración!Z73,Ingresos!AA4+Ingresos!AA43),"")</f>
        <v>46.646628813873477</v>
      </c>
      <c r="AA11" s="2">
        <f ca="1">IF(ISNUMBER(AA$10),IF('Datos Instalación'!$F$6="Autoconsumo Aislado",CostesNoGeneración!AA73,Ingresos!AB4+Ingresos!AB43),"")</f>
        <v>46.486507827481631</v>
      </c>
      <c r="AB11" s="2">
        <f ca="1">IF(ISNUMBER(AB$10),IF('Datos Instalación'!$F$6="Autoconsumo Aislado",CostesNoGeneración!AB73,Ingresos!AC4+Ingresos!AC43),"")</f>
        <v>46.327251494416295</v>
      </c>
      <c r="AC11" s="2">
        <f ca="1">IF(ISNUMBER(AC$10),IF('Datos Instalación'!$F$6="Autoconsumo Aislado",CostesNoGeneración!AC73,Ingresos!AD4+Ingresos!AD43),"")</f>
        <v>46.168855145549514</v>
      </c>
      <c r="AD11" s="2">
        <f ca="1">IF(ISNUMBER(AD$10),IF('Datos Instalación'!$F$6="Autoconsumo Aislado",CostesNoGeneración!AD73,Ingresos!AE4+Ingresos!AE43),"")</f>
        <v>46.011314136966604</v>
      </c>
      <c r="AE11" s="2">
        <f ca="1">IF(ISNUMBER(AE$10),IF('Datos Instalación'!$F$6="Autoconsumo Aislado",CostesNoGeneración!AE73,Ingresos!AF4+Ingresos!AF43),"")</f>
        <v>45.854623849830048</v>
      </c>
      <c r="AF11" s="2">
        <f ca="1">IF(ISNUMBER(AF$10),IF('Datos Instalación'!$F$6="Autoconsumo Aislado",CostesNoGeneración!AF73,Ingresos!AG4+Ingresos!AG43),"")</f>
        <v>45.698779690244031</v>
      </c>
    </row>
    <row r="12" spans="1:32">
      <c r="A12" s="292"/>
      <c r="B12" s="13" t="s">
        <v>5</v>
      </c>
      <c r="C12" s="2">
        <f ca="1">IF(ISNUMBER(C$10),IF('Datos Instalación'!$F$6="Autoconsumo Aislado",CostesNoGeneración!C74,Ingresos!D5+Ingresos!D44),"")</f>
        <v>48.965185585704091</v>
      </c>
      <c r="D12" s="2">
        <f ca="1">IF(ISNUMBER(D$10),IF('Datos Instalación'!$F$6="Autoconsumo Aislado",CostesNoGeneración!D74,Ingresos!E5+Ingresos!E44),"")</f>
        <v>48.784678323384099</v>
      </c>
      <c r="E12" s="2">
        <f ca="1">IF(ISNUMBER(E$10),IF('Datos Instalación'!$F$6="Autoconsumo Aislado",CostesNoGeneración!E74,Ingresos!F5+Ingresos!F44),"")</f>
        <v>48.60514580028061</v>
      </c>
      <c r="F12" s="2">
        <f ca="1">IF(ISNUMBER(F$10),IF('Datos Instalación'!$F$6="Autoconsumo Aislado",CostesNoGeneración!F74,Ingresos!G5+Ingresos!G44),"")</f>
        <v>48.426582752801906</v>
      </c>
      <c r="G12" s="2">
        <f ca="1">IF(ISNUMBER(G$10),IF('Datos Instalación'!$F$6="Autoconsumo Aislado",CostesNoGeneración!G74,Ingresos!H5+Ingresos!H44),"")</f>
        <v>48.248983945779571</v>
      </c>
      <c r="H12" s="2">
        <f ca="1">IF(ISNUMBER(H$10),IF('Datos Instalación'!$F$6="Autoconsumo Aislado",CostesNoGeneración!H74,Ingresos!I5+Ingresos!I44),"")</f>
        <v>48.072344172315169</v>
      </c>
      <c r="I12" s="2">
        <f ca="1">IF(ISNUMBER(I$10),IF('Datos Instalación'!$F$6="Autoconsumo Aislado",CostesNoGeneración!I74,Ingresos!J5+Ingresos!J44),"")</f>
        <v>47.896658253627471</v>
      </c>
      <c r="J12" s="2">
        <f ca="1">IF(ISNUMBER(J$10),IF('Datos Instalación'!$F$6="Autoconsumo Aislado",CostesNoGeneración!J74,Ingresos!K5+Ingresos!K44),"")</f>
        <v>47.721921038900675</v>
      </c>
      <c r="K12" s="2">
        <f ca="1">IF(ISNUMBER(K$10),IF('Datos Instalación'!$F$6="Autoconsumo Aislado",CostesNoGeneración!K74,Ingresos!L5+Ingresos!L44),"")</f>
        <v>47.548127405133414</v>
      </c>
      <c r="L12" s="2">
        <f ca="1">IF(ISNUMBER(L$10),IF('Datos Instalación'!$F$6="Autoconsumo Aislado",CostesNoGeneración!L74,Ingresos!M5+Ingresos!M44),"")</f>
        <v>47.375272256988502</v>
      </c>
      <c r="M12" s="2">
        <f ca="1">IF(ISNUMBER(M$10),IF('Datos Instalación'!$F$6="Autoconsumo Aislado",CostesNoGeneración!M74,Ingresos!N5+Ingresos!N44),"")</f>
        <v>47.203350526643575</v>
      </c>
      <c r="N12" s="2">
        <f ca="1">IF(ISNUMBER(N$10),IF('Datos Instalación'!$F$6="Autoconsumo Aislado",CostesNoGeneración!N74,Ingresos!O5+Ingresos!O44),"")</f>
        <v>47.032357173642495</v>
      </c>
      <c r="O12" s="2">
        <f ca="1">IF(ISNUMBER(O$10),IF('Datos Instalación'!$F$6="Autoconsumo Aislado",CostesNoGeneración!O74,Ingresos!P5+Ingresos!P44),"")</f>
        <v>46.862287184747629</v>
      </c>
      <c r="P12" s="2">
        <f ca="1">IF(ISNUMBER(P$10),IF('Datos Instalación'!$F$6="Autoconsumo Aislado",CostesNoGeneración!P74,Ingresos!Q5+Ingresos!Q44),"")</f>
        <v>46.693135573792787</v>
      </c>
      <c r="Q12" s="2">
        <f ca="1">IF(ISNUMBER(Q$10),IF('Datos Instalación'!$F$6="Autoconsumo Aislado",CostesNoGeneración!Q74,Ingresos!R5+Ingresos!R44),"")</f>
        <v>46.524897381537116</v>
      </c>
      <c r="R12" s="2">
        <f ca="1">IF(ISNUMBER(R$10),IF('Datos Instalación'!$F$6="Autoconsumo Aislado",CostesNoGeneración!R74,Ingresos!S5+Ingresos!S44),"")</f>
        <v>46.357567675519618</v>
      </c>
      <c r="S12" s="2">
        <f ca="1">IF(ISNUMBER(S$10),IF('Datos Instalación'!$F$6="Autoconsumo Aislado",CostesNoGeneración!S74,Ingresos!T5+Ingresos!T44),"")</f>
        <v>46.191141549914612</v>
      </c>
      <c r="T12" s="2">
        <f ca="1">IF(ISNUMBER(T$10),IF('Datos Instalación'!$F$6="Autoconsumo Aislado",CostesNoGeneración!T74,Ingresos!U5+Ingresos!U44),"")</f>
        <v>46.025614125387875</v>
      </c>
      <c r="U12" s="2">
        <f ca="1">IF(ISNUMBER(U$10),IF('Datos Instalación'!$F$6="Autoconsumo Aislado",CostesNoGeneración!U74,Ingresos!V5+Ingresos!V44),"")</f>
        <v>45.860980548953577</v>
      </c>
      <c r="V12" s="2">
        <f ca="1">IF(ISNUMBER(V$10),IF('Datos Instalación'!$F$6="Autoconsumo Aislado",CostesNoGeneración!V74,Ingresos!W5+Ingresos!W44),"")</f>
        <v>45.697235993832024</v>
      </c>
      <c r="W12" s="2">
        <f ca="1">IF(ISNUMBER(W$10),IF('Datos Instalación'!$F$6="Autoconsumo Aislado",CostesNoGeneración!W74,Ingresos!X5+Ingresos!X44),"")</f>
        <v>45.534375659308139</v>
      </c>
      <c r="X12" s="2">
        <f ca="1">IF(ISNUMBER(X$10),IF('Datos Instalación'!$F$6="Autoconsumo Aislado",CostesNoGeneración!X74,Ingresos!Y5+Ingresos!Y44),"")</f>
        <v>45.372394770590688</v>
      </c>
      <c r="Y12" s="2">
        <f ca="1">IF(ISNUMBER(Y$10),IF('Datos Instalación'!$F$6="Autoconsumo Aislado",CostesNoGeneración!Y74,Ingresos!Z5+Ingresos!Z44),"")</f>
        <v>45.211288578672281</v>
      </c>
      <c r="Z12" s="2">
        <f ca="1">IF(ISNUMBER(Z$10),IF('Datos Instalación'!$F$6="Autoconsumo Aislado",CostesNoGeneración!Z74,Ingresos!AA5+Ingresos!AA44),"")</f>
        <v>45.051052360190269</v>
      </c>
      <c r="AA12" s="2">
        <f ca="1">IF(ISNUMBER(AA$10),IF('Datos Instalación'!$F$6="Autoconsumo Aislado",CostesNoGeneración!AA74,Ingresos!AB5+Ingresos!AB44),"")</f>
        <v>44.891681417288041</v>
      </c>
      <c r="AB12" s="2">
        <f ca="1">IF(ISNUMBER(AB$10),IF('Datos Instalación'!$F$6="Autoconsumo Aislado",CostesNoGeneración!AB74,Ingresos!AC5+Ingresos!AC44),"")</f>
        <v>44.733171077477479</v>
      </c>
      <c r="AC12" s="2">
        <f ca="1">IF(ISNUMBER(AC$10),IF('Datos Instalación'!$F$6="Autoconsumo Aislado",CostesNoGeneración!AC74,Ingresos!AD5+Ingresos!AD44),"")</f>
        <v>44.57551669350191</v>
      </c>
      <c r="AD12" s="2">
        <f ca="1">IF(ISNUMBER(AD$10),IF('Datos Instalación'!$F$6="Autoconsumo Aislado",CostesNoGeneración!AD74,Ingresos!AE5+Ingresos!AE44),"")</f>
        <v>44.418713643199801</v>
      </c>
      <c r="AE12" s="2">
        <f ca="1">IF(ISNUMBER(AE$10),IF('Datos Instalación'!$F$6="Autoconsumo Aislado",CostesNoGeneración!AE74,Ingresos!AF5+Ingresos!AF44),"")</f>
        <v>44.262757329369329</v>
      </c>
      <c r="AF12" s="2">
        <f ca="1">IF(ISNUMBER(AF$10),IF('Datos Instalación'!$F$6="Autoconsumo Aislado",CostesNoGeneración!AF74,Ingresos!AG5+Ingresos!AG44),"")</f>
        <v>44.107643179633534</v>
      </c>
    </row>
    <row r="13" spans="1:32">
      <c r="A13" s="292"/>
      <c r="B13" s="13" t="s">
        <v>6</v>
      </c>
      <c r="C13" s="2">
        <f ca="1">IF(ISNUMBER(C$10),IF('Datos Instalación'!$F$6="Autoconsumo Aislado",CostesNoGeneración!C75,Ingresos!D6+Ingresos!D45),"")</f>
        <v>54.442333450437829</v>
      </c>
      <c r="D13" s="2">
        <f ca="1">IF(ISNUMBER(D$10),IF('Datos Instalación'!$F$6="Autoconsumo Aislado",CostesNoGeneración!D75,Ingresos!E6+Ingresos!E45),"")</f>
        <v>54.219139474047829</v>
      </c>
      <c r="E13" s="2">
        <f ca="1">IF(ISNUMBER(E$10),IF('Datos Instalación'!$F$6="Autoconsumo Aislado",CostesNoGeneración!E75,Ingresos!F6+Ingresos!F45),"")</f>
        <v>53.997150745130341</v>
      </c>
      <c r="F13" s="2">
        <f ca="1">IF(ISNUMBER(F$10),IF('Datos Instalación'!$F$6="Autoconsumo Aislado",CostesNoGeneración!F75,Ingresos!G6+Ingresos!G45),"")</f>
        <v>53.776360755348996</v>
      </c>
      <c r="G13" s="2">
        <f ca="1">IF(ISNUMBER(G$10),IF('Datos Instalación'!$F$6="Autoconsumo Aislado",CostesNoGeneración!G75,Ingresos!H6+Ingresos!H45),"")</f>
        <v>53.556763031512467</v>
      </c>
      <c r="H13" s="2">
        <f ca="1">IF(ISNUMBER(H$10),IF('Datos Instalación'!$F$6="Autoconsumo Aislado",CostesNoGeneración!H75,Ingresos!I6+Ingresos!I45),"")</f>
        <v>53.33835113538467</v>
      </c>
      <c r="I13" s="2">
        <f ca="1">IF(ISNUMBER(I$10),IF('Datos Instalación'!$F$6="Autoconsumo Aislado",CostesNoGeneración!I75,Ingresos!J6+Ingresos!J45),"")</f>
        <v>53.121118663495956</v>
      </c>
      <c r="J13" s="2">
        <f ca="1">IF(ISNUMBER(J$10),IF('Datos Instalación'!$F$6="Autoconsumo Aislado",CostesNoGeneración!J75,Ingresos!K6+Ingresos!K45),"")</f>
        <v>52.905059246955439</v>
      </c>
      <c r="K13" s="2">
        <f ca="1">IF(ISNUMBER(K$10),IF('Datos Instalación'!$F$6="Autoconsumo Aislado",CostesNoGeneración!K75,Ingresos!L6+Ingresos!L45),"")</f>
        <v>52.690166551264248</v>
      </c>
      <c r="L13" s="2">
        <f ca="1">IF(ISNUMBER(L$10),IF('Datos Instalación'!$F$6="Autoconsumo Aislado",CostesNoGeneración!L75,Ingresos!M6+Ingresos!M45),"")</f>
        <v>52.476434276129787</v>
      </c>
      <c r="M13" s="2">
        <f ca="1">IF(ISNUMBER(M$10),IF('Datos Instalación'!$F$6="Autoconsumo Aislado",CostesNoGeneración!M75,Ingresos!N6+Ingresos!N45),"")</f>
        <v>52.263856155281054</v>
      </c>
      <c r="N13" s="2">
        <f ca="1">IF(ISNUMBER(N$10),IF('Datos Instalación'!$F$6="Autoconsumo Aislado",CostesNoGeneración!N75,Ingresos!O6+Ingresos!O45),"")</f>
        <v>52.0524259562849</v>
      </c>
      <c r="O13" s="2">
        <f ca="1">IF(ISNUMBER(O$10),IF('Datos Instalación'!$F$6="Autoconsumo Aislado",CostesNoGeneración!O75,Ingresos!P6+Ingresos!P45),"")</f>
        <v>51.842137480363327</v>
      </c>
      <c r="P13" s="2">
        <f ca="1">IF(ISNUMBER(P$10),IF('Datos Instalación'!$F$6="Autoconsumo Aislado",CostesNoGeneración!P75,Ingresos!Q6+Ingresos!Q45),"")</f>
        <v>51.632984562211725</v>
      </c>
      <c r="Q13" s="2">
        <f ca="1">IF(ISNUMBER(Q$10),IF('Datos Instalación'!$F$6="Autoconsumo Aislado",CostesNoGeneración!Q75,Ingresos!R6+Ingresos!R45),"")</f>
        <v>51.424961069818146</v>
      </c>
      <c r="R13" s="2">
        <f ca="1">IF(ISNUMBER(R$10),IF('Datos Instalación'!$F$6="Autoconsumo Aislado",CostesNoGeneración!R75,Ingresos!S6+Ingresos!S45),"")</f>
        <v>51.218060904283497</v>
      </c>
      <c r="S13" s="2">
        <f ca="1">IF(ISNUMBER(S$10),IF('Datos Instalación'!$F$6="Autoconsumo Aislado",CostesNoGeneración!S75,Ingresos!T6+Ingresos!T45),"")</f>
        <v>51.012277999642727</v>
      </c>
      <c r="T13" s="2">
        <f ca="1">IF(ISNUMBER(T$10),IF('Datos Instalación'!$F$6="Autoconsumo Aislado",CostesNoGeneración!T75,Ingresos!U6+Ingresos!U45),"")</f>
        <v>50.807606322687022</v>
      </c>
      <c r="U13" s="2">
        <f ca="1">IF(ISNUMBER(U$10),IF('Datos Instalación'!$F$6="Autoconsumo Aislado",CostesNoGeneración!U75,Ingresos!V6+Ingresos!V45),"")</f>
        <v>50.604039872786878</v>
      </c>
      <c r="V13" s="2">
        <f ca="1">IF(ISNUMBER(V$10),IF('Datos Instalación'!$F$6="Autoconsumo Aislado",CostesNoGeneración!V75,Ingresos!W6+Ingresos!W45),"")</f>
        <v>50.401572681716196</v>
      </c>
      <c r="W13" s="2">
        <f ca="1">IF(ISNUMBER(W$10),IF('Datos Instalación'!$F$6="Autoconsumo Aislado",CostesNoGeneración!W75,Ingresos!X6+Ingresos!X45),"")</f>
        <v>50.2001988134773</v>
      </c>
      <c r="X13" s="2">
        <f ca="1">IF(ISNUMBER(X$10),IF('Datos Instalación'!$F$6="Autoconsumo Aislado",CostesNoGeneración!X75,Ingresos!Y6+Ingresos!Y45),"")</f>
        <v>49.999912364126885</v>
      </c>
      <c r="Y13" s="2">
        <f ca="1">IF(ISNUMBER(Y$10),IF('Datos Instalación'!$F$6="Autoconsumo Aislado",CostesNoGeneración!Y75,Ingresos!Z6+Ingresos!Z45),"")</f>
        <v>49.800707461602947</v>
      </c>
      <c r="Z13" s="2">
        <f ca="1">IF(ISNUMBER(Z$10),IF('Datos Instalación'!$F$6="Autoconsumo Aislado",CostesNoGeneración!Z75,Ingresos!AA6+Ingresos!AA45),"")</f>
        <v>49.602578265552665</v>
      </c>
      <c r="AA13" s="2">
        <f ca="1">IF(ISNUMBER(AA$10),IF('Datos Instalación'!$F$6="Autoconsumo Aislado",CostesNoGeneración!AA75,Ingresos!AB6+Ingresos!AB45),"")</f>
        <v>49.405518967161044</v>
      </c>
      <c r="AB13" s="2">
        <f ca="1">IF(ISNUMBER(AB$10),IF('Datos Instalación'!$F$6="Autoconsumo Aislado",CostesNoGeneración!AB75,Ingresos!AC6+Ingresos!AC45),"")</f>
        <v>49.209523788980732</v>
      </c>
      <c r="AC13" s="2">
        <f ca="1">IF(ISNUMBER(AC$10),IF('Datos Instalación'!$F$6="Autoconsumo Aislado",CostesNoGeneración!AC75,Ingresos!AD6+Ingresos!AD45),"")</f>
        <v>49.014586984762602</v>
      </c>
      <c r="AD13" s="2">
        <f ca="1">IF(ISNUMBER(AD$10),IF('Datos Instalación'!$F$6="Autoconsumo Aislado",CostesNoGeneración!AD75,Ingresos!AE6+Ingresos!AE45),"")</f>
        <v>48.82070283928725</v>
      </c>
      <c r="AE13" s="2">
        <f ca="1">IF(ISNUMBER(AE$10),IF('Datos Instalación'!$F$6="Autoconsumo Aislado",CostesNoGeneración!AE75,Ingresos!AF6+Ingresos!AF45),"")</f>
        <v>48.627865668197458</v>
      </c>
      <c r="AF13" s="2">
        <f ca="1">IF(ISNUMBER(AF$10),IF('Datos Instalación'!$F$6="Autoconsumo Aislado",CostesNoGeneración!AF75,Ingresos!AG6+Ingresos!AG45),"")</f>
        <v>48.436069817831566</v>
      </c>
    </row>
    <row r="14" spans="1:32">
      <c r="A14" s="292"/>
      <c r="B14" s="13" t="s">
        <v>7</v>
      </c>
      <c r="C14" s="2">
        <f ca="1">IF(ISNUMBER(C$10),IF('Datos Instalación'!$F$6="Autoconsumo Aislado",CostesNoGeneración!C76,Ingresos!D7+Ingresos!D46),"")</f>
        <v>51.387790126647701</v>
      </c>
      <c r="D14" s="2">
        <f ca="1">IF(ISNUMBER(D$10),IF('Datos Instalación'!$F$6="Autoconsumo Aislado",CostesNoGeneración!D76,Ingresos!E7+Ingresos!E46),"")</f>
        <v>51.387790126647701</v>
      </c>
      <c r="E14" s="2">
        <f ca="1">IF(ISNUMBER(E$10),IF('Datos Instalación'!$F$6="Autoconsumo Aislado",CostesNoGeneración!E76,Ingresos!F7+Ingresos!F46),"")</f>
        <v>51.387790126647701</v>
      </c>
      <c r="F14" s="2">
        <f ca="1">IF(ISNUMBER(F$10),IF('Datos Instalación'!$F$6="Autoconsumo Aislado",CostesNoGeneración!F76,Ingresos!G7+Ingresos!G46),"")</f>
        <v>51.387790126647701</v>
      </c>
      <c r="G14" s="2">
        <f ca="1">IF(ISNUMBER(G$10),IF('Datos Instalación'!$F$6="Autoconsumo Aislado",CostesNoGeneración!G76,Ingresos!H7+Ingresos!H46),"")</f>
        <v>51.387790126647701</v>
      </c>
      <c r="H14" s="2">
        <f ca="1">IF(ISNUMBER(H$10),IF('Datos Instalación'!$F$6="Autoconsumo Aislado",CostesNoGeneración!H76,Ingresos!I7+Ingresos!I46),"")</f>
        <v>51.387790126647701</v>
      </c>
      <c r="I14" s="2">
        <f ca="1">IF(ISNUMBER(I$10),IF('Datos Instalación'!$F$6="Autoconsumo Aislado",CostesNoGeneración!I76,Ingresos!J7+Ingresos!J46),"")</f>
        <v>51.387790126647701</v>
      </c>
      <c r="J14" s="2">
        <f ca="1">IF(ISNUMBER(J$10),IF('Datos Instalación'!$F$6="Autoconsumo Aislado",CostesNoGeneración!J76,Ingresos!K7+Ingresos!K46),"")</f>
        <v>51.387790126647701</v>
      </c>
      <c r="K14" s="2">
        <f ca="1">IF(ISNUMBER(K$10),IF('Datos Instalación'!$F$6="Autoconsumo Aislado",CostesNoGeneración!K76,Ingresos!L7+Ingresos!L46),"")</f>
        <v>51.387790126647701</v>
      </c>
      <c r="L14" s="2">
        <f ca="1">IF(ISNUMBER(L$10),IF('Datos Instalación'!$F$6="Autoconsumo Aislado",CostesNoGeneración!L76,Ingresos!M7+Ingresos!M46),"")</f>
        <v>51.387790126647701</v>
      </c>
      <c r="M14" s="2">
        <f ca="1">IF(ISNUMBER(M$10),IF('Datos Instalación'!$F$6="Autoconsumo Aislado",CostesNoGeneración!M76,Ingresos!N7+Ingresos!N46),"")</f>
        <v>51.387790126647701</v>
      </c>
      <c r="N14" s="2">
        <f ca="1">IF(ISNUMBER(N$10),IF('Datos Instalación'!$F$6="Autoconsumo Aislado",CostesNoGeneración!N76,Ingresos!O7+Ingresos!O46),"")</f>
        <v>51.387790126647701</v>
      </c>
      <c r="O14" s="2">
        <f ca="1">IF(ISNUMBER(O$10),IF('Datos Instalación'!$F$6="Autoconsumo Aislado",CostesNoGeneración!O76,Ingresos!P7+Ingresos!P46),"")</f>
        <v>51.387790126647701</v>
      </c>
      <c r="P14" s="2">
        <f ca="1">IF(ISNUMBER(P$10),IF('Datos Instalación'!$F$6="Autoconsumo Aislado",CostesNoGeneración!P76,Ingresos!Q7+Ingresos!Q46),"")</f>
        <v>51.387790126647701</v>
      </c>
      <c r="Q14" s="2">
        <f ca="1">IF(ISNUMBER(Q$10),IF('Datos Instalación'!$F$6="Autoconsumo Aislado",CostesNoGeneración!Q76,Ingresos!R7+Ingresos!R46),"")</f>
        <v>51.387790126647701</v>
      </c>
      <c r="R14" s="2">
        <f ca="1">IF(ISNUMBER(R$10),IF('Datos Instalación'!$F$6="Autoconsumo Aislado",CostesNoGeneración!R76,Ingresos!S7+Ingresos!S46),"")</f>
        <v>51.387790126647701</v>
      </c>
      <c r="S14" s="2">
        <f ca="1">IF(ISNUMBER(S$10),IF('Datos Instalación'!$F$6="Autoconsumo Aislado",CostesNoGeneración!S76,Ingresos!T7+Ingresos!T46),"")</f>
        <v>51.387790126647701</v>
      </c>
      <c r="T14" s="2">
        <f ca="1">IF(ISNUMBER(T$10),IF('Datos Instalación'!$F$6="Autoconsumo Aislado",CostesNoGeneración!T76,Ingresos!U7+Ingresos!U46),"")</f>
        <v>51.387790126647701</v>
      </c>
      <c r="U14" s="2">
        <f ca="1">IF(ISNUMBER(U$10),IF('Datos Instalación'!$F$6="Autoconsumo Aislado",CostesNoGeneración!U76,Ingresos!V7+Ingresos!V46),"")</f>
        <v>51.387790126647701</v>
      </c>
      <c r="V14" s="2">
        <f ca="1">IF(ISNUMBER(V$10),IF('Datos Instalación'!$F$6="Autoconsumo Aislado",CostesNoGeneración!V76,Ingresos!W7+Ingresos!W46),"")</f>
        <v>51.387790126647701</v>
      </c>
      <c r="W14" s="2">
        <f ca="1">IF(ISNUMBER(W$10),IF('Datos Instalación'!$F$6="Autoconsumo Aislado",CostesNoGeneración!W76,Ingresos!X7+Ingresos!X46),"")</f>
        <v>51.387790126647701</v>
      </c>
      <c r="X14" s="2">
        <f ca="1">IF(ISNUMBER(X$10),IF('Datos Instalación'!$F$6="Autoconsumo Aislado",CostesNoGeneración!X76,Ingresos!Y7+Ingresos!Y46),"")</f>
        <v>51.266774333563404</v>
      </c>
      <c r="Y14" s="2">
        <f ca="1">IF(ISNUMBER(Y$10),IF('Datos Instalación'!$F$6="Autoconsumo Aislado",CostesNoGeneración!Y76,Ingresos!Z7+Ingresos!Z46),"")</f>
        <v>51.052862307044265</v>
      </c>
      <c r="Z14" s="2">
        <f ca="1">IF(ISNUMBER(Z$10),IF('Datos Instalación'!$F$6="Autoconsumo Aislado",CostesNoGeneración!Z76,Ingresos!AA7+Ingresos!AA46),"")</f>
        <v>50.840105405468321</v>
      </c>
      <c r="AA14" s="2">
        <f ca="1">IF(ISNUMBER(AA$10),IF('Datos Instalación'!$F$6="Autoconsumo Aislado",CostesNoGeneración!AA76,Ingresos!AB7+Ingresos!AB46),"")</f>
        <v>50.628497391160892</v>
      </c>
      <c r="AB14" s="2">
        <f ca="1">IF(ISNUMBER(AB$10),IF('Datos Instalación'!$F$6="Autoconsumo Aislado",CostesNoGeneración!AB76,Ingresos!AC7+Ingresos!AC46),"")</f>
        <v>50.418032060130727</v>
      </c>
      <c r="AC14" s="2">
        <f ca="1">IF(ISNUMBER(AC$10),IF('Datos Instalación'!$F$6="Autoconsumo Aislado",CostesNoGeneración!AC76,Ingresos!AD7+Ingresos!AD46),"")</f>
        <v>50.208703241888117</v>
      </c>
      <c r="AD14" s="2">
        <f ca="1">IF(ISNUMBER(AD$10),IF('Datos Instalación'!$F$6="Autoconsumo Aislado",CostesNoGeneración!AD76,Ingresos!AE7+Ingresos!AE46),"")</f>
        <v>50.000504799264021</v>
      </c>
      <c r="AE14" s="2">
        <f ca="1">IF(ISNUMBER(AE$10),IF('Datos Instalación'!$F$6="Autoconsumo Aislado",CostesNoGeneración!AE76,Ingresos!AF7+Ingresos!AF46),"")</f>
        <v>49.793430628230098</v>
      </c>
      <c r="AF14" s="2">
        <f ca="1">IF(ISNUMBER(AF$10),IF('Datos Instalación'!$F$6="Autoconsumo Aislado",CostesNoGeneración!AF76,Ingresos!AG7+Ingresos!AG46),"")</f>
        <v>49.587474657719767</v>
      </c>
    </row>
    <row r="15" spans="1:32">
      <c r="A15" s="292"/>
      <c r="B15" s="13" t="s">
        <v>8</v>
      </c>
      <c r="C15" s="2">
        <f ca="1">IF(ISNUMBER(C$10),IF('Datos Instalación'!$F$6="Autoconsumo Aislado",CostesNoGeneración!C77,Ingresos!D8+Ingresos!D47),"")</f>
        <v>52.458369087619545</v>
      </c>
      <c r="D15" s="2">
        <f ca="1">IF(ISNUMBER(D$10),IF('Datos Instalación'!$F$6="Autoconsumo Aislado",CostesNoGeneración!D77,Ingresos!E8+Ingresos!E47),"")</f>
        <v>52.458369087619545</v>
      </c>
      <c r="E15" s="2">
        <f ca="1">IF(ISNUMBER(E$10),IF('Datos Instalación'!$F$6="Autoconsumo Aislado",CostesNoGeneración!E77,Ingresos!F8+Ingresos!F47),"")</f>
        <v>52.458369087619545</v>
      </c>
      <c r="F15" s="2">
        <f ca="1">IF(ISNUMBER(F$10),IF('Datos Instalación'!$F$6="Autoconsumo Aislado",CostesNoGeneración!F77,Ingresos!G8+Ingresos!G47),"")</f>
        <v>52.458369087619545</v>
      </c>
      <c r="G15" s="2">
        <f ca="1">IF(ISNUMBER(G$10),IF('Datos Instalación'!$F$6="Autoconsumo Aislado",CostesNoGeneración!G77,Ingresos!H8+Ingresos!H47),"")</f>
        <v>52.458369087619545</v>
      </c>
      <c r="H15" s="2">
        <f ca="1">IF(ISNUMBER(H$10),IF('Datos Instalación'!$F$6="Autoconsumo Aislado",CostesNoGeneración!H77,Ingresos!I8+Ingresos!I47),"")</f>
        <v>52.458369087619545</v>
      </c>
      <c r="I15" s="2">
        <f ca="1">IF(ISNUMBER(I$10),IF('Datos Instalación'!$F$6="Autoconsumo Aislado",CostesNoGeneración!I77,Ingresos!J8+Ingresos!J47),"")</f>
        <v>52.458369087619545</v>
      </c>
      <c r="J15" s="2">
        <f ca="1">IF(ISNUMBER(J$10),IF('Datos Instalación'!$F$6="Autoconsumo Aislado",CostesNoGeneración!J77,Ingresos!K8+Ingresos!K47),"")</f>
        <v>52.458369087619545</v>
      </c>
      <c r="K15" s="2">
        <f ca="1">IF(ISNUMBER(K$10),IF('Datos Instalación'!$F$6="Autoconsumo Aislado",CostesNoGeneración!K77,Ingresos!L8+Ingresos!L47),"")</f>
        <v>52.458369087619545</v>
      </c>
      <c r="L15" s="2">
        <f ca="1">IF(ISNUMBER(L$10),IF('Datos Instalación'!$F$6="Autoconsumo Aislado",CostesNoGeneración!L77,Ingresos!M8+Ingresos!M47),"")</f>
        <v>52.458369087619545</v>
      </c>
      <c r="M15" s="2">
        <f ca="1">IF(ISNUMBER(M$10),IF('Datos Instalación'!$F$6="Autoconsumo Aislado",CostesNoGeneración!M77,Ingresos!N8+Ingresos!N47),"")</f>
        <v>52.458369087619545</v>
      </c>
      <c r="N15" s="2">
        <f ca="1">IF(ISNUMBER(N$10),IF('Datos Instalación'!$F$6="Autoconsumo Aislado",CostesNoGeneración!N77,Ingresos!O8+Ingresos!O47),"")</f>
        <v>52.458369087619545</v>
      </c>
      <c r="O15" s="2">
        <f ca="1">IF(ISNUMBER(O$10),IF('Datos Instalación'!$F$6="Autoconsumo Aislado",CostesNoGeneración!O77,Ingresos!P8+Ingresos!P47),"")</f>
        <v>52.458369087619545</v>
      </c>
      <c r="P15" s="2">
        <f ca="1">IF(ISNUMBER(P$10),IF('Datos Instalación'!$F$6="Autoconsumo Aislado",CostesNoGeneración!P77,Ingresos!Q8+Ingresos!Q47),"")</f>
        <v>52.458369087619545</v>
      </c>
      <c r="Q15" s="2">
        <f ca="1">IF(ISNUMBER(Q$10),IF('Datos Instalación'!$F$6="Autoconsumo Aislado",CostesNoGeneración!Q77,Ingresos!R8+Ingresos!R47),"")</f>
        <v>52.458369087619545</v>
      </c>
      <c r="R15" s="2">
        <f ca="1">IF(ISNUMBER(R$10),IF('Datos Instalación'!$F$6="Autoconsumo Aislado",CostesNoGeneración!R77,Ingresos!S8+Ingresos!S47),"")</f>
        <v>52.458369087619545</v>
      </c>
      <c r="S15" s="2">
        <f ca="1">IF(ISNUMBER(S$10),IF('Datos Instalación'!$F$6="Autoconsumo Aislado",CostesNoGeneración!S77,Ingresos!T8+Ingresos!T47),"")</f>
        <v>52.458369087619545</v>
      </c>
      <c r="T15" s="2">
        <f ca="1">IF(ISNUMBER(T$10),IF('Datos Instalación'!$F$6="Autoconsumo Aislado",CostesNoGeneración!T77,Ingresos!U8+Ingresos!U47),"")</f>
        <v>52.458369087619545</v>
      </c>
      <c r="U15" s="2">
        <f ca="1">IF(ISNUMBER(U$10),IF('Datos Instalación'!$F$6="Autoconsumo Aislado",CostesNoGeneración!U77,Ingresos!V8+Ingresos!V47),"")</f>
        <v>52.458369087619545</v>
      </c>
      <c r="V15" s="2">
        <f ca="1">IF(ISNUMBER(V$10),IF('Datos Instalación'!$F$6="Autoconsumo Aislado",CostesNoGeneración!V77,Ingresos!W8+Ingresos!W47),"")</f>
        <v>52.458369087619545</v>
      </c>
      <c r="W15" s="2">
        <f ca="1">IF(ISNUMBER(W$10),IF('Datos Instalación'!$F$6="Autoconsumo Aislado",CostesNoGeneración!W77,Ingresos!X8+Ingresos!X47),"")</f>
        <v>52.458369087619545</v>
      </c>
      <c r="X15" s="2">
        <f ca="1">IF(ISNUMBER(X$10),IF('Datos Instalación'!$F$6="Autoconsumo Aislado",CostesNoGeneración!X77,Ingresos!Y8+Ingresos!Y47),"")</f>
        <v>52.458369087619545</v>
      </c>
      <c r="Y15" s="2">
        <f ca="1">IF(ISNUMBER(Y$10),IF('Datos Instalación'!$F$6="Autoconsumo Aislado",CostesNoGeneración!Y77,Ingresos!Z8+Ingresos!Z47),"")</f>
        <v>52.458369087619545</v>
      </c>
      <c r="Z15" s="2">
        <f ca="1">IF(ISNUMBER(Z$10),IF('Datos Instalación'!$F$6="Autoconsumo Aislado",CostesNoGeneración!Z77,Ingresos!AA8+Ingresos!AA47),"")</f>
        <v>52.458369087619545</v>
      </c>
      <c r="AA15" s="2">
        <f ca="1">IF(ISNUMBER(AA$10),IF('Datos Instalación'!$F$6="Autoconsumo Aislado",CostesNoGeneración!AA77,Ingresos!AB8+Ingresos!AB47),"")</f>
        <v>52.458369087619545</v>
      </c>
      <c r="AB15" s="2">
        <f ca="1">IF(ISNUMBER(AB$10),IF('Datos Instalación'!$F$6="Autoconsumo Aislado",CostesNoGeneración!AB77,Ingresos!AC8+Ingresos!AC47),"")</f>
        <v>52.458369087619545</v>
      </c>
      <c r="AC15" s="2">
        <f ca="1">IF(ISNUMBER(AC$10),IF('Datos Instalación'!$F$6="Autoconsumo Aislado",CostesNoGeneración!AC77,Ingresos!AD8+Ingresos!AD47),"")</f>
        <v>52.458369087619545</v>
      </c>
      <c r="AD15" s="2">
        <f ca="1">IF(ISNUMBER(AD$10),IF('Datos Instalación'!$F$6="Autoconsumo Aislado",CostesNoGeneración!AD77,Ingresos!AE8+Ingresos!AE47),"")</f>
        <v>52.458369087619545</v>
      </c>
      <c r="AE15" s="2">
        <f ca="1">IF(ISNUMBER(AE$10),IF('Datos Instalación'!$F$6="Autoconsumo Aislado",CostesNoGeneración!AE77,Ingresos!AF8+Ingresos!AF47),"")</f>
        <v>52.458369087619545</v>
      </c>
      <c r="AF15" s="2">
        <f ca="1">IF(ISNUMBER(AF$10),IF('Datos Instalación'!$F$6="Autoconsumo Aislado",CostesNoGeneración!AF77,Ingresos!AG8+Ingresos!AG47),"")</f>
        <v>52.458369087619545</v>
      </c>
    </row>
    <row r="16" spans="1:32">
      <c r="A16" s="292"/>
      <c r="B16" s="13" t="s">
        <v>9</v>
      </c>
      <c r="C16" s="2">
        <f ca="1">IF(ISNUMBER(C$10),IF('Datos Instalación'!$F$6="Autoconsumo Aislado",CostesNoGeneración!C78,Ingresos!D9+Ingresos!D48),"")</f>
        <v>53.528948048591367</v>
      </c>
      <c r="D16" s="2">
        <f ca="1">IF(ISNUMBER(D$10),IF('Datos Instalación'!$F$6="Autoconsumo Aislado",CostesNoGeneración!D78,Ingresos!E9+Ingresos!E48),"")</f>
        <v>53.528948048591367</v>
      </c>
      <c r="E16" s="2">
        <f ca="1">IF(ISNUMBER(E$10),IF('Datos Instalación'!$F$6="Autoconsumo Aislado",CostesNoGeneración!E78,Ingresos!F9+Ingresos!F48),"")</f>
        <v>53.528948048591367</v>
      </c>
      <c r="F16" s="2">
        <f ca="1">IF(ISNUMBER(F$10),IF('Datos Instalación'!$F$6="Autoconsumo Aislado",CostesNoGeneración!F78,Ingresos!G9+Ingresos!G48),"")</f>
        <v>53.528948048591367</v>
      </c>
      <c r="G16" s="2">
        <f ca="1">IF(ISNUMBER(G$10),IF('Datos Instalación'!$F$6="Autoconsumo Aislado",CostesNoGeneración!G78,Ingresos!H9+Ingresos!H48),"")</f>
        <v>53.528948048591367</v>
      </c>
      <c r="H16" s="2">
        <f ca="1">IF(ISNUMBER(H$10),IF('Datos Instalación'!$F$6="Autoconsumo Aislado",CostesNoGeneración!H78,Ingresos!I9+Ingresos!I48),"")</f>
        <v>53.528948048591367</v>
      </c>
      <c r="I16" s="2">
        <f ca="1">IF(ISNUMBER(I$10),IF('Datos Instalación'!$F$6="Autoconsumo Aislado",CostesNoGeneración!I78,Ingresos!J9+Ingresos!J48),"")</f>
        <v>53.528948048591367</v>
      </c>
      <c r="J16" s="2">
        <f ca="1">IF(ISNUMBER(J$10),IF('Datos Instalación'!$F$6="Autoconsumo Aislado",CostesNoGeneración!J78,Ingresos!K9+Ingresos!K48),"")</f>
        <v>53.528948048591367</v>
      </c>
      <c r="K16" s="2">
        <f ca="1">IF(ISNUMBER(K$10),IF('Datos Instalación'!$F$6="Autoconsumo Aislado",CostesNoGeneración!K78,Ingresos!L9+Ingresos!L48),"")</f>
        <v>53.528948048591367</v>
      </c>
      <c r="L16" s="2">
        <f ca="1">IF(ISNUMBER(L$10),IF('Datos Instalación'!$F$6="Autoconsumo Aislado",CostesNoGeneración!L78,Ingresos!M9+Ingresos!M48),"")</f>
        <v>53.528948048591367</v>
      </c>
      <c r="M16" s="2">
        <f ca="1">IF(ISNUMBER(M$10),IF('Datos Instalación'!$F$6="Autoconsumo Aislado",CostesNoGeneración!M78,Ingresos!N9+Ingresos!N48),"")</f>
        <v>53.528948048591367</v>
      </c>
      <c r="N16" s="2">
        <f ca="1">IF(ISNUMBER(N$10),IF('Datos Instalación'!$F$6="Autoconsumo Aislado",CostesNoGeneración!N78,Ingresos!O9+Ingresos!O48),"")</f>
        <v>53.528948048591367</v>
      </c>
      <c r="O16" s="2">
        <f ca="1">IF(ISNUMBER(O$10),IF('Datos Instalación'!$F$6="Autoconsumo Aislado",CostesNoGeneración!O78,Ingresos!P9+Ingresos!P48),"")</f>
        <v>53.528948048591367</v>
      </c>
      <c r="P16" s="2">
        <f ca="1">IF(ISNUMBER(P$10),IF('Datos Instalación'!$F$6="Autoconsumo Aislado",CostesNoGeneración!P78,Ingresos!Q9+Ingresos!Q48),"")</f>
        <v>53.528948048591367</v>
      </c>
      <c r="Q16" s="2">
        <f ca="1">IF(ISNUMBER(Q$10),IF('Datos Instalación'!$F$6="Autoconsumo Aislado",CostesNoGeneración!Q78,Ingresos!R9+Ingresos!R48),"")</f>
        <v>53.528948048591367</v>
      </c>
      <c r="R16" s="2">
        <f ca="1">IF(ISNUMBER(R$10),IF('Datos Instalación'!$F$6="Autoconsumo Aislado",CostesNoGeneración!R78,Ingresos!S9+Ingresos!S48),"")</f>
        <v>53.528948048591367</v>
      </c>
      <c r="S16" s="2">
        <f ca="1">IF(ISNUMBER(S$10),IF('Datos Instalación'!$F$6="Autoconsumo Aislado",CostesNoGeneración!S78,Ingresos!T9+Ingresos!T48),"")</f>
        <v>53.528948048591367</v>
      </c>
      <c r="T16" s="2">
        <f ca="1">IF(ISNUMBER(T$10),IF('Datos Instalación'!$F$6="Autoconsumo Aislado",CostesNoGeneración!T78,Ingresos!U9+Ingresos!U48),"")</f>
        <v>53.528948048591367</v>
      </c>
      <c r="U16" s="2">
        <f ca="1">IF(ISNUMBER(U$10),IF('Datos Instalación'!$F$6="Autoconsumo Aislado",CostesNoGeneración!U78,Ingresos!V9+Ingresos!V48),"")</f>
        <v>53.528948048591367</v>
      </c>
      <c r="V16" s="2">
        <f ca="1">IF(ISNUMBER(V$10),IF('Datos Instalación'!$F$6="Autoconsumo Aislado",CostesNoGeneración!V78,Ingresos!W9+Ingresos!W48),"")</f>
        <v>53.528948048591367</v>
      </c>
      <c r="W16" s="2">
        <f ca="1">IF(ISNUMBER(W$10),IF('Datos Instalación'!$F$6="Autoconsumo Aislado",CostesNoGeneración!W78,Ingresos!X9+Ingresos!X48),"")</f>
        <v>53.528948048591367</v>
      </c>
      <c r="X16" s="2">
        <f ca="1">IF(ISNUMBER(X$10),IF('Datos Instalación'!$F$6="Autoconsumo Aislado",CostesNoGeneración!X78,Ingresos!Y9+Ingresos!Y48),"")</f>
        <v>53.528948048591367</v>
      </c>
      <c r="Y16" s="2">
        <f ca="1">IF(ISNUMBER(Y$10),IF('Datos Instalación'!$F$6="Autoconsumo Aislado",CostesNoGeneración!Y78,Ingresos!Z9+Ingresos!Z48),"")</f>
        <v>53.528948048591367</v>
      </c>
      <c r="Z16" s="2">
        <f ca="1">IF(ISNUMBER(Z$10),IF('Datos Instalación'!$F$6="Autoconsumo Aislado",CostesNoGeneración!Z78,Ingresos!AA9+Ingresos!AA48),"")</f>
        <v>53.528948048591367</v>
      </c>
      <c r="AA16" s="2">
        <f ca="1">IF(ISNUMBER(AA$10),IF('Datos Instalación'!$F$6="Autoconsumo Aislado",CostesNoGeneración!AA78,Ingresos!AB9+Ingresos!AB48),"")</f>
        <v>53.528948048591367</v>
      </c>
      <c r="AB16" s="2">
        <f ca="1">IF(ISNUMBER(AB$10),IF('Datos Instalación'!$F$6="Autoconsumo Aislado",CostesNoGeneración!AB78,Ingresos!AC9+Ingresos!AC48),"")</f>
        <v>53.528948048591367</v>
      </c>
      <c r="AC16" s="2">
        <f ca="1">IF(ISNUMBER(AC$10),IF('Datos Instalación'!$F$6="Autoconsumo Aislado",CostesNoGeneración!AC78,Ingresos!AD9+Ingresos!AD48),"")</f>
        <v>53.528948048591367</v>
      </c>
      <c r="AD16" s="2">
        <f ca="1">IF(ISNUMBER(AD$10),IF('Datos Instalación'!$F$6="Autoconsumo Aislado",CostesNoGeneración!AD78,Ingresos!AE9+Ingresos!AE48),"")</f>
        <v>53.528948048591367</v>
      </c>
      <c r="AE16" s="2">
        <f ca="1">IF(ISNUMBER(AE$10),IF('Datos Instalación'!$F$6="Autoconsumo Aislado",CostesNoGeneración!AE78,Ingresos!AF9+Ingresos!AF48),"")</f>
        <v>53.528948048591367</v>
      </c>
      <c r="AF16" s="2">
        <f ca="1">IF(ISNUMBER(AF$10),IF('Datos Instalación'!$F$6="Autoconsumo Aislado",CostesNoGeneración!AF78,Ingresos!AG9+Ingresos!AG48),"")</f>
        <v>53.528948048591367</v>
      </c>
    </row>
    <row r="17" spans="1:32">
      <c r="A17" s="292"/>
      <c r="B17" s="13" t="s">
        <v>10</v>
      </c>
      <c r="C17" s="2">
        <f ca="1">IF(ISNUMBER(C$10),IF('Datos Instalación'!$F$6="Autoconsumo Aislado",CostesNoGeneración!C79,Ingresos!D10+Ingresos!D49),"")</f>
        <v>65.826995788650848</v>
      </c>
      <c r="D17" s="2">
        <f ca="1">IF(ISNUMBER(D$10),IF('Datos Instalación'!$F$6="Autoconsumo Aislado",CostesNoGeneración!D79,Ingresos!E10+Ingresos!E49),"")</f>
        <v>65.552812728114844</v>
      </c>
      <c r="E17" s="2">
        <f ca="1">IF(ISNUMBER(E$10),IF('Datos Instalación'!$F$6="Autoconsumo Aislado",CostesNoGeneración!E79,Ingresos!F10+Ingresos!F49),"")</f>
        <v>65.280110256105758</v>
      </c>
      <c r="F17" s="2">
        <f ca="1">IF(ISNUMBER(F$10),IF('Datos Instalación'!$F$6="Autoconsumo Aislado",CostesNoGeneración!F79,Ingresos!G10+Ingresos!G49),"")</f>
        <v>65.008880377445479</v>
      </c>
      <c r="G17" s="2">
        <f ca="1">IF(ISNUMBER(G$10),IF('Datos Instalación'!$F$6="Autoconsumo Aislado",CostesNoGeneración!G79,Ingresos!H10+Ingresos!H49),"")</f>
        <v>64.739115140129996</v>
      </c>
      <c r="H17" s="2">
        <f ca="1">IF(ISNUMBER(H$10),IF('Datos Instalación'!$F$6="Autoconsumo Aislado",CostesNoGeneración!H79,Ingresos!I10+Ingresos!I49),"")</f>
        <v>64.470806635096011</v>
      </c>
      <c r="I17" s="2">
        <f ca="1">IF(ISNUMBER(I$10),IF('Datos Instalación'!$F$6="Autoconsumo Aislado",CostesNoGeneración!I79,Ingresos!J10+Ingresos!J49),"")</f>
        <v>64.203946995989213</v>
      </c>
      <c r="J17" s="2">
        <f ca="1">IF(ISNUMBER(J$10),IF('Datos Instalación'!$F$6="Autoconsumo Aislado",CostesNoGeneración!J79,Ingresos!K10+Ingresos!K49),"")</f>
        <v>63.938528398933585</v>
      </c>
      <c r="K17" s="2">
        <f ca="1">IF(ISNUMBER(K$10),IF('Datos Instalación'!$F$6="Autoconsumo Aislado",CostesNoGeneración!K79,Ingresos!L10+Ingresos!L49),"")</f>
        <v>63.674543062302057</v>
      </c>
      <c r="L17" s="2">
        <f ca="1">IF(ISNUMBER(L$10),IF('Datos Instalación'!$F$6="Autoconsumo Aislado",CostesNoGeneración!L79,Ingresos!M10+Ingresos!M49),"")</f>
        <v>63.41198324648834</v>
      </c>
      <c r="M17" s="2">
        <f ca="1">IF(ISNUMBER(M$10),IF('Datos Instalación'!$F$6="Autoconsumo Aislado",CostesNoGeneración!M79,Ingresos!N10+Ingresos!N49),"")</f>
        <v>63.150841253680007</v>
      </c>
      <c r="N17" s="2">
        <f ca="1">IF(ISNUMBER(N$10),IF('Datos Instalación'!$F$6="Autoconsumo Aislado",CostesNoGeneración!N79,Ingresos!O10+Ingresos!O49),"")</f>
        <v>62.891109427632848</v>
      </c>
      <c r="O17" s="2">
        <f ca="1">IF(ISNUMBER(O$10),IF('Datos Instalación'!$F$6="Autoconsumo Aislado",CostesNoGeneración!O79,Ingresos!P10+Ingresos!P49),"")</f>
        <v>62.632780153446355</v>
      </c>
      <c r="P17" s="2">
        <f ca="1">IF(ISNUMBER(P$10),IF('Datos Instalación'!$F$6="Autoconsumo Aislado",CostesNoGeneración!P79,Ingresos!Q10+Ingresos!Q49),"")</f>
        <v>62.375845857340451</v>
      </c>
      <c r="Q17" s="2">
        <f ca="1">IF(ISNUMBER(Q$10),IF('Datos Instalación'!$F$6="Autoconsumo Aislado",CostesNoGeneración!Q79,Ingresos!R10+Ingresos!R49),"")</f>
        <v>62.120299006433527</v>
      </c>
      <c r="R17" s="2">
        <f ca="1">IF(ISNUMBER(R$10),IF('Datos Instalación'!$F$6="Autoconsumo Aislado",CostesNoGeneración!R79,Ingresos!S10+Ingresos!S49),"")</f>
        <v>61.866132108521498</v>
      </c>
      <c r="S17" s="2">
        <f ca="1">IF(ISNUMBER(S$10),IF('Datos Instalación'!$F$6="Autoconsumo Aislado",CostesNoGeneración!S79,Ingresos!T10+Ingresos!T49),"")</f>
        <v>61.613337711858208</v>
      </c>
      <c r="T17" s="2">
        <f ca="1">IF(ISNUMBER(T$10),IF('Datos Instalación'!$F$6="Autoconsumo Aislado",CostesNoGeneración!T79,Ingresos!U10+Ingresos!U49),"")</f>
        <v>61.361908404936884</v>
      </c>
      <c r="U17" s="2">
        <f ca="1">IF(ISNUMBER(U$10),IF('Datos Instalación'!$F$6="Autoconsumo Aislado",CostesNoGeneración!U79,Ingresos!V10+Ingresos!V49),"")</f>
        <v>61.111836816272934</v>
      </c>
      <c r="V17" s="2">
        <f ca="1">IF(ISNUMBER(V$10),IF('Datos Instalación'!$F$6="Autoconsumo Aislado",CostesNoGeneración!V79,Ingresos!W10+Ingresos!W49),"")</f>
        <v>60.863115614187777</v>
      </c>
      <c r="W17" s="2">
        <f ca="1">IF(ISNUMBER(W$10),IF('Datos Instalación'!$F$6="Autoconsumo Aislado",CostesNoGeneración!W79,Ingresos!X10+Ingresos!X49),"")</f>
        <v>60.615737506593881</v>
      </c>
      <c r="X17" s="2">
        <f ca="1">IF(ISNUMBER(X$10),IF('Datos Instalación'!$F$6="Autoconsumo Aislado",CostesNoGeneración!X79,Ingresos!Y10+Ingresos!Y49),"")</f>
        <v>60.369695240780985</v>
      </c>
      <c r="Y17" s="2">
        <f ca="1">IF(ISNUMBER(Y$10),IF('Datos Instalación'!$F$6="Autoconsumo Aislado",CostesNoGeneración!Y79,Ingresos!Z10+Ingresos!Z49),"")</f>
        <v>60.12498160320348</v>
      </c>
      <c r="Z17" s="2">
        <f ca="1">IF(ISNUMBER(Z$10),IF('Datos Instalación'!$F$6="Autoconsumo Aislado",CostesNoGeneración!Z79,Ingresos!AA10+Ingresos!AA49),"")</f>
        <v>59.881589419268892</v>
      </c>
      <c r="AA17" s="2">
        <f ca="1">IF(ISNUMBER(AA$10),IF('Datos Instalación'!$F$6="Autoconsumo Aislado",CostesNoGeneración!AA79,Ingresos!AB10+Ingresos!AB49),"")</f>
        <v>59.639511553127562</v>
      </c>
      <c r="AB17" s="2">
        <f ca="1">IF(ISNUMBER(AB$10),IF('Datos Instalación'!$F$6="Autoconsumo Aislado",CostesNoGeneración!AB79,Ingresos!AC10+Ingresos!AC49),"")</f>
        <v>59.398740907463392</v>
      </c>
      <c r="AC17" s="2">
        <f ca="1">IF(ISNUMBER(AC$10),IF('Datos Instalación'!$F$6="Autoconsumo Aislado",CostesNoGeneración!AC79,Ingresos!AD10+Ingresos!AD49),"")</f>
        <v>59.159270423285797</v>
      </c>
      <c r="AD17" s="2">
        <f ca="1">IF(ISNUMBER(AD$10),IF('Datos Instalación'!$F$6="Autoconsumo Aislado",CostesNoGeneración!AD79,Ingresos!AE10+Ingresos!AE49),"")</f>
        <v>58.921093079722766</v>
      </c>
      <c r="AE17" s="2">
        <f ca="1">IF(ISNUMBER(AE$10),IF('Datos Instalación'!$F$6="Autoconsumo Aislado",CostesNoGeneración!AE79,Ingresos!AF10+Ingresos!AF49),"")</f>
        <v>58.684201893814979</v>
      </c>
      <c r="AF17" s="2">
        <f ca="1">IF(ISNUMBER(AF$10),IF('Datos Instalación'!$F$6="Autoconsumo Aislado",CostesNoGeneración!AF79,Ingresos!AG10+Ingresos!AG49),"")</f>
        <v>58.448589920311079</v>
      </c>
    </row>
    <row r="18" spans="1:32">
      <c r="A18" s="292"/>
      <c r="B18" s="13" t="s">
        <v>11</v>
      </c>
      <c r="C18" s="2">
        <f ca="1">IF(ISNUMBER(C$10),IF('Datos Instalación'!$F$6="Autoconsumo Aislado",CostesNoGeneración!C80,Ingresos!D11+Ingresos!D50),"")</f>
        <v>56.740684931506848</v>
      </c>
      <c r="D18" s="2">
        <f ca="1">IF(ISNUMBER(D$10),IF('Datos Instalación'!$F$6="Autoconsumo Aislado",CostesNoGeneración!D80,Ingresos!E11+Ingresos!E50),"")</f>
        <v>56.740684931506848</v>
      </c>
      <c r="E18" s="2">
        <f ca="1">IF(ISNUMBER(E$10),IF('Datos Instalación'!$F$6="Autoconsumo Aislado",CostesNoGeneración!E80,Ingresos!F11+Ingresos!F50),"")</f>
        <v>56.740684931506848</v>
      </c>
      <c r="F18" s="2">
        <f ca="1">IF(ISNUMBER(F$10),IF('Datos Instalación'!$F$6="Autoconsumo Aislado",CostesNoGeneración!F80,Ingresos!G11+Ingresos!G50),"")</f>
        <v>56.740684931506848</v>
      </c>
      <c r="G18" s="2">
        <f ca="1">IF(ISNUMBER(G$10),IF('Datos Instalación'!$F$6="Autoconsumo Aislado",CostesNoGeneración!G80,Ingresos!H11+Ingresos!H50),"")</f>
        <v>56.740684931506848</v>
      </c>
      <c r="H18" s="2">
        <f ca="1">IF(ISNUMBER(H$10),IF('Datos Instalación'!$F$6="Autoconsumo Aislado",CostesNoGeneración!H80,Ingresos!I11+Ingresos!I50),"")</f>
        <v>56.740684931506848</v>
      </c>
      <c r="I18" s="2">
        <f ca="1">IF(ISNUMBER(I$10),IF('Datos Instalación'!$F$6="Autoconsumo Aislado",CostesNoGeneración!I80,Ingresos!J11+Ingresos!J50),"")</f>
        <v>56.740684931506848</v>
      </c>
      <c r="J18" s="2">
        <f ca="1">IF(ISNUMBER(J$10),IF('Datos Instalación'!$F$6="Autoconsumo Aislado",CostesNoGeneración!J80,Ingresos!K11+Ingresos!K50),"")</f>
        <v>56.740684931506848</v>
      </c>
      <c r="K18" s="2">
        <f ca="1">IF(ISNUMBER(K$10),IF('Datos Instalación'!$F$6="Autoconsumo Aislado",CostesNoGeneración!K80,Ingresos!L11+Ingresos!L50),"")</f>
        <v>56.740684931506848</v>
      </c>
      <c r="L18" s="2">
        <f ca="1">IF(ISNUMBER(L$10),IF('Datos Instalación'!$F$6="Autoconsumo Aislado",CostesNoGeneración!L80,Ingresos!M11+Ingresos!M50),"")</f>
        <v>56.740684931506848</v>
      </c>
      <c r="M18" s="2">
        <f ca="1">IF(ISNUMBER(M$10),IF('Datos Instalación'!$F$6="Autoconsumo Aislado",CostesNoGeneración!M80,Ingresos!N11+Ingresos!N50),"")</f>
        <v>56.740684931506848</v>
      </c>
      <c r="N18" s="2">
        <f ca="1">IF(ISNUMBER(N$10),IF('Datos Instalación'!$F$6="Autoconsumo Aislado",CostesNoGeneración!N80,Ingresos!O11+Ingresos!O50),"")</f>
        <v>56.740684931506848</v>
      </c>
      <c r="O18" s="2">
        <f ca="1">IF(ISNUMBER(O$10),IF('Datos Instalación'!$F$6="Autoconsumo Aislado",CostesNoGeneración!O80,Ingresos!P11+Ingresos!P50),"")</f>
        <v>56.740684931506848</v>
      </c>
      <c r="P18" s="2">
        <f ca="1">IF(ISNUMBER(P$10),IF('Datos Instalación'!$F$6="Autoconsumo Aislado",CostesNoGeneración!P80,Ingresos!Q11+Ingresos!Q50),"")</f>
        <v>56.740684931506848</v>
      </c>
      <c r="Q18" s="2">
        <f ca="1">IF(ISNUMBER(Q$10),IF('Datos Instalación'!$F$6="Autoconsumo Aislado",CostesNoGeneración!Q80,Ingresos!R11+Ingresos!R50),"")</f>
        <v>56.740684931506848</v>
      </c>
      <c r="R18" s="2">
        <f ca="1">IF(ISNUMBER(R$10),IF('Datos Instalación'!$F$6="Autoconsumo Aislado",CostesNoGeneración!R80,Ingresos!S11+Ingresos!S50),"")</f>
        <v>56.587831925904851</v>
      </c>
      <c r="S18" s="2">
        <f ca="1">IF(ISNUMBER(S$10),IF('Datos Instalación'!$F$6="Autoconsumo Aislado",CostesNoGeneración!S80,Ingresos!T11+Ingresos!T50),"")</f>
        <v>56.351741246187288</v>
      </c>
      <c r="T18" s="2">
        <f ca="1">IF(ISNUMBER(T$10),IF('Datos Instalación'!$F$6="Autoconsumo Aislado",CostesNoGeneración!T80,Ingresos!U11+Ingresos!U50),"")</f>
        <v>56.116925456140194</v>
      </c>
      <c r="U18" s="2">
        <f ca="1">IF(ISNUMBER(U$10),IF('Datos Instalación'!$F$6="Autoconsumo Aislado",CostesNoGeneración!U80,Ingresos!V11+Ingresos!V50),"")</f>
        <v>55.883377671359355</v>
      </c>
      <c r="V18" s="2">
        <f ca="1">IF(ISNUMBER(V$10),IF('Datos Instalación'!$F$6="Autoconsumo Aislado",CostesNoGeneración!V80,Ingresos!W11+Ingresos!W50),"")</f>
        <v>55.651091044616336</v>
      </c>
      <c r="W18" s="2">
        <f ca="1">IF(ISNUMBER(W$10),IF('Datos Instalación'!$F$6="Autoconsumo Aislado",CostesNoGeneración!W80,Ingresos!X11+Ingresos!X50),"")</f>
        <v>55.420058765657728</v>
      </c>
      <c r="X18" s="2">
        <f ca="1">IF(ISNUMBER(X$10),IF('Datos Instalación'!$F$6="Autoconsumo Aislado",CostesNoGeneración!X80,Ingresos!Y11+Ingresos!Y50),"")</f>
        <v>55.19027406100551</v>
      </c>
      <c r="Y18" s="2">
        <f ca="1">IF(ISNUMBER(Y$10),IF('Datos Instalación'!$F$6="Autoconsumo Aislado",CostesNoGeneración!Y80,Ingresos!Z11+Ingresos!Z50),"")</f>
        <v>54.961730193758399</v>
      </c>
      <c r="Z18" s="2">
        <f ca="1">IF(ISNUMBER(Z$10),IF('Datos Instalación'!$F$6="Autoconsumo Aislado",CostesNoGeneración!Z80,Ingresos!AA11+Ingresos!AA50),"")</f>
        <v>54.734420463394414</v>
      </c>
      <c r="AA18" s="2">
        <f ca="1">IF(ISNUMBER(AA$10),IF('Datos Instalación'!$F$6="Autoconsumo Aislado",CostesNoGeneración!AA80,Ingresos!AB11+Ingresos!AB50),"")</f>
        <v>54.508338205574404</v>
      </c>
      <c r="AB18" s="2">
        <f ca="1">IF(ISNUMBER(AB$10),IF('Datos Instalación'!$F$6="Autoconsumo Aislado",CostesNoGeneración!AB80,Ingresos!AC11+Ingresos!AC50),"")</f>
        <v>54.283476791946626</v>
      </c>
      <c r="AC18" s="2">
        <f ca="1">IF(ISNUMBER(AC$10),IF('Datos Instalación'!$F$6="Autoconsumo Aislado",CostesNoGeneración!AC80,Ingresos!AD11+Ingresos!AD50),"")</f>
        <v>54.059829629952432</v>
      </c>
      <c r="AD18" s="2">
        <f ca="1">IF(ISNUMBER(AD$10),IF('Datos Instalación'!$F$6="Autoconsumo Aislado",CostesNoGeneración!AD80,Ingresos!AE11+Ingresos!AE50),"")</f>
        <v>53.837390162633014</v>
      </c>
      <c r="AE18" s="2">
        <f ca="1">IF(ISNUMBER(AE$10),IF('Datos Instalación'!$F$6="Autoconsumo Aislado",CostesNoGeneración!AE80,Ingresos!AF11+Ingresos!AF50),"")</f>
        <v>53.616151868437115</v>
      </c>
      <c r="AF18" s="2">
        <f ca="1">IF(ISNUMBER(AF$10),IF('Datos Instalación'!$F$6="Autoconsumo Aislado",CostesNoGeneración!AF80,Ingresos!AG11+Ingresos!AG50),"")</f>
        <v>53.396108261029866</v>
      </c>
    </row>
    <row r="19" spans="1:32">
      <c r="A19" s="292"/>
      <c r="B19" s="13" t="s">
        <v>12</v>
      </c>
      <c r="C19" s="2">
        <f ca="1">IF(ISNUMBER(C$10),IF('Datos Instalación'!$F$6="Autoconsumo Aislado",CostesNoGeneración!C81,Ingresos!D12+Ingresos!D51),"")</f>
        <v>53.528948048591367</v>
      </c>
      <c r="D19" s="2">
        <f ca="1">IF(ISNUMBER(D$10),IF('Datos Instalación'!$F$6="Autoconsumo Aislado",CostesNoGeneración!D81,Ingresos!E12+Ingresos!E51),"")</f>
        <v>53.528948048591367</v>
      </c>
      <c r="E19" s="2">
        <f ca="1">IF(ISNUMBER(E$10),IF('Datos Instalación'!$F$6="Autoconsumo Aislado",CostesNoGeneración!E81,Ingresos!F12+Ingresos!F51),"")</f>
        <v>53.39577480900391</v>
      </c>
      <c r="F19" s="2">
        <f ca="1">IF(ISNUMBER(F$10),IF('Datos Instalación'!$F$6="Autoconsumo Aislado",CostesNoGeneración!F81,Ingresos!G12+Ingresos!G51),"")</f>
        <v>53.172988203037477</v>
      </c>
      <c r="G19" s="2">
        <f ca="1">IF(ISNUMBER(G$10),IF('Datos Instalación'!$F$6="Autoconsumo Aislado",CostesNoGeneración!G81,Ingresos!H12+Ingresos!H51),"")</f>
        <v>52.951404644743263</v>
      </c>
      <c r="H19" s="2">
        <f ca="1">IF(ISNUMBER(H$10),IF('Datos Instalación'!$F$6="Autoconsumo Aislado",CostesNoGeneración!H81,Ingresos!I12+Ingresos!I51),"")</f>
        <v>52.73101763766384</v>
      </c>
      <c r="I19" s="2">
        <f ca="1">IF(ISNUMBER(I$10),IF('Datos Instalación'!$F$6="Autoconsumo Aislado",CostesNoGeneración!I81,Ingresos!J12+Ingresos!J51),"")</f>
        <v>52.511820720422641</v>
      </c>
      <c r="J19" s="2">
        <f ca="1">IF(ISNUMBER(J$10),IF('Datos Instalación'!$F$6="Autoconsumo Aislado",CostesNoGeneración!J81,Ingresos!K12+Ingresos!K51),"")</f>
        <v>52.293807466534545</v>
      </c>
      <c r="K19" s="2">
        <f ca="1">IF(ISNUMBER(K$10),IF('Datos Instalación'!$F$6="Autoconsumo Aislado",CostesNoGeneración!K81,Ingresos!L12+Ingresos!L51),"")</f>
        <v>52.076971484217452</v>
      </c>
      <c r="L19" s="2">
        <f ca="1">IF(ISNUMBER(L$10),IF('Datos Instalación'!$F$6="Autoconsumo Aislado",CostesNoGeneración!L81,Ingresos!M12+Ingresos!M51),"")</f>
        <v>51.861306416204869</v>
      </c>
      <c r="M19" s="2">
        <f ca="1">IF(ISNUMBER(M$10),IF('Datos Instalación'!$F$6="Autoconsumo Aislado",CostesNoGeneración!M81,Ingresos!N12+Ingresos!N51),"")</f>
        <v>51.646805939559556</v>
      </c>
      <c r="N19" s="2">
        <f ca="1">IF(ISNUMBER(N$10),IF('Datos Instalación'!$F$6="Autoconsumo Aislado",CostesNoGeneración!N81,Ingresos!O12+Ingresos!O51),"")</f>
        <v>51.433463765488121</v>
      </c>
      <c r="O19" s="2">
        <f ca="1">IF(ISNUMBER(O$10),IF('Datos Instalación'!$F$6="Autoconsumo Aislado",CostesNoGeneración!O81,Ingresos!P12+Ingresos!P51),"")</f>
        <v>51.221273639156671</v>
      </c>
      <c r="P19" s="2">
        <f ca="1">IF(ISNUMBER(P$10),IF('Datos Instalación'!$F$6="Autoconsumo Aislado",CostesNoGeneración!P81,Ingresos!Q12+Ingresos!Q51),"")</f>
        <v>51.010229339507418</v>
      </c>
      <c r="Q19" s="2">
        <f ca="1">IF(ISNUMBER(Q$10),IF('Datos Instalación'!$F$6="Autoconsumo Aislado",CostesNoGeneración!Q81,Ingresos!R12+Ingresos!R51),"")</f>
        <v>50.800324679076262</v>
      </c>
      <c r="R19" s="2">
        <f ca="1">IF(ISNUMBER(R$10),IF('Datos Instalación'!$F$6="Autoconsumo Aislado",CostesNoGeneración!R81,Ingresos!S12+Ingresos!S51),"")</f>
        <v>50.591553503811433</v>
      </c>
      <c r="S19" s="2">
        <f ca="1">IF(ISNUMBER(S$10),IF('Datos Instalación'!$F$6="Autoconsumo Aislado",CostesNoGeneración!S81,Ingresos!T12+Ingresos!T51),"")</f>
        <v>50.383909692893049</v>
      </c>
      <c r="T19" s="2">
        <f ca="1">IF(ISNUMBER(T$10),IF('Datos Instalación'!$F$6="Autoconsumo Aislado",CostesNoGeneración!T81,Ingresos!U12+Ingresos!U51),"")</f>
        <v>50.177387158553621</v>
      </c>
      <c r="U19" s="2">
        <f ca="1">IF(ISNUMBER(U$10),IF('Datos Instalación'!$F$6="Autoconsumo Aislado",CostesNoGeneración!U81,Ingresos!V12+Ingresos!V51),"")</f>
        <v>49.971979845899611</v>
      </c>
      <c r="V19" s="2">
        <f ca="1">IF(ISNUMBER(V$10),IF('Datos Instalación'!$F$6="Autoconsumo Aislado",CostesNoGeneración!V81,Ingresos!W12+Ingresos!W51),"")</f>
        <v>49.767681732733941</v>
      </c>
      <c r="W19" s="2">
        <f ca="1">IF(ISNUMBER(W$10),IF('Datos Instalación'!$F$6="Autoconsumo Aislado",CostesNoGeneración!W81,Ingresos!X12+Ingresos!X51),"")</f>
        <v>49.564486829379355</v>
      </c>
      <c r="X19" s="2">
        <f ca="1">IF(ISNUMBER(X$10),IF('Datos Instalación'!$F$6="Autoconsumo Aislado",CostesNoGeneración!X81,Ingresos!Y12+Ingresos!Y51),"")</f>
        <v>49.362389178502916</v>
      </c>
      <c r="Y19" s="2">
        <f ca="1">IF(ISNUMBER(Y$10),IF('Datos Instalación'!$F$6="Autoconsumo Aislado",CostesNoGeneración!Y81,Ingresos!Z12+Ingresos!Z51),"")</f>
        <v>49.161382854941181</v>
      </c>
      <c r="Z19" s="2">
        <f ca="1">IF(ISNUMBER(Z$10),IF('Datos Instalación'!$F$6="Autoconsumo Aislado",CostesNoGeneración!Z81,Ingresos!AA12+Ingresos!AA51),"")</f>
        <v>48.961461965526688</v>
      </c>
      <c r="AA19" s="2">
        <f ca="1">IF(ISNUMBER(AA$10),IF('Datos Instalación'!$F$6="Autoconsumo Aislado",CostesNoGeneración!AA81,Ingresos!AB12+Ingresos!AB51),"")</f>
        <v>48.762620648915032</v>
      </c>
      <c r="AB19" s="2">
        <f ca="1">IF(ISNUMBER(AB$10),IF('Datos Instalación'!$F$6="Autoconsumo Aislado",CostesNoGeneración!AB81,Ingresos!AC12+Ingresos!AC51),"")</f>
        <v>48.564853075413083</v>
      </c>
      <c r="AC19" s="2">
        <f ca="1">IF(ISNUMBER(AC$10),IF('Datos Instalación'!$F$6="Autoconsumo Aislado",CostesNoGeneración!AC81,Ingresos!AD12+Ingresos!AD51),"")</f>
        <v>48.368153446808037</v>
      </c>
      <c r="AD19" s="2">
        <f ca="1">IF(ISNUMBER(AD$10),IF('Datos Instalación'!$F$6="Autoconsumo Aislado",CostesNoGeneración!AD81,Ingresos!AE12+Ingresos!AE51),"")</f>
        <v>48.172515996197461</v>
      </c>
      <c r="AE19" s="2">
        <f ca="1">IF(ISNUMBER(AE$10),IF('Datos Instalación'!$F$6="Autoconsumo Aislado",CostesNoGeneración!AE81,Ingresos!AF12+Ingresos!AF51),"")</f>
        <v>47.977934987820191</v>
      </c>
      <c r="AF19" s="2">
        <f ca="1">IF(ISNUMBER(AF$10),IF('Datos Instalación'!$F$6="Autoconsumo Aislado",CostesNoGeneración!AF81,Ingresos!AG12+Ingresos!AG51),"")</f>
        <v>47.784404716888147</v>
      </c>
    </row>
    <row r="20" spans="1:32">
      <c r="A20" s="292"/>
      <c r="B20" s="13" t="s">
        <v>13</v>
      </c>
      <c r="C20" s="2">
        <f ca="1">IF(ISNUMBER(C$10),IF('Datos Instalación'!$F$6="Autoconsumo Aislado",CostesNoGeneración!C82,Ingresos!D13+Ingresos!D52),"")</f>
        <v>51.18976321338458</v>
      </c>
      <c r="D20" s="2">
        <f ca="1">IF(ISNUMBER(D$10),IF('Datos Instalación'!$F$6="Autoconsumo Aislado",CostesNoGeneración!D82,Ingresos!E13+Ingresos!E52),"")</f>
        <v>50.981511093154573</v>
      </c>
      <c r="E20" s="2">
        <f ca="1">IF(ISNUMBER(E$10),IF('Datos Instalación'!$F$6="Autoconsumo Aislado",CostesNoGeneración!E82,Ingresos!F13+Ingresos!F52),"")</f>
        <v>50.774383534373811</v>
      </c>
      <c r="F20" s="2">
        <f ca="1">IF(ISNUMBER(F$10),IF('Datos Instalación'!$F$6="Autoconsumo Aislado",CostesNoGeneración!F82,Ingresos!G13+Ingresos!G52),"")</f>
        <v>50.568374464410475</v>
      </c>
      <c r="G20" s="2">
        <f ca="1">IF(ISNUMBER(G$10),IF('Datos Instalación'!$F$6="Autoconsumo Aislado",CostesNoGeneración!G82,Ingresos!H13+Ingresos!H52),"")</f>
        <v>50.363477843424931</v>
      </c>
      <c r="H20" s="2">
        <f ca="1">IF(ISNUMBER(H$10),IF('Datos Instalación'!$F$6="Autoconsumo Aislado",CostesNoGeneración!H82,Ingresos!I13+Ingresos!I52),"")</f>
        <v>50.159687664192717</v>
      </c>
      <c r="I20" s="2">
        <f ca="1">IF(ISNUMBER(I$10),IF('Datos Instalación'!$F$6="Autoconsumo Aislado",CostesNoGeneración!I82,Ingresos!J13+Ingresos!J52),"")</f>
        <v>49.956997951928351</v>
      </c>
      <c r="J20" s="2">
        <f ca="1">IF(ISNUMBER(J$10),IF('Datos Instalación'!$F$6="Autoconsumo Aislado",CostesNoGeneración!J82,Ingresos!K13+Ingresos!K52),"")</f>
        <v>49.755402764110222</v>
      </c>
      <c r="K20" s="2">
        <f ca="1">IF(ISNUMBER(K$10),IF('Datos Instalación'!$F$6="Autoconsumo Aislado",CostesNoGeneración!K82,Ingresos!L13+Ingresos!L52),"")</f>
        <v>49.554896190306295</v>
      </c>
      <c r="L20" s="2">
        <f ca="1">IF(ISNUMBER(L$10),IF('Datos Instalación'!$F$6="Autoconsumo Aislado",CostesNoGeneración!L82,Ingresos!M13+Ingresos!M52),"")</f>
        <v>49.355472352000923</v>
      </c>
      <c r="M20" s="2">
        <f ca="1">IF(ISNUMBER(M$10),IF('Datos Instalación'!$F$6="Autoconsumo Aislado",CostesNoGeneración!M82,Ingresos!N13+Ingresos!N52),"")</f>
        <v>49.157125402422395</v>
      </c>
      <c r="N20" s="2">
        <f ca="1">IF(ISNUMBER(N$10),IF('Datos Instalación'!$F$6="Autoconsumo Aislado",CostesNoGeneración!N82,Ingresos!O13+Ingresos!O52),"")</f>
        <v>48.959849526371592</v>
      </c>
      <c r="O20" s="2">
        <f ca="1">IF(ISNUMBER(O$10),IF('Datos Instalación'!$F$6="Autoconsumo Aislado",CostesNoGeneración!O82,Ingresos!P13+Ingresos!P52),"")</f>
        <v>48.763638940051464</v>
      </c>
      <c r="P20" s="2">
        <f ca="1">IF(ISNUMBER(P$10),IF('Datos Instalación'!$F$6="Autoconsumo Aislado",CostesNoGeneración!P82,Ingresos!Q13+Ingresos!Q52),"")</f>
        <v>48.568487890897458</v>
      </c>
      <c r="Q20" s="2">
        <f ca="1">IF(ISNUMBER(Q$10),IF('Datos Instalación'!$F$6="Autoconsumo Aislado",CostesNoGeneración!Q82,Ingresos!R13+Ingresos!R52),"")</f>
        <v>48.374390657408895</v>
      </c>
      <c r="R20" s="2">
        <f ca="1">IF(ISNUMBER(R$10),IF('Datos Instalación'!$F$6="Autoconsumo Aislado",CostesNoGeneración!R82,Ingresos!S13+Ingresos!S52),"")</f>
        <v>48.181341548981152</v>
      </c>
      <c r="S20" s="2">
        <f ca="1">IF(ISNUMBER(S$10),IF('Datos Instalación'!$F$6="Autoconsumo Aislado",CostesNoGeneración!S82,Ingresos!T13+Ingresos!T52),"")</f>
        <v>47.989334905738936</v>
      </c>
      <c r="T20" s="2">
        <f ca="1">IF(ISNUMBER(T$10),IF('Datos Instalación'!$F$6="Autoconsumo Aislado",CostesNoGeneración!T82,Ingresos!U13+Ingresos!U52),"")</f>
        <v>47.798365098370226</v>
      </c>
      <c r="U20" s="2">
        <f ca="1">IF(ISNUMBER(U$10),IF('Datos Instalación'!$F$6="Autoconsumo Aislado",CostesNoGeneración!U82,Ingresos!V13+Ingresos!V52),"")</f>
        <v>47.608426527961299</v>
      </c>
      <c r="V20" s="2">
        <f ca="1">IF(ISNUMBER(V$10),IF('Datos Instalación'!$F$6="Autoconsumo Aislado",CostesNoGeneración!V82,Ingresos!W13+Ingresos!W52),"")</f>
        <v>47.419513625832579</v>
      </c>
      <c r="W20" s="2">
        <f ca="1">IF(ISNUMBER(W$10),IF('Datos Instalación'!$F$6="Autoconsumo Aislado",CostesNoGeneración!W82,Ingresos!X13+Ingresos!X52),"")</f>
        <v>47.231620853375368</v>
      </c>
      <c r="X20" s="2">
        <f ca="1">IF(ISNUMBER(X$10),IF('Datos Instalación'!$F$6="Autoconsumo Aislado",CostesNoGeneración!X82,Ingresos!Y13+Ingresos!Y52),"")</f>
        <v>47.044742701889419</v>
      </c>
      <c r="Y20" s="2">
        <f ca="1">IF(ISNUMBER(Y$10),IF('Datos Instalación'!$F$6="Autoconsumo Aislado",CostesNoGeneración!Y82,Ingresos!Z13+Ingresos!Z52),"")</f>
        <v>46.858873692421476</v>
      </c>
      <c r="Z20" s="2">
        <f ca="1">IF(ISNUMBER(Z$10),IF('Datos Instalación'!$F$6="Autoconsumo Aislado",CostesNoGeneración!Z82,Ingresos!AA13+Ingresos!AA52),"")</f>
        <v>46.6740083756047</v>
      </c>
      <c r="AA20" s="2">
        <f ca="1">IF(ISNUMBER(AA$10),IF('Datos Instalación'!$F$6="Autoconsumo Aislado",CostesNoGeneración!AA82,Ingresos!AB13+Ingresos!AB52),"")</f>
        <v>46.490141331498698</v>
      </c>
      <c r="AB20" s="2">
        <f ca="1">IF(ISNUMBER(AB$10),IF('Datos Instalación'!$F$6="Autoconsumo Aislado",CostesNoGeneración!AB82,Ingresos!AC13+Ingresos!AC52),"")</f>
        <v>46.307267169430887</v>
      </c>
      <c r="AC20" s="2">
        <f ca="1">IF(ISNUMBER(AC$10),IF('Datos Instalación'!$F$6="Autoconsumo Aislado",CostesNoGeneración!AC82,Ingresos!AD13+Ingresos!AD52),"")</f>
        <v>46.125380527838239</v>
      </c>
      <c r="AD20" s="2">
        <f ca="1">IF(ISNUMBER(AD$10),IF('Datos Instalación'!$F$6="Autoconsumo Aislado",CostesNoGeneración!AD82,Ingresos!AE13+Ingresos!AE52),"")</f>
        <v>45.944476074110185</v>
      </c>
      <c r="AE20" s="2">
        <f ca="1">IF(ISNUMBER(AE$10),IF('Datos Instalación'!$F$6="Autoconsumo Aislado",CostesNoGeneración!AE82,Ingresos!AF13+Ingresos!AF52),"")</f>
        <v>45.76454850443227</v>
      </c>
      <c r="AF20" s="2">
        <f ca="1">IF(ISNUMBER(AF$10),IF('Datos Instalación'!$F$6="Autoconsumo Aislado",CostesNoGeneración!AF82,Ingresos!AG13+Ingresos!AG52),"")</f>
        <v>45.585592543630604</v>
      </c>
    </row>
    <row r="21" spans="1:32">
      <c r="A21" s="292"/>
      <c r="B21" s="13" t="s">
        <v>14</v>
      </c>
      <c r="C21" s="2">
        <f ca="1">IF(ISNUMBER(C$10),IF('Datos Instalación'!$F$6="Autoconsumo Aislado",CostesNoGeneración!C83,Ingresos!D14+Ingresos!D53),"")</f>
        <v>45.644367826331319</v>
      </c>
      <c r="D21" s="2">
        <f ca="1">IF(ISNUMBER(D$10),IF('Datos Instalación'!$F$6="Autoconsumo Aislado",CostesNoGeneración!D83,Ingresos!E14+Ingresos!E53),"")</f>
        <v>45.46343881807131</v>
      </c>
      <c r="E21" s="2">
        <f ca="1">IF(ISNUMBER(E$10),IF('Datos Instalación'!$F$6="Autoconsumo Aislado",CostesNoGeneración!E83,Ingresos!F14+Ingresos!F53),"")</f>
        <v>45.283486826455913</v>
      </c>
      <c r="F21" s="2">
        <f ca="1">IF(ISNUMBER(F$10),IF('Datos Instalación'!$F$6="Autoconsumo Aislado",CostesNoGeneración!F83,Ingresos!G14+Ingresos!G53),"")</f>
        <v>45.104506575595252</v>
      </c>
      <c r="G21" s="2">
        <f ca="1">IF(ISNUMBER(G$10),IF('Datos Instalación'!$F$6="Autoconsumo Aislado",CostesNoGeneración!G83,Ingresos!H14+Ingresos!H53),"")</f>
        <v>44.92649281808923</v>
      </c>
      <c r="H21" s="2">
        <f ca="1">IF(ISNUMBER(H$10),IF('Datos Instalación'!$F$6="Autoconsumo Aislado",CostesNoGeneración!H83,Ingresos!I14+Ingresos!I53),"")</f>
        <v>44.749440334873725</v>
      </c>
      <c r="I21" s="2">
        <f ca="1">IF(ISNUMBER(I$10),IF('Datos Instalación'!$F$6="Autoconsumo Aislado",CostesNoGeneración!I83,Ingresos!J14+Ingresos!J53),"")</f>
        <v>44.573343935067605</v>
      </c>
      <c r="J21" s="2">
        <f ca="1">IF(ISNUMBER(J$10),IF('Datos Instalación'!$F$6="Autoconsumo Aislado",CostesNoGeneración!J83,Ingresos!K14+Ingresos!K53),"")</f>
        <v>44.39819845582042</v>
      </c>
      <c r="K21" s="2">
        <f ca="1">IF(ISNUMBER(K$10),IF('Datos Instalación'!$F$6="Autoconsumo Aislado",CostesNoGeneración!K83,Ingresos!L14+Ingresos!L53),"")</f>
        <v>44.22399876216118</v>
      </c>
      <c r="L21" s="2">
        <f ca="1">IF(ISNUMBER(L$10),IF('Datos Instalación'!$F$6="Autoconsumo Aislado",CostesNoGeneración!L83,Ingresos!M14+Ingresos!M53),"")</f>
        <v>44.050739746847711</v>
      </c>
      <c r="M21" s="2">
        <f ca="1">IF(ISNUMBER(M$10),IF('Datos Instalación'!$F$6="Autoconsumo Aislado",CostesNoGeneración!M83,Ingresos!N14+Ingresos!N53),"")</f>
        <v>43.878416330216922</v>
      </c>
      <c r="N21" s="2">
        <f ca="1">IF(ISNUMBER(N$10),IF('Datos Instalación'!$F$6="Autoconsumo Aislado",CostesNoGeneración!N83,Ingresos!O14+Ingresos!O53),"")</f>
        <v>43.707023460035934</v>
      </c>
      <c r="O21" s="2">
        <f ca="1">IF(ISNUMBER(O$10),IF('Datos Instalación'!$F$6="Autoconsumo Aislado",CostesNoGeneración!O83,Ingresos!P14+Ingresos!P53),"")</f>
        <v>43.536556111353931</v>
      </c>
      <c r="P21" s="2">
        <f ca="1">IF(ISNUMBER(P$10),IF('Datos Instalación'!$F$6="Autoconsumo Aislado",CostesNoGeneración!P83,Ingresos!Q14+Ingresos!Q53),"")</f>
        <v>43.367009286354801</v>
      </c>
      <c r="Q21" s="2">
        <f ca="1">IF(ISNUMBER(Q$10),IF('Datos Instalación'!$F$6="Autoconsumo Aislado",CostesNoGeneración!Q83,Ingresos!R14+Ingresos!R53),"")</f>
        <v>43.198378014210675</v>
      </c>
      <c r="R21" s="2">
        <f ca="1">IF(ISNUMBER(R$10),IF('Datos Instalación'!$F$6="Autoconsumo Aislado",CostesNoGeneración!R83,Ingresos!S14+Ingresos!S53),"")</f>
        <v>43.030657350936131</v>
      </c>
      <c r="S21" s="2">
        <f ca="1">IF(ISNUMBER(S$10),IF('Datos Instalación'!$F$6="Autoconsumo Aislado",CostesNoGeneración!S83,Ingresos!T14+Ingresos!T53),"")</f>
        <v>42.863842379243266</v>
      </c>
      <c r="T21" s="2">
        <f ca="1">IF(ISNUMBER(T$10),IF('Datos Instalación'!$F$6="Autoconsumo Aislado",CostesNoGeneración!T83,Ingresos!U14+Ingresos!U53),"")</f>
        <v>42.697928208397542</v>
      </c>
      <c r="U21" s="2">
        <f ca="1">IF(ISNUMBER(U$10),IF('Datos Instalación'!$F$6="Autoconsumo Aislado",CostesNoGeneración!U83,Ingresos!V14+Ingresos!V53),"")</f>
        <v>42.532909974074386</v>
      </c>
      <c r="V21" s="2">
        <f ca="1">IF(ISNUMBER(V$10),IF('Datos Instalación'!$F$6="Autoconsumo Aislado",CostesNoGeneración!V83,Ingresos!W14+Ingresos!W53),"")</f>
        <v>42.368782838216575</v>
      </c>
      <c r="W21" s="2">
        <f ca="1">IF(ISNUMBER(W$10),IF('Datos Instalación'!$F$6="Autoconsumo Aislado",CostesNoGeneración!W83,Ingresos!X14+Ingresos!X53),"")</f>
        <v>42.205541988892378</v>
      </c>
      <c r="X21" s="2">
        <f ca="1">IF(ISNUMBER(X$10),IF('Datos Instalación'!$F$6="Autoconsumo Aislado",CostesNoGeneración!X83,Ingresos!Y14+Ingresos!Y53),"")</f>
        <v>42.043182640154555</v>
      </c>
      <c r="Y21" s="2">
        <f ca="1">IF(ISNUMBER(Y$10),IF('Datos Instalación'!$F$6="Autoconsumo Aislado",CostesNoGeneración!Y83,Ingresos!Z14+Ingresos!Z53),"")</f>
        <v>41.881700031899911</v>
      </c>
      <c r="Z21" s="2">
        <f ca="1">IF(ISNUMBER(Z$10),IF('Datos Instalación'!$F$6="Autoconsumo Aislado",CostesNoGeneración!Z83,Ingresos!AA14+Ingresos!AA53),"")</f>
        <v>41.721089429729844</v>
      </c>
      <c r="AA21" s="2">
        <f ca="1">IF(ISNUMBER(AA$10),IF('Datos Instalación'!$F$6="Autoconsumo Aislado",CostesNoGeneración!AA83,Ingresos!AB14+Ingresos!AB53),"")</f>
        <v>41.561346124811493</v>
      </c>
      <c r="AB21" s="2">
        <f ca="1">IF(ISNUMBER(AB$10),IF('Datos Instalación'!$F$6="Autoconsumo Aislado",CostesNoGeneración!AB83,Ingresos!AC14+Ingresos!AC53),"")</f>
        <v>41.4024654337397</v>
      </c>
      <c r="AC21" s="2">
        <f ca="1">IF(ISNUMBER(AC$10),IF('Datos Instalación'!$F$6="Autoconsumo Aislado",CostesNoGeneración!AC83,Ingresos!AD14+Ingresos!AD53),"")</f>
        <v>41.244442698399695</v>
      </c>
      <c r="AD21" s="2">
        <f ca="1">IF(ISNUMBER(AD$10),IF('Datos Instalación'!$F$6="Autoconsumo Aislado",CostesNoGeneración!AD83,Ingresos!AE14+Ingresos!AE53),"")</f>
        <v>41.08727328583052</v>
      </c>
      <c r="AE21" s="2">
        <f ca="1">IF(ISNUMBER(AE$10),IF('Datos Instalación'!$F$6="Autoconsumo Aislado",CostesNoGeneración!AE83,Ingresos!AF14+Ingresos!AF53),"")</f>
        <v>40.930952588089227</v>
      </c>
      <c r="AF21" s="2">
        <f ca="1">IF(ISNUMBER(AF$10),IF('Datos Instalación'!$F$6="Autoconsumo Aislado",CostesNoGeneración!AF83,Ingresos!AG14+Ingresos!AG53),"")</f>
        <v>40.77547602211574</v>
      </c>
    </row>
    <row r="22" spans="1:32">
      <c r="A22" s="292"/>
      <c r="B22" s="13" t="s">
        <v>15</v>
      </c>
      <c r="C22" s="2">
        <f ca="1">IF(ISNUMBER(C$10),IF('Datos Instalación'!$F$6="Autoconsumo Aislado",CostesNoGeneración!C84,Ingresos!D15+Ingresos!D54),"")</f>
        <v>49.506966496863853</v>
      </c>
      <c r="D22" s="2">
        <f ca="1">IF(ISNUMBER(D$10),IF('Datos Instalación'!$F$6="Autoconsumo Aislado",CostesNoGeneración!D84,Ingresos!E15+Ingresos!E54),"")</f>
        <v>49.33139968698385</v>
      </c>
      <c r="E22" s="2">
        <f ca="1">IF(ISNUMBER(E$10),IF('Datos Instalación'!$F$6="Autoconsumo Aislado",CostesNoGeneración!E84,Ingresos!F15+Ingresos!F54),"")</f>
        <v>49.156780937877208</v>
      </c>
      <c r="F22" s="2">
        <f ca="1">IF(ISNUMBER(F$10),IF('Datos Instalación'!$F$6="Autoconsumo Aislado",CostesNoGeneración!F84,Ingresos!G15+Ingresos!G54),"")</f>
        <v>48.98310513001573</v>
      </c>
      <c r="G22" s="2">
        <f ca="1">IF(ISNUMBER(G$10),IF('Datos Instalación'!$F$6="Autoconsumo Aislado",CostesNoGeneración!G84,Ingresos!H15+Ingresos!H54),"")</f>
        <v>48.810367171516717</v>
      </c>
      <c r="H22" s="2">
        <f ca="1">IF(ISNUMBER(H$10),IF('Datos Instalación'!$F$6="Autoconsumo Aislado",CostesNoGeneración!H84,Ingresos!I15+Ingresos!I54),"")</f>
        <v>48.638561997993591</v>
      </c>
      <c r="I22" s="2">
        <f ca="1">IF(ISNUMBER(I$10),IF('Datos Instalación'!$F$6="Autoconsumo Aislado",CostesNoGeneración!I84,Ingresos!J15+Ingresos!J54),"")</f>
        <v>48.467684572407492</v>
      </c>
      <c r="J22" s="2">
        <f ca="1">IF(ISNUMBER(J$10),IF('Datos Instalación'!$F$6="Autoconsumo Aislado",CostesNoGeneración!J84,Ingresos!K15+Ingresos!K54),"")</f>
        <v>48.297729884919555</v>
      </c>
      <c r="K22" s="2">
        <f ca="1">IF(ISNUMBER(K$10),IF('Datos Instalación'!$F$6="Autoconsumo Aislado",CostesNoGeneración!K84,Ingresos!L15+Ingresos!L54),"")</f>
        <v>48.128692952744053</v>
      </c>
      <c r="L22" s="2">
        <f ca="1">IF(ISNUMBER(L$10),IF('Datos Instalación'!$F$6="Autoconsumo Aislado",CostesNoGeneración!L84,Ingresos!M15+Ingresos!M54),"")</f>
        <v>47.960568820002308</v>
      </c>
      <c r="M22" s="2">
        <f ca="1">IF(ISNUMBER(M$10),IF('Datos Instalación'!$F$6="Autoconsumo Aislado",CostesNoGeneración!M84,Ingresos!N15+Ingresos!N54),"")</f>
        <v>47.79335255757735</v>
      </c>
      <c r="N22" s="2">
        <f ca="1">IF(ISNUMBER(N$10),IF('Datos Instalación'!$F$6="Autoconsumo Aislado",CostesNoGeneración!N84,Ingresos!O15+Ingresos!O54),"")</f>
        <v>47.627039262969504</v>
      </c>
      <c r="O22" s="2">
        <f ca="1">IF(ISNUMBER(O$10),IF('Datos Instalación'!$F$6="Autoconsumo Aislado",CostesNoGeneración!O84,Ingresos!P15+Ingresos!P54),"")</f>
        <v>47.461624060152531</v>
      </c>
      <c r="P22" s="2">
        <f ca="1">IF(ISNUMBER(P$10),IF('Datos Instalación'!$F$6="Autoconsumo Aislado",CostesNoGeneración!P84,Ingresos!Q15+Ingresos!Q54),"")</f>
        <v>47.297102099430759</v>
      </c>
      <c r="Q22" s="2">
        <f ca="1">IF(ISNUMBER(Q$10),IF('Datos Instalación'!$F$6="Autoconsumo Aislado",CostesNoGeneración!Q84,Ingresos!R15+Ingresos!R54),"")</f>
        <v>47.133468557296908</v>
      </c>
      <c r="R22" s="2">
        <f ca="1">IF(ISNUMBER(R$10),IF('Datos Instalación'!$F$6="Autoconsumo Aislado",CostesNoGeneración!R84,Ingresos!S15+Ingresos!S54),"")</f>
        <v>46.97071863629057</v>
      </c>
      <c r="S22" s="2">
        <f ca="1">IF(ISNUMBER(S$10),IF('Datos Instalación'!$F$6="Autoconsumo Aislado",CostesNoGeneración!S84,Ingresos!T15+Ingresos!T54),"")</f>
        <v>46.808847564857665</v>
      </c>
      <c r="T22" s="2">
        <f ca="1">IF(ISNUMBER(T$10),IF('Datos Instalación'!$F$6="Autoconsumo Aislado",CostesNoGeneración!T84,Ingresos!U15+Ingresos!U54),"")</f>
        <v>46.6478505972105</v>
      </c>
      <c r="U22" s="2">
        <f ca="1">IF(ISNUMBER(U$10),IF('Datos Instalación'!$F$6="Autoconsumo Aislado",CostesNoGeneración!U84,Ingresos!V15+Ingresos!V54),"")</f>
        <v>46.487723013188628</v>
      </c>
      <c r="V22" s="2">
        <f ca="1">IF(ISNUMBER(V$10),IF('Datos Instalación'!$F$6="Autoconsumo Aislado",CostesNoGeneración!V84,Ingresos!W15+Ingresos!W54),"")</f>
        <v>46.328460118120475</v>
      </c>
      <c r="W22" s="2">
        <f ca="1">IF(ISNUMBER(W$10),IF('Datos Instalación'!$F$6="Autoconsumo Aislado",CostesNoGeneración!W84,Ingresos!X15+Ingresos!X54),"")</f>
        <v>46.170057242685687</v>
      </c>
      <c r="X22" s="2">
        <f ca="1">IF(ISNUMBER(X$10),IF('Datos Instalación'!$F$6="Autoconsumo Aislado",CostesNoGeneración!X84,Ingresos!Y15+Ingresos!Y54),"")</f>
        <v>46.012509742778249</v>
      </c>
      <c r="Y22" s="2">
        <f ca="1">IF(ISNUMBER(Y$10),IF('Datos Instalación'!$F$6="Autoconsumo Aislado",CostesNoGeneración!Y84,Ingresos!Z15+Ingresos!Z54),"")</f>
        <v>45.855812999370315</v>
      </c>
      <c r="Z22" s="2">
        <f ca="1">IF(ISNUMBER(Z$10),IF('Datos Instalación'!$F$6="Autoconsumo Aislado",CostesNoGeneración!Z84,Ingresos!AA15+Ingresos!AA54),"")</f>
        <v>45.699962418376778</v>
      </c>
      <c r="AA22" s="2">
        <f ca="1">IF(ISNUMBER(AA$10),IF('Datos Instalación'!$F$6="Autoconsumo Aislado",CostesNoGeneración!AA84,Ingresos!AB15+Ingresos!AB54),"")</f>
        <v>45.544953430520607</v>
      </c>
      <c r="AB22" s="2">
        <f ca="1">IF(ISNUMBER(AB$10),IF('Datos Instalación'!$F$6="Autoconsumo Aislado",CostesNoGeneración!AB84,Ingresos!AC15+Ingresos!AC54),"")</f>
        <v>45.390781491198865</v>
      </c>
      <c r="AC22" s="2">
        <f ca="1">IF(ISNUMBER(AC$10),IF('Datos Instalación'!$F$6="Autoconsumo Aislado",CostesNoGeneración!AC84,Ingresos!AD15+Ingresos!AD54),"")</f>
        <v>45.237442080349453</v>
      </c>
      <c r="AD22" s="2">
        <f ca="1">IF(ISNUMBER(AD$10),IF('Datos Instalación'!$F$6="Autoconsumo Aislado",CostesNoGeneración!AD84,Ingresos!AE15+Ingresos!AE54),"")</f>
        <v>45.084930702318623</v>
      </c>
      <c r="AE22" s="2">
        <f ca="1">IF(ISNUMBER(AE$10),IF('Datos Instalación'!$F$6="Autoconsumo Aislado",CostesNoGeneración!AE84,Ingresos!AF15+Ingresos!AF54),"")</f>
        <v>44.933242885729172</v>
      </c>
      <c r="AF22" s="2">
        <f ca="1">IF(ISNUMBER(AF$10),IF('Datos Instalación'!$F$6="Autoconsumo Aislado",CostesNoGeneración!AF84,Ingresos!AG15+Ingresos!AG54),"")</f>
        <v>44.782374183349297</v>
      </c>
    </row>
    <row r="23" spans="1:32">
      <c r="A23" s="292"/>
      <c r="B23" s="13" t="s">
        <v>16</v>
      </c>
      <c r="C23" s="16">
        <f ca="1">SUM(C11:C22)</f>
        <v>633.79953563119307</v>
      </c>
      <c r="D23" s="16">
        <f t="shared" ref="D23:AF23" ca="1" si="0">SUM(D11:D22)</f>
        <v>632.37554661443517</v>
      </c>
      <c r="E23" s="16">
        <f t="shared" ca="1" si="0"/>
        <v>630.82607389878024</v>
      </c>
      <c r="F23" s="16">
        <f t="shared" ca="1" si="0"/>
        <v>629.19463583391689</v>
      </c>
      <c r="G23" s="16">
        <f t="shared" ca="1" si="0"/>
        <v>627.57200753460427</v>
      </c>
      <c r="H23" s="16">
        <f t="shared" ca="1" si="0"/>
        <v>625.95814142810752</v>
      </c>
      <c r="I23" s="16">
        <f t="shared" ca="1" si="0"/>
        <v>624.35299019858599</v>
      </c>
      <c r="J23" s="16">
        <f t="shared" ca="1" si="0"/>
        <v>622.75650678570389</v>
      </c>
      <c r="K23" s="16">
        <f t="shared" ca="1" si="0"/>
        <v>621.16864438325115</v>
      </c>
      <c r="L23" s="16">
        <f t="shared" ca="1" si="0"/>
        <v>619.58935643777204</v>
      </c>
      <c r="M23" s="16">
        <f t="shared" ca="1" si="0"/>
        <v>618.01859664719836</v>
      </c>
      <c r="N23" s="16">
        <f t="shared" ca="1" si="0"/>
        <v>616.4563189594935</v>
      </c>
      <c r="O23" s="16">
        <f t="shared" ca="1" si="0"/>
        <v>614.9024775713026</v>
      </c>
      <c r="P23" s="16">
        <f t="shared" ca="1" si="0"/>
        <v>613.35702692660766</v>
      </c>
      <c r="Q23" s="16">
        <f t="shared" ca="1" si="0"/>
        <v>611.81992171539423</v>
      </c>
      <c r="R23" s="16">
        <f t="shared" ca="1" si="0"/>
        <v>610.13826386671951</v>
      </c>
      <c r="S23" s="16">
        <f t="shared" ca="1" si="0"/>
        <v>608.38162389008153</v>
      </c>
      <c r="T23" s="16">
        <f t="shared" ca="1" si="0"/>
        <v>606.63446976931766</v>
      </c>
      <c r="U23" s="16">
        <f t="shared" ca="1" si="0"/>
        <v>604.8967502808058</v>
      </c>
      <c r="V23" s="16">
        <f t="shared" ca="1" si="0"/>
        <v>603.16841447753177</v>
      </c>
      <c r="W23" s="16">
        <f t="shared" ca="1" si="0"/>
        <v>601.44941168759556</v>
      </c>
      <c r="X23" s="16">
        <f t="shared" ca="1" si="0"/>
        <v>599.61867571964058</v>
      </c>
      <c r="Y23" s="16">
        <f t="shared" ca="1" si="0"/>
        <v>597.70427600719506</v>
      </c>
      <c r="Z23" s="16">
        <f t="shared" ca="1" si="0"/>
        <v>595.80021405319701</v>
      </c>
      <c r="AA23" s="16">
        <f t="shared" ca="1" si="0"/>
        <v>593.90643403375032</v>
      </c>
      <c r="AB23" s="16">
        <f t="shared" ca="1" si="0"/>
        <v>592.02288042640862</v>
      </c>
      <c r="AC23" s="16">
        <f t="shared" ca="1" si="0"/>
        <v>590.14949800854663</v>
      </c>
      <c r="AD23" s="16">
        <f t="shared" ca="1" si="0"/>
        <v>588.28623185574111</v>
      </c>
      <c r="AE23" s="16">
        <f t="shared" ca="1" si="0"/>
        <v>586.43302734016083</v>
      </c>
      <c r="AF23" s="16">
        <f t="shared" ca="1" si="0"/>
        <v>584.58983012896442</v>
      </c>
    </row>
    <row r="24" spans="1:32">
      <c r="A24" s="237" t="s">
        <v>351</v>
      </c>
      <c r="B24" s="13"/>
      <c r="C24" s="16">
        <f>IF(OR('Hoja BIPV'!C39="Nuevos",'Hoja BIPV'!C39="Ambos"),'Hoja BIPV'!C38,0)</f>
        <v>0</v>
      </c>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row>
    <row r="25" spans="1:32" ht="27.6">
      <c r="A25" s="17" t="s">
        <v>143</v>
      </c>
      <c r="C25" s="3">
        <f ca="1">IF(C23&gt;0,-('Datos Instalación'!$G$28)/COUNTIF($C$23:$AF$23,"&gt;0"),0)</f>
        <v>-33.333333333333336</v>
      </c>
      <c r="D25" s="3">
        <f ca="1">IF(D23&gt;0,-('Datos Instalación'!$G$28)/COUNTIF($C$23:$AF$23,"&gt;0"),0)</f>
        <v>-33.333333333333336</v>
      </c>
      <c r="E25" s="3">
        <f ca="1">IF(E23&gt;0,-('Datos Instalación'!$G$28)/COUNTIF($C$23:$AF$23,"&gt;0"),0)</f>
        <v>-33.333333333333336</v>
      </c>
      <c r="F25" s="3">
        <f ca="1">IF(F23&gt;0,-('Datos Instalación'!$G$28)/COUNTIF($C$23:$AF$23,"&gt;0"),0)</f>
        <v>-33.333333333333336</v>
      </c>
      <c r="G25" s="3">
        <f ca="1">IF(G23&gt;0,-('Datos Instalación'!$G$28)/COUNTIF($C$23:$AF$23,"&gt;0"),0)</f>
        <v>-33.333333333333336</v>
      </c>
      <c r="H25" s="3">
        <f ca="1">IF(H23&gt;0,-('Datos Instalación'!$G$28)/COUNTIF($C$23:$AF$23,"&gt;0"),0)</f>
        <v>-33.333333333333336</v>
      </c>
      <c r="I25" s="3">
        <f ca="1">IF(I23&gt;0,-('Datos Instalación'!$G$28)/COUNTIF($C$23:$AF$23,"&gt;0"),0)</f>
        <v>-33.333333333333336</v>
      </c>
      <c r="J25" s="3">
        <f ca="1">IF(J23&gt;0,-('Datos Instalación'!$G$28)/COUNTIF($C$23:$AF$23,"&gt;0"),0)</f>
        <v>-33.333333333333336</v>
      </c>
      <c r="K25" s="3">
        <f ca="1">IF(K23&gt;0,-('Datos Instalación'!$G$28)/COUNTIF($C$23:$AF$23,"&gt;0"),0)</f>
        <v>-33.333333333333336</v>
      </c>
      <c r="L25" s="3">
        <f ca="1">IF(L23&gt;0,-('Datos Instalación'!$G$28)/COUNTIF($C$23:$AF$23,"&gt;0"),0)</f>
        <v>-33.333333333333336</v>
      </c>
      <c r="M25" s="3">
        <f ca="1">IF(M23&gt;0,-('Datos Instalación'!$G$28)/COUNTIF($C$23:$AF$23,"&gt;0"),0)</f>
        <v>-33.333333333333336</v>
      </c>
      <c r="N25" s="3">
        <f ca="1">IF(N23&gt;0,-('Datos Instalación'!$G$28)/COUNTIF($C$23:$AF$23,"&gt;0"),0)</f>
        <v>-33.333333333333336</v>
      </c>
      <c r="O25" s="3">
        <f ca="1">IF(O23&gt;0,-('Datos Instalación'!$G$28)/COUNTIF($C$23:$AF$23,"&gt;0"),0)</f>
        <v>-33.333333333333336</v>
      </c>
      <c r="P25" s="3">
        <f ca="1">IF(P23&gt;0,-('Datos Instalación'!$G$28)/COUNTIF($C$23:$AF$23,"&gt;0"),0)</f>
        <v>-33.333333333333336</v>
      </c>
      <c r="Q25" s="3">
        <f ca="1">IF(Q23&gt;0,-('Datos Instalación'!$G$28)/COUNTIF($C$23:$AF$23,"&gt;0"),0)</f>
        <v>-33.333333333333336</v>
      </c>
      <c r="R25" s="3">
        <f ca="1">IF(R23&gt;0,-('Datos Instalación'!$G$28)/COUNTIF($C$23:$AF$23,"&gt;0"),0)</f>
        <v>-33.333333333333336</v>
      </c>
      <c r="S25" s="3">
        <f ca="1">IF(S23&gt;0,-('Datos Instalación'!$G$28)/COUNTIF($C$23:$AF$23,"&gt;0"),0)</f>
        <v>-33.333333333333336</v>
      </c>
      <c r="T25" s="3">
        <f ca="1">IF(T23&gt;0,-('Datos Instalación'!$G$28)/COUNTIF($C$23:$AF$23,"&gt;0"),0)</f>
        <v>-33.333333333333336</v>
      </c>
      <c r="U25" s="3">
        <f ca="1">IF(U23&gt;0,-('Datos Instalación'!$G$28)/COUNTIF($C$23:$AF$23,"&gt;0"),0)</f>
        <v>-33.333333333333336</v>
      </c>
      <c r="V25" s="3">
        <f ca="1">IF(V23&gt;0,-('Datos Instalación'!$G$28)/COUNTIF($C$23:$AF$23,"&gt;0"),0)</f>
        <v>-33.333333333333336</v>
      </c>
      <c r="W25" s="3">
        <f ca="1">IF(W23&gt;0,-('Datos Instalación'!$G$28)/COUNTIF($C$23:$AF$23,"&gt;0"),0)</f>
        <v>-33.333333333333336</v>
      </c>
      <c r="X25" s="3">
        <f ca="1">IF(X23&gt;0,-('Datos Instalación'!$G$28)/COUNTIF($C$23:$AF$23,"&gt;0"),0)</f>
        <v>-33.333333333333336</v>
      </c>
      <c r="Y25" s="3">
        <f ca="1">IF(Y23&gt;0,-('Datos Instalación'!$G$28)/COUNTIF($C$23:$AF$23,"&gt;0"),0)</f>
        <v>-33.333333333333336</v>
      </c>
      <c r="Z25" s="3">
        <f ca="1">IF(Z23&gt;0,-('Datos Instalación'!$G$28)/COUNTIF($C$23:$AF$23,"&gt;0"),0)</f>
        <v>-33.333333333333336</v>
      </c>
      <c r="AA25" s="3">
        <f ca="1">IF(AA23&gt;0,-('Datos Instalación'!$G$28)/COUNTIF($C$23:$AF$23,"&gt;0"),0)</f>
        <v>-33.333333333333336</v>
      </c>
      <c r="AB25" s="3">
        <f ca="1">IF(AB23&gt;0,-('Datos Instalación'!$G$28)/COUNTIF($C$23:$AF$23,"&gt;0"),0)</f>
        <v>-33.333333333333336</v>
      </c>
      <c r="AC25" s="3">
        <f ca="1">IF(AC23&gt;0,-('Datos Instalación'!$G$28)/COUNTIF($C$23:$AF$23,"&gt;0"),0)</f>
        <v>-33.333333333333336</v>
      </c>
      <c r="AD25" s="3">
        <f ca="1">IF(AD23&gt;0,-('Datos Instalación'!$G$28)/COUNTIF($C$23:$AF$23,"&gt;0"),0)</f>
        <v>-33.333333333333336</v>
      </c>
      <c r="AE25" s="3">
        <f ca="1">IF(AE23&gt;0,-('Datos Instalación'!$G$28)/COUNTIF($C$23:$AF$23,"&gt;0"),0)</f>
        <v>-33.333333333333336</v>
      </c>
      <c r="AF25" s="3">
        <f ca="1">IF(AF23&gt;0,-('Datos Instalación'!$G$28)/COUNTIF($C$23:$AF$23,"&gt;0"),0)</f>
        <v>-33.333333333333336</v>
      </c>
    </row>
    <row r="26" spans="1:32">
      <c r="A26" s="17" t="s">
        <v>18</v>
      </c>
      <c r="C26" s="3">
        <f>-SUM('Datos Instalación'!H25:H27,'Datos Instalación'!H29:H30)</f>
        <v>-3865</v>
      </c>
    </row>
    <row r="27" spans="1:32" ht="17.399999999999999" customHeight="1">
      <c r="A27" s="76" t="s">
        <v>37</v>
      </c>
      <c r="C27" s="2">
        <f ca="1">IF(D23=0,IF(C23&gt;0,-'Datos Instalación'!$I$33,0),0)</f>
        <v>0</v>
      </c>
      <c r="D27" s="2">
        <f ca="1">IF(E23=0,IF(D23&gt;0,-'Datos Instalación'!$I$33,0),0)</f>
        <v>0</v>
      </c>
      <c r="E27" s="2">
        <f ca="1">IF(F23=0,IF(E23&gt;0,-'Datos Instalación'!$I$33,0),0)</f>
        <v>0</v>
      </c>
      <c r="F27" s="2">
        <f ca="1">IF(G23=0,IF(F23&gt;0,-'Datos Instalación'!$I$33,0),0)</f>
        <v>0</v>
      </c>
      <c r="G27" s="2">
        <f ca="1">IF(H23=0,IF(G23&gt;0,-'Datos Instalación'!$I$33,0),0)</f>
        <v>0</v>
      </c>
      <c r="H27" s="2">
        <f ca="1">IF(I23=0,IF(H23&gt;0,-'Datos Instalación'!$I$33,0),0)</f>
        <v>0</v>
      </c>
      <c r="I27" s="2">
        <f ca="1">IF(J23=0,IF(I23&gt;0,-'Datos Instalación'!$I$33,0),0)</f>
        <v>0</v>
      </c>
      <c r="J27" s="2">
        <f ca="1">IF(K23=0,IF(J23&gt;0,-'Datos Instalación'!$I$33,0),0)</f>
        <v>0</v>
      </c>
      <c r="K27" s="2">
        <f ca="1">IF(L23=0,IF(K23&gt;0,-'Datos Instalación'!$I$33,0),0)</f>
        <v>0</v>
      </c>
      <c r="L27" s="2">
        <f ca="1">IF(M23=0,IF(L23&gt;0,-'Datos Instalación'!$I$33,0),0)</f>
        <v>0</v>
      </c>
      <c r="M27" s="2">
        <f ca="1">IF(N23=0,IF(M23&gt;0,-'Datos Instalación'!$I$33,0),0)</f>
        <v>0</v>
      </c>
      <c r="N27" s="2">
        <f ca="1">IF(O23=0,IF(N23&gt;0,-'Datos Instalación'!$I$33,0),0)</f>
        <v>0</v>
      </c>
      <c r="O27" s="2">
        <f ca="1">IF(P23=0,IF(O23&gt;0,-'Datos Instalación'!$I$33,0),0)</f>
        <v>0</v>
      </c>
      <c r="P27" s="2">
        <f ca="1">IF(Q23=0,IF(P23&gt;0,-'Datos Instalación'!$I$33,0),0)</f>
        <v>0</v>
      </c>
      <c r="Q27" s="2">
        <f ca="1">IF(R23=0,IF(Q23&gt;0,-'Datos Instalación'!$I$33,0),0)</f>
        <v>0</v>
      </c>
      <c r="R27" s="2">
        <f ca="1">IF(S23=0,IF(R23&gt;0,-'Datos Instalación'!$I$33,0),0)</f>
        <v>0</v>
      </c>
      <c r="S27" s="2">
        <f ca="1">IF(T23=0,IF(S23&gt;0,-'Datos Instalación'!$I$33,0),0)</f>
        <v>0</v>
      </c>
      <c r="T27" s="2">
        <f ca="1">IF(U23=0,IF(T23&gt;0,-'Datos Instalación'!$I$33,0),0)</f>
        <v>0</v>
      </c>
      <c r="U27" s="2">
        <f ca="1">IF(V23=0,IF(U23&gt;0,-'Datos Instalación'!$I$33,0),0)</f>
        <v>0</v>
      </c>
      <c r="V27" s="2">
        <f ca="1">IF(W23=0,IF(V23&gt;0,-'Datos Instalación'!$I$33,0),0)</f>
        <v>0</v>
      </c>
      <c r="W27" s="2">
        <f ca="1">IF(X23=0,IF(W23&gt;0,-'Datos Instalación'!$I$33,0),0)</f>
        <v>0</v>
      </c>
      <c r="X27" s="2">
        <f ca="1">IF(Y23=0,IF(X23&gt;0,-'Datos Instalación'!$I$33,0),0)</f>
        <v>0</v>
      </c>
      <c r="Y27" s="2">
        <f ca="1">IF(Z23=0,IF(Y23&gt;0,-'Datos Instalación'!$I$33,0),0)</f>
        <v>0</v>
      </c>
      <c r="Z27" s="2">
        <f ca="1">IF(AA23=0,IF(Z23&gt;0,-'Datos Instalación'!$I$33,0),0)</f>
        <v>0</v>
      </c>
      <c r="AA27" s="2">
        <f ca="1">IF(AB23=0,IF(AA23&gt;0,-'Datos Instalación'!$I$33,0),0)</f>
        <v>0</v>
      </c>
      <c r="AB27" s="2">
        <f ca="1">IF(AC23=0,IF(AB23&gt;0,-'Datos Instalación'!$I$33,0),0)</f>
        <v>0</v>
      </c>
      <c r="AC27" s="2">
        <f ca="1">IF(AD23=0,IF(AC23&gt;0,-'Datos Instalación'!$I$33,0),0)</f>
        <v>0</v>
      </c>
      <c r="AD27" s="2">
        <f ca="1">IF(AE23=0,IF(AD23&gt;0,-'Datos Instalación'!$I$33,0),0)</f>
        <v>0</v>
      </c>
      <c r="AE27" s="2">
        <f ca="1">IF(AF23=0,IF(AE23&gt;0,-'Datos Instalación'!$I$33,0),0)</f>
        <v>0</v>
      </c>
      <c r="AF27" s="2">
        <f ca="1">IF(AG23=0,IF(AF23&gt;0,-'Datos Instalación'!$I$33,0),0)</f>
        <v>0</v>
      </c>
    </row>
    <row r="28" spans="1:32" ht="17.399999999999999" customHeight="1">
      <c r="A28" s="76" t="s">
        <v>224</v>
      </c>
      <c r="C28" s="2">
        <f ca="1">IF(ISNUMBER(OFFSET('Cálculo Préstamo'!$B$4,'Cálculo Préstamo'!C75,0)),-OFFSET('Cálculo Préstamo'!$D$4,'Cálculo Préstamo'!C75,0),0)</f>
        <v>-225</v>
      </c>
      <c r="D28" s="2">
        <f ca="1">IF(ISNUMBER(OFFSET('Cálculo Préstamo'!$B$4,'Cálculo Préstamo'!D75,0)),-OFFSET('Cálculo Préstamo'!$D$4,'Cálculo Préstamo'!D75,0),0)</f>
        <v>-207.11149999999998</v>
      </c>
      <c r="E28" s="2">
        <f ca="1">IF(ISNUMBER(OFFSET('Cálculo Préstamo'!$B$4,'Cálculo Préstamo'!E75,0)),-OFFSET('Cálculo Préstamo'!$D$4,'Cálculo Préstamo'!E75,0),0)</f>
        <v>-188.32850000000002</v>
      </c>
      <c r="F28" s="2">
        <f ca="1">IF(ISNUMBER(OFFSET('Cálculo Préstamo'!$B$4,'Cálculo Préstamo'!F75,0)),-OFFSET('Cálculo Préstamo'!$D$4,'Cálculo Préstamo'!F75,0),0)</f>
        <v>-168.60650000000001</v>
      </c>
      <c r="G28" s="2">
        <f ca="1">IF(ISNUMBER(OFFSET('Cálculo Préstamo'!$B$4,'Cálculo Préstamo'!G75,0)),-OFFSET('Cálculo Préstamo'!$D$4,'Cálculo Préstamo'!G75,0),0)</f>
        <v>-147.89849999999998</v>
      </c>
      <c r="H28" s="2">
        <f ca="1">IF(ISNUMBER(OFFSET('Cálculo Préstamo'!$B$4,'Cálculo Préstamo'!H75,0)),-OFFSET('Cálculo Préstamo'!$D$4,'Cálculo Préstamo'!H75,0),0)</f>
        <v>-126.155</v>
      </c>
      <c r="I28" s="2">
        <f ca="1">IF(ISNUMBER(OFFSET('Cálculo Préstamo'!$B$4,'Cálculo Préstamo'!I75,0)),-OFFSET('Cálculo Préstamo'!$D$4,'Cálculo Préstamo'!I75,0),0)</f>
        <v>-103.32400000000001</v>
      </c>
      <c r="J28" s="2">
        <f ca="1">IF(ISNUMBER(OFFSET('Cálculo Préstamo'!$B$4,'Cálculo Préstamo'!J75,0)),-OFFSET('Cálculo Préstamo'!$D$4,'Cálculo Préstamo'!J75,0),0)</f>
        <v>-79.351500000000001</v>
      </c>
      <c r="K28" s="2">
        <f ca="1">IF(ISNUMBER(OFFSET('Cálculo Préstamo'!$B$4,'Cálculo Préstamo'!K75,0)),-OFFSET('Cálculo Préstamo'!$D$4,'Cálculo Préstamo'!K75,0),0)</f>
        <v>-54.180499999999995</v>
      </c>
      <c r="L28" s="2">
        <f ca="1">IF(ISNUMBER(OFFSET('Cálculo Préstamo'!$B$4,'Cálculo Préstamo'!L75,0)),-OFFSET('Cálculo Préstamo'!$D$4,'Cálculo Préstamo'!L75,0),0)</f>
        <v>-27.751000000000001</v>
      </c>
      <c r="M28" s="2">
        <f ca="1">IF(ISNUMBER(OFFSET('Cálculo Préstamo'!$B$4,'Cálculo Préstamo'!M75,0)),-OFFSET('Cálculo Préstamo'!$D$4,'Cálculo Préstamo'!M75,0),0)</f>
        <v>0</v>
      </c>
      <c r="N28" s="2">
        <f ca="1">IF(ISNUMBER(OFFSET('Cálculo Préstamo'!$B$4,'Cálculo Préstamo'!N75,0)),-OFFSET('Cálculo Préstamo'!$D$4,'Cálculo Préstamo'!N75,0),0)</f>
        <v>0</v>
      </c>
      <c r="O28" s="2">
        <f ca="1">IF(ISNUMBER(OFFSET('Cálculo Préstamo'!$B$4,'Cálculo Préstamo'!O75,0)),-OFFSET('Cálculo Préstamo'!$D$4,'Cálculo Préstamo'!O75,0),0)</f>
        <v>0</v>
      </c>
      <c r="P28" s="2">
        <f ca="1">IF(ISNUMBER(OFFSET('Cálculo Préstamo'!$B$4,'Cálculo Préstamo'!P75,0)),-OFFSET('Cálculo Préstamo'!$D$4,'Cálculo Préstamo'!P75,0),0)</f>
        <v>0</v>
      </c>
      <c r="Q28" s="2">
        <f ca="1">IF(ISNUMBER(OFFSET('Cálculo Préstamo'!$B$4,'Cálculo Préstamo'!Q75,0)),-OFFSET('Cálculo Préstamo'!$D$4,'Cálculo Préstamo'!Q75,0),0)</f>
        <v>0</v>
      </c>
      <c r="R28" s="2">
        <f ca="1">IF(ISNUMBER(OFFSET('Cálculo Préstamo'!$B$4,'Cálculo Préstamo'!R75,0)),-OFFSET('Cálculo Préstamo'!$D$4,'Cálculo Préstamo'!R75,0),0)</f>
        <v>0</v>
      </c>
      <c r="S28" s="2">
        <f ca="1">IF(ISNUMBER(OFFSET('Cálculo Préstamo'!$B$4,'Cálculo Préstamo'!S75,0)),-OFFSET('Cálculo Préstamo'!$D$4,'Cálculo Préstamo'!S75,0),0)</f>
        <v>0</v>
      </c>
      <c r="T28" s="2">
        <f ca="1">IF(ISNUMBER(OFFSET('Cálculo Préstamo'!$B$4,'Cálculo Préstamo'!T75,0)),-OFFSET('Cálculo Préstamo'!$D$4,'Cálculo Préstamo'!T75,0),0)</f>
        <v>0</v>
      </c>
      <c r="U28" s="2">
        <f ca="1">IF(ISNUMBER(OFFSET('Cálculo Préstamo'!$B$4,'Cálculo Préstamo'!U75,0)),-OFFSET('Cálculo Préstamo'!$D$4,'Cálculo Préstamo'!U75,0),0)</f>
        <v>0</v>
      </c>
      <c r="V28" s="2">
        <f ca="1">IF(ISNUMBER(OFFSET('Cálculo Préstamo'!$B$4,'Cálculo Préstamo'!V75,0)),-OFFSET('Cálculo Préstamo'!$D$4,'Cálculo Préstamo'!V75,0),0)</f>
        <v>0</v>
      </c>
      <c r="W28" s="2">
        <f ca="1">IF(ISNUMBER(OFFSET('Cálculo Préstamo'!$B$4,'Cálculo Préstamo'!W75,0)),-OFFSET('Cálculo Préstamo'!$D$4,'Cálculo Préstamo'!W75,0),0)</f>
        <v>0</v>
      </c>
      <c r="X28" s="2">
        <f ca="1">IF(ISNUMBER(OFFSET('Cálculo Préstamo'!$B$4,'Cálculo Préstamo'!X75,0)),-OFFSET('Cálculo Préstamo'!$D$4,'Cálculo Préstamo'!X75,0),0)</f>
        <v>0</v>
      </c>
      <c r="Y28" s="2">
        <f ca="1">IF(ISNUMBER(OFFSET('Cálculo Préstamo'!$B$4,'Cálculo Préstamo'!Y75,0)),-OFFSET('Cálculo Préstamo'!$D$4,'Cálculo Préstamo'!Y75,0),0)</f>
        <v>0</v>
      </c>
      <c r="Z28" s="2">
        <f ca="1">IF(ISNUMBER(OFFSET('Cálculo Préstamo'!$B$4,'Cálculo Préstamo'!Z75,0)),-OFFSET('Cálculo Préstamo'!$D$4,'Cálculo Préstamo'!Z75,0),0)</f>
        <v>0</v>
      </c>
      <c r="AA28" s="2">
        <f ca="1">IF(ISNUMBER(OFFSET('Cálculo Préstamo'!$B$4,'Cálculo Préstamo'!AA75,0)),-OFFSET('Cálculo Préstamo'!$D$4,'Cálculo Préstamo'!AA75,0),0)</f>
        <v>0</v>
      </c>
      <c r="AB28" s="2">
        <f ca="1">IF(ISNUMBER(OFFSET('Cálculo Préstamo'!$B$4,'Cálculo Préstamo'!AB75,0)),-OFFSET('Cálculo Préstamo'!$D$4,'Cálculo Préstamo'!AB75,0),0)</f>
        <v>0</v>
      </c>
      <c r="AC28" s="2">
        <f ca="1">IF(ISNUMBER(OFFSET('Cálculo Préstamo'!$B$4,'Cálculo Préstamo'!AC75,0)),-OFFSET('Cálculo Préstamo'!$D$4,'Cálculo Préstamo'!AC75,0),0)</f>
        <v>0</v>
      </c>
      <c r="AD28" s="2">
        <f ca="1">IF(ISNUMBER(OFFSET('Cálculo Préstamo'!$B$4,'Cálculo Préstamo'!AD75,0)),-OFFSET('Cálculo Préstamo'!$D$4,'Cálculo Préstamo'!AD75,0),0)</f>
        <v>0</v>
      </c>
      <c r="AE28" s="2">
        <f ca="1">IF(ISNUMBER(OFFSET('Cálculo Préstamo'!$B$4,'Cálculo Préstamo'!AE75,0)),-OFFSET('Cálculo Préstamo'!$D$4,'Cálculo Préstamo'!AE75,0),0)</f>
        <v>0</v>
      </c>
      <c r="AF28" s="2">
        <f ca="1">IF(ISNUMBER(OFFSET('Cálculo Préstamo'!$B$4,'Cálculo Préstamo'!AF75,0)),-OFFSET('Cálculo Préstamo'!$D$4,'Cálculo Préstamo'!AF75,0),0)</f>
        <v>0</v>
      </c>
    </row>
    <row r="29" spans="1:32">
      <c r="A29" s="77" t="s">
        <v>19</v>
      </c>
      <c r="B29" s="104">
        <f>'Hoja BIPV'!C53</f>
        <v>5.0000000000000001E-3</v>
      </c>
    </row>
    <row r="32" spans="1:32" ht="22.2">
      <c r="C32" s="61" t="s">
        <v>2</v>
      </c>
      <c r="D32" s="62">
        <f ca="1">SUM(D44:AA44)</f>
        <v>7477.5494162132309</v>
      </c>
    </row>
    <row r="33" spans="3:40" ht="22.2">
      <c r="C33" s="61" t="s">
        <v>20</v>
      </c>
      <c r="D33" s="63">
        <f ca="1">IRR(D44:Z44)</f>
        <v>0.10679816333407444</v>
      </c>
    </row>
    <row r="43" spans="3:40">
      <c r="D43" s="2">
        <v>0</v>
      </c>
      <c r="E43" s="2">
        <f>D43+1</f>
        <v>1</v>
      </c>
      <c r="F43" s="2">
        <f t="shared" ref="F43:V43" si="1">E43+1</f>
        <v>2</v>
      </c>
      <c r="G43" s="2">
        <f t="shared" si="1"/>
        <v>3</v>
      </c>
      <c r="H43" s="2">
        <f t="shared" si="1"/>
        <v>4</v>
      </c>
      <c r="I43" s="2">
        <f t="shared" si="1"/>
        <v>5</v>
      </c>
      <c r="J43" s="2">
        <f t="shared" si="1"/>
        <v>6</v>
      </c>
      <c r="K43" s="2">
        <f t="shared" si="1"/>
        <v>7</v>
      </c>
      <c r="L43" s="2">
        <f t="shared" si="1"/>
        <v>8</v>
      </c>
      <c r="M43" s="2">
        <f t="shared" si="1"/>
        <v>9</v>
      </c>
      <c r="N43" s="2">
        <f t="shared" si="1"/>
        <v>10</v>
      </c>
      <c r="O43" s="2">
        <f t="shared" si="1"/>
        <v>11</v>
      </c>
      <c r="P43" s="2">
        <f t="shared" si="1"/>
        <v>12</v>
      </c>
      <c r="Q43" s="2">
        <f t="shared" si="1"/>
        <v>13</v>
      </c>
      <c r="R43" s="2">
        <f t="shared" si="1"/>
        <v>14</v>
      </c>
      <c r="S43" s="2">
        <f t="shared" si="1"/>
        <v>15</v>
      </c>
      <c r="T43" s="2">
        <f t="shared" si="1"/>
        <v>16</v>
      </c>
      <c r="U43" s="2">
        <f t="shared" si="1"/>
        <v>17</v>
      </c>
      <c r="V43" s="2">
        <f t="shared" si="1"/>
        <v>18</v>
      </c>
      <c r="W43" s="2">
        <f t="shared" ref="W43" si="2">V43+1</f>
        <v>19</v>
      </c>
      <c r="X43" s="2">
        <f t="shared" ref="X43" si="3">W43+1</f>
        <v>20</v>
      </c>
      <c r="Y43" s="2">
        <f t="shared" ref="Y43" si="4">X43+1</f>
        <v>21</v>
      </c>
      <c r="Z43" s="2">
        <f t="shared" ref="Z43" si="5">Y43+1</f>
        <v>22</v>
      </c>
      <c r="AA43" s="2">
        <f t="shared" ref="AA43" si="6">Z43+1</f>
        <v>23</v>
      </c>
      <c r="AB43" s="2">
        <f t="shared" ref="AB43" si="7">AA43+1</f>
        <v>24</v>
      </c>
      <c r="AC43" s="2">
        <f t="shared" ref="AC43" si="8">AB43+1</f>
        <v>25</v>
      </c>
      <c r="AD43" s="2">
        <f t="shared" ref="AD43" si="9">AC43+1</f>
        <v>26</v>
      </c>
      <c r="AE43" s="2">
        <f t="shared" ref="AE43" si="10">AD43+1</f>
        <v>27</v>
      </c>
      <c r="AF43" s="2">
        <f t="shared" ref="AF43" si="11">AE43+1</f>
        <v>28</v>
      </c>
      <c r="AG43" s="2">
        <f t="shared" ref="AG43" si="12">AF43+1</f>
        <v>29</v>
      </c>
      <c r="AH43" s="2">
        <f t="shared" ref="AH43" si="13">AG43+1</f>
        <v>30</v>
      </c>
    </row>
    <row r="44" spans="3:40">
      <c r="D44" s="3">
        <f>(C26)/POWER((1+$B$29-C24),D43)</f>
        <v>-3865</v>
      </c>
      <c r="E44" s="3">
        <f ca="1">(C23+C25+C27+C28)/POWER((1+$B$29),E43)</f>
        <v>373.59821124165148</v>
      </c>
      <c r="F44" s="3">
        <f t="shared" ref="F44:AN44" ca="1" si="14">(D23+D25+D27+D28)/POWER((1+$B$29),F43)</f>
        <v>388.04060620390777</v>
      </c>
      <c r="G44" s="3">
        <f t="shared" ca="1" si="14"/>
        <v>403.08764394699062</v>
      </c>
      <c r="H44" s="3">
        <f t="shared" ca="1" si="14"/>
        <v>418.81546128617703</v>
      </c>
      <c r="I44" s="3">
        <f t="shared" ca="1" si="14"/>
        <v>435.34711402639215</v>
      </c>
      <c r="J44" s="3">
        <f t="shared" ca="1" si="14"/>
        <v>452.71738158301559</v>
      </c>
      <c r="K44" s="3">
        <f t="shared" ca="1" si="14"/>
        <v>470.96263834329852</v>
      </c>
      <c r="L44" s="3">
        <f t="shared" ca="1" si="14"/>
        <v>490.12032389867773</v>
      </c>
      <c r="M44" s="3">
        <f t="shared" ca="1" si="14"/>
        <v>510.22986256256399</v>
      </c>
      <c r="N44" s="3">
        <f t="shared" ca="1" si="14"/>
        <v>531.33260359881876</v>
      </c>
      <c r="O44" s="3">
        <f t="shared" ca="1" si="14"/>
        <v>553.47176239700002</v>
      </c>
      <c r="P44" s="3">
        <f t="shared" ca="1" si="14"/>
        <v>549.24665384321361</v>
      </c>
      <c r="Q44" s="3">
        <f t="shared" ca="1" si="14"/>
        <v>545.05779337580361</v>
      </c>
      <c r="R44" s="3">
        <f t="shared" ca="1" si="14"/>
        <v>540.90484307641339</v>
      </c>
      <c r="S44" s="3">
        <f t="shared" ca="1" si="14"/>
        <v>536.78746833854723</v>
      </c>
      <c r="T44" s="3">
        <f t="shared" ca="1" si="14"/>
        <v>532.56420859684329</v>
      </c>
      <c r="U44" s="3">
        <f t="shared" ca="1" si="14"/>
        <v>528.300798256593</v>
      </c>
      <c r="V44" s="3">
        <f t="shared" ca="1" si="14"/>
        <v>524.07529931753515</v>
      </c>
      <c r="W44" s="3">
        <f t="shared" ca="1" si="14"/>
        <v>519.88735034562683</v>
      </c>
      <c r="X44" s="3">
        <f t="shared" ca="1" si="14"/>
        <v>515.73659349339232</v>
      </c>
      <c r="Y44" s="3">
        <f t="shared" ca="1" si="14"/>
        <v>511.62267446357248</v>
      </c>
      <c r="Z44" s="3">
        <f t="shared" ca="1" si="14"/>
        <v>507.43680267695123</v>
      </c>
      <c r="AA44" s="3">
        <f t="shared" ca="1" si="14"/>
        <v>503.20532134024523</v>
      </c>
      <c r="AB44" s="3">
        <f t="shared" ca="1" si="14"/>
        <v>499.01255580058296</v>
      </c>
      <c r="AC44" s="3">
        <f t="shared" ca="1" si="14"/>
        <v>494.85813065402732</v>
      </c>
      <c r="AD44" s="3">
        <f t="shared" ca="1" si="14"/>
        <v>490.74167425586074</v>
      </c>
      <c r="AE44" s="3">
        <f t="shared" ca="1" si="14"/>
        <v>486.66281868230783</v>
      </c>
      <c r="AF44" s="3">
        <f t="shared" ca="1" si="14"/>
        <v>482.621199692652</v>
      </c>
      <c r="AG44" s="3">
        <f t="shared" ca="1" si="14"/>
        <v>478.61645669174044</v>
      </c>
      <c r="AH44" s="3">
        <f t="shared" ca="1" si="14"/>
        <v>474.64823269287422</v>
      </c>
      <c r="AI44" s="3">
        <f t="shared" si="14"/>
        <v>0</v>
      </c>
      <c r="AJ44" s="3">
        <f t="shared" si="14"/>
        <v>0</v>
      </c>
      <c r="AK44" s="3">
        <f t="shared" si="14"/>
        <v>0</v>
      </c>
      <c r="AL44" s="3">
        <f t="shared" si="14"/>
        <v>0</v>
      </c>
      <c r="AM44" s="3">
        <f t="shared" si="14"/>
        <v>0</v>
      </c>
      <c r="AN44" s="3">
        <f t="shared" si="14"/>
        <v>0</v>
      </c>
    </row>
  </sheetData>
  <mergeCells count="2">
    <mergeCell ref="B2:D2"/>
    <mergeCell ref="A11:A23"/>
  </mergeCells>
  <conditionalFormatting sqref="D32:D33">
    <cfRule type="cellIs" dxfId="3" priority="2" operator="greaterThan">
      <formula>0</formula>
    </cfRule>
  </conditionalFormatting>
  <conditionalFormatting sqref="C25:AF28">
    <cfRule type="cellIs" dxfId="2" priority="1" operator="lessThan">
      <formula>0</formula>
    </cfRule>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5438E-544D-444E-9D5A-C7A618C8CE04}">
  <dimension ref="A1:AN45"/>
  <sheetViews>
    <sheetView zoomScale="70" zoomScaleNormal="70" workbookViewId="0">
      <selection activeCell="A25" sqref="A25"/>
    </sheetView>
  </sheetViews>
  <sheetFormatPr baseColWidth="10" defaultRowHeight="13.8"/>
  <cols>
    <col min="1" max="1" width="22.5546875" style="2" customWidth="1"/>
    <col min="2" max="2" width="22" style="2" customWidth="1"/>
    <col min="3" max="3" width="11.5546875" style="2"/>
    <col min="4" max="4" width="21.109375" style="2" customWidth="1"/>
    <col min="5" max="11" width="11.5546875" style="2"/>
    <col min="12" max="12" width="12.21875" style="2" customWidth="1"/>
    <col min="13" max="15" width="11.5546875" style="2"/>
    <col min="16" max="16" width="13.5546875" style="2" bestFit="1" customWidth="1"/>
    <col min="17" max="16384" width="11.5546875" style="2"/>
  </cols>
  <sheetData>
    <row r="1" spans="1:32" ht="14.4" thickBot="1"/>
    <row r="2" spans="1:32" ht="14.4" thickBot="1">
      <c r="B2" s="289" t="s">
        <v>2</v>
      </c>
      <c r="C2" s="290"/>
      <c r="D2" s="291"/>
    </row>
    <row r="10" spans="1:32">
      <c r="B10" s="13" t="s">
        <v>3</v>
      </c>
      <c r="C10" s="13">
        <v>2021</v>
      </c>
      <c r="D10" s="13">
        <f>IF('Rendimiento Paneles'!C9&gt;0,C10+1,"")</f>
        <v>2022</v>
      </c>
      <c r="E10" s="13">
        <f>IF('Rendimiento Paneles'!D9&gt;0,D10+1,"")</f>
        <v>2023</v>
      </c>
      <c r="F10" s="13">
        <f>IF('Rendimiento Paneles'!E9&gt;0,E10+1,"")</f>
        <v>2024</v>
      </c>
      <c r="G10" s="13">
        <f>IF('Rendimiento Paneles'!F9&gt;0,F10+1,"")</f>
        <v>2025</v>
      </c>
      <c r="H10" s="13">
        <f>IF('Rendimiento Paneles'!G9&gt;0,G10+1,"")</f>
        <v>2026</v>
      </c>
      <c r="I10" s="13">
        <f>IF('Rendimiento Paneles'!H9&gt;0,H10+1,"")</f>
        <v>2027</v>
      </c>
      <c r="J10" s="13">
        <f>IF('Rendimiento Paneles'!I9&gt;0,I10+1,"")</f>
        <v>2028</v>
      </c>
      <c r="K10" s="13">
        <f>IF('Rendimiento Paneles'!J9&gt;0,J10+1,"")</f>
        <v>2029</v>
      </c>
      <c r="L10" s="13">
        <f>IF('Rendimiento Paneles'!K9&gt;0,K10+1,"")</f>
        <v>2030</v>
      </c>
      <c r="M10" s="13">
        <f>IF('Rendimiento Paneles'!L9&gt;0,L10+1,"")</f>
        <v>2031</v>
      </c>
      <c r="N10" s="13">
        <f>IF('Rendimiento Paneles'!M9&gt;0,M10+1,"")</f>
        <v>2032</v>
      </c>
      <c r="O10" s="13">
        <f>IF('Rendimiento Paneles'!N9&gt;0,N10+1,"")</f>
        <v>2033</v>
      </c>
      <c r="P10" s="13">
        <f>IF('Rendimiento Paneles'!O9&gt;0,O10+1,"")</f>
        <v>2034</v>
      </c>
      <c r="Q10" s="13">
        <f>IF('Rendimiento Paneles'!P9&gt;0,P10+1,"")</f>
        <v>2035</v>
      </c>
      <c r="R10" s="13">
        <f>IF('Rendimiento Paneles'!Q9&gt;0,Q10+1,"")</f>
        <v>2036</v>
      </c>
      <c r="S10" s="13">
        <f>IF('Rendimiento Paneles'!R9&gt;0,R10+1,"")</f>
        <v>2037</v>
      </c>
      <c r="T10" s="13">
        <f>IF('Rendimiento Paneles'!S9&gt;0,S10+1,"")</f>
        <v>2038</v>
      </c>
      <c r="U10" s="13">
        <f>IF('Rendimiento Paneles'!T9&gt;0,T10+1,"")</f>
        <v>2039</v>
      </c>
      <c r="V10" s="13">
        <f>IF('Rendimiento Paneles'!U9&gt;0,U10+1,"")</f>
        <v>2040</v>
      </c>
      <c r="W10" s="13">
        <f>IF('Rendimiento Paneles'!V9&gt;0,V10+1,"")</f>
        <v>2041</v>
      </c>
      <c r="X10" s="13">
        <f>IF('Rendimiento Paneles'!W9&gt;0,W10+1,"")</f>
        <v>2042</v>
      </c>
      <c r="Y10" s="13">
        <f>IF('Rendimiento Paneles'!X9&gt;0,X10+1,"")</f>
        <v>2043</v>
      </c>
      <c r="Z10" s="13">
        <f>IF('Rendimiento Paneles'!Y9&gt;0,Y10+1,"")</f>
        <v>2044</v>
      </c>
      <c r="AA10" s="13">
        <f>IF('Rendimiento Paneles'!Z9&gt;0,Z10+1,"")</f>
        <v>2045</v>
      </c>
      <c r="AB10" s="13">
        <f>IF('Rendimiento Paneles'!AA9&gt;0,AA10+1,"")</f>
        <v>2046</v>
      </c>
      <c r="AC10" s="13">
        <f>IF('Rendimiento Paneles'!AB9&gt;0,AB10+1,"")</f>
        <v>2047</v>
      </c>
      <c r="AD10" s="13">
        <f>IF('Rendimiento Paneles'!AC9&gt;0,AC10+1,"")</f>
        <v>2048</v>
      </c>
      <c r="AE10" s="13">
        <f>IF('Rendimiento Paneles'!AD9&gt;0,AD10+1,"")</f>
        <v>2049</v>
      </c>
      <c r="AF10" s="13">
        <f>IF('Rendimiento Paneles'!AE9&gt;0,AE10+1,"")</f>
        <v>2050</v>
      </c>
    </row>
    <row r="11" spans="1:32">
      <c r="A11" s="292" t="s">
        <v>17</v>
      </c>
      <c r="B11" s="13" t="s">
        <v>4</v>
      </c>
      <c r="C11" s="2">
        <f ca="1">IF(ISNUMBER(C$10),Ingresos!D23+Ingresos!D60,"")</f>
        <v>48.45028980186386</v>
      </c>
      <c r="D11" s="2">
        <f ca="1">IF(ISNUMBER(D$10),Ingresos!E23+Ingresos!E60,"")</f>
        <v>48.45028980186386</v>
      </c>
      <c r="E11" s="2">
        <f ca="1">IF(ISNUMBER(E$10),Ingresos!F23+Ingresos!F60,"")</f>
        <v>48.111485538490783</v>
      </c>
      <c r="F11" s="2">
        <f ca="1">IF(ISNUMBER(F$10),Ingresos!G23+Ingresos!G60,"")</f>
        <v>47.943454325785993</v>
      </c>
      <c r="G11" s="2">
        <f ca="1">IF(ISNUMBER(G$10),Ingresos!H23+Ingresos!H60,"")</f>
        <v>47.776330481629813</v>
      </c>
      <c r="H11" s="2">
        <f ca="1">IF(ISNUMBER(H$10),Ingresos!I23+Ingresos!I60,"")</f>
        <v>47.61010910623208</v>
      </c>
      <c r="I11" s="2">
        <f ca="1">IF(ISNUMBER(I$10),Ingresos!J23+Ingresos!J60,"")</f>
        <v>47.444785326261496</v>
      </c>
      <c r="J11" s="2">
        <f ca="1">IF(ISNUMBER(J$10),Ingresos!K23+Ingresos!K60,"")</f>
        <v>47.280354294702747</v>
      </c>
      <c r="K11" s="2">
        <f ca="1">IF(ISNUMBER(K$10),Ingresos!L23+Ingresos!L60,"")</f>
        <v>47.116811190714415</v>
      </c>
      <c r="L11" s="2">
        <f ca="1">IF(ISNUMBER(L$10),Ingresos!M23+Ingresos!M60,"")</f>
        <v>46.954151219487628</v>
      </c>
      <c r="M11" s="2">
        <f ca="1">IF(ISNUMBER(M$10),Ingresos!N23+Ingresos!N60,"")</f>
        <v>46.79236961210546</v>
      </c>
      <c r="N11" s="2">
        <f ca="1">IF(ISNUMBER(N$10),Ingresos!O23+Ingresos!O60,"")</f>
        <v>46.631461625403148</v>
      </c>
      <c r="O11" s="2">
        <f ca="1">IF(ISNUMBER(O$10),Ingresos!P23+Ingresos!P60,"")</f>
        <v>47.375925793982944</v>
      </c>
      <c r="P11" s="2">
        <f ca="1">IF(ISNUMBER(P$10),Ingresos!Q23+Ingresos!Q60,"")</f>
        <v>47.211866603898514</v>
      </c>
      <c r="Q11" s="2">
        <f ca="1">IF(ISNUMBER(Q$10),Ingresos!R23+Ingresos!R60,"")</f>
        <v>47.048693333440511</v>
      </c>
      <c r="R11" s="2">
        <f ca="1">IF(ISNUMBER(R$10),Ingresos!S23+Ingresos!S60,"")</f>
        <v>46.886401198643</v>
      </c>
      <c r="S11" s="2">
        <f ca="1">IF(ISNUMBER(S$10),Ingresos!T23+Ingresos!T60,"")</f>
        <v>46.724985441373391</v>
      </c>
      <c r="T11" s="2">
        <f ca="1">IF(ISNUMBER(T$10),Ingresos!U23+Ingresos!U60,"")</f>
        <v>46.564441329193045</v>
      </c>
      <c r="U11" s="2">
        <f ca="1">IF(ISNUMBER(U$10),Ingresos!V23+Ingresos!V60,"")</f>
        <v>46.404764155218473</v>
      </c>
      <c r="V11" s="2">
        <f ca="1">IF(ISNUMBER(V$10),Ingresos!W23+Ingresos!W60,"")</f>
        <v>46.245949237983353</v>
      </c>
      <c r="W11" s="2">
        <f ca="1">IF(ISNUMBER(W$10),Ingresos!X23+Ingresos!X60,"")</f>
        <v>46.08799192130131</v>
      </c>
      <c r="X11" s="2">
        <f ca="1">IF(ISNUMBER(X$10),Ingresos!Y23+Ingresos!Y60,"")</f>
        <v>45.930887574129343</v>
      </c>
      <c r="Y11" s="2">
        <f ca="1">IF(ISNUMBER(Y$10),Ingresos!Z23+Ingresos!Z60,"")</f>
        <v>45.774631590432108</v>
      </c>
      <c r="Z11" s="2">
        <f ca="1">IF(ISNUMBER(Z$10),Ingresos!AA23+Ingresos!AA60,"")</f>
        <v>45.619219389046833</v>
      </c>
      <c r="AA11" s="2">
        <f ca="1">IF(ISNUMBER(AA$10),Ingresos!AB23+Ingresos!AB60,"")</f>
        <v>45.464646413549055</v>
      </c>
      <c r="AB11" s="2">
        <f ca="1">IF(ISNUMBER(AB$10),Ingresos!AC23+Ingresos!AC60,"")</f>
        <v>45.310908132118954</v>
      </c>
      <c r="AC11" s="2">
        <f ca="1">IF(ISNUMBER(AC$10),Ingresos!AD23+Ingresos!AD60,"")</f>
        <v>45.15800003740857</v>
      </c>
      <c r="AD11" s="2">
        <f ca="1">IF(ISNUMBER(AD$10),Ingresos!AE23+Ingresos!AE60,"")</f>
        <v>45.005917646409628</v>
      </c>
      <c r="AE11" s="2">
        <f ca="1">IF(ISNUMBER(AE$10),Ingresos!AF23+Ingresos!AF60,"")</f>
        <v>44.854656500322079</v>
      </c>
      <c r="AF11" s="2">
        <f ca="1">IF(ISNUMBER(AF$10),Ingresos!AG23+Ingresos!AG60,"")</f>
        <v>44.70421216442341</v>
      </c>
    </row>
    <row r="12" spans="1:32">
      <c r="A12" s="292"/>
      <c r="B12" s="13" t="s">
        <v>5</v>
      </c>
      <c r="C12" s="2">
        <f ca="1">IF(ISNUMBER(C$10),Ingresos!D24+Ingresos!D61,"")</f>
        <v>46.846264585704077</v>
      </c>
      <c r="D12" s="2">
        <f ca="1">IF(ISNUMBER(D$10),Ingresos!E24+Ingresos!E61,"")</f>
        <v>46.677199496784091</v>
      </c>
      <c r="E12" s="2">
        <f ca="1">IF(ISNUMBER(E$10),Ingresos!F24+Ingresos!F61,"")</f>
        <v>46.509047359344258</v>
      </c>
      <c r="F12" s="2">
        <f ca="1">IF(ISNUMBER(F$10),Ingresos!G24+Ingresos!G61,"")</f>
        <v>46.341803243446591</v>
      </c>
      <c r="G12" s="2">
        <f ca="1">IF(ISNUMBER(G$10),Ingresos!H24+Ingresos!H61,"")</f>
        <v>46.175462245774781</v>
      </c>
      <c r="H12" s="2">
        <f ca="1">IF(ISNUMBER(H$10),Ingresos!I24+Ingresos!I61,"")</f>
        <v>46.010019489490404</v>
      </c>
      <c r="I12" s="2">
        <f ca="1">IF(ISNUMBER(I$10),Ingresos!J24+Ingresos!J61,"")</f>
        <v>45.845470124089971</v>
      </c>
      <c r="J12" s="2">
        <f ca="1">IF(ISNUMBER(J$10),Ingresos!K24+Ingresos!K61,"")</f>
        <v>45.681809325262677</v>
      </c>
      <c r="K12" s="2">
        <f ca="1">IF(ISNUMBER(K$10),Ingresos!L24+Ingresos!L61,"")</f>
        <v>45.519032294749067</v>
      </c>
      <c r="L12" s="2">
        <f ca="1">IF(ISNUMBER(L$10),Ingresos!M24+Ingresos!M61,"")</f>
        <v>45.357134260200226</v>
      </c>
      <c r="M12" s="2">
        <f ca="1">IF(ISNUMBER(M$10),Ingresos!N24+Ingresos!N61,"")</f>
        <v>45.196110475037933</v>
      </c>
      <c r="N12" s="2">
        <f ca="1">IF(ISNUMBER(N$10),Ingresos!O24+Ingresos!O61,"")</f>
        <v>45.03595621831554</v>
      </c>
      <c r="O12" s="2">
        <f ca="1">IF(ISNUMBER(O$10),Ingresos!P24+Ingresos!P61,"")</f>
        <v>45.776933145681767</v>
      </c>
      <c r="P12" s="2">
        <f ca="1">IF(ISNUMBER(P$10),Ingresos!Q24+Ingresos!Q61,"")</f>
        <v>45.613642446537881</v>
      </c>
      <c r="Q12" s="2">
        <f ca="1">IF(ISNUMBER(Q$10),Ingresos!R24+Ingresos!R61,"")</f>
        <v>45.451233517169371</v>
      </c>
      <c r="R12" s="2">
        <f ca="1">IF(ISNUMBER(R$10),Ingresos!S24+Ingresos!S61,"")</f>
        <v>45.289701596019469</v>
      </c>
      <c r="S12" s="2">
        <f ca="1">IF(ISNUMBER(S$10),Ingresos!T24+Ingresos!T61,"")</f>
        <v>45.129041947243763</v>
      </c>
      <c r="T12" s="2">
        <f ca="1">IF(ISNUMBER(T$10),Ingresos!U24+Ingresos!U61,"")</f>
        <v>44.969249860571445</v>
      </c>
      <c r="U12" s="2">
        <f ca="1">IF(ISNUMBER(U$10),Ingresos!V24+Ingresos!V61,"")</f>
        <v>44.81032065116716</v>
      </c>
      <c r="V12" s="2">
        <f ca="1">IF(ISNUMBER(V$10),Ingresos!W24+Ingresos!W61,"")</f>
        <v>44.652249659493663</v>
      </c>
      <c r="W12" s="2">
        <f ca="1">IF(ISNUMBER(W$10),Ingresos!X24+Ingresos!X61,"")</f>
        <v>44.495032251175203</v>
      </c>
      <c r="X12" s="2">
        <f ca="1">IF(ISNUMBER(X$10),Ingresos!Y24+Ingresos!Y61,"")</f>
        <v>44.338663816861654</v>
      </c>
      <c r="Y12" s="2">
        <f ca="1">IF(ISNUMBER(Y$10),Ingresos!Z24+Ingresos!Z61,"")</f>
        <v>44.183139772093398</v>
      </c>
      <c r="Z12" s="2">
        <f ca="1">IF(ISNUMBER(Z$10),Ingresos!AA24+Ingresos!AA61,"")</f>
        <v>44.028455557166907</v>
      </c>
      <c r="AA12" s="2">
        <f ca="1">IF(ISNUMBER(AA$10),Ingresos!AB24+Ingresos!AB61,"")</f>
        <v>43.874606637001001</v>
      </c>
      <c r="AB12" s="2">
        <f ca="1">IF(ISNUMBER(AB$10),Ingresos!AC24+Ingresos!AC61,"")</f>
        <v>43.721588501004</v>
      </c>
      <c r="AC12" s="2">
        <f ca="1">IF(ISNUMBER(AC$10),Ingresos!AD24+Ingresos!AD61,"")</f>
        <v>43.569396662941379</v>
      </c>
      <c r="AD12" s="2">
        <f ca="1">IF(ISNUMBER(AD$10),Ingresos!AE24+Ingresos!AE61,"")</f>
        <v>43.418026660804294</v>
      </c>
      <c r="AE12" s="2">
        <f ca="1">IF(ISNUMBER(AE$10),Ingresos!AF24+Ingresos!AF61,"")</f>
        <v>43.267474056678751</v>
      </c>
      <c r="AF12" s="2">
        <f ca="1">IF(ISNUMBER(AF$10),Ingresos!AG24+Ingresos!AG61,"")</f>
        <v>43.117734436615493</v>
      </c>
    </row>
    <row r="13" spans="1:32">
      <c r="A13" s="292"/>
      <c r="B13" s="13" t="s">
        <v>6</v>
      </c>
      <c r="C13" s="2">
        <f ca="1">IF(ISNUMBER(C$10),Ingresos!D25+Ingresos!D62,"")</f>
        <v>51.822325825437822</v>
      </c>
      <c r="D13" s="2">
        <f ca="1">IF(ISNUMBER(D$10),Ingresos!E25+Ingresos!E62,"")</f>
        <v>51.61327989022282</v>
      </c>
      <c r="E13" s="2">
        <f ca="1">IF(ISNUMBER(E$10),Ingresos!F25+Ingresos!F62,"")</f>
        <v>51.40536280305799</v>
      </c>
      <c r="F13" s="2">
        <f ca="1">IF(ISNUMBER(F$10),Ingresos!G25+Ingresos!G62,"")</f>
        <v>51.198568468163842</v>
      </c>
      <c r="G13" s="2">
        <f ca="1">IF(ISNUMBER(G$10),Ingresos!H25+Ingresos!H62,"")</f>
        <v>50.99289082267812</v>
      </c>
      <c r="H13" s="2">
        <f ca="1">IF(ISNUMBER(H$10),Ingresos!I25+Ingresos!I62,"")</f>
        <v>50.788323836478021</v>
      </c>
      <c r="I13" s="2">
        <f ca="1">IF(ISNUMBER(I$10),Ingresos!J25+Ingresos!J62,"")</f>
        <v>50.584861512003407</v>
      </c>
      <c r="J13" s="2">
        <f ca="1">IF(ISNUMBER(J$10),Ingresos!K25+Ingresos!K62,"")</f>
        <v>50.382497884080948</v>
      </c>
      <c r="K13" s="2">
        <f ca="1">IF(ISNUMBER(K$10),Ingresos!L25+Ingresos!L62,"")</f>
        <v>50.181227019749286</v>
      </c>
      <c r="L13" s="2">
        <f ca="1">IF(ISNUMBER(L$10),Ingresos!M25+Ingresos!M62,"")</f>
        <v>49.981043018085003</v>
      </c>
      <c r="M13" s="2">
        <f ca="1">IF(ISNUMBER(M$10),Ingresos!N25+Ingresos!N62,"")</f>
        <v>49.7819400100297</v>
      </c>
      <c r="N13" s="2">
        <f ca="1">IF(ISNUMBER(N$10),Ingresos!O25+Ingresos!O62,"")</f>
        <v>49.583912158217913</v>
      </c>
      <c r="O13" s="2">
        <f ca="1">IF(ISNUMBER(O$10),Ingresos!P25+Ingresos!P62,"")</f>
        <v>50.500116773514371</v>
      </c>
      <c r="P13" s="2">
        <f ca="1">IF(ISNUMBER(P$10),Ingresos!Q25+Ingresos!Q62,"")</f>
        <v>50.298210767179754</v>
      </c>
      <c r="Q13" s="2">
        <f ca="1">IF(ISNUMBER(Q$10),Ingresos!R25+Ingresos!R62,"")</f>
        <v>50.097395053279342</v>
      </c>
      <c r="R13" s="2">
        <f ca="1">IF(ISNUMBER(R$10),Ingresos!S25+Ingresos!S62,"")</f>
        <v>49.897663744233995</v>
      </c>
      <c r="S13" s="2">
        <f ca="1">IF(ISNUMBER(S$10),Ingresos!T25+Ingresos!T62,"")</f>
        <v>49.699010984257491</v>
      </c>
      <c r="T13" s="2">
        <f ca="1">IF(ISNUMBER(T$10),Ingresos!U25+Ingresos!U62,"")</f>
        <v>49.501430949184865</v>
      </c>
      <c r="U13" s="2">
        <f ca="1">IF(ISNUMBER(U$10),Ingresos!V25+Ingresos!V62,"")</f>
        <v>49.304917846301642</v>
      </c>
      <c r="V13" s="2">
        <f ca="1">IF(ISNUMBER(V$10),Ingresos!W25+Ingresos!W62,"")</f>
        <v>49.109465914173974</v>
      </c>
      <c r="W13" s="2">
        <f ca="1">IF(ISNUMBER(W$10),Ingresos!X25+Ingresos!X62,"")</f>
        <v>48.915069422479803</v>
      </c>
      <c r="X13" s="2">
        <f ca="1">IF(ISNUMBER(X$10),Ingresos!Y25+Ingresos!Y62,"")</f>
        <v>48.72172267184078</v>
      </c>
      <c r="Y13" s="2">
        <f ca="1">IF(ISNUMBER(Y$10),Ingresos!Z25+Ingresos!Z62,"")</f>
        <v>48.529419993655196</v>
      </c>
      <c r="Z13" s="2">
        <f ca="1">IF(ISNUMBER(Z$10),Ingresos!AA25+Ingresos!AA62,"")</f>
        <v>48.338155749931815</v>
      </c>
      <c r="AA13" s="2">
        <f ca="1">IF(ISNUMBER(AA$10),Ingresos!AB25+Ingresos!AB62,"")</f>
        <v>48.14792433312455</v>
      </c>
      <c r="AB13" s="2">
        <f ca="1">IF(ISNUMBER(AB$10),Ingresos!AC25+Ingresos!AC62,"")</f>
        <v>47.958720165968046</v>
      </c>
      <c r="AC13" s="2">
        <f ca="1">IF(ISNUMBER(AC$10),Ingresos!AD25+Ingresos!AD62,"")</f>
        <v>47.770537701314183</v>
      </c>
      <c r="AD13" s="2">
        <f ca="1">IF(ISNUMBER(AD$10),Ingresos!AE25+Ingresos!AE62,"")</f>
        <v>47.583371421969446</v>
      </c>
      <c r="AE13" s="2">
        <f ca="1">IF(ISNUMBER(AE$10),Ingresos!AF25+Ingresos!AF62,"")</f>
        <v>47.397215840533178</v>
      </c>
      <c r="AF13" s="2">
        <f ca="1">IF(ISNUMBER(AF$10),Ingresos!AG25+Ingresos!AG62,"")</f>
        <v>47.212065499236658</v>
      </c>
    </row>
    <row r="14" spans="1:32">
      <c r="A14" s="292"/>
      <c r="B14" s="13" t="s">
        <v>7</v>
      </c>
      <c r="C14" s="2">
        <f ca="1">IF(ISNUMBER(C$10),Ingresos!D26+Ingresos!D63,"")</f>
        <v>51.387790126647701</v>
      </c>
      <c r="D14" s="2">
        <f ca="1">IF(ISNUMBER(D$10),Ingresos!E26+Ingresos!E63,"")</f>
        <v>51.387790126647701</v>
      </c>
      <c r="E14" s="2">
        <f ca="1">IF(ISNUMBER(E$10),Ingresos!F26+Ingresos!F63,"")</f>
        <v>51.387790126647701</v>
      </c>
      <c r="F14" s="2">
        <f ca="1">IF(ISNUMBER(F$10),Ingresos!G26+Ingresos!G63,"")</f>
        <v>51.387790126647701</v>
      </c>
      <c r="G14" s="2">
        <f ca="1">IF(ISNUMBER(G$10),Ingresos!H26+Ingresos!H63,"")</f>
        <v>51.387790126647701</v>
      </c>
      <c r="H14" s="2">
        <f ca="1">IF(ISNUMBER(H$10),Ingresos!I26+Ingresos!I63,"")</f>
        <v>51.387790126647701</v>
      </c>
      <c r="I14" s="2">
        <f ca="1">IF(ISNUMBER(I$10),Ingresos!J26+Ingresos!J63,"")</f>
        <v>51.387790126647701</v>
      </c>
      <c r="J14" s="2">
        <f ca="1">IF(ISNUMBER(J$10),Ingresos!K26+Ingresos!K63,"")</f>
        <v>51.387790126647701</v>
      </c>
      <c r="K14" s="2">
        <f ca="1">IF(ISNUMBER(K$10),Ingresos!L26+Ingresos!L63,"")</f>
        <v>51.387790126647701</v>
      </c>
      <c r="L14" s="2">
        <f ca="1">IF(ISNUMBER(L$10),Ingresos!M26+Ingresos!M63,"")</f>
        <v>51.246511880181146</v>
      </c>
      <c r="M14" s="2">
        <f ca="1">IF(ISNUMBER(M$10),Ingresos!N26+Ingresos!N63,"")</f>
        <v>51.03270927091026</v>
      </c>
      <c r="N14" s="2">
        <f ca="1">IF(ISNUMBER(N$10),Ingresos!O26+Ingresos!O63,"")</f>
        <v>50.820061195729451</v>
      </c>
      <c r="O14" s="2">
        <f ca="1">IF(ISNUMBER(O$10),Ingresos!P26+Ingresos!P63,"")</f>
        <v>51.387790126647701</v>
      </c>
      <c r="P14" s="2">
        <f ca="1">IF(ISNUMBER(P$10),Ingresos!Q26+Ingresos!Q63,"")</f>
        <v>51.387790126647701</v>
      </c>
      <c r="Q14" s="2">
        <f ca="1">IF(ISNUMBER(Q$10),Ingresos!R26+Ingresos!R63,"")</f>
        <v>51.37145408452804</v>
      </c>
      <c r="R14" s="2">
        <f ca="1">IF(ISNUMBER(R$10),Ingresos!S26+Ingresos!S63,"")</f>
        <v>51.156976787353699</v>
      </c>
      <c r="S14" s="2">
        <f ca="1">IF(ISNUMBER(S$10),Ingresos!T26+Ingresos!T63,"")</f>
        <v>50.943657667584077</v>
      </c>
      <c r="T14" s="2">
        <f ca="1">IF(ISNUMBER(T$10),Ingresos!U26+Ingresos!U63,"")</f>
        <v>50.731490471061235</v>
      </c>
      <c r="U14" s="2">
        <f ca="1">IF(ISNUMBER(U$10),Ingresos!V26+Ingresos!V63,"")</f>
        <v>50.520468977399602</v>
      </c>
      <c r="V14" s="2">
        <f ca="1">IF(ISNUMBER(V$10),Ingresos!W26+Ingresos!W63,"")</f>
        <v>50.31058699980376</v>
      </c>
      <c r="W14" s="2">
        <f ca="1">IF(ISNUMBER(W$10),Ingresos!X26+Ingresos!X63,"")</f>
        <v>50.101838384886918</v>
      </c>
      <c r="X14" s="2">
        <f ca="1">IF(ISNUMBER(X$10),Ingresos!Y26+Ingresos!Y63,"")</f>
        <v>49.894217012490614</v>
      </c>
      <c r="Y14" s="2">
        <f ca="1">IF(ISNUMBER(Y$10),Ingresos!Z26+Ingresos!Z63,"")</f>
        <v>49.687716795505267</v>
      </c>
      <c r="Z14" s="2">
        <f ca="1">IF(ISNUMBER(Z$10),Ingresos!AA26+Ingresos!AA63,"")</f>
        <v>49.48233167969164</v>
      </c>
      <c r="AA14" s="2">
        <f ca="1">IF(ISNUMBER(AA$10),Ingresos!AB26+Ingresos!AB63,"")</f>
        <v>49.278055643503407</v>
      </c>
      <c r="AB14" s="2">
        <f ca="1">IF(ISNUMBER(AB$10),Ingresos!AC26+Ingresos!AC63,"")</f>
        <v>49.074882697910596</v>
      </c>
      <c r="AC14" s="2">
        <f ca="1">IF(ISNUMBER(AC$10),Ingresos!AD26+Ingresos!AD63,"")</f>
        <v>48.872806886223984</v>
      </c>
      <c r="AD14" s="2">
        <f ca="1">IF(ISNUMBER(AD$10),Ingresos!AE26+Ingresos!AE63,"")</f>
        <v>48.671822283920463</v>
      </c>
      <c r="AE14" s="2">
        <f ca="1">IF(ISNUMBER(AE$10),Ingresos!AF26+Ingresos!AF63,"")</f>
        <v>48.471922998469395</v>
      </c>
      <c r="AF14" s="2">
        <f ca="1">IF(ISNUMBER(AF$10),Ingresos!AG26+Ingresos!AG63,"")</f>
        <v>48.273103169159768</v>
      </c>
    </row>
    <row r="15" spans="1:32">
      <c r="A15" s="292"/>
      <c r="B15" s="13" t="s">
        <v>8</v>
      </c>
      <c r="C15" s="2">
        <f ca="1">IF(ISNUMBER(C$10),Ingresos!D27+Ingresos!D64,"")</f>
        <v>52.458369087619545</v>
      </c>
      <c r="D15" s="2">
        <f ca="1">IF(ISNUMBER(D$10),Ingresos!E27+Ingresos!E64,"")</f>
        <v>52.458369087619545</v>
      </c>
      <c r="E15" s="2">
        <f ca="1">IF(ISNUMBER(E$10),Ingresos!F27+Ingresos!F64,"")</f>
        <v>52.458369087619545</v>
      </c>
      <c r="F15" s="2">
        <f ca="1">IF(ISNUMBER(F$10),Ingresos!G27+Ingresos!G64,"")</f>
        <v>52.458369087619545</v>
      </c>
      <c r="G15" s="2">
        <f ca="1">IF(ISNUMBER(G$10),Ingresos!H27+Ingresos!H64,"")</f>
        <v>52.458369087619545</v>
      </c>
      <c r="H15" s="2">
        <f ca="1">IF(ISNUMBER(H$10),Ingresos!I27+Ingresos!I64,"")</f>
        <v>52.458369087619545</v>
      </c>
      <c r="I15" s="2">
        <f ca="1">IF(ISNUMBER(I$10),Ingresos!J27+Ingresos!J64,"")</f>
        <v>52.458369087619545</v>
      </c>
      <c r="J15" s="2">
        <f ca="1">IF(ISNUMBER(J$10),Ingresos!K27+Ingresos!K64,"")</f>
        <v>52.458369087619545</v>
      </c>
      <c r="K15" s="2">
        <f ca="1">IF(ISNUMBER(K$10),Ingresos!L27+Ingresos!L64,"")</f>
        <v>52.458369087619545</v>
      </c>
      <c r="L15" s="2">
        <f ca="1">IF(ISNUMBER(L$10),Ingresos!M27+Ingresos!M64,"")</f>
        <v>52.458369087619545</v>
      </c>
      <c r="M15" s="2">
        <f ca="1">IF(ISNUMBER(M$10),Ingresos!N27+Ingresos!N64,"")</f>
        <v>52.458369087619545</v>
      </c>
      <c r="N15" s="2">
        <f ca="1">IF(ISNUMBER(N$10),Ingresos!O27+Ingresos!O64,"")</f>
        <v>52.458369087619545</v>
      </c>
      <c r="O15" s="2">
        <f ca="1">IF(ISNUMBER(O$10),Ingresos!P27+Ingresos!P64,"")</f>
        <v>52.458369087619545</v>
      </c>
      <c r="P15" s="2">
        <f ca="1">IF(ISNUMBER(P$10),Ingresos!Q27+Ingresos!Q64,"")</f>
        <v>52.458369087619545</v>
      </c>
      <c r="Q15" s="2">
        <f ca="1">IF(ISNUMBER(Q$10),Ingresos!R27+Ingresos!R64,"")</f>
        <v>52.458369087619545</v>
      </c>
      <c r="R15" s="2">
        <f ca="1">IF(ISNUMBER(R$10),Ingresos!S27+Ingresos!S64,"")</f>
        <v>52.458369087619545</v>
      </c>
      <c r="S15" s="2">
        <f ca="1">IF(ISNUMBER(S$10),Ingresos!T27+Ingresos!T64,"")</f>
        <v>52.458369087619545</v>
      </c>
      <c r="T15" s="2">
        <f ca="1">IF(ISNUMBER(T$10),Ingresos!U27+Ingresos!U64,"")</f>
        <v>52.458369087619545</v>
      </c>
      <c r="U15" s="2">
        <f ca="1">IF(ISNUMBER(U$10),Ingresos!V27+Ingresos!V64,"")</f>
        <v>52.458369087619545</v>
      </c>
      <c r="V15" s="2">
        <f ca="1">IF(ISNUMBER(V$10),Ingresos!W27+Ingresos!W64,"")</f>
        <v>52.458369087619545</v>
      </c>
      <c r="W15" s="2">
        <f ca="1">IF(ISNUMBER(W$10),Ingresos!X27+Ingresos!X64,"")</f>
        <v>52.458369087619545</v>
      </c>
      <c r="X15" s="2">
        <f ca="1">IF(ISNUMBER(X$10),Ingresos!Y27+Ingresos!Y64,"")</f>
        <v>52.458369087619545</v>
      </c>
      <c r="Y15" s="2">
        <f ca="1">IF(ISNUMBER(Y$10),Ingresos!Z27+Ingresos!Z64,"")</f>
        <v>52.458369087619545</v>
      </c>
      <c r="Z15" s="2">
        <f ca="1">IF(ISNUMBER(Z$10),Ingresos!AA27+Ingresos!AA64,"")</f>
        <v>52.458369087619545</v>
      </c>
      <c r="AA15" s="2">
        <f ca="1">IF(ISNUMBER(AA$10),Ingresos!AB27+Ingresos!AB64,"")</f>
        <v>52.458369087619545</v>
      </c>
      <c r="AB15" s="2">
        <f ca="1">IF(ISNUMBER(AB$10),Ingresos!AC27+Ingresos!AC64,"")</f>
        <v>52.458369087619545</v>
      </c>
      <c r="AC15" s="2">
        <f ca="1">IF(ISNUMBER(AC$10),Ingresos!AD27+Ingresos!AD64,"")</f>
        <v>52.458369087619545</v>
      </c>
      <c r="AD15" s="2">
        <f ca="1">IF(ISNUMBER(AD$10),Ingresos!AE27+Ingresos!AE64,"")</f>
        <v>52.458369087619545</v>
      </c>
      <c r="AE15" s="2">
        <f ca="1">IF(ISNUMBER(AE$10),Ingresos!AF27+Ingresos!AF64,"")</f>
        <v>52.458369087619545</v>
      </c>
      <c r="AF15" s="2">
        <f ca="1">IF(ISNUMBER(AF$10),Ingresos!AG27+Ingresos!AG64,"")</f>
        <v>52.458369087619545</v>
      </c>
    </row>
    <row r="16" spans="1:32">
      <c r="A16" s="292"/>
      <c r="B16" s="13" t="s">
        <v>9</v>
      </c>
      <c r="C16" s="2">
        <f ca="1">IF(ISNUMBER(C$10),Ingresos!D28+Ingresos!D65,"")</f>
        <v>53.528948048591367</v>
      </c>
      <c r="D16" s="2">
        <f ca="1">IF(ISNUMBER(D$10),Ingresos!E28+Ingresos!E65,"")</f>
        <v>53.528948048591367</v>
      </c>
      <c r="E16" s="2">
        <f ca="1">IF(ISNUMBER(E$10),Ingresos!F28+Ingresos!F65,"")</f>
        <v>53.528948048591367</v>
      </c>
      <c r="F16" s="2">
        <f ca="1">IF(ISNUMBER(F$10),Ingresos!G28+Ingresos!G65,"")</f>
        <v>53.528948048591367</v>
      </c>
      <c r="G16" s="2">
        <f ca="1">IF(ISNUMBER(G$10),Ingresos!H28+Ingresos!H65,"")</f>
        <v>53.528948048591367</v>
      </c>
      <c r="H16" s="2">
        <f ca="1">IF(ISNUMBER(H$10),Ingresos!I28+Ingresos!I65,"")</f>
        <v>53.528948048591367</v>
      </c>
      <c r="I16" s="2">
        <f ca="1">IF(ISNUMBER(I$10),Ingresos!J28+Ingresos!J65,"")</f>
        <v>53.528948048591367</v>
      </c>
      <c r="J16" s="2">
        <f ca="1">IF(ISNUMBER(J$10),Ingresos!K28+Ingresos!K65,"")</f>
        <v>53.528948048591367</v>
      </c>
      <c r="K16" s="2">
        <f ca="1">IF(ISNUMBER(K$10),Ingresos!L28+Ingresos!L65,"")</f>
        <v>53.528948048591367</v>
      </c>
      <c r="L16" s="2">
        <f ca="1">IF(ISNUMBER(L$10),Ingresos!M28+Ingresos!M65,"")</f>
        <v>53.528948048591367</v>
      </c>
      <c r="M16" s="2">
        <f ca="1">IF(ISNUMBER(M$10),Ingresos!N28+Ingresos!N65,"")</f>
        <v>53.528948048591367</v>
      </c>
      <c r="N16" s="2">
        <f ca="1">IF(ISNUMBER(N$10),Ingresos!O28+Ingresos!O65,"")</f>
        <v>53.528948048591367</v>
      </c>
      <c r="O16" s="2">
        <f ca="1">IF(ISNUMBER(O$10),Ingresos!P28+Ingresos!P65,"")</f>
        <v>53.528948048591367</v>
      </c>
      <c r="P16" s="2">
        <f ca="1">IF(ISNUMBER(P$10),Ingresos!Q28+Ingresos!Q65,"")</f>
        <v>53.528948048591367</v>
      </c>
      <c r="Q16" s="2">
        <f ca="1">IF(ISNUMBER(Q$10),Ingresos!R28+Ingresos!R65,"")</f>
        <v>53.528948048591367</v>
      </c>
      <c r="R16" s="2">
        <f ca="1">IF(ISNUMBER(R$10),Ingresos!S28+Ingresos!S65,"")</f>
        <v>53.528948048591367</v>
      </c>
      <c r="S16" s="2">
        <f ca="1">IF(ISNUMBER(S$10),Ingresos!T28+Ingresos!T65,"")</f>
        <v>53.528948048591367</v>
      </c>
      <c r="T16" s="2">
        <f ca="1">IF(ISNUMBER(T$10),Ingresos!U28+Ingresos!U65,"")</f>
        <v>53.528948048591367</v>
      </c>
      <c r="U16" s="2">
        <f ca="1">IF(ISNUMBER(U$10),Ingresos!V28+Ingresos!V65,"")</f>
        <v>53.528948048591367</v>
      </c>
      <c r="V16" s="2">
        <f ca="1">IF(ISNUMBER(V$10),Ingresos!W28+Ingresos!W65,"")</f>
        <v>53.528948048591367</v>
      </c>
      <c r="W16" s="2">
        <f ca="1">IF(ISNUMBER(W$10),Ingresos!X28+Ingresos!X65,"")</f>
        <v>53.528948048591367</v>
      </c>
      <c r="X16" s="2">
        <f ca="1">IF(ISNUMBER(X$10),Ingresos!Y28+Ingresos!Y65,"")</f>
        <v>53.528948048591367</v>
      </c>
      <c r="Y16" s="2">
        <f ca="1">IF(ISNUMBER(Y$10),Ingresos!Z28+Ingresos!Z65,"")</f>
        <v>53.528948048591367</v>
      </c>
      <c r="Z16" s="2">
        <f ca="1">IF(ISNUMBER(Z$10),Ingresos!AA28+Ingresos!AA65,"")</f>
        <v>53.528948048591367</v>
      </c>
      <c r="AA16" s="2">
        <f ca="1">IF(ISNUMBER(AA$10),Ingresos!AB28+Ingresos!AB65,"")</f>
        <v>53.528948048591367</v>
      </c>
      <c r="AB16" s="2">
        <f ca="1">IF(ISNUMBER(AB$10),Ingresos!AC28+Ingresos!AC65,"")</f>
        <v>53.528948048591367</v>
      </c>
      <c r="AC16" s="2">
        <f ca="1">IF(ISNUMBER(AC$10),Ingresos!AD28+Ingresos!AD65,"")</f>
        <v>53.528948048591367</v>
      </c>
      <c r="AD16" s="2">
        <f ca="1">IF(ISNUMBER(AD$10),Ingresos!AE28+Ingresos!AE65,"")</f>
        <v>53.528948048591367</v>
      </c>
      <c r="AE16" s="2">
        <f ca="1">IF(ISNUMBER(AE$10),Ingresos!AF28+Ingresos!AF65,"")</f>
        <v>53.528948048591367</v>
      </c>
      <c r="AF16" s="2">
        <f ca="1">IF(ISNUMBER(AF$10),Ingresos!AG28+Ingresos!AG65,"")</f>
        <v>53.42587547717833</v>
      </c>
    </row>
    <row r="17" spans="1:32">
      <c r="A17" s="292"/>
      <c r="B17" s="13" t="s">
        <v>10</v>
      </c>
      <c r="C17" s="2">
        <f ca="1">IF(ISNUMBER(C$10),Ingresos!D29+Ingresos!D66,"")</f>
        <v>62.608442488650844</v>
      </c>
      <c r="D17" s="2">
        <f ca="1">IF(ISNUMBER(D$10),Ingresos!E29+Ingresos!E66,"")</f>
        <v>62.351639615934836</v>
      </c>
      <c r="E17" s="2">
        <f ca="1">IF(ISNUMBER(E$10),Ingresos!F29+Ingresos!F66,"")</f>
        <v>62.09622347873151</v>
      </c>
      <c r="F17" s="2">
        <f ca="1">IF(ISNUMBER(F$10),Ingresos!G29+Ingresos!G66,"")</f>
        <v>61.84218658866908</v>
      </c>
      <c r="G17" s="2">
        <f ca="1">IF(ISNUMBER(G$10),Ingresos!H29+Ingresos!H66,"")</f>
        <v>61.589521497812974</v>
      </c>
      <c r="H17" s="2">
        <f ca="1">IF(ISNUMBER(H$10),Ingresos!I29+Ingresos!I66,"")</f>
        <v>61.338220798447502</v>
      </c>
      <c r="I17" s="2">
        <f ca="1">IF(ISNUMBER(I$10),Ingresos!J29+Ingresos!J66,"")</f>
        <v>61.088277122858599</v>
      </c>
      <c r="J17" s="2">
        <f ca="1">IF(ISNUMBER(J$10),Ingresos!K29+Ingresos!K66,"")</f>
        <v>60.839683143117881</v>
      </c>
      <c r="K17" s="2">
        <f ca="1">IF(ISNUMBER(K$10),Ingresos!L29+Ingresos!L66,"")</f>
        <v>60.592431570867753</v>
      </c>
      <c r="L17" s="2">
        <f ca="1">IF(ISNUMBER(L$10),Ingresos!M29+Ingresos!M66,"")</f>
        <v>60.346515157107788</v>
      </c>
      <c r="M17" s="2">
        <f ca="1">IF(ISNUMBER(M$10),Ingresos!N29+Ingresos!N66,"")</f>
        <v>60.101926691982115</v>
      </c>
      <c r="N17" s="2">
        <f ca="1">IF(ISNUMBER(N$10),Ingresos!O29+Ingresos!O66,"")</f>
        <v>59.858659004568125</v>
      </c>
      <c r="O17" s="2">
        <f ca="1">IF(ISNUMBER(O$10),Ingresos!P29+Ingresos!P66,"")</f>
        <v>60.98417228930051</v>
      </c>
      <c r="P17" s="2">
        <f ca="1">IF(ISNUMBER(P$10),Ingresos!Q29+Ingresos!Q66,"")</f>
        <v>60.736140475661003</v>
      </c>
      <c r="Q17" s="2">
        <f ca="1">IF(ISNUMBER(Q$10),Ingresos!R29+Ingresos!R66,"")</f>
        <v>60.489448033815144</v>
      </c>
      <c r="R17" s="2">
        <f ca="1">IF(ISNUMBER(R$10),Ingresos!S29+Ingresos!S66,"")</f>
        <v>60.244087731155254</v>
      </c>
      <c r="S17" s="2">
        <f ca="1">IF(ISNUMBER(S$10),Ingresos!T29+Ingresos!T66,"")</f>
        <v>60.000052374129723</v>
      </c>
      <c r="T17" s="2">
        <f ca="1">IF(ISNUMBER(T$10),Ingresos!U29+Ingresos!U66,"")</f>
        <v>59.757334808032148</v>
      </c>
      <c r="U17" s="2">
        <f ca="1">IF(ISNUMBER(U$10),Ingresos!V29+Ingresos!V66,"")</f>
        <v>59.515927916791497</v>
      </c>
      <c r="V17" s="2">
        <f ca="1">IF(ISNUMBER(V$10),Ingresos!W29+Ingresos!W66,"")</f>
        <v>59.27582462276353</v>
      </c>
      <c r="W17" s="2">
        <f ca="1">IF(ISNUMBER(W$10),Ingresos!X29+Ingresos!X66,"")</f>
        <v>59.037017886523323</v>
      </c>
      <c r="X17" s="2">
        <f ca="1">IF(ISNUMBER(X$10),Ingresos!Y29+Ingresos!Y66,"")</f>
        <v>58.799500706658812</v>
      </c>
      <c r="Y17" s="2">
        <f ca="1">IF(ISNUMBER(Y$10),Ingresos!Z29+Ingresos!Z66,"")</f>
        <v>58.563266119565554</v>
      </c>
      <c r="Z17" s="2">
        <f ca="1">IF(ISNUMBER(Z$10),Ingresos!AA29+Ingresos!AA66,"")</f>
        <v>58.328307199242623</v>
      </c>
      <c r="AA17" s="2">
        <f ca="1">IF(ISNUMBER(AA$10),Ingresos!AB29+Ingresos!AB66,"")</f>
        <v>58.094617057089422</v>
      </c>
      <c r="AB17" s="2">
        <f ca="1">IF(ISNUMBER(AB$10),Ingresos!AC29+Ingresos!AC66,"")</f>
        <v>57.862188841703862</v>
      </c>
      <c r="AC17" s="2">
        <f ca="1">IF(ISNUMBER(AC$10),Ingresos!AD29+Ingresos!AD66,"")</f>
        <v>57.63101573868137</v>
      </c>
      <c r="AD17" s="2">
        <f ca="1">IF(ISNUMBER(AD$10),Ingresos!AE29+Ingresos!AE66,"")</f>
        <v>57.401090970415197</v>
      </c>
      <c r="AE17" s="2">
        <f ca="1">IF(ISNUMBER(AE$10),Ingresos!AF29+Ingresos!AF66,"")</f>
        <v>57.172407795897676</v>
      </c>
      <c r="AF17" s="2">
        <f ca="1">IF(ISNUMBER(AF$10),Ingresos!AG29+Ingresos!AG66,"")</f>
        <v>56.944959510522544</v>
      </c>
    </row>
    <row r="18" spans="1:32">
      <c r="A18" s="292"/>
      <c r="B18" s="13" t="s">
        <v>11</v>
      </c>
      <c r="C18" s="2">
        <f ca="1">IF(ISNUMBER(C$10),Ingresos!D30+Ingresos!D67,"")</f>
        <v>56.740684931506848</v>
      </c>
      <c r="D18" s="2">
        <f ca="1">IF(ISNUMBER(D$10),Ingresos!E30+Ingresos!E67,"")</f>
        <v>56.740684931506848</v>
      </c>
      <c r="E18" s="2">
        <f ca="1">IF(ISNUMBER(E$10),Ingresos!F30+Ingresos!F67,"")</f>
        <v>56.740684931506848</v>
      </c>
      <c r="F18" s="2">
        <f ca="1">IF(ISNUMBER(F$10),Ingresos!G30+Ingresos!G67,"")</f>
        <v>56.565468637268822</v>
      </c>
      <c r="G18" s="2">
        <f ca="1">IF(ISNUMBER(G$10),Ingresos!H30+Ingresos!H67,"")</f>
        <v>56.329498719309896</v>
      </c>
      <c r="H18" s="2">
        <f ca="1">IF(ISNUMBER(H$10),Ingresos!I30+Ingresos!I67,"")</f>
        <v>56.094803038907941</v>
      </c>
      <c r="I18" s="2">
        <f ca="1">IF(ISNUMBER(I$10),Ingresos!J30+Ingresos!J67,"")</f>
        <v>55.861374715180176</v>
      </c>
      <c r="J18" s="2">
        <f ca="1">IF(ISNUMBER(J$10),Ingresos!K30+Ingresos!K67,"")</f>
        <v>55.629206904400519</v>
      </c>
      <c r="K18" s="2">
        <f ca="1">IF(ISNUMBER(K$10),Ingresos!L30+Ingresos!L67,"")</f>
        <v>55.398292799799066</v>
      </c>
      <c r="L18" s="2">
        <f ca="1">IF(ISNUMBER(L$10),Ingresos!M30+Ingresos!M67,"")</f>
        <v>55.168625631362474</v>
      </c>
      <c r="M18" s="2">
        <f ca="1">IF(ISNUMBER(M$10),Ingresos!N30+Ingresos!N67,"")</f>
        <v>54.940198665635435</v>
      </c>
      <c r="N18" s="2">
        <f ca="1">IF(ISNUMBER(N$10),Ingresos!O30+Ingresos!O67,"")</f>
        <v>54.713005205523331</v>
      </c>
      <c r="O18" s="2">
        <f ca="1">IF(ISNUMBER(O$10),Ingresos!P30+Ingresos!P67,"")</f>
        <v>55.764148743240014</v>
      </c>
      <c r="P18" s="2">
        <f ca="1">IF(ISNUMBER(P$10),Ingresos!Q30+Ingresos!Q67,"")</f>
        <v>55.532505952708831</v>
      </c>
      <c r="Q18" s="2">
        <f ca="1">IF(ISNUMBER(Q$10),Ingresos!R30+Ingresos!R67,"")</f>
        <v>55.302114033246525</v>
      </c>
      <c r="R18" s="2">
        <f ca="1">IF(ISNUMBER(R$10),Ingresos!S30+Ingresos!S67,"")</f>
        <v>55.072966230149319</v>
      </c>
      <c r="S18" s="2">
        <f ca="1">IF(ISNUMBER(S$10),Ingresos!T30+Ingresos!T67,"")</f>
        <v>54.845055825188837</v>
      </c>
      <c r="T18" s="2">
        <f ca="1">IF(ISNUMBER(T$10),Ingresos!U30+Ingresos!U67,"")</f>
        <v>54.618376136415122</v>
      </c>
      <c r="U18" s="2">
        <f ca="1">IF(ISNUMBER(U$10),Ingresos!V30+Ingresos!V67,"")</f>
        <v>54.392920517960818</v>
      </c>
      <c r="V18" s="2">
        <f ca="1">IF(ISNUMBER(V$10),Ingresos!W30+Ingresos!W67,"")</f>
        <v>54.168682359846144</v>
      </c>
      <c r="W18" s="2">
        <f ca="1">IF(ISNUMBER(W$10),Ingresos!X30+Ingresos!X67,"")</f>
        <v>53.945655087785298</v>
      </c>
      <c r="X18" s="2">
        <f ca="1">IF(ISNUMBER(X$10),Ingresos!Y30+Ingresos!Y67,"")</f>
        <v>53.723832162993574</v>
      </c>
      <c r="Y18" s="2">
        <f ca="1">IF(ISNUMBER(Y$10),Ingresos!Z30+Ingresos!Z67,"")</f>
        <v>53.503207081995726</v>
      </c>
      <c r="Z18" s="2">
        <f ca="1">IF(ISNUMBER(Z$10),Ingresos!AA30+Ingresos!AA67,"")</f>
        <v>53.283773376435278</v>
      </c>
      <c r="AA18" s="2">
        <f ca="1">IF(ISNUMBER(AA$10),Ingresos!AB30+Ingresos!AB67,"")</f>
        <v>53.065524612884843</v>
      </c>
      <c r="AB18" s="2">
        <f ca="1">IF(ISNUMBER(AB$10),Ingresos!AC30+Ingresos!AC67,"")</f>
        <v>52.848454392657572</v>
      </c>
      <c r="AC18" s="2">
        <f ca="1">IF(ISNUMBER(AC$10),Ingresos!AD30+Ingresos!AD67,"")</f>
        <v>52.632556351619556</v>
      </c>
      <c r="AD18" s="2">
        <f ca="1">IF(ISNUMBER(AD$10),Ingresos!AE30+Ingresos!AE67,"")</f>
        <v>52.417824160003136</v>
      </c>
      <c r="AE18" s="2">
        <f ca="1">IF(ISNUMBER(AE$10),Ingresos!AF30+Ingresos!AF67,"")</f>
        <v>52.204251522221426</v>
      </c>
      <c r="AF18" s="2">
        <f ca="1">IF(ISNUMBER(AF$10),Ingresos!AG30+Ingresos!AG67,"")</f>
        <v>51.991832176683758</v>
      </c>
    </row>
    <row r="19" spans="1:32">
      <c r="A19" s="292"/>
      <c r="B19" s="13" t="s">
        <v>12</v>
      </c>
      <c r="C19" s="2">
        <f ca="1">IF(ISNUMBER(C$10),Ingresos!D31+Ingresos!D68,"")</f>
        <v>51.201282826331322</v>
      </c>
      <c r="D19" s="2">
        <f ca="1">IF(ISNUMBER(D$10),Ingresos!E31+Ingresos!E68,"")</f>
        <v>50.990346477071327</v>
      </c>
      <c r="E19" s="2">
        <f ca="1">IF(ISNUMBER(E$10),Ingresos!F31+Ingresos!F68,"")</f>
        <v>50.780549184097332</v>
      </c>
      <c r="F19" s="2">
        <f ca="1">IF(ISNUMBER(F$10),Ingresos!G31+Ingresos!G68,"")</f>
        <v>50.571884796505394</v>
      </c>
      <c r="G19" s="2">
        <f ca="1">IF(ISNUMBER(G$10),Ingresos!H31+Ingresos!H68,"")</f>
        <v>50.364347196606452</v>
      </c>
      <c r="H19" s="2">
        <f ca="1">IF(ISNUMBER(H$10),Ingresos!I31+Ingresos!I68,"")</f>
        <v>50.157930299746965</v>
      </c>
      <c r="I19" s="2">
        <f ca="1">IF(ISNUMBER(I$10),Ingresos!J31+Ingresos!J68,"")</f>
        <v>49.952628054130521</v>
      </c>
      <c r="J19" s="2">
        <f ca="1">IF(ISNUMBER(J$10),Ingresos!K31+Ingresos!K68,"")</f>
        <v>49.748434440640416</v>
      </c>
      <c r="K19" s="2">
        <f ca="1">IF(ISNUMBER(K$10),Ingresos!L31+Ingresos!L68,"")</f>
        <v>49.545343472663134</v>
      </c>
      <c r="L19" s="2">
        <f ca="1">IF(ISNUMBER(L$10),Ingresos!M31+Ingresos!M68,"")</f>
        <v>49.34334919591295</v>
      </c>
      <c r="M19" s="2">
        <f ca="1">IF(ISNUMBER(M$10),Ingresos!N31+Ingresos!N68,"")</f>
        <v>49.142445688257204</v>
      </c>
      <c r="N19" s="2">
        <f ca="1">IF(ISNUMBER(N$10),Ingresos!O31+Ingresos!O68,"")</f>
        <v>48.942627059542801</v>
      </c>
      <c r="O19" s="2">
        <f ca="1">IF(ISNUMBER(O$10),Ingresos!P31+Ingresos!P68,"")</f>
        <v>49.867116964247394</v>
      </c>
      <c r="P19" s="2">
        <f ca="1">IF(ISNUMBER(P$10),Ingresos!Q31+Ingresos!Q68,"")</f>
        <v>49.66338511064265</v>
      </c>
      <c r="Q19" s="2">
        <f ca="1">IF(ISNUMBER(Q$10),Ingresos!R31+Ingresos!R68,"")</f>
        <v>49.460753409047364</v>
      </c>
      <c r="R19" s="2">
        <f ca="1">IF(ISNUMBER(R$10),Ingresos!S31+Ingresos!S68,"")</f>
        <v>49.259215918640699</v>
      </c>
      <c r="S19" s="2">
        <f ca="1">IF(ISNUMBER(S$10),Ingresos!T31+Ingresos!T68,"")</f>
        <v>49.058766730682223</v>
      </c>
      <c r="T19" s="2">
        <f ca="1">IF(ISNUMBER(T$10),Ingresos!U31+Ingresos!U68,"")</f>
        <v>48.859399968338735</v>
      </c>
      <c r="U19" s="2">
        <f ca="1">IF(ISNUMBER(U$10),Ingresos!V31+Ingresos!V68,"")</f>
        <v>48.661109786511894</v>
      </c>
      <c r="V19" s="2">
        <f ca="1">IF(ISNUMBER(V$10),Ingresos!W31+Ingresos!W68,"")</f>
        <v>48.46389037166692</v>
      </c>
      <c r="W19" s="2">
        <f ca="1">IF(ISNUMBER(W$10),Ingresos!X31+Ingresos!X68,"")</f>
        <v>48.26773594166211</v>
      </c>
      <c r="X19" s="2">
        <f ca="1">IF(ISNUMBER(X$10),Ingresos!Y31+Ingresos!Y68,"")</f>
        <v>48.072640745579321</v>
      </c>
      <c r="Y19" s="2">
        <f ca="1">IF(ISNUMBER(Y$10),Ingresos!Z31+Ingresos!Z68,"")</f>
        <v>47.878599063555377</v>
      </c>
      <c r="Z19" s="2">
        <f ca="1">IF(ISNUMBER(Z$10),Ingresos!AA31+Ingresos!AA68,"")</f>
        <v>47.685605206614369</v>
      </c>
      <c r="AA19" s="2">
        <f ca="1">IF(ISNUMBER(AA$10),Ingresos!AB31+Ingresos!AB68,"")</f>
        <v>47.493653516500842</v>
      </c>
      <c r="AB19" s="2">
        <f ca="1">IF(ISNUMBER(AB$10),Ingresos!AC31+Ingresos!AC68,"")</f>
        <v>47.302738365513932</v>
      </c>
      <c r="AC19" s="2">
        <f ca="1">IF(ISNUMBER(AC$10),Ingresos!AD31+Ingresos!AD68,"")</f>
        <v>47.112854156342337</v>
      </c>
      <c r="AD19" s="2">
        <f ca="1">IF(ISNUMBER(AD$10),Ingresos!AE31+Ingresos!AE68,"")</f>
        <v>46.923995321900279</v>
      </c>
      <c r="AE19" s="2">
        <f ca="1">IF(ISNUMBER(AE$10),Ingresos!AF31+Ingresos!AF68,"")</f>
        <v>46.736156325164202</v>
      </c>
      <c r="AF19" s="2">
        <f ca="1">IF(ISNUMBER(AF$10),Ingresos!AG31+Ingresos!AG68,"")</f>
        <v>46.549331659010505</v>
      </c>
    </row>
    <row r="20" spans="1:32">
      <c r="A20" s="292"/>
      <c r="B20" s="13" t="s">
        <v>13</v>
      </c>
      <c r="C20" s="2">
        <f ca="1">IF(ISNUMBER(C$10),Ingresos!D32+Ingresos!D69,"")</f>
        <v>48.745153588384575</v>
      </c>
      <c r="D20" s="2">
        <f ca="1">IF(ISNUMBER(D$10),Ingresos!E32+Ingresos!E69,"")</f>
        <v>48.550102360129578</v>
      </c>
      <c r="E20" s="2">
        <f ca="1">IF(ISNUMBER(E$10),Ingresos!F32+Ingresos!F69,"")</f>
        <v>48.356104408507157</v>
      </c>
      <c r="F20" s="2">
        <f ca="1">IF(ISNUMBER(F$10),Ingresos!G32+Ingresos!G69,"")</f>
        <v>48.163154045823489</v>
      </c>
      <c r="G20" s="2">
        <f ca="1">IF(ISNUMBER(G$10),Ingresos!H32+Ingresos!H69,"")</f>
        <v>47.971245615098326</v>
      </c>
      <c r="H20" s="2">
        <f ca="1">IF(ISNUMBER(H$10),Ingresos!I32+Ingresos!I69,"")</f>
        <v>47.780373489899063</v>
      </c>
      <c r="I20" s="2">
        <f ca="1">IF(ISNUMBER(I$10),Ingresos!J32+Ingresos!J69,"")</f>
        <v>47.590532074175897</v>
      </c>
      <c r="J20" s="2">
        <f ca="1">IF(ISNUMBER(J$10),Ingresos!K32+Ingresos!K69,"")</f>
        <v>47.401715802097627</v>
      </c>
      <c r="K20" s="2">
        <f ca="1">IF(ISNUMBER(K$10),Ingresos!L32+Ingresos!L69,"")</f>
        <v>47.213919137888574</v>
      </c>
      <c r="L20" s="2">
        <f ca="1">IF(ISNUMBER(L$10),Ingresos!M32+Ingresos!M69,"")</f>
        <v>47.027136575666248</v>
      </c>
      <c r="M20" s="2">
        <f ca="1">IF(ISNUMBER(M$10),Ingresos!N32+Ingresos!N69,"")</f>
        <v>46.841362639279922</v>
      </c>
      <c r="N20" s="2">
        <f ca="1">IF(ISNUMBER(N$10),Ingresos!O32+Ingresos!O69,"")</f>
        <v>46.656591882150089</v>
      </c>
      <c r="O20" s="2">
        <f ca="1">IF(ISNUMBER(O$10),Ingresos!P32+Ingresos!P69,"")</f>
        <v>47.511460623619165</v>
      </c>
      <c r="P20" s="2">
        <f ca="1">IF(ISNUMBER(P$10),Ingresos!Q32+Ingresos!Q69,"")</f>
        <v>47.323071337373904</v>
      </c>
      <c r="Q20" s="2">
        <f ca="1">IF(ISNUMBER(Q$10),Ingresos!R32+Ingresos!R69,"")</f>
        <v>47.135699353274362</v>
      </c>
      <c r="R20" s="2">
        <f ca="1">IF(ISNUMBER(R$10),Ingresos!S32+Ingresos!S69,"")</f>
        <v>46.949339177888959</v>
      </c>
      <c r="S20" s="2">
        <f ca="1">IF(ISNUMBER(S$10),Ingresos!T32+Ingresos!T69,"")</f>
        <v>46.763985347450628</v>
      </c>
      <c r="T20" s="2">
        <f ca="1">IF(ISNUMBER(T$10),Ingresos!U32+Ingresos!U69,"")</f>
        <v>46.57963242769668</v>
      </c>
      <c r="U20" s="2">
        <f ca="1">IF(ISNUMBER(U$10),Ingresos!V32+Ingresos!V69,"")</f>
        <v>46.396275013709392</v>
      </c>
      <c r="V20" s="2">
        <f ca="1">IF(ISNUMBER(V$10),Ingresos!W32+Ingresos!W69,"")</f>
        <v>46.213907729757636</v>
      </c>
      <c r="W20" s="2">
        <f ca="1">IF(ISNUMBER(W$10),Ingresos!X32+Ingresos!X69,"")</f>
        <v>46.032525229139225</v>
      </c>
      <c r="X20" s="2">
        <f ca="1">IF(ISNUMBER(X$10),Ingresos!Y32+Ingresos!Y69,"")</f>
        <v>45.852122194024147</v>
      </c>
      <c r="Y20" s="2">
        <f ca="1">IF(ISNUMBER(Y$10),Ingresos!Z32+Ingresos!Z69,"")</f>
        <v>45.672693335298689</v>
      </c>
      <c r="Z20" s="2">
        <f ca="1">IF(ISNUMBER(Z$10),Ingresos!AA32+Ingresos!AA69,"")</f>
        <v>45.494233392410351</v>
      </c>
      <c r="AA20" s="2">
        <f ca="1">IF(ISNUMBER(AA$10),Ingresos!AB32+Ingresos!AB69,"")</f>
        <v>45.316737133213614</v>
      </c>
      <c r="AB20" s="2">
        <f ca="1">IF(ISNUMBER(AB$10),Ingresos!AC32+Ingresos!AC69,"")</f>
        <v>45.140199353816534</v>
      </c>
      <c r="AC20" s="2">
        <f ca="1">IF(ISNUMBER(AC$10),Ingresos!AD32+Ingresos!AD69,"")</f>
        <v>44.964614878428193</v>
      </c>
      <c r="AD20" s="2">
        <f ca="1">IF(ISNUMBER(AD$10),Ingresos!AE32+Ingresos!AE69,"")</f>
        <v>44.789978559206958</v>
      </c>
      <c r="AE20" s="2">
        <f ca="1">IF(ISNUMBER(AE$10),Ingresos!AF32+Ingresos!AF69,"")</f>
        <v>44.616285276109529</v>
      </c>
      <c r="AF20" s="2">
        <f ca="1">IF(ISNUMBER(AF$10),Ingresos!AG32+Ingresos!AG69,"")</f>
        <v>44.443529936740816</v>
      </c>
    </row>
    <row r="21" spans="1:32">
      <c r="A21" s="292"/>
      <c r="B21" s="13" t="s">
        <v>14</v>
      </c>
      <c r="C21" s="2">
        <f ca="1">IF(ISNUMBER(C$10),Ingresos!D33+Ingresos!D70,"")</f>
        <v>43.520496076331312</v>
      </c>
      <c r="D21" s="2">
        <f ca="1">IF(ISNUMBER(D$10),Ingresos!E33+Ingresos!E70,"")</f>
        <v>43.351035975521313</v>
      </c>
      <c r="E21" s="2">
        <f ca="1">IF(ISNUMBER(E$10),Ingresos!F33+Ingresos!F70,"")</f>
        <v>43.182490959255688</v>
      </c>
      <c r="F21" s="2">
        <f ca="1">IF(ISNUMBER(F$10),Ingresos!G33+Ingresos!G70,"")</f>
        <v>43.014856086077899</v>
      </c>
      <c r="G21" s="2">
        <f ca="1">IF(ISNUMBER(G$10),Ingresos!H33+Ingresos!H70,"")</f>
        <v>42.848126441215271</v>
      </c>
      <c r="H21" s="2">
        <f ca="1">IF(ISNUMBER(H$10),Ingresos!I33+Ingresos!I70,"")</f>
        <v>42.682297136434897</v>
      </c>
      <c r="I21" s="2">
        <f ca="1">IF(ISNUMBER(I$10),Ingresos!J33+Ingresos!J70,"")</f>
        <v>42.517363309900333</v>
      </c>
      <c r="J21" s="2">
        <f ca="1">IF(ISNUMBER(J$10),Ingresos!K33+Ingresos!K70,"")</f>
        <v>42.353320126029068</v>
      </c>
      <c r="K21" s="2">
        <f ca="1">IF(ISNUMBER(K$10),Ingresos!L33+Ingresos!L70,"")</f>
        <v>42.1901627753507</v>
      </c>
      <c r="L21" s="2">
        <f ca="1">IF(ISNUMBER(L$10),Ingresos!M33+Ingresos!M70,"")</f>
        <v>42.027886474365992</v>
      </c>
      <c r="M21" s="2">
        <f ca="1">IF(ISNUMBER(M$10),Ingresos!N33+Ingresos!N70,"")</f>
        <v>41.866486465406602</v>
      </c>
      <c r="N21" s="2">
        <f ca="1">IF(ISNUMBER(N$10),Ingresos!O33+Ingresos!O70,"")</f>
        <v>41.705958016495593</v>
      </c>
      <c r="O21" s="2">
        <f ca="1">IF(ISNUMBER(O$10),Ingresos!P33+Ingresos!P70,"")</f>
        <v>42.448666198365018</v>
      </c>
      <c r="P21" s="2">
        <f ca="1">IF(ISNUMBER(P$10),Ingresos!Q33+Ingresos!Q70,"")</f>
        <v>42.284993978896033</v>
      </c>
      <c r="Q21" s="2">
        <f ca="1">IF(ISNUMBER(Q$10),Ingresos!R33+Ingresos!R70,"")</f>
        <v>42.122205589412189</v>
      </c>
      <c r="R21" s="2">
        <f ca="1">IF(ISNUMBER(R$10),Ingresos!S33+Ingresos!S70,"")</f>
        <v>41.960296257231548</v>
      </c>
      <c r="S21" s="2">
        <f ca="1">IF(ISNUMBER(S$10),Ingresos!T33+Ingresos!T70,"")</f>
        <v>41.799261235444682</v>
      </c>
      <c r="T21" s="2">
        <f ca="1">IF(ISNUMBER(T$10),Ingresos!U33+Ingresos!U70,"")</f>
        <v>41.639095802775472</v>
      </c>
      <c r="U21" s="2">
        <f ca="1">IF(ISNUMBER(U$10),Ingresos!V33+Ingresos!V70,"")</f>
        <v>41.479795263442668</v>
      </c>
      <c r="V21" s="2">
        <f ca="1">IF(ISNUMBER(V$10),Ingresos!W33+Ingresos!W70,"")</f>
        <v>41.321354947022272</v>
      </c>
      <c r="W21" s="2">
        <f ca="1">IF(ISNUMBER(W$10),Ingresos!X33+Ingresos!X70,"")</f>
        <v>41.163770208310545</v>
      </c>
      <c r="X21" s="2">
        <f ca="1">IF(ISNUMBER(X$10),Ingresos!Y33+Ingresos!Y70,"")</f>
        <v>41.007036427187856</v>
      </c>
      <c r="Y21" s="2">
        <f ca="1">IF(ISNUMBER(Y$10),Ingresos!Z33+Ingresos!Z70,"")</f>
        <v>40.851149008483233</v>
      </c>
      <c r="Z21" s="2">
        <f ca="1">IF(ISNUMBER(Z$10),Ingresos!AA33+Ingresos!AA70,"")</f>
        <v>40.696103381839606</v>
      </c>
      <c r="AA21" s="2">
        <f ca="1">IF(ISNUMBER(AA$10),Ingresos!AB33+Ingresos!AB70,"")</f>
        <v>40.54189500157986</v>
      </c>
      <c r="AB21" s="2">
        <f ca="1">IF(ISNUMBER(AB$10),Ingresos!AC33+Ingresos!AC70,"")</f>
        <v>40.388519346573524</v>
      </c>
      <c r="AC21" s="2">
        <f ca="1">IF(ISNUMBER(AC$10),Ingresos!AD33+Ingresos!AD70,"")</f>
        <v>40.235971920104213</v>
      </c>
      <c r="AD21" s="2">
        <f ca="1">IF(ISNUMBER(AD$10),Ingresos!AE33+Ingresos!AE70,"")</f>
        <v>40.08424824973784</v>
      </c>
      <c r="AE21" s="2">
        <f ca="1">IF(ISNUMBER(AE$10),Ingresos!AF33+Ingresos!AF70,"")</f>
        <v>39.933343887191441</v>
      </c>
      <c r="AF21" s="2">
        <f ca="1">IF(ISNUMBER(AF$10),Ingresos!AG33+Ingresos!AG70,"")</f>
        <v>39.783254408202801</v>
      </c>
    </row>
    <row r="22" spans="1:32">
      <c r="A22" s="292"/>
      <c r="B22" s="13" t="s">
        <v>15</v>
      </c>
      <c r="C22" s="2">
        <f ca="1">IF(ISNUMBER(C$10),Ingresos!D34+Ingresos!D71,"")</f>
        <v>47.44603999686386</v>
      </c>
      <c r="D22" s="2">
        <f ca="1">IF(ISNUMBER(D$10),Ingresos!E34+Ingresos!E71,"")</f>
        <v>47.281602190083859</v>
      </c>
      <c r="E22" s="2">
        <f ca="1">IF(ISNUMBER(E$10),Ingresos!F34+Ingresos!F71,"")</f>
        <v>47.118052347460463</v>
      </c>
      <c r="F22" s="2">
        <f ca="1">IF(ISNUMBER(F$10),Ingresos!G34+Ingresos!G71,"")</f>
        <v>46.955385673987251</v>
      </c>
      <c r="G22" s="2">
        <f ca="1">IF(ISNUMBER(G$10),Ingresos!H34+Ingresos!H71,"")</f>
        <v>46.79359740055078</v>
      </c>
      <c r="H22" s="2">
        <f ca="1">IF(ISNUMBER(H$10),Ingresos!I34+Ingresos!I71,"")</f>
        <v>46.632682783790877</v>
      </c>
      <c r="I22" s="2">
        <f ca="1">IF(ISNUMBER(I$10),Ingresos!J34+Ingresos!J71,"")</f>
        <v>46.472637105961468</v>
      </c>
      <c r="J22" s="2">
        <f ca="1">IF(ISNUMBER(J$10),Ingresos!K34+Ingresos!K71,"")</f>
        <v>46.313455674792344</v>
      </c>
      <c r="K22" s="2">
        <f ca="1">IF(ISNUMBER(K$10),Ingresos!L34+Ingresos!L71,"")</f>
        <v>46.155133823351527</v>
      </c>
      <c r="L22" s="2">
        <f ca="1">IF(ISNUMBER(L$10),Ingresos!M34+Ingresos!M71,"")</f>
        <v>45.997666909908489</v>
      </c>
      <c r="M22" s="2">
        <f ca="1">IF(ISNUMBER(M$10),Ingresos!N34+Ingresos!N71,"")</f>
        <v>45.84105031779805</v>
      </c>
      <c r="N22" s="2">
        <f ca="1">IF(ISNUMBER(N$10),Ingresos!O34+Ingresos!O71,"")</f>
        <v>45.685279455285013</v>
      </c>
      <c r="O22" s="2">
        <f ca="1">IF(ISNUMBER(O$10),Ingresos!P34+Ingresos!P71,"")</f>
        <v>46.405975972756693</v>
      </c>
      <c r="P22" s="2">
        <f ca="1">IF(ISNUMBER(P$10),Ingresos!Q34+Ingresos!Q71,"")</f>
        <v>46.247154511706881</v>
      </c>
      <c r="Q22" s="2">
        <f ca="1">IF(ISNUMBER(Q$10),Ingresos!R34+Ingresos!R71,"")</f>
        <v>46.089190686546715</v>
      </c>
      <c r="R22" s="2">
        <f ca="1">IF(ISNUMBER(R$10),Ingresos!S34+Ingresos!S71,"")</f>
        <v>45.932079866042429</v>
      </c>
      <c r="S22" s="2">
        <f ca="1">IF(ISNUMBER(S$10),Ingresos!T34+Ingresos!T71,"")</f>
        <v>45.775817443968869</v>
      </c>
      <c r="T22" s="2">
        <f ca="1">IF(ISNUMBER(T$10),Ingresos!U34+Ingresos!U71,"")</f>
        <v>45.620398838974502</v>
      </c>
      <c r="U22" s="2">
        <f ca="1">IF(ISNUMBER(U$10),Ingresos!V34+Ingresos!V71,"")</f>
        <v>45.465819494447103</v>
      </c>
      <c r="V22" s="2">
        <f ca="1">IF(ISNUMBER(V$10),Ingresos!W34+Ingresos!W71,"")</f>
        <v>45.312074878380159</v>
      </c>
      <c r="W22" s="2">
        <f ca="1">IF(ISNUMBER(W$10),Ingresos!X34+Ingresos!X71,"")</f>
        <v>45.159160483239972</v>
      </c>
      <c r="X22" s="2">
        <f ca="1">IF(ISNUMBER(X$10),Ingresos!Y34+Ingresos!Y71,"")</f>
        <v>45.007071825833535</v>
      </c>
      <c r="Y22" s="2">
        <f ca="1">IF(ISNUMBER(Y$10),Ingresos!Z34+Ingresos!Z71,"")</f>
        <v>44.855804447177093</v>
      </c>
      <c r="Z22" s="2">
        <f ca="1">IF(ISNUMBER(Z$10),Ingresos!AA34+Ingresos!AA71,"")</f>
        <v>44.705353912365403</v>
      </c>
      <c r="AA22" s="2">
        <f ca="1">IF(ISNUMBER(AA$10),Ingresos!AB34+Ingresos!AB71,"")</f>
        <v>44.555715810441697</v>
      </c>
      <c r="AB22" s="2">
        <f ca="1">IF(ISNUMBER(AB$10),Ingresos!AC34+Ingresos!AC71,"")</f>
        <v>44.406885754268373</v>
      </c>
      <c r="AC22" s="2">
        <f ca="1">IF(ISNUMBER(AC$10),Ingresos!AD34+Ingresos!AD71,"")</f>
        <v>44.258859380398391</v>
      </c>
      <c r="AD22" s="2">
        <f ca="1">IF(ISNUMBER(AD$10),Ingresos!AE34+Ingresos!AE71,"")</f>
        <v>44.11163234894731</v>
      </c>
      <c r="AE22" s="2">
        <f ca="1">IF(ISNUMBER(AE$10),Ingresos!AF34+Ingresos!AF71,"")</f>
        <v>43.965200343466051</v>
      </c>
      <c r="AF22" s="2">
        <f ca="1">IF(ISNUMBER(AF$10),Ingresos!AG34+Ingresos!AG71,"")</f>
        <v>43.819559070814407</v>
      </c>
    </row>
    <row r="23" spans="1:32">
      <c r="A23" s="292"/>
      <c r="B23" s="13" t="s">
        <v>16</v>
      </c>
      <c r="C23" s="16">
        <f ca="1">SUM(C11:C22)</f>
        <v>614.75608738393316</v>
      </c>
      <c r="D23" s="16">
        <f t="shared" ref="D23:AF23" ca="1" si="0">SUM(D11:D22)</f>
        <v>613.38128800197717</v>
      </c>
      <c r="E23" s="16">
        <f t="shared" ca="1" si="0"/>
        <v>611.67510827331057</v>
      </c>
      <c r="F23" s="16">
        <f t="shared" ca="1" si="0"/>
        <v>609.97186912858706</v>
      </c>
      <c r="G23" s="16">
        <f t="shared" ca="1" si="0"/>
        <v>608.21612768353509</v>
      </c>
      <c r="H23" s="16">
        <f t="shared" ca="1" si="0"/>
        <v>606.46986724228645</v>
      </c>
      <c r="I23" s="16">
        <f t="shared" ca="1" si="0"/>
        <v>604.73303660742044</v>
      </c>
      <c r="J23" s="16">
        <f t="shared" ca="1" si="0"/>
        <v>603.00558485798285</v>
      </c>
      <c r="K23" s="16">
        <f t="shared" ca="1" si="0"/>
        <v>601.28746134799212</v>
      </c>
      <c r="L23" s="16">
        <f t="shared" ca="1" si="0"/>
        <v>599.43733745848886</v>
      </c>
      <c r="M23" s="16">
        <f t="shared" ca="1" si="0"/>
        <v>597.52391697265352</v>
      </c>
      <c r="N23" s="16">
        <f t="shared" ca="1" si="0"/>
        <v>595.62082895744197</v>
      </c>
      <c r="O23" s="16">
        <f t="shared" ca="1" si="0"/>
        <v>604.00962376756638</v>
      </c>
      <c r="P23" s="16">
        <f t="shared" ca="1" si="0"/>
        <v>602.28607844746409</v>
      </c>
      <c r="Q23" s="16">
        <f t="shared" ca="1" si="0"/>
        <v>600.55550422997044</v>
      </c>
      <c r="R23" s="16">
        <f t="shared" ca="1" si="0"/>
        <v>598.63604564356922</v>
      </c>
      <c r="S23" s="16">
        <f t="shared" ca="1" si="0"/>
        <v>596.72695213353461</v>
      </c>
      <c r="T23" s="16">
        <f t="shared" ca="1" si="0"/>
        <v>594.82816772845422</v>
      </c>
      <c r="U23" s="16">
        <f t="shared" ca="1" si="0"/>
        <v>592.93963675916109</v>
      </c>
      <c r="V23" s="16">
        <f t="shared" ca="1" si="0"/>
        <v>591.0613038571023</v>
      </c>
      <c r="W23" s="16">
        <f t="shared" ca="1" si="0"/>
        <v>589.19311395271461</v>
      </c>
      <c r="X23" s="16">
        <f t="shared" ca="1" si="0"/>
        <v>587.33501227381066</v>
      </c>
      <c r="Y23" s="16">
        <f t="shared" ca="1" si="0"/>
        <v>585.48694434397248</v>
      </c>
      <c r="Z23" s="16">
        <f t="shared" ca="1" si="0"/>
        <v>583.64885598095566</v>
      </c>
      <c r="AA23" s="16">
        <f t="shared" ca="1" si="0"/>
        <v>581.8206932950992</v>
      </c>
      <c r="AB23" s="16">
        <f t="shared" ca="1" si="0"/>
        <v>580.00240268774633</v>
      </c>
      <c r="AC23" s="16">
        <f t="shared" ca="1" si="0"/>
        <v>578.19393084967305</v>
      </c>
      <c r="AD23" s="16">
        <f t="shared" ca="1" si="0"/>
        <v>576.39522475952549</v>
      </c>
      <c r="AE23" s="16">
        <f t="shared" ca="1" si="0"/>
        <v>574.60623168226471</v>
      </c>
      <c r="AF23" s="16">
        <f t="shared" ca="1" si="0"/>
        <v>572.72382659620803</v>
      </c>
    </row>
    <row r="24" spans="1:32">
      <c r="A24" s="237" t="s">
        <v>351</v>
      </c>
      <c r="B24" s="13"/>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row>
    <row r="25" spans="1:32" ht="27.6">
      <c r="A25" s="17" t="s">
        <v>143</v>
      </c>
      <c r="C25" s="3">
        <f ca="1">IF(C23&gt;0,-('Datos Instalación'!$G$28)/COUNTIF($C$23:$AF$23,"&gt;0"),0)</f>
        <v>-33.333333333333336</v>
      </c>
      <c r="D25" s="3">
        <f ca="1">IF(D23&gt;0,-('Datos Instalación'!$G$28)/COUNTIF($C$23:$AF$23,"&gt;0"),0)</f>
        <v>-33.333333333333336</v>
      </c>
      <c r="E25" s="3">
        <f ca="1">IF(E23&gt;0,-('Datos Instalación'!$G$28)/COUNTIF($C$23:$AF$23,"&gt;0"),0)</f>
        <v>-33.333333333333336</v>
      </c>
      <c r="F25" s="3">
        <f ca="1">IF(F23&gt;0,-('Datos Instalación'!$G$28)/COUNTIF($C$23:$AF$23,"&gt;0"),0)</f>
        <v>-33.333333333333336</v>
      </c>
      <c r="G25" s="3">
        <f ca="1">IF(G23&gt;0,-('Datos Instalación'!$G$28)/COUNTIF($C$23:$AF$23,"&gt;0"),0)</f>
        <v>-33.333333333333336</v>
      </c>
      <c r="H25" s="3">
        <f ca="1">IF(H23&gt;0,-('Datos Instalación'!$G$28)/COUNTIF($C$23:$AF$23,"&gt;0"),0)</f>
        <v>-33.333333333333336</v>
      </c>
      <c r="I25" s="3">
        <f ca="1">IF(I23&gt;0,-('Datos Instalación'!$G$28)/COUNTIF($C$23:$AF$23,"&gt;0"),0)</f>
        <v>-33.333333333333336</v>
      </c>
      <c r="J25" s="3">
        <f ca="1">IF(J23&gt;0,-('Datos Instalación'!$G$28)/COUNTIF($C$23:$AF$23,"&gt;0"),0)</f>
        <v>-33.333333333333336</v>
      </c>
      <c r="K25" s="3">
        <f ca="1">IF(K23&gt;0,-('Datos Instalación'!$G$28)/COUNTIF($C$23:$AF$23,"&gt;0"),0)</f>
        <v>-33.333333333333336</v>
      </c>
      <c r="L25" s="3">
        <f ca="1">IF(L23&gt;0,-('Datos Instalación'!$G$28)/COUNTIF($C$23:$AF$23,"&gt;0"),0)</f>
        <v>-33.333333333333336</v>
      </c>
      <c r="M25" s="3">
        <f ca="1">IF(M23&gt;0,-('Datos Instalación'!$G$28)/COUNTIF($C$23:$AF$23,"&gt;0"),0)</f>
        <v>-33.333333333333336</v>
      </c>
      <c r="N25" s="3">
        <f ca="1">IF(N23&gt;0,-('Datos Instalación'!$G$28)/COUNTIF($C$23:$AF$23,"&gt;0"),0)</f>
        <v>-33.333333333333336</v>
      </c>
      <c r="O25" s="3">
        <f ca="1">IF(O23&gt;0,-('Datos Instalación'!$G$28)/COUNTIF($C$23:$AF$23,"&gt;0"),0)</f>
        <v>-33.333333333333336</v>
      </c>
      <c r="P25" s="3">
        <f ca="1">IF(P23&gt;0,-('Datos Instalación'!$G$28)/COUNTIF($C$23:$AF$23,"&gt;0"),0)</f>
        <v>-33.333333333333336</v>
      </c>
      <c r="Q25" s="3">
        <f ca="1">IF(Q23&gt;0,-('Datos Instalación'!$G$28)/COUNTIF($C$23:$AF$23,"&gt;0"),0)</f>
        <v>-33.333333333333336</v>
      </c>
      <c r="R25" s="3">
        <f ca="1">IF(R23&gt;0,-('Datos Instalación'!$G$28)/COUNTIF($C$23:$AF$23,"&gt;0"),0)</f>
        <v>-33.333333333333336</v>
      </c>
      <c r="S25" s="3">
        <f ca="1">IF(S23&gt;0,-('Datos Instalación'!$G$28)/COUNTIF($C$23:$AF$23,"&gt;0"),0)</f>
        <v>-33.333333333333336</v>
      </c>
      <c r="T25" s="3">
        <f ca="1">IF(T23&gt;0,-('Datos Instalación'!$G$28)/COUNTIF($C$23:$AF$23,"&gt;0"),0)</f>
        <v>-33.333333333333336</v>
      </c>
      <c r="U25" s="3">
        <f ca="1">IF(U23&gt;0,-('Datos Instalación'!$G$28)/COUNTIF($C$23:$AF$23,"&gt;0"),0)</f>
        <v>-33.333333333333336</v>
      </c>
      <c r="V25" s="3">
        <f ca="1">IF(V23&gt;0,-('Datos Instalación'!$G$28)/COUNTIF($C$23:$AF$23,"&gt;0"),0)</f>
        <v>-33.333333333333336</v>
      </c>
      <c r="W25" s="3">
        <f ca="1">IF(W23&gt;0,-('Datos Instalación'!$G$28)/COUNTIF($C$23:$AF$23,"&gt;0"),0)</f>
        <v>-33.333333333333336</v>
      </c>
      <c r="X25" s="3">
        <f ca="1">IF(X23&gt;0,-('Datos Instalación'!$G$28)/COUNTIF($C$23:$AF$23,"&gt;0"),0)</f>
        <v>-33.333333333333336</v>
      </c>
      <c r="Y25" s="3">
        <f ca="1">IF(Y23&gt;0,-('Datos Instalación'!$G$28)/COUNTIF($C$23:$AF$23,"&gt;0"),0)</f>
        <v>-33.333333333333336</v>
      </c>
      <c r="Z25" s="3">
        <f ca="1">IF(Z23&gt;0,-('Datos Instalación'!$G$28)/COUNTIF($C$23:$AF$23,"&gt;0"),0)</f>
        <v>-33.333333333333336</v>
      </c>
      <c r="AA25" s="3">
        <f ca="1">IF(AA23&gt;0,-('Datos Instalación'!$G$28)/COUNTIF($C$23:$AF$23,"&gt;0"),0)</f>
        <v>-33.333333333333336</v>
      </c>
      <c r="AB25" s="3">
        <f ca="1">IF(AB23&gt;0,-('Datos Instalación'!$G$28)/COUNTIF($C$23:$AF$23,"&gt;0"),0)</f>
        <v>-33.333333333333336</v>
      </c>
      <c r="AC25" s="3">
        <f ca="1">IF(AC23&gt;0,-('Datos Instalación'!$G$28)/COUNTIF($C$23:$AF$23,"&gt;0"),0)</f>
        <v>-33.333333333333336</v>
      </c>
      <c r="AD25" s="3">
        <f ca="1">IF(AD23&gt;0,-('Datos Instalación'!$G$28)/COUNTIF($C$23:$AF$23,"&gt;0"),0)</f>
        <v>-33.333333333333336</v>
      </c>
      <c r="AE25" s="3">
        <f ca="1">IF(AE23&gt;0,-('Datos Instalación'!$G$28)/COUNTIF($C$23:$AF$23,"&gt;0"),0)</f>
        <v>-33.333333333333336</v>
      </c>
      <c r="AF25" s="3">
        <f ca="1">IF(AF23&gt;0,-('Datos Instalación'!$G$28)/COUNTIF($C$23:$AF$23,"&gt;0"),0)</f>
        <v>-33.333333333333336</v>
      </c>
    </row>
    <row r="26" spans="1:32">
      <c r="A26" s="17" t="s">
        <v>18</v>
      </c>
      <c r="C26" s="3">
        <f>-SUM('Datos Instalación'!I25:I27,'Datos Instalación'!I29:I30)</f>
        <v>-2812.5</v>
      </c>
    </row>
    <row r="27" spans="1:32" ht="17.399999999999999" customHeight="1">
      <c r="A27" s="76" t="s">
        <v>37</v>
      </c>
      <c r="C27" s="2">
        <f ca="1">IF(D23=0,IF(C23&gt;0,-'Datos Instalación'!$I$33,0),0)</f>
        <v>0</v>
      </c>
      <c r="D27" s="2">
        <f ca="1">IF(E23=0,IF(D23&gt;0,-'Datos Instalación'!$I$33,0),0)</f>
        <v>0</v>
      </c>
      <c r="E27" s="2">
        <f ca="1">IF(F23=0,IF(E23&gt;0,-'Datos Instalación'!$I$33,0),0)</f>
        <v>0</v>
      </c>
      <c r="F27" s="2">
        <f ca="1">IF(G23=0,IF(F23&gt;0,-'Datos Instalación'!$I$33,0),0)</f>
        <v>0</v>
      </c>
      <c r="G27" s="2">
        <f ca="1">IF(H23=0,IF(G23&gt;0,-'Datos Instalación'!$I$33,0),0)</f>
        <v>0</v>
      </c>
      <c r="H27" s="2">
        <f ca="1">IF(I23=0,IF(H23&gt;0,-'Datos Instalación'!$I$33,0),0)</f>
        <v>0</v>
      </c>
      <c r="I27" s="2">
        <f ca="1">IF(J23=0,IF(I23&gt;0,-'Datos Instalación'!$I$33,0),0)</f>
        <v>0</v>
      </c>
      <c r="J27" s="2">
        <f ca="1">IF(K23=0,IF(J23&gt;0,-'Datos Instalación'!$I$33,0),0)</f>
        <v>0</v>
      </c>
      <c r="K27" s="2">
        <f ca="1">IF(L23=0,IF(K23&gt;0,-'Datos Instalación'!$I$33,0),0)</f>
        <v>0</v>
      </c>
      <c r="L27" s="2">
        <f ca="1">IF(M23=0,IF(L23&gt;0,-'Datos Instalación'!$I$33,0),0)</f>
        <v>0</v>
      </c>
      <c r="M27" s="2">
        <f ca="1">IF(N23=0,IF(M23&gt;0,-'Datos Instalación'!$I$33,0),0)</f>
        <v>0</v>
      </c>
      <c r="N27" s="2">
        <f ca="1">IF(O23=0,IF(N23&gt;0,-'Datos Instalación'!$I$33,0),0)</f>
        <v>0</v>
      </c>
      <c r="O27" s="2">
        <f ca="1">IF(P23=0,IF(O23&gt;0,-'Datos Instalación'!$I$33,0),0)</f>
        <v>0</v>
      </c>
      <c r="P27" s="2">
        <f ca="1">IF(Q23=0,IF(P23&gt;0,-'Datos Instalación'!$I$33,0),0)</f>
        <v>0</v>
      </c>
      <c r="Q27" s="2">
        <f ca="1">IF(R23=0,IF(Q23&gt;0,-'Datos Instalación'!$I$33,0),0)</f>
        <v>0</v>
      </c>
      <c r="R27" s="2">
        <f ca="1">IF(S23=0,IF(R23&gt;0,-'Datos Instalación'!$I$33,0),0)</f>
        <v>0</v>
      </c>
      <c r="S27" s="2">
        <f ca="1">IF(T23=0,IF(S23&gt;0,-'Datos Instalación'!$I$33,0),0)</f>
        <v>0</v>
      </c>
      <c r="T27" s="2">
        <f ca="1">IF(U23=0,IF(T23&gt;0,-'Datos Instalación'!$I$33,0),0)</f>
        <v>0</v>
      </c>
      <c r="U27" s="2">
        <f ca="1">IF(V23=0,IF(U23&gt;0,-'Datos Instalación'!$I$33,0),0)</f>
        <v>0</v>
      </c>
      <c r="V27" s="2">
        <f ca="1">IF(W23=0,IF(V23&gt;0,-'Datos Instalación'!$I$33,0),0)</f>
        <v>0</v>
      </c>
      <c r="W27" s="2">
        <f ca="1">IF(X23=0,IF(W23&gt;0,-'Datos Instalación'!$I$33,0),0)</f>
        <v>0</v>
      </c>
      <c r="X27" s="2">
        <f ca="1">IF(Y23=0,IF(X23&gt;0,-'Datos Instalación'!$I$33,0),0)</f>
        <v>0</v>
      </c>
      <c r="Y27" s="2">
        <f ca="1">IF(Z23=0,IF(Y23&gt;0,-'Datos Instalación'!$I$33,0),0)</f>
        <v>0</v>
      </c>
      <c r="Z27" s="2">
        <f ca="1">IF(AA23=0,IF(Z23&gt;0,-'Datos Instalación'!$I$33,0),0)</f>
        <v>0</v>
      </c>
      <c r="AA27" s="2">
        <f ca="1">IF(AB23=0,IF(AA23&gt;0,-'Datos Instalación'!$I$33,0),0)</f>
        <v>0</v>
      </c>
      <c r="AB27" s="2">
        <f ca="1">IF(AC23=0,IF(AB23&gt;0,-'Datos Instalación'!$I$33,0),0)</f>
        <v>0</v>
      </c>
      <c r="AC27" s="2">
        <f ca="1">IF(AD23=0,IF(AC23&gt;0,-'Datos Instalación'!$I$33,0),0)</f>
        <v>0</v>
      </c>
      <c r="AD27" s="2">
        <f ca="1">IF(AE23=0,IF(AD23&gt;0,-'Datos Instalación'!$I$33,0),0)</f>
        <v>0</v>
      </c>
      <c r="AE27" s="2">
        <f ca="1">IF(AF23=0,IF(AE23&gt;0,-'Datos Instalación'!$I$33,0),0)</f>
        <v>0</v>
      </c>
      <c r="AF27" s="2">
        <f ca="1">IF(AG23=0,IF(AF23&gt;0,-'Datos Instalación'!$I$33,0),0)</f>
        <v>0</v>
      </c>
    </row>
    <row r="28" spans="1:32" ht="17.399999999999999" customHeight="1">
      <c r="A28" s="76" t="s">
        <v>224</v>
      </c>
      <c r="C28" s="2">
        <f ca="1">IF(ISNUMBER(OFFSET('Cálculo Préstamo'!$B$4,'Cálculo Préstamo'!C75,0)),-OFFSET('Cálculo Préstamo'!$D$4,'Cálculo Préstamo'!C75,0),0)</f>
        <v>-225</v>
      </c>
      <c r="D28" s="2">
        <f ca="1">IF(ISNUMBER(OFFSET('Cálculo Préstamo'!$B$4,'Cálculo Préstamo'!D75,0)),-OFFSET('Cálculo Préstamo'!$D$4,'Cálculo Préstamo'!D75,0),0)</f>
        <v>-207.11149999999998</v>
      </c>
      <c r="E28" s="2">
        <f ca="1">IF(ISNUMBER(OFFSET('Cálculo Préstamo'!$B$4,'Cálculo Préstamo'!E75,0)),-OFFSET('Cálculo Préstamo'!$D$4,'Cálculo Préstamo'!E75,0),0)</f>
        <v>-188.32850000000002</v>
      </c>
      <c r="F28" s="2">
        <f ca="1">IF(ISNUMBER(OFFSET('Cálculo Préstamo'!$B$4,'Cálculo Préstamo'!F75,0)),-OFFSET('Cálculo Préstamo'!$D$4,'Cálculo Préstamo'!F75,0),0)</f>
        <v>-168.60650000000001</v>
      </c>
      <c r="G28" s="2">
        <f ca="1">IF(ISNUMBER(OFFSET('Cálculo Préstamo'!$B$4,'Cálculo Préstamo'!G75,0)),-OFFSET('Cálculo Préstamo'!$D$4,'Cálculo Préstamo'!G75,0),0)</f>
        <v>-147.89849999999998</v>
      </c>
      <c r="H28" s="2">
        <f ca="1">IF(ISNUMBER(OFFSET('Cálculo Préstamo'!$B$4,'Cálculo Préstamo'!H75,0)),-OFFSET('Cálculo Préstamo'!$D$4,'Cálculo Préstamo'!H75,0),0)</f>
        <v>-126.155</v>
      </c>
      <c r="I28" s="2">
        <f ca="1">IF(ISNUMBER(OFFSET('Cálculo Préstamo'!$B$4,'Cálculo Préstamo'!I75,0)),-OFFSET('Cálculo Préstamo'!$D$4,'Cálculo Préstamo'!I75,0),0)</f>
        <v>-103.32400000000001</v>
      </c>
      <c r="J28" s="2">
        <f ca="1">IF(ISNUMBER(OFFSET('Cálculo Préstamo'!$B$4,'Cálculo Préstamo'!J75,0)),-OFFSET('Cálculo Préstamo'!$D$4,'Cálculo Préstamo'!J75,0),0)</f>
        <v>-79.351500000000001</v>
      </c>
      <c r="K28" s="2">
        <f ca="1">IF(ISNUMBER(OFFSET('Cálculo Préstamo'!$B$4,'Cálculo Préstamo'!K75,0)),-OFFSET('Cálculo Préstamo'!$D$4,'Cálculo Préstamo'!K75,0),0)</f>
        <v>-54.180499999999995</v>
      </c>
      <c r="L28" s="2">
        <f ca="1">IF(ISNUMBER(OFFSET('Cálculo Préstamo'!$B$4,'Cálculo Préstamo'!L75,0)),-OFFSET('Cálculo Préstamo'!$D$4,'Cálculo Préstamo'!L75,0),0)</f>
        <v>-27.751000000000001</v>
      </c>
      <c r="M28" s="2">
        <f ca="1">IF(ISNUMBER(OFFSET('Cálculo Préstamo'!$B$4,'Cálculo Préstamo'!M75,0)),-OFFSET('Cálculo Préstamo'!$D$4,'Cálculo Préstamo'!M75,0),0)</f>
        <v>0</v>
      </c>
      <c r="N28" s="2">
        <f ca="1">IF(ISNUMBER(OFFSET('Cálculo Préstamo'!$B$4,'Cálculo Préstamo'!N75,0)),-OFFSET('Cálculo Préstamo'!$D$4,'Cálculo Préstamo'!N75,0),0)</f>
        <v>0</v>
      </c>
      <c r="O28" s="2">
        <f ca="1">IF(ISNUMBER(OFFSET('Cálculo Préstamo'!$B$4,'Cálculo Préstamo'!O75,0)),-OFFSET('Cálculo Préstamo'!$D$4,'Cálculo Préstamo'!O75,0),0)</f>
        <v>0</v>
      </c>
      <c r="P28" s="2">
        <f ca="1">IF(ISNUMBER(OFFSET('Cálculo Préstamo'!$B$4,'Cálculo Préstamo'!P75,0)),-OFFSET('Cálculo Préstamo'!$D$4,'Cálculo Préstamo'!P75,0),0)</f>
        <v>0</v>
      </c>
      <c r="Q28" s="2">
        <f ca="1">IF(ISNUMBER(OFFSET('Cálculo Préstamo'!$B$4,'Cálculo Préstamo'!Q75,0)),-OFFSET('Cálculo Préstamo'!$D$4,'Cálculo Préstamo'!Q75,0),0)</f>
        <v>0</v>
      </c>
      <c r="R28" s="2">
        <f ca="1">IF(ISNUMBER(OFFSET('Cálculo Préstamo'!$B$4,'Cálculo Préstamo'!R75,0)),-OFFSET('Cálculo Préstamo'!$D$4,'Cálculo Préstamo'!R75,0),0)</f>
        <v>0</v>
      </c>
      <c r="S28" s="2">
        <f ca="1">IF(ISNUMBER(OFFSET('Cálculo Préstamo'!$B$4,'Cálculo Préstamo'!S75,0)),-OFFSET('Cálculo Préstamo'!$D$4,'Cálculo Préstamo'!S75,0),0)</f>
        <v>0</v>
      </c>
      <c r="T28" s="2">
        <f ca="1">IF(ISNUMBER(OFFSET('Cálculo Préstamo'!$B$4,'Cálculo Préstamo'!T75,0)),-OFFSET('Cálculo Préstamo'!$D$4,'Cálculo Préstamo'!T75,0),0)</f>
        <v>0</v>
      </c>
      <c r="U28" s="2">
        <f ca="1">IF(ISNUMBER(OFFSET('Cálculo Préstamo'!$B$4,'Cálculo Préstamo'!U75,0)),-OFFSET('Cálculo Préstamo'!$D$4,'Cálculo Préstamo'!U75,0),0)</f>
        <v>0</v>
      </c>
      <c r="V28" s="2">
        <f ca="1">IF(ISNUMBER(OFFSET('Cálculo Préstamo'!$B$4,'Cálculo Préstamo'!V75,0)),-OFFSET('Cálculo Préstamo'!$D$4,'Cálculo Préstamo'!V75,0),0)</f>
        <v>0</v>
      </c>
      <c r="W28" s="2">
        <f ca="1">IF(ISNUMBER(OFFSET('Cálculo Préstamo'!$B$4,'Cálculo Préstamo'!W75,0)),-OFFSET('Cálculo Préstamo'!$D$4,'Cálculo Préstamo'!W75,0),0)</f>
        <v>0</v>
      </c>
      <c r="X28" s="2">
        <f ca="1">IF(ISNUMBER(OFFSET('Cálculo Préstamo'!$B$4,'Cálculo Préstamo'!X75,0)),-OFFSET('Cálculo Préstamo'!$D$4,'Cálculo Préstamo'!X75,0),0)</f>
        <v>0</v>
      </c>
      <c r="Y28" s="2">
        <f ca="1">IF(ISNUMBER(OFFSET('Cálculo Préstamo'!$B$4,'Cálculo Préstamo'!Y75,0)),-OFFSET('Cálculo Préstamo'!$D$4,'Cálculo Préstamo'!Y75,0),0)</f>
        <v>0</v>
      </c>
      <c r="Z28" s="2">
        <f ca="1">IF(ISNUMBER(OFFSET('Cálculo Préstamo'!$B$4,'Cálculo Préstamo'!Z75,0)),-OFFSET('Cálculo Préstamo'!$D$4,'Cálculo Préstamo'!Z75,0),0)</f>
        <v>0</v>
      </c>
      <c r="AA28" s="2">
        <f ca="1">IF(ISNUMBER(OFFSET('Cálculo Préstamo'!$B$4,'Cálculo Préstamo'!AA75,0)),-OFFSET('Cálculo Préstamo'!$D$4,'Cálculo Préstamo'!AA75,0),0)</f>
        <v>0</v>
      </c>
      <c r="AB28" s="2">
        <f ca="1">IF(ISNUMBER(OFFSET('Cálculo Préstamo'!$B$4,'Cálculo Préstamo'!AB75,0)),-OFFSET('Cálculo Préstamo'!$D$4,'Cálculo Préstamo'!AB75,0),0)</f>
        <v>0</v>
      </c>
      <c r="AC28" s="2">
        <f ca="1">IF(ISNUMBER(OFFSET('Cálculo Préstamo'!$B$4,'Cálculo Préstamo'!AC75,0)),-OFFSET('Cálculo Préstamo'!$D$4,'Cálculo Préstamo'!AC75,0),0)</f>
        <v>0</v>
      </c>
      <c r="AD28" s="2">
        <f ca="1">IF(ISNUMBER(OFFSET('Cálculo Préstamo'!$B$4,'Cálculo Préstamo'!AD75,0)),-OFFSET('Cálculo Préstamo'!$D$4,'Cálculo Préstamo'!AD75,0),0)</f>
        <v>0</v>
      </c>
      <c r="AE28" s="2">
        <f ca="1">IF(ISNUMBER(OFFSET('Cálculo Préstamo'!$B$4,'Cálculo Préstamo'!AE75,0)),-OFFSET('Cálculo Préstamo'!$D$4,'Cálculo Préstamo'!AE75,0),0)</f>
        <v>0</v>
      </c>
      <c r="AF28" s="2">
        <f ca="1">IF(ISNUMBER(OFFSET('Cálculo Préstamo'!$B$4,'Cálculo Préstamo'!AF75,0)),-OFFSET('Cálculo Préstamo'!$D$4,'Cálculo Préstamo'!AF75,0),0)</f>
        <v>0</v>
      </c>
    </row>
    <row r="29" spans="1:32" ht="17.399999999999999" customHeight="1">
      <c r="A29" s="76" t="s">
        <v>267</v>
      </c>
      <c r="C29" s="2">
        <f>IF('Rendimiento Paneles'!$B$18+'Rendimiento Paneles'!$B$15=VAN_Usados!C$10,-'Hoja BIPV'!$C$20-'Rendimiento Paneles'!C21*'Datos Instalación'!$C$15,0)</f>
        <v>0</v>
      </c>
      <c r="D29" s="2">
        <f>IF('Rendimiento Paneles'!$B$18+'Rendimiento Paneles'!$B$15=VAN_Usados!D$10,-'Hoja BIPV'!$C$20-'Rendimiento Paneles'!D21*'Datos Instalación'!$C$15,0)</f>
        <v>0</v>
      </c>
      <c r="E29" s="2">
        <f>IF('Rendimiento Paneles'!$B$18+'Rendimiento Paneles'!$B$15=VAN_Usados!E$10,-'Hoja BIPV'!$C$20-'Rendimiento Paneles'!E21*'Datos Instalación'!$C$15,0)</f>
        <v>0</v>
      </c>
      <c r="F29" s="2">
        <f>IF('Rendimiento Paneles'!$B$18+'Rendimiento Paneles'!$B$15=VAN_Usados!F$10,-'Hoja BIPV'!$C$20-'Rendimiento Paneles'!F21*'Datos Instalación'!$C$15,0)</f>
        <v>0</v>
      </c>
      <c r="G29" s="2">
        <f>IF('Rendimiento Paneles'!$B$18+'Rendimiento Paneles'!$B$15=VAN_Usados!G$10,-'Hoja BIPV'!$C$20-'Rendimiento Paneles'!G21*'Datos Instalación'!$C$15,0)</f>
        <v>0</v>
      </c>
      <c r="H29" s="2">
        <f>IF('Rendimiento Paneles'!$B$18+'Rendimiento Paneles'!$B$15=VAN_Usados!H$10,-'Hoja BIPV'!$C$20-'Rendimiento Paneles'!H21*'Datos Instalación'!$C$15,0)</f>
        <v>0</v>
      </c>
      <c r="I29" s="2">
        <f>IF('Rendimiento Paneles'!$B$18+'Rendimiento Paneles'!$B$15=VAN_Usados!I$10,-'Hoja BIPV'!$C$20-'Rendimiento Paneles'!I21*'Datos Instalación'!$C$15,0)</f>
        <v>0</v>
      </c>
      <c r="J29" s="2">
        <f>IF('Rendimiento Paneles'!$B$18+'Rendimiento Paneles'!$B$15=VAN_Usados!J$10,-'Hoja BIPV'!$C$20-'Rendimiento Paneles'!J21*'Datos Instalación'!$C$15,0)</f>
        <v>0</v>
      </c>
      <c r="K29" s="2">
        <f>IF('Rendimiento Paneles'!$B$18+'Rendimiento Paneles'!$B$15=VAN_Usados!K$10,-'Hoja BIPV'!$C$20-'Rendimiento Paneles'!K21*'Datos Instalación'!$C$15,0)</f>
        <v>0</v>
      </c>
      <c r="L29" s="2">
        <f>IF('Rendimiento Paneles'!$B$18+'Rendimiento Paneles'!$B$15=VAN_Usados!L$10,-'Hoja BIPV'!$C$20-'Rendimiento Paneles'!L21*'Datos Instalación'!$C$15,0)</f>
        <v>0</v>
      </c>
      <c r="M29" s="2">
        <f>IF('Rendimiento Paneles'!$B$18+'Rendimiento Paneles'!$B$15=VAN_Usados!M$10,-'Hoja BIPV'!$C$20-'Rendimiento Paneles'!M21*'Datos Instalación'!$C$15,0)</f>
        <v>0</v>
      </c>
      <c r="N29" s="2">
        <f>IF('Rendimiento Paneles'!$B$18+'Rendimiento Paneles'!$B$15=VAN_Usados!N$10,-'Hoja BIPV'!$C$20-'Rendimiento Paneles'!N21*'Datos Instalación'!$C$15,0)</f>
        <v>0</v>
      </c>
      <c r="O29" s="2">
        <f>IF('Rendimiento Paneles'!$B$18+'Rendimiento Paneles'!$B$15=VAN_Usados!O$10,-'Hoja BIPV'!$C$20-'Rendimiento Paneles'!O21*'Datos Instalación'!$C$15,0)</f>
        <v>-530</v>
      </c>
      <c r="P29" s="2">
        <f>IF('Rendimiento Paneles'!$B$18+'Rendimiento Paneles'!$B$15=VAN_Usados!P$10,-'Hoja BIPV'!$C$20-'Rendimiento Paneles'!P21*'Datos Instalación'!$C$15,0)</f>
        <v>0</v>
      </c>
      <c r="Q29" s="2">
        <f>IF('Rendimiento Paneles'!$B$18+'Rendimiento Paneles'!$B$15=VAN_Usados!Q$10,-'Hoja BIPV'!$C$20-'Rendimiento Paneles'!Q21*'Datos Instalación'!$C$15,0)</f>
        <v>0</v>
      </c>
      <c r="R29" s="2">
        <f>IF('Rendimiento Paneles'!$B$18+'Rendimiento Paneles'!$B$15=VAN_Usados!R$10,-'Hoja BIPV'!$C$20-'Rendimiento Paneles'!R21*'Datos Instalación'!$C$15,0)</f>
        <v>0</v>
      </c>
      <c r="S29" s="2">
        <f>IF('Rendimiento Paneles'!$B$18+'Rendimiento Paneles'!$B$15=VAN_Usados!S$10,-'Hoja BIPV'!$C$20-'Rendimiento Paneles'!S21*'Datos Instalación'!$C$15,0)</f>
        <v>0</v>
      </c>
      <c r="T29" s="2">
        <f>IF('Rendimiento Paneles'!$B$18+'Rendimiento Paneles'!$B$15=VAN_Usados!T$10,-'Hoja BIPV'!$C$20-'Rendimiento Paneles'!T21*'Datos Instalación'!$C$15,0)</f>
        <v>0</v>
      </c>
      <c r="U29" s="2">
        <f>IF('Rendimiento Paneles'!$B$18+'Rendimiento Paneles'!$B$15=VAN_Usados!U$10,-'Hoja BIPV'!$C$20-'Rendimiento Paneles'!U21*'Datos Instalación'!$C$15,0)</f>
        <v>0</v>
      </c>
      <c r="V29" s="2">
        <f>IF('Rendimiento Paneles'!$B$18+'Rendimiento Paneles'!$B$15=VAN_Usados!V$10,-'Hoja BIPV'!$C$20-'Rendimiento Paneles'!V21*'Datos Instalación'!$C$15,0)</f>
        <v>0</v>
      </c>
      <c r="W29" s="2">
        <f>IF('Rendimiento Paneles'!$B$18+'Rendimiento Paneles'!$B$15=VAN_Usados!W$10,-'Hoja BIPV'!$C$20-'Rendimiento Paneles'!W21*'Datos Instalación'!$C$15,0)</f>
        <v>0</v>
      </c>
      <c r="X29" s="2">
        <f>IF('Rendimiento Paneles'!$B$18+'Rendimiento Paneles'!$B$15=VAN_Usados!X$10,-'Hoja BIPV'!$C$20-'Rendimiento Paneles'!X21*'Datos Instalación'!$C$15,0)</f>
        <v>0</v>
      </c>
      <c r="Y29" s="2">
        <f>IF('Rendimiento Paneles'!$B$18+'Rendimiento Paneles'!$B$15=VAN_Usados!Y$10,-'Hoja BIPV'!$C$20-'Rendimiento Paneles'!Y21*'Datos Instalación'!$C$15,0)</f>
        <v>0</v>
      </c>
      <c r="Z29" s="2">
        <f>IF('Rendimiento Paneles'!$B$18+'Rendimiento Paneles'!$B$15=VAN_Usados!Z$10,-'Hoja BIPV'!$C$20-'Rendimiento Paneles'!Z21*'Datos Instalación'!$C$15,0)</f>
        <v>0</v>
      </c>
      <c r="AA29" s="2">
        <f>IF('Rendimiento Paneles'!$B$18+'Rendimiento Paneles'!$B$15=VAN_Usados!AA$10,-'Hoja BIPV'!$C$20-'Rendimiento Paneles'!AA21*'Datos Instalación'!$C$15,0)</f>
        <v>0</v>
      </c>
      <c r="AB29" s="2">
        <f>IF('Rendimiento Paneles'!$B$18+'Rendimiento Paneles'!$B$15=VAN_Usados!AB$10,-'Hoja BIPV'!$C$20-'Rendimiento Paneles'!AB21*'Datos Instalación'!$C$15,0)</f>
        <v>0</v>
      </c>
      <c r="AC29" s="2">
        <f>IF('Rendimiento Paneles'!$B$18+'Rendimiento Paneles'!$B$15=VAN_Usados!AC$10,-'Hoja BIPV'!$C$20-'Rendimiento Paneles'!AC21*'Datos Instalación'!$C$15,0)</f>
        <v>0</v>
      </c>
      <c r="AD29" s="2">
        <f>IF('Rendimiento Paneles'!$B$18+'Rendimiento Paneles'!$B$15=VAN_Usados!AD$10,-'Hoja BIPV'!$C$20-'Rendimiento Paneles'!AD21*'Datos Instalación'!$C$15,0)</f>
        <v>0</v>
      </c>
      <c r="AE29" s="2">
        <f>IF('Rendimiento Paneles'!$B$18+'Rendimiento Paneles'!$B$15=VAN_Usados!AE$10,-'Hoja BIPV'!$C$20-'Rendimiento Paneles'!AE21*'Datos Instalación'!$C$15,0)</f>
        <v>0</v>
      </c>
      <c r="AF29" s="2">
        <f>IF('Rendimiento Paneles'!$B$18+'Rendimiento Paneles'!$B$15=VAN_Usados!AF$10,-'Hoja BIPV'!$C$20-'Rendimiento Paneles'!AF21*'Datos Instalación'!$C$15,0)</f>
        <v>0</v>
      </c>
    </row>
    <row r="30" spans="1:32">
      <c r="A30" s="77" t="s">
        <v>19</v>
      </c>
      <c r="B30" s="104">
        <f>'Hoja BIPV'!C53</f>
        <v>5.0000000000000001E-3</v>
      </c>
    </row>
    <row r="33" spans="3:40" ht="22.2">
      <c r="C33" s="61" t="s">
        <v>2</v>
      </c>
      <c r="D33" s="62">
        <f ca="1">SUM(D45:AA45)</f>
        <v>7687.0582521178776</v>
      </c>
    </row>
    <row r="34" spans="3:40" ht="22.2">
      <c r="C34" s="61" t="s">
        <v>20</v>
      </c>
      <c r="D34" s="63">
        <f ca="1">IRR(D45:Z45)</f>
        <v>0.14201792139258562</v>
      </c>
    </row>
    <row r="44" spans="3:40">
      <c r="D44" s="2">
        <v>0</v>
      </c>
      <c r="E44" s="2">
        <f>D44+1</f>
        <v>1</v>
      </c>
      <c r="F44" s="2">
        <f t="shared" ref="F44:AH44" si="1">E44+1</f>
        <v>2</v>
      </c>
      <c r="G44" s="2">
        <f t="shared" si="1"/>
        <v>3</v>
      </c>
      <c r="H44" s="2">
        <f t="shared" si="1"/>
        <v>4</v>
      </c>
      <c r="I44" s="2">
        <f t="shared" si="1"/>
        <v>5</v>
      </c>
      <c r="J44" s="2">
        <f t="shared" si="1"/>
        <v>6</v>
      </c>
      <c r="K44" s="2">
        <f t="shared" si="1"/>
        <v>7</v>
      </c>
      <c r="L44" s="2">
        <f t="shared" si="1"/>
        <v>8</v>
      </c>
      <c r="M44" s="2">
        <f t="shared" si="1"/>
        <v>9</v>
      </c>
      <c r="N44" s="2">
        <f t="shared" si="1"/>
        <v>10</v>
      </c>
      <c r="O44" s="2">
        <f t="shared" si="1"/>
        <v>11</v>
      </c>
      <c r="P44" s="2">
        <f t="shared" si="1"/>
        <v>12</v>
      </c>
      <c r="Q44" s="2">
        <f t="shared" si="1"/>
        <v>13</v>
      </c>
      <c r="R44" s="2">
        <f t="shared" si="1"/>
        <v>14</v>
      </c>
      <c r="S44" s="2">
        <f t="shared" si="1"/>
        <v>15</v>
      </c>
      <c r="T44" s="2">
        <f t="shared" si="1"/>
        <v>16</v>
      </c>
      <c r="U44" s="2">
        <f t="shared" si="1"/>
        <v>17</v>
      </c>
      <c r="V44" s="2">
        <f t="shared" si="1"/>
        <v>18</v>
      </c>
      <c r="W44" s="2">
        <f t="shared" si="1"/>
        <v>19</v>
      </c>
      <c r="X44" s="2">
        <f t="shared" si="1"/>
        <v>20</v>
      </c>
      <c r="Y44" s="2">
        <f t="shared" si="1"/>
        <v>21</v>
      </c>
      <c r="Z44" s="2">
        <f t="shared" si="1"/>
        <v>22</v>
      </c>
      <c r="AA44" s="2">
        <f t="shared" si="1"/>
        <v>23</v>
      </c>
      <c r="AB44" s="2">
        <f t="shared" si="1"/>
        <v>24</v>
      </c>
      <c r="AC44" s="2">
        <f t="shared" si="1"/>
        <v>25</v>
      </c>
      <c r="AD44" s="2">
        <f t="shared" si="1"/>
        <v>26</v>
      </c>
      <c r="AE44" s="2">
        <f t="shared" si="1"/>
        <v>27</v>
      </c>
      <c r="AF44" s="2">
        <f t="shared" si="1"/>
        <v>28</v>
      </c>
      <c r="AG44" s="2">
        <f t="shared" si="1"/>
        <v>29</v>
      </c>
      <c r="AH44" s="2">
        <f t="shared" si="1"/>
        <v>30</v>
      </c>
      <c r="AI44" s="2">
        <f t="shared" ref="AI44" si="2">AH44+1</f>
        <v>31</v>
      </c>
      <c r="AJ44" s="2">
        <f t="shared" ref="AJ44" si="3">AI44+1</f>
        <v>32</v>
      </c>
      <c r="AK44" s="2">
        <f t="shared" ref="AK44" si="4">AJ44+1</f>
        <v>33</v>
      </c>
      <c r="AL44" s="2">
        <f t="shared" ref="AL44" si="5">AK44+1</f>
        <v>34</v>
      </c>
      <c r="AM44" s="2">
        <f t="shared" ref="AM44" si="6">AL44+1</f>
        <v>35</v>
      </c>
      <c r="AN44" s="2">
        <f t="shared" ref="AN44" si="7">AM44+1</f>
        <v>36</v>
      </c>
    </row>
    <row r="45" spans="3:40">
      <c r="D45" s="3">
        <f>(C26)/POWER((1+$B$30),D44)</f>
        <v>-2812.5</v>
      </c>
      <c r="E45" s="3">
        <f ca="1">(C23+C25+C29+C27+C28)/POWER((1+$B$30),E44)</f>
        <v>354.64950651800979</v>
      </c>
      <c r="F45" s="3">
        <f t="shared" ref="F45:AN45" ca="1" si="8">(D23+D25+D29+D27+D28)/POWER((1+$B$30),F44)</f>
        <v>369.23487504630469</v>
      </c>
      <c r="G45" s="3">
        <f t="shared" ca="1" si="8"/>
        <v>384.22109392147433</v>
      </c>
      <c r="H45" s="3">
        <f t="shared" ca="1" si="8"/>
        <v>399.97239186303511</v>
      </c>
      <c r="I45" s="3">
        <f t="shared" ca="1" si="8"/>
        <v>416.46795655936847</v>
      </c>
      <c r="J45" s="3">
        <f t="shared" ca="1" si="8"/>
        <v>433.80365917724686</v>
      </c>
      <c r="K45" s="3">
        <f t="shared" ca="1" si="8"/>
        <v>452.01585262274938</v>
      </c>
      <c r="L45" s="3">
        <f t="shared" ca="1" si="8"/>
        <v>471.14195525689104</v>
      </c>
      <c r="M45" s="3">
        <f t="shared" ca="1" si="8"/>
        <v>491.22137041067271</v>
      </c>
      <c r="N45" s="3">
        <f t="shared" ca="1" si="8"/>
        <v>512.16102184200963</v>
      </c>
      <c r="O45" s="3">
        <f t="shared" ca="1" si="8"/>
        <v>534.07119393570269</v>
      </c>
      <c r="P45" s="3">
        <f t="shared" ca="1" si="8"/>
        <v>529.62159455572532</v>
      </c>
      <c r="Q45" s="3">
        <f t="shared" ca="1" si="8"/>
        <v>38.122602147070495</v>
      </c>
      <c r="R45" s="3">
        <f t="shared" ca="1" si="8"/>
        <v>530.58055854120721</v>
      </c>
      <c r="S45" s="3">
        <f t="shared" ca="1" si="8"/>
        <v>526.33502524696144</v>
      </c>
      <c r="T45" s="3">
        <f t="shared" ca="1" si="8"/>
        <v>521.94420619940252</v>
      </c>
      <c r="U45" s="3">
        <f t="shared" ca="1" si="8"/>
        <v>517.59357158795774</v>
      </c>
      <c r="V45" s="3">
        <f t="shared" ca="1" si="8"/>
        <v>513.28273170749401</v>
      </c>
      <c r="W45" s="3">
        <f t="shared" ca="1" si="8"/>
        <v>509.01130075562821</v>
      </c>
      <c r="X45" s="3">
        <f t="shared" ca="1" si="8"/>
        <v>504.7788967929888</v>
      </c>
      <c r="Y45" s="3">
        <f t="shared" ca="1" si="8"/>
        <v>500.58514170388275</v>
      </c>
      <c r="Z45" s="3">
        <f t="shared" ca="1" si="8"/>
        <v>496.42966115736812</v>
      </c>
      <c r="AA45" s="3">
        <f t="shared" ca="1" si="8"/>
        <v>492.31208456872531</v>
      </c>
      <c r="AB45" s="3">
        <f t="shared" ca="1" si="8"/>
        <v>488.23204506132538</v>
      </c>
      <c r="AC45" s="3">
        <f t="shared" ca="1" si="8"/>
        <v>484.1891794288876</v>
      </c>
      <c r="AD45" s="3">
        <f t="shared" ca="1" si="8"/>
        <v>480.18312809812545</v>
      </c>
      <c r="AE45" s="3">
        <f t="shared" ca="1" si="8"/>
        <v>476.21353509177692</v>
      </c>
      <c r="AF45" s="3">
        <f t="shared" ca="1" si="8"/>
        <v>472.28004799201318</v>
      </c>
      <c r="AG45" s="3">
        <f t="shared" ca="1" si="8"/>
        <v>468.38231790422265</v>
      </c>
      <c r="AH45" s="3">
        <f t="shared" ca="1" si="8"/>
        <v>464.4312508728155</v>
      </c>
      <c r="AI45" s="3">
        <f t="shared" si="8"/>
        <v>0</v>
      </c>
      <c r="AJ45" s="3">
        <f t="shared" si="8"/>
        <v>0</v>
      </c>
      <c r="AK45" s="3">
        <f t="shared" si="8"/>
        <v>0</v>
      </c>
      <c r="AL45" s="3">
        <f t="shared" si="8"/>
        <v>0</v>
      </c>
      <c r="AM45" s="3">
        <f t="shared" si="8"/>
        <v>0</v>
      </c>
      <c r="AN45" s="3">
        <f t="shared" si="8"/>
        <v>0</v>
      </c>
    </row>
  </sheetData>
  <mergeCells count="2">
    <mergeCell ref="B2:D2"/>
    <mergeCell ref="A11:A23"/>
  </mergeCells>
  <conditionalFormatting sqref="D33:D34">
    <cfRule type="cellIs" dxfId="1" priority="2" operator="greaterThan">
      <formula>0</formula>
    </cfRule>
  </conditionalFormatting>
  <conditionalFormatting sqref="C25:AF29">
    <cfRule type="cellIs" dxfId="0"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601BE-3047-462D-9934-DEF7FBB555E9}">
  <dimension ref="A3:AS17"/>
  <sheetViews>
    <sheetView showGridLines="0" showRowColHeaders="0" tabSelected="1" zoomScale="80" zoomScaleNormal="80" workbookViewId="0">
      <selection activeCell="R15" sqref="R15"/>
    </sheetView>
  </sheetViews>
  <sheetFormatPr baseColWidth="10" defaultRowHeight="14.4"/>
  <cols>
    <col min="12" max="12" width="30.44140625" customWidth="1"/>
  </cols>
  <sheetData>
    <row r="3" spans="1:45" ht="22.8" customHeight="1">
      <c r="A3" s="252" t="s">
        <v>447</v>
      </c>
      <c r="B3" s="252"/>
      <c r="C3" s="252"/>
      <c r="D3" s="252"/>
      <c r="E3" s="252"/>
      <c r="F3" s="252"/>
      <c r="G3" s="252"/>
      <c r="H3" s="252"/>
      <c r="I3" s="252"/>
      <c r="J3" s="252"/>
      <c r="K3" s="252"/>
      <c r="L3" s="252"/>
    </row>
    <row r="4" spans="1:45" ht="28.8" customHeight="1">
      <c r="A4" s="252"/>
      <c r="B4" s="252"/>
      <c r="C4" s="252"/>
      <c r="D4" s="252"/>
      <c r="E4" s="252"/>
      <c r="F4" s="252"/>
      <c r="G4" s="252"/>
      <c r="H4" s="252"/>
      <c r="I4" s="252"/>
      <c r="J4" s="252"/>
      <c r="K4" s="252"/>
      <c r="L4" s="252"/>
    </row>
    <row r="10" spans="1:45" ht="16.8">
      <c r="D10" s="253" t="s">
        <v>590</v>
      </c>
      <c r="E10" s="253"/>
      <c r="F10" s="253"/>
      <c r="G10" s="253"/>
      <c r="H10" s="253"/>
      <c r="I10" s="253"/>
      <c r="J10" s="253"/>
      <c r="K10" s="253"/>
      <c r="L10" s="148" t="s">
        <v>448</v>
      </c>
      <c r="AS10" t="s">
        <v>448</v>
      </c>
    </row>
    <row r="11" spans="1:45" ht="17.399999999999999">
      <c r="D11" s="236"/>
      <c r="E11" s="236"/>
      <c r="F11" s="236"/>
      <c r="G11" s="236"/>
      <c r="H11" s="236"/>
      <c r="I11" s="236"/>
      <c r="J11" s="236"/>
      <c r="K11" s="236"/>
      <c r="AS11" t="s">
        <v>449</v>
      </c>
    </row>
    <row r="12" spans="1:45" ht="17.399999999999999">
      <c r="D12" s="236"/>
      <c r="E12" s="236"/>
      <c r="F12" s="236"/>
      <c r="G12" s="236"/>
      <c r="H12" s="236"/>
      <c r="I12" s="236"/>
      <c r="J12" s="236"/>
      <c r="K12" s="236"/>
    </row>
    <row r="13" spans="1:45" ht="17.399999999999999">
      <c r="D13" s="236"/>
      <c r="E13" s="253" t="str">
        <f>IF(L10="Hoja Cliente","","Elija un usario del formulario")</f>
        <v>Elija un usario del formulario</v>
      </c>
      <c r="F13" s="253"/>
      <c r="G13" s="253"/>
      <c r="H13" s="253"/>
      <c r="I13" s="253"/>
      <c r="J13" s="253"/>
      <c r="K13" s="236"/>
      <c r="L13" s="148" t="s">
        <v>603</v>
      </c>
    </row>
    <row r="17" spans="4:11" ht="28.8" customHeight="1">
      <c r="D17" s="254" t="s">
        <v>450</v>
      </c>
      <c r="E17" s="254"/>
      <c r="F17" s="254"/>
      <c r="G17" s="254"/>
      <c r="H17" s="254"/>
      <c r="I17" s="254"/>
      <c r="J17" s="254"/>
      <c r="K17" s="254"/>
    </row>
  </sheetData>
  <mergeCells count="4">
    <mergeCell ref="A3:L4"/>
    <mergeCell ref="D10:K10"/>
    <mergeCell ref="D17:K17"/>
    <mergeCell ref="E13:J13"/>
  </mergeCells>
  <dataValidations count="1">
    <dataValidation type="list" allowBlank="1" showInputMessage="1" showErrorMessage="1" sqref="L10" xr:uid="{CA5D1506-9A99-4A41-AC3A-9192073542E2}">
      <formula1>$AS$10:$AS$11</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3B7F8D2-4955-4AF2-A293-38CE1EA0EED1}">
          <x14:formula1>
            <xm:f>Formulario!$AP$3:$AP$51</xm:f>
          </x14:formula1>
          <xm:sqref>L13</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8D2F5-831B-4FEC-891B-A5CF2C210AB5}">
  <dimension ref="A3:O38"/>
  <sheetViews>
    <sheetView zoomScale="80" zoomScaleNormal="80" workbookViewId="0">
      <selection activeCell="E3" sqref="E3"/>
    </sheetView>
  </sheetViews>
  <sheetFormatPr baseColWidth="10" defaultRowHeight="14.4"/>
  <cols>
    <col min="1" max="1" width="16.5546875" customWidth="1"/>
    <col min="2" max="2" width="26.77734375" customWidth="1"/>
    <col min="3" max="3" width="18" customWidth="1"/>
    <col min="4" max="4" width="20.33203125" customWidth="1"/>
  </cols>
  <sheetData>
    <row r="3" spans="1:15">
      <c r="A3" s="293" t="s">
        <v>168</v>
      </c>
      <c r="B3" s="293"/>
      <c r="C3" s="293"/>
      <c r="D3" s="293"/>
      <c r="E3" s="84" t="s">
        <v>175</v>
      </c>
    </row>
    <row r="4" spans="1:15">
      <c r="A4" s="14" t="s">
        <v>169</v>
      </c>
      <c r="B4" s="108" t="s">
        <v>163</v>
      </c>
      <c r="E4" s="4" t="s">
        <v>56</v>
      </c>
      <c r="F4" s="4" t="s">
        <v>172</v>
      </c>
    </row>
    <row r="5" spans="1:15">
      <c r="A5" s="14" t="s">
        <v>4</v>
      </c>
      <c r="B5">
        <v>350</v>
      </c>
      <c r="D5" s="14" t="s">
        <v>170</v>
      </c>
      <c r="E5" s="1" t="s">
        <v>173</v>
      </c>
      <c r="F5" s="1" t="s">
        <v>174</v>
      </c>
      <c r="N5" t="str">
        <f>A5</f>
        <v>Enero</v>
      </c>
      <c r="O5">
        <f>B5/SUM(B$5:B$16)</f>
        <v>0.10416666666666667</v>
      </c>
    </row>
    <row r="6" spans="1:15">
      <c r="A6" s="14" t="s">
        <v>5</v>
      </c>
      <c r="B6">
        <v>320</v>
      </c>
      <c r="D6" s="14" t="s">
        <v>171</v>
      </c>
      <c r="E6" s="1">
        <v>500</v>
      </c>
      <c r="F6" s="1">
        <v>1.35</v>
      </c>
      <c r="N6" t="str">
        <f t="shared" ref="N6:N15" si="0">A6</f>
        <v>Febrero</v>
      </c>
      <c r="O6">
        <f t="shared" ref="O6:O16" si="1">B6/SUM(B$5:B$16)</f>
        <v>9.5238095238095233E-2</v>
      </c>
    </row>
    <row r="7" spans="1:15">
      <c r="A7" s="14" t="s">
        <v>6</v>
      </c>
      <c r="B7">
        <v>270</v>
      </c>
      <c r="N7" t="str">
        <f t="shared" si="0"/>
        <v>Marzo</v>
      </c>
      <c r="O7">
        <f t="shared" si="1"/>
        <v>8.0357142857142863E-2</v>
      </c>
    </row>
    <row r="8" spans="1:15">
      <c r="A8" s="14" t="s">
        <v>7</v>
      </c>
      <c r="B8">
        <v>240</v>
      </c>
      <c r="N8" t="str">
        <f t="shared" si="0"/>
        <v>Abril</v>
      </c>
      <c r="O8">
        <f t="shared" si="1"/>
        <v>7.1428571428571425E-2</v>
      </c>
    </row>
    <row r="9" spans="1:15">
      <c r="A9" s="14" t="s">
        <v>8</v>
      </c>
      <c r="B9">
        <v>245</v>
      </c>
      <c r="N9" t="str">
        <f t="shared" si="0"/>
        <v>Mayo</v>
      </c>
      <c r="O9">
        <f t="shared" si="1"/>
        <v>7.2916666666666671E-2</v>
      </c>
    </row>
    <row r="10" spans="1:15">
      <c r="A10" s="14" t="s">
        <v>9</v>
      </c>
      <c r="B10">
        <v>250</v>
      </c>
      <c r="N10" t="str">
        <f t="shared" si="0"/>
        <v>Junio</v>
      </c>
      <c r="O10">
        <f t="shared" si="1"/>
        <v>7.4404761904761904E-2</v>
      </c>
    </row>
    <row r="11" spans="1:15">
      <c r="A11" s="14" t="s">
        <v>10</v>
      </c>
      <c r="B11">
        <v>310</v>
      </c>
      <c r="N11" t="str">
        <f t="shared" si="0"/>
        <v>Julio</v>
      </c>
      <c r="O11">
        <f t="shared" si="1"/>
        <v>9.2261904761904767E-2</v>
      </c>
    </row>
    <row r="12" spans="1:15">
      <c r="A12" s="14" t="s">
        <v>11</v>
      </c>
      <c r="B12">
        <v>265</v>
      </c>
      <c r="N12" t="str">
        <f t="shared" si="0"/>
        <v>Agosto</v>
      </c>
      <c r="O12">
        <f t="shared" si="1"/>
        <v>7.8869047619047616E-2</v>
      </c>
    </row>
    <row r="13" spans="1:15">
      <c r="A13" s="14" t="s">
        <v>12</v>
      </c>
      <c r="B13">
        <v>250</v>
      </c>
      <c r="N13" t="str">
        <f t="shared" si="0"/>
        <v>Septiembre</v>
      </c>
      <c r="O13">
        <f t="shared" si="1"/>
        <v>7.4404761904761904E-2</v>
      </c>
    </row>
    <row r="14" spans="1:15">
      <c r="A14" s="14" t="s">
        <v>57</v>
      </c>
      <c r="B14">
        <v>260</v>
      </c>
      <c r="N14" t="str">
        <f t="shared" si="0"/>
        <v>Octubre</v>
      </c>
      <c r="O14">
        <f t="shared" si="1"/>
        <v>7.7380952380952384E-2</v>
      </c>
    </row>
    <row r="15" spans="1:15">
      <c r="A15" s="14" t="s">
        <v>14</v>
      </c>
      <c r="B15">
        <v>250</v>
      </c>
      <c r="N15" t="str">
        <f t="shared" si="0"/>
        <v>Noviembre</v>
      </c>
      <c r="O15">
        <f t="shared" si="1"/>
        <v>7.4404761904761904E-2</v>
      </c>
    </row>
    <row r="16" spans="1:15">
      <c r="A16" s="14" t="s">
        <v>15</v>
      </c>
      <c r="B16">
        <v>350</v>
      </c>
      <c r="N16" t="str">
        <f>A16</f>
        <v>Diciembre</v>
      </c>
      <c r="O16">
        <f t="shared" si="1"/>
        <v>0.10416666666666667</v>
      </c>
    </row>
    <row r="19" spans="1:5" ht="15" thickBot="1"/>
    <row r="20" spans="1:5" ht="29.4" thickBot="1">
      <c r="A20" s="32" t="s">
        <v>176</v>
      </c>
      <c r="B20" s="33" t="s">
        <v>177</v>
      </c>
      <c r="C20" s="33" t="s">
        <v>178</v>
      </c>
      <c r="D20" s="33" t="s">
        <v>179</v>
      </c>
      <c r="E20" s="84" t="s">
        <v>200</v>
      </c>
    </row>
    <row r="21" spans="1:5" ht="39.6">
      <c r="A21" s="34" t="s">
        <v>180</v>
      </c>
      <c r="B21" s="30" t="s">
        <v>181</v>
      </c>
      <c r="C21" s="30" t="s">
        <v>182</v>
      </c>
      <c r="D21" s="30" t="s">
        <v>183</v>
      </c>
    </row>
    <row r="22" spans="1:5" ht="66">
      <c r="A22" s="34" t="s">
        <v>184</v>
      </c>
      <c r="B22" s="30" t="s">
        <v>185</v>
      </c>
      <c r="C22" s="30" t="s">
        <v>186</v>
      </c>
      <c r="D22" s="30" t="s">
        <v>187</v>
      </c>
    </row>
    <row r="23" spans="1:5" ht="52.8">
      <c r="A23" s="34" t="s">
        <v>188</v>
      </c>
      <c r="B23" s="30" t="s">
        <v>189</v>
      </c>
      <c r="C23" s="30" t="s">
        <v>190</v>
      </c>
      <c r="D23" s="35">
        <v>0.1</v>
      </c>
    </row>
    <row r="24" spans="1:5" ht="39.6">
      <c r="A24" s="34" t="s">
        <v>191</v>
      </c>
      <c r="B24" s="30" t="s">
        <v>192</v>
      </c>
      <c r="C24" s="30" t="s">
        <v>193</v>
      </c>
      <c r="D24" s="35">
        <v>0.03</v>
      </c>
    </row>
    <row r="25" spans="1:5" ht="52.8">
      <c r="A25" s="34" t="s">
        <v>194</v>
      </c>
      <c r="B25" s="30" t="s">
        <v>195</v>
      </c>
      <c r="C25" s="31">
        <v>350</v>
      </c>
      <c r="D25" s="35">
        <v>0.05</v>
      </c>
    </row>
    <row r="26" spans="1:5" ht="26.4">
      <c r="A26" s="34" t="s">
        <v>196</v>
      </c>
      <c r="B26" s="30" t="s">
        <v>197</v>
      </c>
      <c r="C26" s="31">
        <v>300</v>
      </c>
      <c r="D26" s="35">
        <v>0.05</v>
      </c>
    </row>
    <row r="27" spans="1:5" ht="27" thickBot="1">
      <c r="A27" s="36" t="s">
        <v>198</v>
      </c>
      <c r="B27" s="37" t="s">
        <v>199</v>
      </c>
      <c r="C27" s="38">
        <v>750</v>
      </c>
      <c r="D27" s="39">
        <v>0.08</v>
      </c>
    </row>
    <row r="31" spans="1:5" ht="27" thickBot="1">
      <c r="A31" s="41" t="s">
        <v>202</v>
      </c>
      <c r="B31" s="41" t="s">
        <v>203</v>
      </c>
      <c r="C31" s="41" t="s">
        <v>204</v>
      </c>
      <c r="D31" t="s">
        <v>220</v>
      </c>
    </row>
    <row r="32" spans="1:5" ht="15" thickBot="1">
      <c r="A32" s="42" t="s">
        <v>205</v>
      </c>
      <c r="B32" s="42" t="s">
        <v>206</v>
      </c>
      <c r="C32" s="42" t="s">
        <v>207</v>
      </c>
    </row>
    <row r="33" spans="1:3">
      <c r="A33" s="294" t="s">
        <v>208</v>
      </c>
      <c r="B33" s="43" t="s">
        <v>206</v>
      </c>
      <c r="C33" s="43" t="s">
        <v>210</v>
      </c>
    </row>
    <row r="34" spans="1:3" ht="15" thickBot="1">
      <c r="A34" s="295"/>
      <c r="B34" s="44" t="s">
        <v>209</v>
      </c>
      <c r="C34" s="44" t="s">
        <v>211</v>
      </c>
    </row>
    <row r="35" spans="1:3" ht="15" thickBot="1">
      <c r="A35" s="45" t="s">
        <v>212</v>
      </c>
      <c r="B35" s="45" t="s">
        <v>209</v>
      </c>
      <c r="C35" s="45" t="s">
        <v>213</v>
      </c>
    </row>
    <row r="36" spans="1:3">
      <c r="A36" s="294" t="s">
        <v>214</v>
      </c>
      <c r="B36" s="43" t="s">
        <v>209</v>
      </c>
      <c r="C36" s="43" t="s">
        <v>216</v>
      </c>
    </row>
    <row r="37" spans="1:3" ht="15" thickBot="1">
      <c r="A37" s="295"/>
      <c r="B37" s="44" t="s">
        <v>215</v>
      </c>
      <c r="C37" s="44" t="s">
        <v>217</v>
      </c>
    </row>
    <row r="38" spans="1:3" ht="27" thickBot="1">
      <c r="A38" s="42" t="s">
        <v>218</v>
      </c>
      <c r="B38" s="42" t="s">
        <v>215</v>
      </c>
      <c r="C38" s="42" t="s">
        <v>219</v>
      </c>
    </row>
  </sheetData>
  <mergeCells count="3">
    <mergeCell ref="A3:D3"/>
    <mergeCell ref="A33:A34"/>
    <mergeCell ref="A36:A37"/>
  </mergeCells>
  <hyperlinks>
    <hyperlink ref="E20" r:id="rId1" xr:uid="{7B26C3D2-1E2D-418D-8305-7B12A0973965}"/>
    <hyperlink ref="E3" r:id="rId2" xr:uid="{30369A64-B0BF-4051-8F38-D00B6D2041F6}"/>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EA0D9-58FD-4F5D-88B7-58104E91D108}">
  <dimension ref="B2:AU75"/>
  <sheetViews>
    <sheetView workbookViewId="0">
      <selection activeCell="M9" sqref="M9"/>
    </sheetView>
  </sheetViews>
  <sheetFormatPr baseColWidth="10" defaultRowHeight="14.4"/>
  <cols>
    <col min="5" max="5" width="17.21875" customWidth="1"/>
    <col min="9" max="9" width="23.88671875" customWidth="1"/>
  </cols>
  <sheetData>
    <row r="2" spans="2:18" ht="26.4">
      <c r="B2" s="69" t="s">
        <v>80</v>
      </c>
      <c r="C2" s="69" t="s">
        <v>223</v>
      </c>
      <c r="D2" s="69" t="s">
        <v>224</v>
      </c>
      <c r="E2" s="69" t="s">
        <v>225</v>
      </c>
      <c r="F2" s="69" t="s">
        <v>226</v>
      </c>
      <c r="M2" s="71"/>
    </row>
    <row r="3" spans="2:18">
      <c r="B3" s="69"/>
      <c r="C3" s="69"/>
      <c r="D3" s="69"/>
      <c r="E3" s="69"/>
      <c r="F3" s="69">
        <f>'Datos Instalación'!C25</f>
        <v>4500</v>
      </c>
      <c r="I3" s="7" t="str">
        <f>'Datos Instalación'!B26</f>
        <v>Tipo Interés</v>
      </c>
      <c r="J3" s="7">
        <f>'Datos Instalación'!C26</f>
        <v>0.05</v>
      </c>
    </row>
    <row r="4" spans="2:18">
      <c r="B4">
        <f>IF(R4&lt;='Datos Instalación'!$C$27,R4,"")</f>
        <v>1</v>
      </c>
      <c r="C4">
        <f>IF(ISNUMBER(B4),E4-D4,"")</f>
        <v>357.77058734455511</v>
      </c>
      <c r="D4">
        <f>IF(ISNUMBER(B4),F3*$J$3,"")</f>
        <v>225</v>
      </c>
      <c r="E4">
        <f>IF(ISNUMBER(B4),$F$3/(1-POWER(SUM($J$3,1),-$J$4))*$J$3,"")</f>
        <v>582.77058734455511</v>
      </c>
      <c r="F4">
        <f t="shared" ref="F4:F11" si="0">IF(ISNUMBER(B4),ROUND(F3-C4,2),"")</f>
        <v>4142.2299999999996</v>
      </c>
      <c r="I4" s="7" t="str">
        <f>'Datos Instalación'!B27</f>
        <v>Años</v>
      </c>
      <c r="J4" s="70">
        <f>'Datos Instalación'!C27</f>
        <v>10</v>
      </c>
      <c r="R4">
        <v>1</v>
      </c>
    </row>
    <row r="5" spans="2:18">
      <c r="B5">
        <f>IF(R5&lt;='Datos Instalación'!$C$27,R5,"")</f>
        <v>2</v>
      </c>
      <c r="C5">
        <f t="shared" ref="C5:C25" si="1">IF(ISNUMBER(B5),E5-D5,"")</f>
        <v>375.65908734455513</v>
      </c>
      <c r="D5">
        <f t="shared" ref="D5:D25" si="2">IF(ISNUMBER(B5),F4*$J$3,"")</f>
        <v>207.11149999999998</v>
      </c>
      <c r="E5">
        <f t="shared" ref="E5:E25" si="3">IF(ISNUMBER(B5),$F$3/(1-POWER(SUM($J$3,1),-$J$4))*$J$3,"")</f>
        <v>582.77058734455511</v>
      </c>
      <c r="F5">
        <f t="shared" si="0"/>
        <v>3766.57</v>
      </c>
      <c r="R5">
        <v>2</v>
      </c>
    </row>
    <row r="6" spans="2:18">
      <c r="B6">
        <f>IF(R6&lt;='Datos Instalación'!$C$27,R6,"")</f>
        <v>3</v>
      </c>
      <c r="C6">
        <f t="shared" si="1"/>
        <v>394.44208734455509</v>
      </c>
      <c r="D6">
        <f t="shared" si="2"/>
        <v>188.32850000000002</v>
      </c>
      <c r="E6">
        <f t="shared" si="3"/>
        <v>582.77058734455511</v>
      </c>
      <c r="F6">
        <f t="shared" si="0"/>
        <v>3372.13</v>
      </c>
      <c r="R6">
        <v>3</v>
      </c>
    </row>
    <row r="7" spans="2:18">
      <c r="B7">
        <f>IF(R7&lt;='Datos Instalación'!$C$27,R7,"")</f>
        <v>4</v>
      </c>
      <c r="C7">
        <f t="shared" si="1"/>
        <v>414.16408734455513</v>
      </c>
      <c r="D7">
        <f t="shared" si="2"/>
        <v>168.60650000000001</v>
      </c>
      <c r="E7">
        <f t="shared" si="3"/>
        <v>582.77058734455511</v>
      </c>
      <c r="F7">
        <f t="shared" si="0"/>
        <v>2957.97</v>
      </c>
      <c r="R7">
        <v>4</v>
      </c>
    </row>
    <row r="8" spans="2:18">
      <c r="B8">
        <f>IF(R8&lt;='Datos Instalación'!$C$27,R8,"")</f>
        <v>5</v>
      </c>
      <c r="C8">
        <f t="shared" si="1"/>
        <v>434.8720873445551</v>
      </c>
      <c r="D8">
        <f t="shared" si="2"/>
        <v>147.89849999999998</v>
      </c>
      <c r="E8">
        <f t="shared" si="3"/>
        <v>582.77058734455511</v>
      </c>
      <c r="F8">
        <f t="shared" si="0"/>
        <v>2523.1</v>
      </c>
      <c r="I8" s="14" t="s">
        <v>228</v>
      </c>
      <c r="J8" s="14">
        <f>SUM(D4:D25)</f>
        <v>1327.7070000000001</v>
      </c>
      <c r="R8">
        <v>5</v>
      </c>
    </row>
    <row r="9" spans="2:18">
      <c r="B9">
        <f>IF(R9&lt;='Datos Instalación'!$C$27,R9,"")</f>
        <v>6</v>
      </c>
      <c r="C9">
        <f t="shared" si="1"/>
        <v>456.61558734455514</v>
      </c>
      <c r="D9">
        <f t="shared" si="2"/>
        <v>126.155</v>
      </c>
      <c r="E9">
        <f t="shared" si="3"/>
        <v>582.77058734455511</v>
      </c>
      <c r="F9">
        <f t="shared" si="0"/>
        <v>2066.48</v>
      </c>
      <c r="I9" s="14" t="s">
        <v>229</v>
      </c>
      <c r="J9" s="14">
        <f>SUM(E4:E25)</f>
        <v>5827.7058734455504</v>
      </c>
      <c r="R9">
        <v>6</v>
      </c>
    </row>
    <row r="10" spans="2:18">
      <c r="B10">
        <f>IF(R10&lt;='Datos Instalación'!$C$27,R10,"")</f>
        <v>7</v>
      </c>
      <c r="C10">
        <f t="shared" si="1"/>
        <v>479.4465873445551</v>
      </c>
      <c r="D10">
        <f t="shared" si="2"/>
        <v>103.32400000000001</v>
      </c>
      <c r="E10">
        <f t="shared" si="3"/>
        <v>582.77058734455511</v>
      </c>
      <c r="F10">
        <f t="shared" si="0"/>
        <v>1587.03</v>
      </c>
      <c r="R10">
        <v>7</v>
      </c>
    </row>
    <row r="11" spans="2:18">
      <c r="B11">
        <f>IF(R11&lt;='Datos Instalación'!$C$27,R11,"")</f>
        <v>8</v>
      </c>
      <c r="C11">
        <f t="shared" si="1"/>
        <v>503.41908734455512</v>
      </c>
      <c r="D11">
        <f t="shared" si="2"/>
        <v>79.351500000000001</v>
      </c>
      <c r="E11">
        <f t="shared" si="3"/>
        <v>582.77058734455511</v>
      </c>
      <c r="F11">
        <f t="shared" si="0"/>
        <v>1083.6099999999999</v>
      </c>
      <c r="R11">
        <v>8</v>
      </c>
    </row>
    <row r="12" spans="2:18">
      <c r="B12">
        <f>IF(R12&lt;='Datos Instalación'!$C$27,R12,"")</f>
        <v>9</v>
      </c>
      <c r="C12">
        <f t="shared" si="1"/>
        <v>528.59008734455506</v>
      </c>
      <c r="D12">
        <f t="shared" si="2"/>
        <v>54.180499999999995</v>
      </c>
      <c r="E12">
        <f t="shared" si="3"/>
        <v>582.77058734455511</v>
      </c>
      <c r="F12">
        <f>IF(ISNUMBER(B12),ROUND(F11-C12,2),"")</f>
        <v>555.02</v>
      </c>
      <c r="R12">
        <v>9</v>
      </c>
    </row>
    <row r="13" spans="2:18">
      <c r="B13">
        <f>IF(R13&lt;='Datos Instalación'!$C$27,R13,"")</f>
        <v>10</v>
      </c>
      <c r="C13">
        <f t="shared" si="1"/>
        <v>555.01958734455513</v>
      </c>
      <c r="D13">
        <f t="shared" si="2"/>
        <v>27.751000000000001</v>
      </c>
      <c r="E13">
        <f t="shared" si="3"/>
        <v>582.77058734455511</v>
      </c>
      <c r="F13">
        <f t="shared" ref="F13:F25" si="4">IF(ISNUMBER(B13),ROUND(F12-C13,2),"")</f>
        <v>0</v>
      </c>
      <c r="R13">
        <v>10</v>
      </c>
    </row>
    <row r="14" spans="2:18">
      <c r="B14" t="str">
        <f>IF(R14&lt;='Datos Instalación'!$C$27,R14,"")</f>
        <v/>
      </c>
      <c r="C14" t="str">
        <f t="shared" si="1"/>
        <v/>
      </c>
      <c r="D14" t="str">
        <f t="shared" si="2"/>
        <v/>
      </c>
      <c r="E14" t="str">
        <f t="shared" si="3"/>
        <v/>
      </c>
      <c r="F14" t="str">
        <f t="shared" si="4"/>
        <v/>
      </c>
      <c r="R14">
        <v>11</v>
      </c>
    </row>
    <row r="15" spans="2:18">
      <c r="B15" t="str">
        <f>IF(R15&lt;='Datos Instalación'!$C$27,R15,"")</f>
        <v/>
      </c>
      <c r="C15" t="str">
        <f t="shared" si="1"/>
        <v/>
      </c>
      <c r="D15" t="str">
        <f t="shared" si="2"/>
        <v/>
      </c>
      <c r="E15" t="str">
        <f t="shared" si="3"/>
        <v/>
      </c>
      <c r="F15" t="str">
        <f t="shared" si="4"/>
        <v/>
      </c>
      <c r="R15">
        <v>12</v>
      </c>
    </row>
    <row r="16" spans="2:18">
      <c r="B16" t="str">
        <f>IF(R16&lt;='Datos Instalación'!$C$27,R16,"")</f>
        <v/>
      </c>
      <c r="C16" t="str">
        <f t="shared" si="1"/>
        <v/>
      </c>
      <c r="D16" t="str">
        <f t="shared" si="2"/>
        <v/>
      </c>
      <c r="E16" t="str">
        <f t="shared" si="3"/>
        <v/>
      </c>
      <c r="F16" t="str">
        <f t="shared" si="4"/>
        <v/>
      </c>
      <c r="R16">
        <v>13</v>
      </c>
    </row>
    <row r="17" spans="2:18">
      <c r="B17" t="str">
        <f>IF(R17&lt;='Datos Instalación'!$C$27,R17,"")</f>
        <v/>
      </c>
      <c r="C17" t="str">
        <f t="shared" si="1"/>
        <v/>
      </c>
      <c r="D17" t="str">
        <f t="shared" si="2"/>
        <v/>
      </c>
      <c r="E17" t="str">
        <f t="shared" si="3"/>
        <v/>
      </c>
      <c r="F17" t="str">
        <f t="shared" si="4"/>
        <v/>
      </c>
      <c r="R17">
        <v>14</v>
      </c>
    </row>
    <row r="18" spans="2:18">
      <c r="B18" t="str">
        <f>IF(R18&lt;='Datos Instalación'!$C$27,R18,"")</f>
        <v/>
      </c>
      <c r="C18" t="str">
        <f t="shared" si="1"/>
        <v/>
      </c>
      <c r="D18" t="str">
        <f t="shared" si="2"/>
        <v/>
      </c>
      <c r="E18" t="str">
        <f t="shared" si="3"/>
        <v/>
      </c>
      <c r="F18" t="str">
        <f t="shared" si="4"/>
        <v/>
      </c>
      <c r="R18">
        <v>15</v>
      </c>
    </row>
    <row r="19" spans="2:18">
      <c r="B19" t="str">
        <f>IF(R19&lt;='Datos Instalación'!$C$27,R19,"")</f>
        <v/>
      </c>
      <c r="C19" t="str">
        <f t="shared" si="1"/>
        <v/>
      </c>
      <c r="D19" t="str">
        <f t="shared" si="2"/>
        <v/>
      </c>
      <c r="E19" t="str">
        <f t="shared" si="3"/>
        <v/>
      </c>
      <c r="F19" t="str">
        <f t="shared" si="4"/>
        <v/>
      </c>
      <c r="R19">
        <v>16</v>
      </c>
    </row>
    <row r="20" spans="2:18">
      <c r="B20" t="str">
        <f>IF(R20&lt;='Datos Instalación'!$C$27,R20,"")</f>
        <v/>
      </c>
      <c r="C20" t="str">
        <f t="shared" si="1"/>
        <v/>
      </c>
      <c r="D20" t="str">
        <f t="shared" si="2"/>
        <v/>
      </c>
      <c r="E20" t="str">
        <f t="shared" si="3"/>
        <v/>
      </c>
      <c r="F20" t="str">
        <f t="shared" si="4"/>
        <v/>
      </c>
      <c r="R20">
        <v>17</v>
      </c>
    </row>
    <row r="21" spans="2:18">
      <c r="B21" t="str">
        <f>IF(R21&lt;='Datos Instalación'!$C$27,R21,"")</f>
        <v/>
      </c>
      <c r="C21" t="str">
        <f t="shared" si="1"/>
        <v/>
      </c>
      <c r="D21" t="str">
        <f t="shared" si="2"/>
        <v/>
      </c>
      <c r="E21" t="str">
        <f t="shared" si="3"/>
        <v/>
      </c>
      <c r="F21" t="str">
        <f t="shared" si="4"/>
        <v/>
      </c>
      <c r="R21">
        <v>18</v>
      </c>
    </row>
    <row r="22" spans="2:18">
      <c r="B22" t="str">
        <f>IF(R22&lt;='Datos Instalación'!$C$27,R22,"")</f>
        <v/>
      </c>
      <c r="C22" t="str">
        <f t="shared" si="1"/>
        <v/>
      </c>
      <c r="D22" t="str">
        <f t="shared" si="2"/>
        <v/>
      </c>
      <c r="E22" t="str">
        <f t="shared" si="3"/>
        <v/>
      </c>
      <c r="F22" t="str">
        <f t="shared" si="4"/>
        <v/>
      </c>
      <c r="R22">
        <v>19</v>
      </c>
    </row>
    <row r="23" spans="2:18">
      <c r="B23" t="str">
        <f>IF(R23&lt;='Datos Instalación'!$C$27,R23,"")</f>
        <v/>
      </c>
      <c r="C23" t="str">
        <f t="shared" si="1"/>
        <v/>
      </c>
      <c r="D23" t="str">
        <f t="shared" si="2"/>
        <v/>
      </c>
      <c r="E23" t="str">
        <f t="shared" si="3"/>
        <v/>
      </c>
      <c r="F23" t="str">
        <f t="shared" si="4"/>
        <v/>
      </c>
      <c r="R23">
        <v>20</v>
      </c>
    </row>
    <row r="24" spans="2:18">
      <c r="B24" t="str">
        <f>IF(R24&lt;='Datos Instalación'!$C$27,R24,"")</f>
        <v/>
      </c>
      <c r="C24" t="str">
        <f t="shared" si="1"/>
        <v/>
      </c>
      <c r="D24" t="str">
        <f t="shared" si="2"/>
        <v/>
      </c>
      <c r="E24" t="str">
        <f t="shared" si="3"/>
        <v/>
      </c>
      <c r="F24" t="str">
        <f t="shared" si="4"/>
        <v/>
      </c>
      <c r="R24">
        <v>21</v>
      </c>
    </row>
    <row r="25" spans="2:18">
      <c r="B25" t="str">
        <f>IF(R25&lt;='Datos Instalación'!$C$27,R25,"")</f>
        <v/>
      </c>
      <c r="C25" t="str">
        <f t="shared" si="1"/>
        <v/>
      </c>
      <c r="D25" t="str">
        <f t="shared" si="2"/>
        <v/>
      </c>
      <c r="E25" t="str">
        <f t="shared" si="3"/>
        <v/>
      </c>
      <c r="F25" t="str">
        <f t="shared" si="4"/>
        <v/>
      </c>
      <c r="R25">
        <v>22</v>
      </c>
    </row>
    <row r="26" spans="2:18">
      <c r="B26" t="str">
        <f>IF(R26&lt;='Datos Instalación'!$C$27,R26,"")</f>
        <v/>
      </c>
      <c r="R26">
        <v>23</v>
      </c>
    </row>
    <row r="27" spans="2:18">
      <c r="B27" t="str">
        <f>IF(R27&lt;='Datos Instalación'!$C$27,R27,"")</f>
        <v/>
      </c>
      <c r="R27">
        <v>24</v>
      </c>
    </row>
    <row r="28" spans="2:18">
      <c r="R28">
        <v>25</v>
      </c>
    </row>
    <row r="75" spans="3:47">
      <c r="C75">
        <v>0</v>
      </c>
      <c r="D75">
        <f>C75+1</f>
        <v>1</v>
      </c>
      <c r="E75">
        <f t="shared" ref="E75:AU75" si="5">D75+1</f>
        <v>2</v>
      </c>
      <c r="F75">
        <f t="shared" si="5"/>
        <v>3</v>
      </c>
      <c r="G75">
        <f t="shared" si="5"/>
        <v>4</v>
      </c>
      <c r="H75">
        <f t="shared" si="5"/>
        <v>5</v>
      </c>
      <c r="I75">
        <f t="shared" si="5"/>
        <v>6</v>
      </c>
      <c r="J75">
        <f t="shared" si="5"/>
        <v>7</v>
      </c>
      <c r="K75">
        <f t="shared" si="5"/>
        <v>8</v>
      </c>
      <c r="L75">
        <f t="shared" si="5"/>
        <v>9</v>
      </c>
      <c r="M75">
        <f t="shared" si="5"/>
        <v>10</v>
      </c>
      <c r="N75">
        <f t="shared" si="5"/>
        <v>11</v>
      </c>
      <c r="O75">
        <f t="shared" si="5"/>
        <v>12</v>
      </c>
      <c r="P75">
        <f t="shared" si="5"/>
        <v>13</v>
      </c>
      <c r="Q75">
        <f t="shared" si="5"/>
        <v>14</v>
      </c>
      <c r="R75">
        <f t="shared" si="5"/>
        <v>15</v>
      </c>
      <c r="S75">
        <f t="shared" si="5"/>
        <v>16</v>
      </c>
      <c r="T75">
        <f t="shared" si="5"/>
        <v>17</v>
      </c>
      <c r="U75">
        <f t="shared" si="5"/>
        <v>18</v>
      </c>
      <c r="V75">
        <f t="shared" si="5"/>
        <v>19</v>
      </c>
      <c r="W75">
        <f t="shared" si="5"/>
        <v>20</v>
      </c>
      <c r="X75">
        <f t="shared" si="5"/>
        <v>21</v>
      </c>
      <c r="Y75">
        <f t="shared" si="5"/>
        <v>22</v>
      </c>
      <c r="Z75">
        <f>Y75+1</f>
        <v>23</v>
      </c>
      <c r="AA75">
        <f t="shared" si="5"/>
        <v>24</v>
      </c>
      <c r="AB75">
        <f t="shared" si="5"/>
        <v>25</v>
      </c>
      <c r="AC75">
        <f t="shared" si="5"/>
        <v>26</v>
      </c>
      <c r="AD75">
        <f t="shared" si="5"/>
        <v>27</v>
      </c>
      <c r="AE75">
        <f t="shared" si="5"/>
        <v>28</v>
      </c>
      <c r="AF75">
        <f t="shared" si="5"/>
        <v>29</v>
      </c>
      <c r="AG75">
        <f t="shared" si="5"/>
        <v>30</v>
      </c>
      <c r="AH75">
        <f t="shared" si="5"/>
        <v>31</v>
      </c>
      <c r="AI75">
        <f t="shared" si="5"/>
        <v>32</v>
      </c>
      <c r="AJ75">
        <f t="shared" si="5"/>
        <v>33</v>
      </c>
      <c r="AK75">
        <f t="shared" si="5"/>
        <v>34</v>
      </c>
      <c r="AL75">
        <f t="shared" si="5"/>
        <v>35</v>
      </c>
      <c r="AM75">
        <f t="shared" si="5"/>
        <v>36</v>
      </c>
      <c r="AN75">
        <f t="shared" si="5"/>
        <v>37</v>
      </c>
      <c r="AO75">
        <f t="shared" si="5"/>
        <v>38</v>
      </c>
      <c r="AP75">
        <f t="shared" si="5"/>
        <v>39</v>
      </c>
      <c r="AQ75">
        <f t="shared" si="5"/>
        <v>40</v>
      </c>
      <c r="AR75">
        <f t="shared" si="5"/>
        <v>41</v>
      </c>
      <c r="AS75">
        <f t="shared" si="5"/>
        <v>42</v>
      </c>
      <c r="AT75">
        <f t="shared" si="5"/>
        <v>43</v>
      </c>
      <c r="AU75">
        <f t="shared" si="5"/>
        <v>44</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8B165-716E-4A14-A658-C0135C903C62}">
  <dimension ref="A1:T639"/>
  <sheetViews>
    <sheetView topLeftCell="A37" workbookViewId="0">
      <selection activeCell="A637" sqref="A637"/>
    </sheetView>
  </sheetViews>
  <sheetFormatPr baseColWidth="10" defaultRowHeight="14.4"/>
  <cols>
    <col min="4" max="4" width="16.6640625" customWidth="1"/>
    <col min="5" max="5" width="11.5546875" style="11"/>
  </cols>
  <sheetData>
    <row r="1" spans="1:20">
      <c r="A1" t="s">
        <v>80</v>
      </c>
      <c r="B1" t="s">
        <v>81</v>
      </c>
      <c r="C1" t="s">
        <v>82</v>
      </c>
      <c r="D1" t="s">
        <v>83</v>
      </c>
      <c r="E1" s="11" t="s">
        <v>73</v>
      </c>
      <c r="H1" s="9" t="s">
        <v>4</v>
      </c>
      <c r="I1" s="9" t="s">
        <v>84</v>
      </c>
      <c r="J1" s="9" t="s">
        <v>6</v>
      </c>
      <c r="K1" s="9" t="s">
        <v>7</v>
      </c>
      <c r="L1" s="9" t="s">
        <v>8</v>
      </c>
      <c r="M1" s="9" t="s">
        <v>9</v>
      </c>
      <c r="N1" s="9" t="s">
        <v>10</v>
      </c>
      <c r="O1" s="9" t="s">
        <v>11</v>
      </c>
      <c r="P1" s="9" t="s">
        <v>12</v>
      </c>
      <c r="Q1" s="9" t="s">
        <v>57</v>
      </c>
      <c r="R1" s="9" t="s">
        <v>14</v>
      </c>
      <c r="S1" s="9" t="s">
        <v>15</v>
      </c>
    </row>
    <row r="2" spans="1:20">
      <c r="A2">
        <v>2019</v>
      </c>
      <c r="B2" t="s">
        <v>4</v>
      </c>
      <c r="C2" t="s">
        <v>85</v>
      </c>
      <c r="D2">
        <v>9.44</v>
      </c>
      <c r="F2" s="8">
        <v>1</v>
      </c>
      <c r="G2" s="10" t="s">
        <v>85</v>
      </c>
      <c r="H2" s="10">
        <v>9.44</v>
      </c>
      <c r="I2" s="10">
        <v>10.54</v>
      </c>
      <c r="J2" s="10">
        <v>11.93</v>
      </c>
      <c r="K2" s="10">
        <v>13.39</v>
      </c>
      <c r="L2" s="10">
        <v>14.64</v>
      </c>
      <c r="M2" s="10">
        <v>15.28</v>
      </c>
      <c r="N2" s="10">
        <v>14.98</v>
      </c>
      <c r="O2" s="10">
        <v>13.89</v>
      </c>
      <c r="P2" s="10">
        <v>12.5</v>
      </c>
      <c r="Q2" s="10">
        <v>11.05</v>
      </c>
      <c r="R2" s="10">
        <v>9.77</v>
      </c>
      <c r="S2" s="10">
        <v>9.09</v>
      </c>
      <c r="T2">
        <f>SUM(H2:S2)</f>
        <v>146.5</v>
      </c>
    </row>
    <row r="3" spans="1:20">
      <c r="A3">
        <v>2019</v>
      </c>
      <c r="B3" t="s">
        <v>4</v>
      </c>
      <c r="C3" t="s">
        <v>86</v>
      </c>
      <c r="D3">
        <v>9.7899999999999991</v>
      </c>
      <c r="F3" s="8">
        <f>F2+1</f>
        <v>2</v>
      </c>
      <c r="G3" s="10" t="s">
        <v>86</v>
      </c>
      <c r="H3" s="10">
        <v>9.7899999999999991</v>
      </c>
      <c r="I3" s="10">
        <v>10.74</v>
      </c>
      <c r="J3" s="10">
        <v>11.95</v>
      </c>
      <c r="K3" s="10">
        <v>13.23</v>
      </c>
      <c r="L3" s="10">
        <v>14.31</v>
      </c>
      <c r="M3" s="10">
        <v>14.86</v>
      </c>
      <c r="N3" s="10">
        <v>14.6</v>
      </c>
      <c r="O3" s="10">
        <v>13.66</v>
      </c>
      <c r="P3" s="10">
        <v>12.45</v>
      </c>
      <c r="Q3" s="10">
        <v>11.18</v>
      </c>
      <c r="R3" s="10">
        <v>10.07</v>
      </c>
      <c r="S3" s="10">
        <v>9.49</v>
      </c>
      <c r="T3">
        <f t="shared" ref="T3:T53" si="0">SUM(H3:S3)</f>
        <v>146.33000000000001</v>
      </c>
    </row>
    <row r="4" spans="1:20">
      <c r="A4">
        <v>2019</v>
      </c>
      <c r="B4" t="s">
        <v>4</v>
      </c>
      <c r="C4" t="s">
        <v>87</v>
      </c>
      <c r="D4">
        <v>9.84</v>
      </c>
      <c r="F4" s="8">
        <f t="shared" ref="F4:F53" si="1">F3+1</f>
        <v>3</v>
      </c>
      <c r="G4" s="10" t="s">
        <v>87</v>
      </c>
      <c r="H4" s="10">
        <v>9.84</v>
      </c>
      <c r="I4" s="10">
        <v>10.77</v>
      </c>
      <c r="J4" s="10">
        <v>11.96</v>
      </c>
      <c r="K4" s="10">
        <v>13.2</v>
      </c>
      <c r="L4" s="10">
        <v>14.25</v>
      </c>
      <c r="M4" s="10">
        <v>14.79</v>
      </c>
      <c r="N4" s="10">
        <v>14.54</v>
      </c>
      <c r="O4" s="10">
        <v>13.62</v>
      </c>
      <c r="P4" s="10">
        <v>12.44</v>
      </c>
      <c r="Q4" s="10">
        <v>11.2</v>
      </c>
      <c r="R4" s="10">
        <v>10.119999999999999</v>
      </c>
      <c r="S4" s="10">
        <v>9.5500000000000007</v>
      </c>
      <c r="T4">
        <f t="shared" si="0"/>
        <v>146.28</v>
      </c>
    </row>
    <row r="5" spans="1:20">
      <c r="A5">
        <v>2019</v>
      </c>
      <c r="B5" t="s">
        <v>4</v>
      </c>
      <c r="C5" t="s">
        <v>88</v>
      </c>
      <c r="D5">
        <v>9.9700000000000006</v>
      </c>
      <c r="F5" s="8">
        <f t="shared" si="1"/>
        <v>4</v>
      </c>
      <c r="G5" s="10" t="s">
        <v>88</v>
      </c>
      <c r="H5" s="10">
        <v>9.9700000000000006</v>
      </c>
      <c r="I5" s="10">
        <v>10.84</v>
      </c>
      <c r="J5" s="10">
        <v>11.96</v>
      </c>
      <c r="K5" s="10">
        <v>13.14</v>
      </c>
      <c r="L5" s="10">
        <v>14.14</v>
      </c>
      <c r="M5" s="10">
        <v>14.64</v>
      </c>
      <c r="N5" s="10">
        <v>14.4</v>
      </c>
      <c r="O5" s="10">
        <v>13.54</v>
      </c>
      <c r="P5" s="10">
        <v>12.42</v>
      </c>
      <c r="Q5" s="10">
        <v>11.25</v>
      </c>
      <c r="R5" s="10">
        <v>10.220000000000001</v>
      </c>
      <c r="S5" s="10">
        <v>9.69</v>
      </c>
      <c r="T5">
        <f t="shared" si="0"/>
        <v>146.21</v>
      </c>
    </row>
    <row r="6" spans="1:20">
      <c r="A6">
        <v>2019</v>
      </c>
      <c r="B6" t="s">
        <v>4</v>
      </c>
      <c r="C6" t="s">
        <v>21</v>
      </c>
      <c r="D6">
        <v>9.64</v>
      </c>
      <c r="F6" s="8">
        <f t="shared" si="1"/>
        <v>5</v>
      </c>
      <c r="G6" s="10" t="s">
        <v>21</v>
      </c>
      <c r="H6" s="10">
        <v>9.64</v>
      </c>
      <c r="I6" s="10">
        <v>10.66</v>
      </c>
      <c r="J6" s="10">
        <v>11.95</v>
      </c>
      <c r="K6" s="10">
        <v>13.3</v>
      </c>
      <c r="L6" s="10">
        <v>14.45</v>
      </c>
      <c r="M6" s="10">
        <v>15.04</v>
      </c>
      <c r="N6" s="10">
        <v>14.75</v>
      </c>
      <c r="O6" s="10">
        <v>13.75</v>
      </c>
      <c r="P6" s="10">
        <v>12.47</v>
      </c>
      <c r="Q6" s="10">
        <v>11.13</v>
      </c>
      <c r="R6" s="10">
        <v>9.94</v>
      </c>
      <c r="S6" s="10">
        <v>9.32</v>
      </c>
      <c r="T6">
        <f t="shared" si="0"/>
        <v>146.39999999999998</v>
      </c>
    </row>
    <row r="7" spans="1:20">
      <c r="A7">
        <v>2019</v>
      </c>
      <c r="B7" t="s">
        <v>4</v>
      </c>
      <c r="C7" t="s">
        <v>89</v>
      </c>
      <c r="D7">
        <v>9.8000000000000007</v>
      </c>
      <c r="F7" s="8">
        <f t="shared" si="1"/>
        <v>6</v>
      </c>
      <c r="G7" s="10" t="s">
        <v>89</v>
      </c>
      <c r="H7" s="10">
        <v>9.8000000000000007</v>
      </c>
      <c r="I7" s="10">
        <v>10.74</v>
      </c>
      <c r="J7" s="10">
        <v>11.95</v>
      </c>
      <c r="K7" s="10">
        <v>13.22</v>
      </c>
      <c r="L7" s="10">
        <v>14.3</v>
      </c>
      <c r="M7" s="10">
        <v>14.85</v>
      </c>
      <c r="N7" s="10">
        <v>14.58</v>
      </c>
      <c r="O7" s="10">
        <v>13.65</v>
      </c>
      <c r="P7" s="10">
        <v>12.44</v>
      </c>
      <c r="Q7" s="10">
        <v>11.18</v>
      </c>
      <c r="R7" s="10">
        <v>10.08</v>
      </c>
      <c r="S7" s="10">
        <v>9.5</v>
      </c>
      <c r="T7">
        <f t="shared" si="0"/>
        <v>146.29</v>
      </c>
    </row>
    <row r="8" spans="1:20">
      <c r="A8">
        <v>2019</v>
      </c>
      <c r="B8" t="s">
        <v>4</v>
      </c>
      <c r="C8" t="s">
        <v>90</v>
      </c>
      <c r="D8">
        <v>9.74</v>
      </c>
      <c r="F8" s="8">
        <f t="shared" si="1"/>
        <v>7</v>
      </c>
      <c r="G8" s="10" t="s">
        <v>90</v>
      </c>
      <c r="H8" s="10">
        <v>9.74</v>
      </c>
      <c r="I8" s="10">
        <v>10.71</v>
      </c>
      <c r="J8" s="10">
        <v>11.95</v>
      </c>
      <c r="K8" s="10">
        <v>13.25</v>
      </c>
      <c r="L8" s="10">
        <v>14.35</v>
      </c>
      <c r="M8" s="10">
        <v>14.92</v>
      </c>
      <c r="N8" s="10">
        <v>14.65</v>
      </c>
      <c r="O8" s="10">
        <v>13.69</v>
      </c>
      <c r="P8" s="10">
        <v>12.45</v>
      </c>
      <c r="Q8" s="10">
        <v>11.16</v>
      </c>
      <c r="R8" s="10">
        <v>10.029999999999999</v>
      </c>
      <c r="S8" s="10">
        <v>9.43</v>
      </c>
      <c r="T8">
        <f t="shared" si="0"/>
        <v>146.33000000000001</v>
      </c>
    </row>
    <row r="9" spans="1:20">
      <c r="A9">
        <v>2019</v>
      </c>
      <c r="B9" t="s">
        <v>4</v>
      </c>
      <c r="C9" t="s">
        <v>91</v>
      </c>
      <c r="D9">
        <v>9.58</v>
      </c>
      <c r="F9" s="8">
        <f t="shared" si="1"/>
        <v>8</v>
      </c>
      <c r="G9" s="10" t="s">
        <v>91</v>
      </c>
      <c r="H9" s="10">
        <v>9.58</v>
      </c>
      <c r="I9" s="10">
        <v>10.62</v>
      </c>
      <c r="J9" s="10">
        <v>11.94</v>
      </c>
      <c r="K9" s="10">
        <v>13.33</v>
      </c>
      <c r="L9" s="10">
        <v>14.51</v>
      </c>
      <c r="M9" s="10">
        <v>15.12</v>
      </c>
      <c r="N9" s="10">
        <v>14.83</v>
      </c>
      <c r="O9" s="10">
        <v>13.8</v>
      </c>
      <c r="P9" s="10">
        <v>12.48</v>
      </c>
      <c r="Q9" s="10">
        <v>11.1</v>
      </c>
      <c r="R9" s="10">
        <v>9.89</v>
      </c>
      <c r="S9" s="10">
        <v>9.25</v>
      </c>
      <c r="T9">
        <f t="shared" si="0"/>
        <v>146.44999999999999</v>
      </c>
    </row>
    <row r="10" spans="1:20">
      <c r="A10">
        <v>2019</v>
      </c>
      <c r="B10" t="s">
        <v>4</v>
      </c>
      <c r="C10" t="s">
        <v>22</v>
      </c>
      <c r="D10">
        <v>9.49</v>
      </c>
      <c r="F10" s="8">
        <f t="shared" si="1"/>
        <v>9</v>
      </c>
      <c r="G10" s="10" t="s">
        <v>22</v>
      </c>
      <c r="H10" s="10">
        <v>9.49</v>
      </c>
      <c r="I10" s="10">
        <v>10.57</v>
      </c>
      <c r="J10" s="10">
        <v>11.94</v>
      </c>
      <c r="K10" s="10">
        <v>13.37</v>
      </c>
      <c r="L10" s="10">
        <v>14.6</v>
      </c>
      <c r="M10" s="10">
        <v>15.23</v>
      </c>
      <c r="N10" s="10">
        <v>14.92</v>
      </c>
      <c r="O10" s="10">
        <v>13.86</v>
      </c>
      <c r="P10" s="10">
        <v>12.49</v>
      </c>
      <c r="Q10" s="10">
        <v>11.07</v>
      </c>
      <c r="R10" s="10">
        <v>9.81</v>
      </c>
      <c r="S10" s="10">
        <v>9.14</v>
      </c>
      <c r="T10">
        <f t="shared" si="0"/>
        <v>146.49</v>
      </c>
    </row>
    <row r="11" spans="1:20">
      <c r="A11">
        <v>2019</v>
      </c>
      <c r="B11" t="s">
        <v>4</v>
      </c>
      <c r="C11" t="s">
        <v>92</v>
      </c>
      <c r="D11">
        <v>9.75</v>
      </c>
      <c r="F11" s="8">
        <f t="shared" si="1"/>
        <v>10</v>
      </c>
      <c r="G11" s="10" t="s">
        <v>92</v>
      </c>
      <c r="H11" s="10">
        <v>9.75</v>
      </c>
      <c r="I11" s="10">
        <v>10.72</v>
      </c>
      <c r="J11" s="10">
        <v>11.95</v>
      </c>
      <c r="K11" s="10">
        <v>13.25</v>
      </c>
      <c r="L11" s="10">
        <v>14.35</v>
      </c>
      <c r="M11" s="10">
        <v>14.91</v>
      </c>
      <c r="N11" s="10">
        <v>14.64</v>
      </c>
      <c r="O11" s="10">
        <v>13.69</v>
      </c>
      <c r="P11" s="10">
        <v>12.45</v>
      </c>
      <c r="Q11" s="10">
        <v>11.17</v>
      </c>
      <c r="R11" s="10">
        <v>10.029999999999999</v>
      </c>
      <c r="S11" s="10">
        <v>9.44</v>
      </c>
      <c r="T11">
        <f t="shared" si="0"/>
        <v>146.35</v>
      </c>
    </row>
    <row r="12" spans="1:20">
      <c r="A12">
        <v>2019</v>
      </c>
      <c r="B12" t="s">
        <v>4</v>
      </c>
      <c r="C12" t="s">
        <v>93</v>
      </c>
      <c r="D12">
        <v>9.99</v>
      </c>
      <c r="F12" s="8">
        <f t="shared" si="1"/>
        <v>11</v>
      </c>
      <c r="G12" s="10" t="s">
        <v>93</v>
      </c>
      <c r="H12" s="10">
        <v>9.99</v>
      </c>
      <c r="I12" s="10">
        <v>10.85</v>
      </c>
      <c r="J12" s="10">
        <v>11.97</v>
      </c>
      <c r="K12" s="10">
        <v>13.13</v>
      </c>
      <c r="L12" s="10">
        <v>14.11</v>
      </c>
      <c r="M12" s="10">
        <v>14.61</v>
      </c>
      <c r="N12" s="10">
        <v>14.37</v>
      </c>
      <c r="O12" s="10">
        <v>13.52</v>
      </c>
      <c r="P12" s="10">
        <v>12.42</v>
      </c>
      <c r="Q12" s="10">
        <v>11.26</v>
      </c>
      <c r="R12" s="10">
        <v>10.25</v>
      </c>
      <c r="S12" s="10">
        <v>9.7200000000000006</v>
      </c>
      <c r="T12">
        <f t="shared" si="0"/>
        <v>146.20000000000002</v>
      </c>
    </row>
    <row r="13" spans="1:20">
      <c r="A13">
        <v>2019</v>
      </c>
      <c r="B13" t="s">
        <v>4</v>
      </c>
      <c r="C13" t="s">
        <v>94</v>
      </c>
      <c r="D13">
        <v>9.6999999999999993</v>
      </c>
      <c r="F13" s="8">
        <f t="shared" si="1"/>
        <v>12</v>
      </c>
      <c r="G13" s="10" t="s">
        <v>94</v>
      </c>
      <c r="H13" s="10">
        <v>9.6999999999999993</v>
      </c>
      <c r="I13" s="10">
        <v>10.69</v>
      </c>
      <c r="J13" s="10">
        <v>11.95</v>
      </c>
      <c r="K13" s="10">
        <v>13.26</v>
      </c>
      <c r="L13" s="10">
        <v>14.39</v>
      </c>
      <c r="M13" s="10">
        <v>14.96</v>
      </c>
      <c r="N13" s="10">
        <v>14.69</v>
      </c>
      <c r="O13" s="10">
        <v>13.72</v>
      </c>
      <c r="P13" s="10">
        <v>12.46</v>
      </c>
      <c r="Q13" s="10">
        <v>11.15</v>
      </c>
      <c r="R13" s="10">
        <v>10</v>
      </c>
      <c r="S13" s="10">
        <v>9.39</v>
      </c>
      <c r="T13">
        <f t="shared" si="0"/>
        <v>146.36000000000001</v>
      </c>
    </row>
    <row r="14" spans="1:20">
      <c r="A14">
        <v>2019</v>
      </c>
      <c r="B14" t="s">
        <v>4</v>
      </c>
      <c r="C14" t="s">
        <v>95</v>
      </c>
      <c r="D14">
        <v>9.7899999999999991</v>
      </c>
      <c r="F14" s="8">
        <f t="shared" si="1"/>
        <v>13</v>
      </c>
      <c r="G14" s="10" t="s">
        <v>95</v>
      </c>
      <c r="H14" s="10">
        <v>9.7899999999999991</v>
      </c>
      <c r="I14" s="10">
        <v>10.74</v>
      </c>
      <c r="J14" s="10">
        <v>11.95</v>
      </c>
      <c r="K14" s="10">
        <v>13.23</v>
      </c>
      <c r="L14" s="10">
        <v>14.31</v>
      </c>
      <c r="M14" s="10">
        <v>14.85</v>
      </c>
      <c r="N14" s="10">
        <v>14.59</v>
      </c>
      <c r="O14" s="10">
        <v>13.66</v>
      </c>
      <c r="P14" s="10">
        <v>12.44</v>
      </c>
      <c r="Q14" s="10">
        <v>11.18</v>
      </c>
      <c r="R14" s="10">
        <v>10.07</v>
      </c>
      <c r="S14" s="10">
        <v>9.49</v>
      </c>
      <c r="T14">
        <f t="shared" si="0"/>
        <v>146.30000000000001</v>
      </c>
    </row>
    <row r="15" spans="1:20">
      <c r="A15">
        <v>2019</v>
      </c>
      <c r="B15" t="s">
        <v>4</v>
      </c>
      <c r="C15" t="s">
        <v>96</v>
      </c>
      <c r="D15">
        <v>9.8800000000000008</v>
      </c>
      <c r="F15" s="8">
        <f t="shared" si="1"/>
        <v>14</v>
      </c>
      <c r="G15" s="10" t="s">
        <v>96</v>
      </c>
      <c r="H15" s="10">
        <v>9.8800000000000008</v>
      </c>
      <c r="I15" s="10">
        <v>10.79</v>
      </c>
      <c r="J15" s="10">
        <v>11.96</v>
      </c>
      <c r="K15" s="10">
        <v>13.18</v>
      </c>
      <c r="L15" s="10">
        <v>14.22</v>
      </c>
      <c r="M15" s="10">
        <v>14.74</v>
      </c>
      <c r="N15" s="10">
        <v>14.49</v>
      </c>
      <c r="O15" s="10">
        <v>13.59</v>
      </c>
      <c r="P15" s="10">
        <v>12.43</v>
      </c>
      <c r="Q15" s="10">
        <v>11.22</v>
      </c>
      <c r="R15" s="10">
        <v>10.15</v>
      </c>
      <c r="S15" s="10">
        <v>9.59</v>
      </c>
      <c r="T15">
        <f t="shared" si="0"/>
        <v>146.24</v>
      </c>
    </row>
    <row r="16" spans="1:20">
      <c r="A16">
        <v>2019</v>
      </c>
      <c r="B16" t="s">
        <v>4</v>
      </c>
      <c r="C16" t="s">
        <v>97</v>
      </c>
      <c r="D16">
        <v>9.39</v>
      </c>
      <c r="F16" s="8">
        <f t="shared" si="1"/>
        <v>15</v>
      </c>
      <c r="G16" s="10" t="s">
        <v>97</v>
      </c>
      <c r="H16" s="10">
        <v>9.39</v>
      </c>
      <c r="I16" s="10">
        <v>10.51</v>
      </c>
      <c r="J16" s="10">
        <v>11.93</v>
      </c>
      <c r="K16" s="10">
        <v>13.42</v>
      </c>
      <c r="L16" s="10">
        <v>14.69</v>
      </c>
      <c r="M16" s="10">
        <v>15.35</v>
      </c>
      <c r="N16" s="10">
        <v>15.03</v>
      </c>
      <c r="O16" s="10">
        <v>13.93</v>
      </c>
      <c r="P16" s="10">
        <v>12.51</v>
      </c>
      <c r="Q16" s="10">
        <v>11.03</v>
      </c>
      <c r="R16" s="10">
        <v>9.7200000000000006</v>
      </c>
      <c r="S16" s="10">
        <v>9.0299999999999994</v>
      </c>
      <c r="T16">
        <f t="shared" si="0"/>
        <v>146.54000000000002</v>
      </c>
    </row>
    <row r="17" spans="1:20">
      <c r="A17">
        <v>2019</v>
      </c>
      <c r="B17" t="s">
        <v>4</v>
      </c>
      <c r="C17" t="s">
        <v>98</v>
      </c>
      <c r="D17">
        <v>9.69</v>
      </c>
      <c r="F17" s="8">
        <f t="shared" si="1"/>
        <v>16</v>
      </c>
      <c r="G17" s="10" t="s">
        <v>98</v>
      </c>
      <c r="H17" s="10">
        <v>9.69</v>
      </c>
      <c r="I17" s="10">
        <v>10.68</v>
      </c>
      <c r="J17" s="10">
        <v>11.95</v>
      </c>
      <c r="K17" s="10">
        <v>13.27</v>
      </c>
      <c r="L17" s="10">
        <v>14.4</v>
      </c>
      <c r="M17" s="10">
        <v>14.97</v>
      </c>
      <c r="N17" s="10">
        <v>14.7</v>
      </c>
      <c r="O17" s="10">
        <v>13.72</v>
      </c>
      <c r="P17" s="10">
        <v>12.46</v>
      </c>
      <c r="Q17" s="10">
        <v>11.15</v>
      </c>
      <c r="R17" s="10">
        <v>9.99</v>
      </c>
      <c r="S17" s="10">
        <v>9.3800000000000008</v>
      </c>
      <c r="T17">
        <f t="shared" si="0"/>
        <v>146.36000000000001</v>
      </c>
    </row>
    <row r="18" spans="1:20">
      <c r="A18">
        <v>2019</v>
      </c>
      <c r="B18" t="s">
        <v>4</v>
      </c>
      <c r="C18" t="s">
        <v>99</v>
      </c>
      <c r="D18">
        <v>9.52</v>
      </c>
      <c r="F18" s="8">
        <f t="shared" si="1"/>
        <v>17</v>
      </c>
      <c r="G18" s="10" t="s">
        <v>99</v>
      </c>
      <c r="H18" s="10">
        <v>9.52</v>
      </c>
      <c r="I18" s="10">
        <v>10.59</v>
      </c>
      <c r="J18" s="10">
        <v>11.94</v>
      </c>
      <c r="K18" s="10">
        <v>13.35</v>
      </c>
      <c r="L18" s="10">
        <v>14.56</v>
      </c>
      <c r="M18" s="10">
        <v>15.18</v>
      </c>
      <c r="N18" s="10">
        <v>14.89</v>
      </c>
      <c r="O18" s="10">
        <v>13.84</v>
      </c>
      <c r="P18" s="10">
        <v>12.49</v>
      </c>
      <c r="Q18" s="10">
        <v>11.08</v>
      </c>
      <c r="R18" s="10">
        <v>9.84</v>
      </c>
      <c r="S18" s="10">
        <v>9.18</v>
      </c>
      <c r="T18">
        <f t="shared" si="0"/>
        <v>146.46</v>
      </c>
    </row>
    <row r="19" spans="1:20">
      <c r="A19">
        <v>2019</v>
      </c>
      <c r="B19" t="s">
        <v>4</v>
      </c>
      <c r="C19" t="s">
        <v>100</v>
      </c>
      <c r="D19">
        <v>9.94</v>
      </c>
      <c r="F19" s="8">
        <f t="shared" si="1"/>
        <v>18</v>
      </c>
      <c r="G19" s="10" t="s">
        <v>100</v>
      </c>
      <c r="H19" s="10">
        <v>9.94</v>
      </c>
      <c r="I19" s="10">
        <v>10.83</v>
      </c>
      <c r="J19" s="10">
        <v>11.96</v>
      </c>
      <c r="K19" s="10">
        <v>13.15</v>
      </c>
      <c r="L19" s="10">
        <v>14.16</v>
      </c>
      <c r="M19" s="10">
        <v>14.68</v>
      </c>
      <c r="N19" s="10">
        <v>14.43</v>
      </c>
      <c r="O19" s="10">
        <v>13.56</v>
      </c>
      <c r="P19" s="10">
        <v>12.42</v>
      </c>
      <c r="Q19" s="10">
        <v>11.24</v>
      </c>
      <c r="R19" s="10">
        <v>10.199999999999999</v>
      </c>
      <c r="S19" s="10">
        <v>9.66</v>
      </c>
      <c r="T19">
        <f t="shared" si="0"/>
        <v>146.22999999999999</v>
      </c>
    </row>
    <row r="20" spans="1:20">
      <c r="A20">
        <v>2019</v>
      </c>
      <c r="B20" t="s">
        <v>4</v>
      </c>
      <c r="C20" t="s">
        <v>101</v>
      </c>
      <c r="D20">
        <v>9.64</v>
      </c>
      <c r="F20" s="8">
        <f t="shared" si="1"/>
        <v>19</v>
      </c>
      <c r="G20" s="10" t="s">
        <v>101</v>
      </c>
      <c r="H20" s="10">
        <v>9.64</v>
      </c>
      <c r="I20" s="10">
        <v>10.66</v>
      </c>
      <c r="J20" s="10">
        <v>11.95</v>
      </c>
      <c r="K20" s="10">
        <v>13.3</v>
      </c>
      <c r="L20" s="10">
        <v>14.44</v>
      </c>
      <c r="M20" s="10">
        <v>15.03</v>
      </c>
      <c r="N20" s="10">
        <v>14.75</v>
      </c>
      <c r="O20" s="10">
        <v>13.75</v>
      </c>
      <c r="P20" s="10">
        <v>12.46</v>
      </c>
      <c r="Q20" s="10">
        <v>11.13</v>
      </c>
      <c r="R20" s="10">
        <v>9.9499999999999993</v>
      </c>
      <c r="S20" s="10">
        <v>9.32</v>
      </c>
      <c r="T20">
        <f t="shared" si="0"/>
        <v>146.37999999999997</v>
      </c>
    </row>
    <row r="21" spans="1:20">
      <c r="A21">
        <v>2019</v>
      </c>
      <c r="B21" t="s">
        <v>4</v>
      </c>
      <c r="C21" t="s">
        <v>102</v>
      </c>
      <c r="D21">
        <v>9.4</v>
      </c>
      <c r="F21" s="8">
        <f t="shared" si="1"/>
        <v>20</v>
      </c>
      <c r="G21" s="10" t="s">
        <v>102</v>
      </c>
      <c r="H21" s="10">
        <v>9.4</v>
      </c>
      <c r="I21" s="10">
        <v>10.51</v>
      </c>
      <c r="J21" s="10">
        <v>11.93</v>
      </c>
      <c r="K21" s="10">
        <v>13.42</v>
      </c>
      <c r="L21" s="10">
        <v>14.69</v>
      </c>
      <c r="M21" s="10">
        <v>15.34</v>
      </c>
      <c r="N21" s="10">
        <v>15.03</v>
      </c>
      <c r="O21" s="10">
        <v>13.92</v>
      </c>
      <c r="P21" s="10">
        <v>12.51</v>
      </c>
      <c r="Q21" s="10">
        <v>11.03</v>
      </c>
      <c r="R21" s="10">
        <v>9.73</v>
      </c>
      <c r="S21" s="10">
        <v>9.0299999999999994</v>
      </c>
      <c r="T21">
        <f t="shared" si="0"/>
        <v>146.54</v>
      </c>
    </row>
    <row r="22" spans="1:20">
      <c r="A22">
        <v>2019</v>
      </c>
      <c r="B22" t="s">
        <v>4</v>
      </c>
      <c r="C22" t="s">
        <v>103</v>
      </c>
      <c r="D22">
        <v>9.93</v>
      </c>
      <c r="F22" s="8">
        <f t="shared" si="1"/>
        <v>21</v>
      </c>
      <c r="G22" s="10" t="s">
        <v>103</v>
      </c>
      <c r="H22" s="10">
        <v>9.93</v>
      </c>
      <c r="I22" s="10">
        <v>10.82</v>
      </c>
      <c r="J22" s="10">
        <v>11.96</v>
      </c>
      <c r="K22" s="10">
        <v>13.16</v>
      </c>
      <c r="L22" s="10">
        <v>14.17</v>
      </c>
      <c r="M22" s="10">
        <v>14.68</v>
      </c>
      <c r="N22" s="10">
        <v>14.44</v>
      </c>
      <c r="O22" s="10">
        <v>13.56</v>
      </c>
      <c r="P22" s="10">
        <v>12.42</v>
      </c>
      <c r="Q22" s="10">
        <v>11.23</v>
      </c>
      <c r="R22" s="10">
        <v>10.19</v>
      </c>
      <c r="S22" s="10">
        <v>9.65</v>
      </c>
      <c r="T22">
        <f t="shared" si="0"/>
        <v>146.21</v>
      </c>
    </row>
    <row r="23" spans="1:20">
      <c r="A23">
        <v>2019</v>
      </c>
      <c r="B23" t="s">
        <v>4</v>
      </c>
      <c r="C23" t="s">
        <v>104</v>
      </c>
      <c r="D23">
        <v>9.51</v>
      </c>
      <c r="F23" s="8">
        <f t="shared" si="1"/>
        <v>22</v>
      </c>
      <c r="G23" s="10" t="s">
        <v>104</v>
      </c>
      <c r="H23" s="10">
        <v>9.51</v>
      </c>
      <c r="I23" s="10">
        <v>10.58</v>
      </c>
      <c r="J23" s="10">
        <v>11.94</v>
      </c>
      <c r="K23" s="10">
        <v>13.36</v>
      </c>
      <c r="L23" s="10">
        <v>14.58</v>
      </c>
      <c r="M23" s="10">
        <v>15.2</v>
      </c>
      <c r="N23" s="10">
        <v>14.9</v>
      </c>
      <c r="O23" s="10">
        <v>13.85</v>
      </c>
      <c r="P23" s="10">
        <v>12.49</v>
      </c>
      <c r="Q23" s="10">
        <v>11.07</v>
      </c>
      <c r="R23" s="10">
        <v>9.83</v>
      </c>
      <c r="S23" s="10">
        <v>9.17</v>
      </c>
      <c r="T23">
        <f t="shared" si="0"/>
        <v>146.47999999999999</v>
      </c>
    </row>
    <row r="24" spans="1:20">
      <c r="A24">
        <v>2019</v>
      </c>
      <c r="B24" t="s">
        <v>4</v>
      </c>
      <c r="C24" t="s">
        <v>105</v>
      </c>
      <c r="D24">
        <v>9.89</v>
      </c>
      <c r="F24" s="8">
        <f t="shared" si="1"/>
        <v>23</v>
      </c>
      <c r="G24" s="10" t="s">
        <v>105</v>
      </c>
      <c r="H24" s="10">
        <v>9.89</v>
      </c>
      <c r="I24" s="10">
        <v>10.8</v>
      </c>
      <c r="J24" s="10">
        <v>11.96</v>
      </c>
      <c r="K24" s="10">
        <v>13.18</v>
      </c>
      <c r="L24" s="10">
        <v>14.21</v>
      </c>
      <c r="M24" s="10">
        <v>14.73</v>
      </c>
      <c r="N24" s="10">
        <v>14.48</v>
      </c>
      <c r="O24" s="10">
        <v>13.59</v>
      </c>
      <c r="P24" s="10">
        <v>12.43</v>
      </c>
      <c r="Q24" s="10">
        <v>11.22</v>
      </c>
      <c r="R24" s="10">
        <v>10.16</v>
      </c>
      <c r="S24" s="10">
        <v>9.6</v>
      </c>
      <c r="T24">
        <f t="shared" si="0"/>
        <v>146.25</v>
      </c>
    </row>
    <row r="25" spans="1:20">
      <c r="A25">
        <v>2019</v>
      </c>
      <c r="B25" t="s">
        <v>4</v>
      </c>
      <c r="C25" t="s">
        <v>23</v>
      </c>
      <c r="D25">
        <v>9.4600000000000009</v>
      </c>
      <c r="F25" s="8">
        <f t="shared" si="1"/>
        <v>24</v>
      </c>
      <c r="G25" s="10" t="s">
        <v>23</v>
      </c>
      <c r="H25" s="10">
        <v>9.4600000000000009</v>
      </c>
      <c r="I25" s="10">
        <v>10.55</v>
      </c>
      <c r="J25" s="10">
        <v>11.94</v>
      </c>
      <c r="K25" s="10">
        <v>13.38</v>
      </c>
      <c r="L25" s="10">
        <v>14.62</v>
      </c>
      <c r="M25" s="10">
        <v>15.26</v>
      </c>
      <c r="N25" s="10">
        <v>14.95</v>
      </c>
      <c r="O25" s="10">
        <v>13.88</v>
      </c>
      <c r="P25" s="10">
        <v>12.49</v>
      </c>
      <c r="Q25" s="10">
        <v>11.06</v>
      </c>
      <c r="R25" s="10">
        <v>9.7899999999999991</v>
      </c>
      <c r="S25" s="10">
        <v>9.1199999999999992</v>
      </c>
      <c r="T25">
        <f t="shared" si="0"/>
        <v>146.5</v>
      </c>
    </row>
    <row r="26" spans="1:20">
      <c r="A26">
        <v>2019</v>
      </c>
      <c r="B26" t="s">
        <v>4</v>
      </c>
      <c r="C26" t="s">
        <v>106</v>
      </c>
      <c r="D26">
        <v>9.5500000000000007</v>
      </c>
      <c r="F26" s="8">
        <f t="shared" si="1"/>
        <v>25</v>
      </c>
      <c r="G26" s="10" t="s">
        <v>106</v>
      </c>
      <c r="H26" s="10">
        <v>9.5500000000000007</v>
      </c>
      <c r="I26" s="10">
        <v>10.6</v>
      </c>
      <c r="J26" s="10">
        <v>11.94</v>
      </c>
      <c r="K26" s="10">
        <v>13.34</v>
      </c>
      <c r="L26" s="10">
        <v>14.53</v>
      </c>
      <c r="M26" s="10">
        <v>15.14</v>
      </c>
      <c r="N26" s="10">
        <v>14.85</v>
      </c>
      <c r="O26" s="10">
        <v>13.81</v>
      </c>
      <c r="P26" s="10">
        <v>12.48</v>
      </c>
      <c r="Q26" s="10">
        <v>11.09</v>
      </c>
      <c r="R26" s="10">
        <v>9.8699999999999992</v>
      </c>
      <c r="S26" s="10">
        <v>9.2200000000000006</v>
      </c>
      <c r="T26">
        <f t="shared" si="0"/>
        <v>146.41999999999999</v>
      </c>
    </row>
    <row r="27" spans="1:20">
      <c r="A27">
        <v>2019</v>
      </c>
      <c r="B27" t="s">
        <v>4</v>
      </c>
      <c r="C27" t="s">
        <v>107</v>
      </c>
      <c r="D27">
        <v>9.48</v>
      </c>
      <c r="F27" s="8">
        <f t="shared" si="1"/>
        <v>26</v>
      </c>
      <c r="G27" s="10" t="s">
        <v>107</v>
      </c>
      <c r="H27" s="10">
        <v>9.48</v>
      </c>
      <c r="I27" s="10">
        <v>10.56</v>
      </c>
      <c r="J27" s="10">
        <v>11.94</v>
      </c>
      <c r="K27" s="10">
        <v>13.38</v>
      </c>
      <c r="L27" s="10">
        <v>14.6</v>
      </c>
      <c r="M27" s="10">
        <v>15.24</v>
      </c>
      <c r="N27" s="10">
        <v>14.93</v>
      </c>
      <c r="O27" s="10">
        <v>13.87</v>
      </c>
      <c r="P27" s="10">
        <v>12.49</v>
      </c>
      <c r="Q27" s="10">
        <v>11.06</v>
      </c>
      <c r="R27" s="10">
        <v>9.8000000000000007</v>
      </c>
      <c r="S27" s="10">
        <v>9.1300000000000008</v>
      </c>
      <c r="T27">
        <f t="shared" si="0"/>
        <v>146.47999999999999</v>
      </c>
    </row>
    <row r="28" spans="1:20">
      <c r="A28">
        <v>2019</v>
      </c>
      <c r="B28" t="s">
        <v>4</v>
      </c>
      <c r="C28" t="s">
        <v>108</v>
      </c>
      <c r="D28">
        <v>9.42</v>
      </c>
      <c r="F28" s="8">
        <f t="shared" si="1"/>
        <v>27</v>
      </c>
      <c r="G28" s="10" t="s">
        <v>108</v>
      </c>
      <c r="H28" s="10">
        <v>9.42</v>
      </c>
      <c r="I28" s="10">
        <v>10.53</v>
      </c>
      <c r="J28" s="10">
        <v>11.93</v>
      </c>
      <c r="K28" s="10">
        <v>13.4</v>
      </c>
      <c r="L28" s="10">
        <v>14.66</v>
      </c>
      <c r="M28" s="10">
        <v>15.3</v>
      </c>
      <c r="N28" s="10">
        <v>14.99</v>
      </c>
      <c r="O28" s="10">
        <v>13.9</v>
      </c>
      <c r="P28" s="10">
        <v>12.5</v>
      </c>
      <c r="Q28" s="10">
        <v>11.04</v>
      </c>
      <c r="R28" s="10">
        <v>9.75</v>
      </c>
      <c r="S28" s="10">
        <v>9.07</v>
      </c>
      <c r="T28">
        <f t="shared" si="0"/>
        <v>146.48999999999998</v>
      </c>
    </row>
    <row r="29" spans="1:20">
      <c r="A29">
        <v>2019</v>
      </c>
      <c r="B29" t="s">
        <v>4</v>
      </c>
      <c r="C29" t="s">
        <v>109</v>
      </c>
      <c r="D29">
        <v>9.66</v>
      </c>
      <c r="F29" s="8">
        <f t="shared" si="1"/>
        <v>28</v>
      </c>
      <c r="G29" s="10" t="s">
        <v>109</v>
      </c>
      <c r="H29" s="10">
        <v>9.66</v>
      </c>
      <c r="I29" s="10">
        <v>10.67</v>
      </c>
      <c r="J29" s="10">
        <v>11.95</v>
      </c>
      <c r="K29" s="10">
        <v>13.28</v>
      </c>
      <c r="L29" s="10">
        <v>14.43</v>
      </c>
      <c r="M29" s="10">
        <v>15.01</v>
      </c>
      <c r="N29" s="10">
        <v>14.73</v>
      </c>
      <c r="O29" s="10">
        <v>13.74</v>
      </c>
      <c r="P29" s="10">
        <v>12.46</v>
      </c>
      <c r="Q29" s="10">
        <v>11.13</v>
      </c>
      <c r="R29" s="10">
        <v>9.9600000000000009</v>
      </c>
      <c r="S29" s="10">
        <v>9.35</v>
      </c>
      <c r="T29">
        <f t="shared" si="0"/>
        <v>146.37</v>
      </c>
    </row>
    <row r="30" spans="1:20">
      <c r="A30">
        <v>2019</v>
      </c>
      <c r="B30" t="s">
        <v>4</v>
      </c>
      <c r="C30" t="s">
        <v>110</v>
      </c>
      <c r="D30">
        <v>9.9700000000000006</v>
      </c>
      <c r="F30" s="8">
        <f t="shared" si="1"/>
        <v>29</v>
      </c>
      <c r="G30" s="10" t="s">
        <v>110</v>
      </c>
      <c r="H30" s="10">
        <v>9.9700000000000006</v>
      </c>
      <c r="I30" s="10">
        <v>10.85</v>
      </c>
      <c r="J30" s="10">
        <v>11.96</v>
      </c>
      <c r="K30" s="10">
        <v>13.14</v>
      </c>
      <c r="L30" s="10">
        <v>14.13</v>
      </c>
      <c r="M30" s="10">
        <v>14.63</v>
      </c>
      <c r="N30" s="10">
        <v>14.39</v>
      </c>
      <c r="O30" s="10">
        <v>13.53</v>
      </c>
      <c r="P30" s="10">
        <v>12.42</v>
      </c>
      <c r="Q30" s="10">
        <v>11.25</v>
      </c>
      <c r="R30" s="10">
        <v>10.23</v>
      </c>
      <c r="S30" s="10">
        <v>9.6999999999999993</v>
      </c>
      <c r="T30">
        <f t="shared" si="0"/>
        <v>146.19999999999999</v>
      </c>
    </row>
    <row r="31" spans="1:20">
      <c r="A31">
        <v>2019</v>
      </c>
      <c r="B31" t="s">
        <v>4</v>
      </c>
      <c r="C31" t="s">
        <v>111</v>
      </c>
      <c r="D31">
        <v>9.8699999999999992</v>
      </c>
      <c r="F31" s="8">
        <f t="shared" si="1"/>
        <v>30</v>
      </c>
      <c r="G31" s="10" t="s">
        <v>111</v>
      </c>
      <c r="H31" s="10">
        <v>9.8699999999999992</v>
      </c>
      <c r="I31" s="10">
        <v>10.78</v>
      </c>
      <c r="J31" s="10">
        <v>11.96</v>
      </c>
      <c r="K31" s="10">
        <v>13.18</v>
      </c>
      <c r="L31" s="10">
        <v>14.23</v>
      </c>
      <c r="M31" s="10">
        <v>14.76</v>
      </c>
      <c r="N31" s="10">
        <v>14.5</v>
      </c>
      <c r="O31" s="10">
        <v>13.6</v>
      </c>
      <c r="P31" s="10">
        <v>12.43</v>
      </c>
      <c r="Q31" s="10">
        <v>11.21</v>
      </c>
      <c r="R31" s="10">
        <v>10.15</v>
      </c>
      <c r="S31" s="10">
        <v>9.58</v>
      </c>
      <c r="T31">
        <f t="shared" si="0"/>
        <v>146.25000000000003</v>
      </c>
    </row>
    <row r="32" spans="1:20">
      <c r="A32">
        <v>2019</v>
      </c>
      <c r="B32" t="s">
        <v>4</v>
      </c>
      <c r="C32" t="s">
        <v>112</v>
      </c>
      <c r="D32">
        <v>9.44</v>
      </c>
      <c r="F32" s="8">
        <f t="shared" si="1"/>
        <v>31</v>
      </c>
      <c r="G32" s="10" t="s">
        <v>112</v>
      </c>
      <c r="H32" s="10">
        <v>9.44</v>
      </c>
      <c r="I32" s="10">
        <v>10.54</v>
      </c>
      <c r="J32" s="10">
        <v>11.94</v>
      </c>
      <c r="K32" s="10">
        <v>13.39</v>
      </c>
      <c r="L32" s="10">
        <v>14.64</v>
      </c>
      <c r="M32" s="10">
        <v>15.28</v>
      </c>
      <c r="N32" s="10">
        <v>14.98</v>
      </c>
      <c r="O32" s="10">
        <v>13.89</v>
      </c>
      <c r="P32" s="10">
        <v>12.5</v>
      </c>
      <c r="Q32" s="10">
        <v>11.05</v>
      </c>
      <c r="R32" s="10">
        <v>9.77</v>
      </c>
      <c r="S32" s="10">
        <v>9.09</v>
      </c>
      <c r="T32">
        <f t="shared" si="0"/>
        <v>146.51</v>
      </c>
    </row>
    <row r="33" spans="1:20">
      <c r="A33">
        <v>2019</v>
      </c>
      <c r="B33" t="s">
        <v>4</v>
      </c>
      <c r="C33" t="s">
        <v>113</v>
      </c>
      <c r="D33">
        <v>9.49</v>
      </c>
      <c r="F33" s="8">
        <f t="shared" si="1"/>
        <v>32</v>
      </c>
      <c r="G33" s="10" t="s">
        <v>113</v>
      </c>
      <c r="H33" s="10">
        <v>9.49</v>
      </c>
      <c r="I33" s="10">
        <v>10.57</v>
      </c>
      <c r="J33" s="10">
        <v>11.94</v>
      </c>
      <c r="K33" s="10">
        <v>13.37</v>
      </c>
      <c r="L33" s="10">
        <v>14.6</v>
      </c>
      <c r="M33" s="10">
        <v>15.22</v>
      </c>
      <c r="N33" s="10">
        <v>14.92</v>
      </c>
      <c r="O33" s="10">
        <v>13.86</v>
      </c>
      <c r="P33" s="10">
        <v>12.49</v>
      </c>
      <c r="Q33" s="10">
        <v>11.07</v>
      </c>
      <c r="R33" s="10">
        <v>9.81</v>
      </c>
      <c r="S33" s="10">
        <v>9.15</v>
      </c>
      <c r="T33">
        <f t="shared" si="0"/>
        <v>146.49</v>
      </c>
    </row>
    <row r="34" spans="1:20">
      <c r="A34">
        <v>2019</v>
      </c>
      <c r="B34" t="s">
        <v>4</v>
      </c>
      <c r="C34" t="s">
        <v>114</v>
      </c>
      <c r="D34">
        <v>9.39</v>
      </c>
      <c r="F34" s="8">
        <f t="shared" si="1"/>
        <v>33</v>
      </c>
      <c r="G34" s="10" t="s">
        <v>114</v>
      </c>
      <c r="H34" s="10">
        <v>9.39</v>
      </c>
      <c r="I34" s="10">
        <v>10.51</v>
      </c>
      <c r="J34" s="10">
        <v>11.93</v>
      </c>
      <c r="K34" s="10">
        <v>13.42</v>
      </c>
      <c r="L34" s="10">
        <v>14.69</v>
      </c>
      <c r="M34" s="10">
        <v>15.35</v>
      </c>
      <c r="N34" s="10">
        <v>15.03</v>
      </c>
      <c r="O34" s="10">
        <v>13.93</v>
      </c>
      <c r="P34" s="10">
        <v>12.5</v>
      </c>
      <c r="Q34" s="10">
        <v>11.03</v>
      </c>
      <c r="R34" s="10">
        <v>9.7200000000000006</v>
      </c>
      <c r="S34" s="10">
        <v>9.0299999999999994</v>
      </c>
      <c r="T34">
        <f t="shared" si="0"/>
        <v>146.53</v>
      </c>
    </row>
    <row r="35" spans="1:20">
      <c r="A35">
        <v>2019</v>
      </c>
      <c r="B35" t="s">
        <v>4</v>
      </c>
      <c r="C35" t="s">
        <v>36</v>
      </c>
      <c r="D35">
        <v>9.52</v>
      </c>
      <c r="F35" s="8">
        <f t="shared" si="1"/>
        <v>34</v>
      </c>
      <c r="G35" s="10" t="s">
        <v>36</v>
      </c>
      <c r="H35" s="10">
        <v>9.52</v>
      </c>
      <c r="I35" s="10">
        <v>10.59</v>
      </c>
      <c r="J35" s="10">
        <v>11.94</v>
      </c>
      <c r="K35" s="10">
        <v>13.36</v>
      </c>
      <c r="L35" s="10">
        <v>14.57</v>
      </c>
      <c r="M35" s="10">
        <v>15.19</v>
      </c>
      <c r="N35" s="10">
        <v>14.89</v>
      </c>
      <c r="O35" s="10">
        <v>13.84</v>
      </c>
      <c r="P35" s="10">
        <v>12.49</v>
      </c>
      <c r="Q35" s="10">
        <v>11.08</v>
      </c>
      <c r="R35" s="10">
        <v>9.84</v>
      </c>
      <c r="S35" s="10">
        <v>9.18</v>
      </c>
      <c r="T35">
        <f t="shared" si="0"/>
        <v>146.49</v>
      </c>
    </row>
    <row r="36" spans="1:20">
      <c r="A36">
        <v>2019</v>
      </c>
      <c r="B36" t="s">
        <v>4</v>
      </c>
      <c r="C36" t="s">
        <v>115</v>
      </c>
      <c r="D36">
        <v>10.59</v>
      </c>
      <c r="F36" s="8">
        <f t="shared" si="1"/>
        <v>35</v>
      </c>
      <c r="G36" s="10" t="s">
        <v>115</v>
      </c>
      <c r="H36" s="10">
        <v>10.59</v>
      </c>
      <c r="I36" s="10">
        <v>11.2</v>
      </c>
      <c r="J36" s="10">
        <v>12</v>
      </c>
      <c r="K36" s="10">
        <v>12.84</v>
      </c>
      <c r="L36" s="10">
        <v>13.54</v>
      </c>
      <c r="M36" s="10">
        <v>13.9</v>
      </c>
      <c r="N36" s="10">
        <v>13.73</v>
      </c>
      <c r="O36" s="10">
        <v>13.12</v>
      </c>
      <c r="P36" s="10">
        <v>12.32</v>
      </c>
      <c r="Q36" s="10">
        <v>11.49</v>
      </c>
      <c r="R36" s="10">
        <v>10.77</v>
      </c>
      <c r="S36" s="10">
        <v>10.4</v>
      </c>
      <c r="T36">
        <f t="shared" si="0"/>
        <v>145.9</v>
      </c>
    </row>
    <row r="37" spans="1:20">
      <c r="A37">
        <v>2019</v>
      </c>
      <c r="B37" t="s">
        <v>4</v>
      </c>
      <c r="C37" t="s">
        <v>116</v>
      </c>
      <c r="D37">
        <v>9.48</v>
      </c>
      <c r="F37" s="8">
        <f t="shared" si="1"/>
        <v>36</v>
      </c>
      <c r="G37" s="10" t="s">
        <v>116</v>
      </c>
      <c r="H37" s="10">
        <v>9.48</v>
      </c>
      <c r="I37" s="10">
        <v>10.56</v>
      </c>
      <c r="J37" s="10">
        <v>11.94</v>
      </c>
      <c r="K37" s="10">
        <v>13.38</v>
      </c>
      <c r="L37" s="10">
        <v>14.6</v>
      </c>
      <c r="M37" s="10">
        <v>15.24</v>
      </c>
      <c r="N37" s="10">
        <v>14.93</v>
      </c>
      <c r="O37" s="10">
        <v>13.86</v>
      </c>
      <c r="P37" s="10">
        <v>12.49</v>
      </c>
      <c r="Q37" s="10">
        <v>11.06</v>
      </c>
      <c r="R37" s="10">
        <v>9.8000000000000007</v>
      </c>
      <c r="S37" s="10">
        <v>9.14</v>
      </c>
      <c r="T37">
        <f t="shared" si="0"/>
        <v>146.48000000000002</v>
      </c>
    </row>
    <row r="38" spans="1:20">
      <c r="A38">
        <v>2019</v>
      </c>
      <c r="B38" t="s">
        <v>4</v>
      </c>
      <c r="C38" t="s">
        <v>24</v>
      </c>
      <c r="D38">
        <v>9.6199999999999992</v>
      </c>
      <c r="F38" s="8">
        <f t="shared" si="1"/>
        <v>37</v>
      </c>
      <c r="G38" s="10" t="s">
        <v>24</v>
      </c>
      <c r="H38" s="10">
        <v>9.6199999999999992</v>
      </c>
      <c r="I38" s="10">
        <v>10.64</v>
      </c>
      <c r="J38" s="10">
        <v>11.95</v>
      </c>
      <c r="K38" s="10">
        <v>13.31</v>
      </c>
      <c r="L38" s="10">
        <v>14.47</v>
      </c>
      <c r="M38" s="10">
        <v>15.07</v>
      </c>
      <c r="N38" s="10">
        <v>14.78</v>
      </c>
      <c r="O38" s="10">
        <v>13.77</v>
      </c>
      <c r="P38" s="10">
        <v>12.47</v>
      </c>
      <c r="Q38" s="10">
        <v>11.12</v>
      </c>
      <c r="R38" s="10">
        <v>9.92</v>
      </c>
      <c r="S38" s="10">
        <v>9.2899999999999991</v>
      </c>
      <c r="T38">
        <f t="shared" si="0"/>
        <v>146.41</v>
      </c>
    </row>
    <row r="39" spans="1:20">
      <c r="A39">
        <v>2019</v>
      </c>
      <c r="B39" t="s">
        <v>4</v>
      </c>
      <c r="C39" t="s">
        <v>117</v>
      </c>
      <c r="D39">
        <v>10.57</v>
      </c>
      <c r="F39" s="8">
        <f t="shared" si="1"/>
        <v>38</v>
      </c>
      <c r="G39" s="10" t="s">
        <v>117</v>
      </c>
      <c r="H39" s="10">
        <v>10.57</v>
      </c>
      <c r="I39" s="10">
        <v>11.19</v>
      </c>
      <c r="J39" s="10">
        <v>12</v>
      </c>
      <c r="K39" s="10">
        <v>12.85</v>
      </c>
      <c r="L39" s="10">
        <v>13.56</v>
      </c>
      <c r="M39" s="10">
        <v>13.92</v>
      </c>
      <c r="N39" s="10">
        <v>13.75</v>
      </c>
      <c r="O39" s="10">
        <v>13.13</v>
      </c>
      <c r="P39" s="10">
        <v>12.33</v>
      </c>
      <c r="Q39" s="10">
        <v>11.48</v>
      </c>
      <c r="R39" s="10">
        <v>10.75</v>
      </c>
      <c r="S39" s="10">
        <v>10.37</v>
      </c>
      <c r="T39">
        <f t="shared" si="0"/>
        <v>145.9</v>
      </c>
    </row>
    <row r="40" spans="1:20">
      <c r="A40">
        <v>2019</v>
      </c>
      <c r="B40" t="s">
        <v>4</v>
      </c>
      <c r="C40" t="s">
        <v>118</v>
      </c>
      <c r="D40">
        <v>9.3800000000000008</v>
      </c>
      <c r="F40" s="8">
        <f t="shared" si="1"/>
        <v>39</v>
      </c>
      <c r="G40" s="10" t="s">
        <v>118</v>
      </c>
      <c r="H40" s="10">
        <v>9.3800000000000008</v>
      </c>
      <c r="I40" s="10">
        <v>10.51</v>
      </c>
      <c r="J40" s="10">
        <v>11.93</v>
      </c>
      <c r="K40" s="10">
        <v>13.42</v>
      </c>
      <c r="L40" s="10">
        <v>14.7</v>
      </c>
      <c r="M40" s="10">
        <v>15.36</v>
      </c>
      <c r="N40" s="10">
        <v>15.05</v>
      </c>
      <c r="O40" s="10">
        <v>13.93</v>
      </c>
      <c r="P40" s="10">
        <v>12.51</v>
      </c>
      <c r="Q40" s="10">
        <v>11.03</v>
      </c>
      <c r="R40" s="10">
        <v>9.7200000000000006</v>
      </c>
      <c r="S40" s="10">
        <v>9.02</v>
      </c>
      <c r="T40">
        <f t="shared" si="0"/>
        <v>146.56000000000003</v>
      </c>
    </row>
    <row r="41" spans="1:20">
      <c r="A41">
        <v>2019</v>
      </c>
      <c r="B41" t="s">
        <v>4</v>
      </c>
      <c r="C41" t="s">
        <v>25</v>
      </c>
      <c r="D41">
        <v>9.6199999999999992</v>
      </c>
      <c r="F41" s="8">
        <f t="shared" si="1"/>
        <v>40</v>
      </c>
      <c r="G41" s="10" t="s">
        <v>25</v>
      </c>
      <c r="H41" s="10">
        <v>9.6199999999999992</v>
      </c>
      <c r="I41" s="10">
        <v>10.64</v>
      </c>
      <c r="J41" s="10">
        <v>11.94</v>
      </c>
      <c r="K41" s="10">
        <v>13.31</v>
      </c>
      <c r="L41" s="10">
        <v>14.47</v>
      </c>
      <c r="M41" s="10">
        <v>15.07</v>
      </c>
      <c r="N41" s="10">
        <v>14.78</v>
      </c>
      <c r="O41" s="10">
        <v>13.77</v>
      </c>
      <c r="P41" s="10">
        <v>12.46</v>
      </c>
      <c r="Q41" s="10">
        <v>11.12</v>
      </c>
      <c r="R41" s="10">
        <v>9.92</v>
      </c>
      <c r="S41" s="10">
        <v>9.2899999999999991</v>
      </c>
      <c r="T41">
        <f t="shared" si="0"/>
        <v>146.38999999999999</v>
      </c>
    </row>
    <row r="42" spans="1:20">
      <c r="A42">
        <v>2019</v>
      </c>
      <c r="B42" t="s">
        <v>4</v>
      </c>
      <c r="C42" t="s">
        <v>119</v>
      </c>
      <c r="D42">
        <v>9.92</v>
      </c>
      <c r="F42" s="8">
        <f t="shared" si="1"/>
        <v>41</v>
      </c>
      <c r="G42" s="10" t="s">
        <v>119</v>
      </c>
      <c r="H42" s="10">
        <v>9.92</v>
      </c>
      <c r="I42" s="10">
        <v>10.81</v>
      </c>
      <c r="J42" s="10">
        <v>11.96</v>
      </c>
      <c r="K42" s="10">
        <v>13.16</v>
      </c>
      <c r="L42" s="10">
        <v>14.18</v>
      </c>
      <c r="M42" s="10">
        <v>14.7</v>
      </c>
      <c r="N42" s="10">
        <v>14.45</v>
      </c>
      <c r="O42" s="10">
        <v>13.57</v>
      </c>
      <c r="P42" s="10">
        <v>12.42</v>
      </c>
      <c r="Q42" s="10">
        <v>11.23</v>
      </c>
      <c r="R42" s="10">
        <v>10.19</v>
      </c>
      <c r="S42" s="10">
        <v>9.64</v>
      </c>
      <c r="T42">
        <f t="shared" si="0"/>
        <v>146.23000000000002</v>
      </c>
    </row>
    <row r="43" spans="1:20">
      <c r="A43">
        <v>2019</v>
      </c>
      <c r="B43" t="s">
        <v>4</v>
      </c>
      <c r="C43" t="s">
        <v>26</v>
      </c>
      <c r="D43">
        <v>9.5399999999999991</v>
      </c>
      <c r="F43" s="8">
        <f t="shared" si="1"/>
        <v>42</v>
      </c>
      <c r="G43" s="10" t="s">
        <v>26</v>
      </c>
      <c r="H43" s="10">
        <v>9.5399999999999991</v>
      </c>
      <c r="I43" s="10">
        <v>10.6</v>
      </c>
      <c r="J43" s="10">
        <v>11.94</v>
      </c>
      <c r="K43" s="10">
        <v>13.35</v>
      </c>
      <c r="L43" s="10">
        <v>14.54</v>
      </c>
      <c r="M43" s="10">
        <v>15.16</v>
      </c>
      <c r="N43" s="10">
        <v>14.86</v>
      </c>
      <c r="O43" s="10">
        <v>13.82</v>
      </c>
      <c r="P43" s="10">
        <v>12.48</v>
      </c>
      <c r="Q43" s="10">
        <v>11.09</v>
      </c>
      <c r="R43" s="10">
        <v>9.86</v>
      </c>
      <c r="S43" s="10">
        <v>9.2100000000000009</v>
      </c>
      <c r="T43">
        <f t="shared" si="0"/>
        <v>146.45000000000002</v>
      </c>
    </row>
    <row r="44" spans="1:20">
      <c r="A44">
        <v>2019</v>
      </c>
      <c r="B44" t="s">
        <v>4</v>
      </c>
      <c r="C44" t="s">
        <v>120</v>
      </c>
      <c r="D44">
        <v>9.6</v>
      </c>
      <c r="F44" s="8">
        <f t="shared" si="1"/>
        <v>43</v>
      </c>
      <c r="G44" s="10" t="s">
        <v>120</v>
      </c>
      <c r="H44" s="10">
        <v>9.6</v>
      </c>
      <c r="I44" s="10">
        <v>10.63</v>
      </c>
      <c r="J44" s="10">
        <v>11.94</v>
      </c>
      <c r="K44" s="10">
        <v>13.32</v>
      </c>
      <c r="L44" s="10">
        <v>14.49</v>
      </c>
      <c r="M44" s="10">
        <v>15.09</v>
      </c>
      <c r="N44" s="10">
        <v>14.8</v>
      </c>
      <c r="O44" s="10">
        <v>13.79</v>
      </c>
      <c r="P44" s="10">
        <v>12.47</v>
      </c>
      <c r="Q44" s="10">
        <v>11.11</v>
      </c>
      <c r="R44" s="10">
        <v>9.91</v>
      </c>
      <c r="S44" s="10">
        <v>9.27</v>
      </c>
      <c r="T44">
        <f t="shared" si="0"/>
        <v>146.42000000000002</v>
      </c>
    </row>
    <row r="45" spans="1:20">
      <c r="A45">
        <v>2019</v>
      </c>
      <c r="B45" t="s">
        <v>4</v>
      </c>
      <c r="C45" t="s">
        <v>121</v>
      </c>
      <c r="D45">
        <v>9.67</v>
      </c>
      <c r="F45" s="8">
        <f t="shared" si="1"/>
        <v>44</v>
      </c>
      <c r="G45" s="10" t="s">
        <v>121</v>
      </c>
      <c r="H45" s="10">
        <v>9.67</v>
      </c>
      <c r="I45" s="10">
        <v>10.67</v>
      </c>
      <c r="J45" s="10">
        <v>11.95</v>
      </c>
      <c r="K45" s="10">
        <v>13.28</v>
      </c>
      <c r="L45" s="10">
        <v>14.42</v>
      </c>
      <c r="M45" s="10">
        <v>15</v>
      </c>
      <c r="N45" s="10">
        <v>14.72</v>
      </c>
      <c r="O45" s="10">
        <v>13.74</v>
      </c>
      <c r="P45" s="10">
        <v>12.47</v>
      </c>
      <c r="Q45" s="10">
        <v>11.14</v>
      </c>
      <c r="R45" s="10">
        <v>9.9700000000000006</v>
      </c>
      <c r="S45" s="10">
        <v>9.35</v>
      </c>
      <c r="T45">
        <f t="shared" si="0"/>
        <v>146.38</v>
      </c>
    </row>
    <row r="46" spans="1:20">
      <c r="A46">
        <v>2019</v>
      </c>
      <c r="B46" t="s">
        <v>4</v>
      </c>
      <c r="C46" t="s">
        <v>122</v>
      </c>
      <c r="D46">
        <v>9.7100000000000009</v>
      </c>
      <c r="F46" s="8">
        <f t="shared" si="1"/>
        <v>45</v>
      </c>
      <c r="G46" s="10" t="s">
        <v>122</v>
      </c>
      <c r="H46" s="10">
        <v>9.7100000000000009</v>
      </c>
      <c r="I46" s="10">
        <v>10.7</v>
      </c>
      <c r="J46" s="10">
        <v>11.95</v>
      </c>
      <c r="K46" s="10">
        <v>13.26</v>
      </c>
      <c r="L46" s="10">
        <v>14.38</v>
      </c>
      <c r="M46" s="10">
        <v>14.95</v>
      </c>
      <c r="N46" s="10">
        <v>14.68</v>
      </c>
      <c r="O46" s="10">
        <v>13.71</v>
      </c>
      <c r="P46" s="10">
        <v>12.46</v>
      </c>
      <c r="Q46" s="10">
        <v>11.15</v>
      </c>
      <c r="R46" s="10">
        <v>10.01</v>
      </c>
      <c r="S46" s="10">
        <v>9.4</v>
      </c>
      <c r="T46">
        <f t="shared" si="0"/>
        <v>146.36000000000001</v>
      </c>
    </row>
    <row r="47" spans="1:20">
      <c r="A47">
        <v>2019</v>
      </c>
      <c r="B47" t="s">
        <v>4</v>
      </c>
      <c r="C47" t="s">
        <v>123</v>
      </c>
      <c r="D47">
        <v>9.75</v>
      </c>
      <c r="F47" s="8">
        <f t="shared" si="1"/>
        <v>46</v>
      </c>
      <c r="G47" s="10" t="s">
        <v>123</v>
      </c>
      <c r="H47" s="10">
        <v>9.75</v>
      </c>
      <c r="I47" s="10">
        <v>10.72</v>
      </c>
      <c r="J47" s="10">
        <v>11.95</v>
      </c>
      <c r="K47" s="10">
        <v>13.25</v>
      </c>
      <c r="L47" s="10">
        <v>14.35</v>
      </c>
      <c r="M47" s="10">
        <v>14.91</v>
      </c>
      <c r="N47" s="10">
        <v>14.64</v>
      </c>
      <c r="O47" s="10">
        <v>13.69</v>
      </c>
      <c r="P47" s="10">
        <v>12.45</v>
      </c>
      <c r="Q47" s="10">
        <v>11.17</v>
      </c>
      <c r="R47" s="10">
        <v>10.029999999999999</v>
      </c>
      <c r="S47" s="10">
        <v>9.44</v>
      </c>
      <c r="T47">
        <f t="shared" si="0"/>
        <v>146.35</v>
      </c>
    </row>
    <row r="48" spans="1:20">
      <c r="A48">
        <v>2019</v>
      </c>
      <c r="B48" t="s">
        <v>4</v>
      </c>
      <c r="C48" t="s">
        <v>27</v>
      </c>
      <c r="D48">
        <v>9.5500000000000007</v>
      </c>
      <c r="F48" s="8">
        <f t="shared" si="1"/>
        <v>47</v>
      </c>
      <c r="G48" s="10" t="s">
        <v>27</v>
      </c>
      <c r="H48" s="10">
        <v>9.5500000000000007</v>
      </c>
      <c r="I48" s="10">
        <v>10.61</v>
      </c>
      <c r="J48" s="10">
        <v>11.94</v>
      </c>
      <c r="K48" s="10">
        <v>13.34</v>
      </c>
      <c r="L48" s="10">
        <v>14.53</v>
      </c>
      <c r="M48" s="10">
        <v>15.14</v>
      </c>
      <c r="N48" s="10">
        <v>14.85</v>
      </c>
      <c r="O48" s="10">
        <v>13.82</v>
      </c>
      <c r="P48" s="10">
        <v>12.48</v>
      </c>
      <c r="Q48" s="10">
        <v>11.09</v>
      </c>
      <c r="R48" s="10">
        <v>9.8699999999999992</v>
      </c>
      <c r="S48" s="10">
        <v>9.2200000000000006</v>
      </c>
      <c r="T48">
        <f t="shared" si="0"/>
        <v>146.44</v>
      </c>
    </row>
    <row r="49" spans="1:20">
      <c r="A49">
        <v>2019</v>
      </c>
      <c r="B49" t="s">
        <v>4</v>
      </c>
      <c r="C49" t="s">
        <v>124</v>
      </c>
      <c r="D49">
        <v>9.4</v>
      </c>
      <c r="F49" s="8">
        <f t="shared" si="1"/>
        <v>48</v>
      </c>
      <c r="G49" s="10" t="s">
        <v>124</v>
      </c>
      <c r="H49" s="10">
        <v>9.4</v>
      </c>
      <c r="I49" s="10">
        <v>10.52</v>
      </c>
      <c r="J49" s="10">
        <v>11.93</v>
      </c>
      <c r="K49" s="10">
        <v>13.41</v>
      </c>
      <c r="L49" s="10">
        <v>14.68</v>
      </c>
      <c r="M49" s="10">
        <v>15.34</v>
      </c>
      <c r="N49" s="10">
        <v>15.02</v>
      </c>
      <c r="O49" s="10">
        <v>13.92</v>
      </c>
      <c r="P49" s="10">
        <v>12.5</v>
      </c>
      <c r="Q49" s="10">
        <v>11.03</v>
      </c>
      <c r="R49" s="10">
        <v>9.73</v>
      </c>
      <c r="S49" s="10">
        <v>9.0399999999999991</v>
      </c>
      <c r="T49">
        <f t="shared" si="0"/>
        <v>146.51999999999998</v>
      </c>
    </row>
    <row r="50" spans="1:20">
      <c r="A50">
        <v>2019</v>
      </c>
      <c r="B50" t="s">
        <v>4</v>
      </c>
      <c r="C50" t="s">
        <v>28</v>
      </c>
      <c r="D50">
        <v>9.57</v>
      </c>
      <c r="F50" s="8">
        <f t="shared" si="1"/>
        <v>49</v>
      </c>
      <c r="G50" s="10" t="s">
        <v>28</v>
      </c>
      <c r="H50" s="10">
        <v>9.57</v>
      </c>
      <c r="I50" s="10">
        <v>10.61</v>
      </c>
      <c r="J50" s="10">
        <v>11.94</v>
      </c>
      <c r="K50" s="10">
        <v>13.33</v>
      </c>
      <c r="L50" s="10">
        <v>14.52</v>
      </c>
      <c r="M50" s="10">
        <v>15.13</v>
      </c>
      <c r="N50" s="10">
        <v>14.84</v>
      </c>
      <c r="O50" s="10">
        <v>13.81</v>
      </c>
      <c r="P50" s="10">
        <v>12.48</v>
      </c>
      <c r="Q50" s="10">
        <v>11.1</v>
      </c>
      <c r="R50" s="10">
        <v>9.8800000000000008</v>
      </c>
      <c r="S50" s="10">
        <v>9.23</v>
      </c>
      <c r="T50">
        <f t="shared" si="0"/>
        <v>146.44</v>
      </c>
    </row>
    <row r="51" spans="1:20">
      <c r="A51">
        <v>2019</v>
      </c>
      <c r="B51" t="s">
        <v>4</v>
      </c>
      <c r="C51" t="s">
        <v>125</v>
      </c>
      <c r="D51">
        <v>9.5500000000000007</v>
      </c>
      <c r="F51" s="8">
        <f t="shared" si="1"/>
        <v>50</v>
      </c>
      <c r="G51" s="10" t="s">
        <v>125</v>
      </c>
      <c r="H51" s="10">
        <v>9.5500000000000007</v>
      </c>
      <c r="I51" s="10">
        <v>10.6</v>
      </c>
      <c r="J51" s="10">
        <v>11.94</v>
      </c>
      <c r="K51" s="10">
        <v>13.34</v>
      </c>
      <c r="L51" s="10">
        <v>14.53</v>
      </c>
      <c r="M51" s="10">
        <v>15.15</v>
      </c>
      <c r="N51" s="10">
        <v>14.85</v>
      </c>
      <c r="O51" s="10">
        <v>13.82</v>
      </c>
      <c r="P51" s="10">
        <v>12.48</v>
      </c>
      <c r="Q51" s="10">
        <v>11.09</v>
      </c>
      <c r="R51" s="10">
        <v>9.8699999999999992</v>
      </c>
      <c r="S51" s="10">
        <v>9.2200000000000006</v>
      </c>
      <c r="T51">
        <f t="shared" si="0"/>
        <v>146.44</v>
      </c>
    </row>
    <row r="52" spans="1:20">
      <c r="A52">
        <v>2019</v>
      </c>
      <c r="B52" t="s">
        <v>4</v>
      </c>
      <c r="C52" t="s">
        <v>126</v>
      </c>
      <c r="D52">
        <v>10.039999999999999</v>
      </c>
      <c r="F52" s="8">
        <f t="shared" si="1"/>
        <v>51</v>
      </c>
      <c r="G52" s="10" t="s">
        <v>126</v>
      </c>
      <c r="H52" s="10">
        <v>10.039999999999999</v>
      </c>
      <c r="I52" s="10">
        <v>10.88</v>
      </c>
      <c r="J52" s="10">
        <v>11.97</v>
      </c>
      <c r="K52" s="10">
        <v>13.1</v>
      </c>
      <c r="L52" s="10">
        <v>14.07</v>
      </c>
      <c r="M52" s="10">
        <v>14.56</v>
      </c>
      <c r="N52" s="10">
        <v>14.32</v>
      </c>
      <c r="O52" s="10">
        <v>13.49</v>
      </c>
      <c r="P52" s="10">
        <v>12.41</v>
      </c>
      <c r="Q52" s="10">
        <v>11.28</v>
      </c>
      <c r="R52" s="10">
        <v>10.29</v>
      </c>
      <c r="S52" s="10">
        <v>9.77</v>
      </c>
      <c r="T52">
        <f t="shared" si="0"/>
        <v>146.18</v>
      </c>
    </row>
    <row r="53" spans="1:20">
      <c r="A53">
        <v>2019</v>
      </c>
      <c r="B53" t="s">
        <v>4</v>
      </c>
      <c r="C53" t="s">
        <v>127</v>
      </c>
      <c r="D53">
        <v>10.08</v>
      </c>
      <c r="F53" s="8">
        <f t="shared" si="1"/>
        <v>52</v>
      </c>
      <c r="G53" s="10" t="s">
        <v>127</v>
      </c>
      <c r="H53" s="10">
        <v>10.08</v>
      </c>
      <c r="I53" s="10">
        <v>10.91</v>
      </c>
      <c r="J53" s="10">
        <v>11.97</v>
      </c>
      <c r="K53" s="10">
        <v>13.08</v>
      </c>
      <c r="L53" s="10">
        <v>14.02</v>
      </c>
      <c r="M53" s="10">
        <v>14.5</v>
      </c>
      <c r="N53" s="10">
        <v>14.27</v>
      </c>
      <c r="O53" s="10">
        <v>13.46</v>
      </c>
      <c r="P53" s="10">
        <v>12.4</v>
      </c>
      <c r="Q53" s="10">
        <v>11.3</v>
      </c>
      <c r="R53" s="10">
        <v>10.33</v>
      </c>
      <c r="S53" s="10">
        <v>9.83</v>
      </c>
      <c r="T53">
        <f t="shared" si="0"/>
        <v>146.15</v>
      </c>
    </row>
    <row r="54" spans="1:20">
      <c r="A54">
        <v>2019</v>
      </c>
      <c r="B54" t="s">
        <v>5</v>
      </c>
      <c r="C54" t="s">
        <v>85</v>
      </c>
      <c r="D54">
        <v>10.54</v>
      </c>
    </row>
    <row r="55" spans="1:20">
      <c r="A55">
        <v>2019</v>
      </c>
      <c r="B55" t="s">
        <v>5</v>
      </c>
      <c r="C55" t="s">
        <v>86</v>
      </c>
      <c r="D55">
        <v>10.74</v>
      </c>
    </row>
    <row r="56" spans="1:20">
      <c r="A56">
        <v>2019</v>
      </c>
      <c r="B56" t="s">
        <v>5</v>
      </c>
      <c r="C56" t="s">
        <v>87</v>
      </c>
      <c r="D56">
        <v>10.77</v>
      </c>
      <c r="K56">
        <v>158</v>
      </c>
      <c r="L56">
        <v>210</v>
      </c>
      <c r="M56">
        <v>262</v>
      </c>
      <c r="N56">
        <v>314</v>
      </c>
      <c r="O56">
        <v>366</v>
      </c>
      <c r="P56">
        <v>418</v>
      </c>
      <c r="Q56">
        <v>470</v>
      </c>
      <c r="R56">
        <v>522</v>
      </c>
      <c r="S56">
        <v>574</v>
      </c>
      <c r="T56">
        <v>626</v>
      </c>
    </row>
    <row r="57" spans="1:20">
      <c r="A57">
        <v>2019</v>
      </c>
      <c r="B57" t="s">
        <v>5</v>
      </c>
      <c r="C57" t="s">
        <v>88</v>
      </c>
      <c r="D57">
        <v>10.84</v>
      </c>
      <c r="K57">
        <v>159</v>
      </c>
      <c r="L57">
        <v>211</v>
      </c>
      <c r="M57">
        <v>263</v>
      </c>
      <c r="N57">
        <v>315</v>
      </c>
      <c r="O57">
        <v>367</v>
      </c>
      <c r="P57">
        <v>419</v>
      </c>
      <c r="Q57">
        <v>471</v>
      </c>
      <c r="R57">
        <v>523</v>
      </c>
      <c r="S57">
        <v>575</v>
      </c>
      <c r="T57">
        <v>627</v>
      </c>
    </row>
    <row r="58" spans="1:20">
      <c r="A58">
        <v>2019</v>
      </c>
      <c r="B58" t="s">
        <v>5</v>
      </c>
      <c r="C58" t="s">
        <v>21</v>
      </c>
      <c r="D58">
        <v>10.66</v>
      </c>
      <c r="K58">
        <v>160</v>
      </c>
      <c r="L58">
        <v>212</v>
      </c>
      <c r="M58">
        <v>264</v>
      </c>
      <c r="N58">
        <v>316</v>
      </c>
      <c r="O58">
        <v>368</v>
      </c>
      <c r="P58">
        <v>420</v>
      </c>
      <c r="Q58">
        <v>472</v>
      </c>
      <c r="R58">
        <v>524</v>
      </c>
      <c r="S58">
        <v>576</v>
      </c>
      <c r="T58">
        <v>628</v>
      </c>
    </row>
    <row r="59" spans="1:20">
      <c r="A59">
        <v>2019</v>
      </c>
      <c r="B59" t="s">
        <v>5</v>
      </c>
      <c r="C59" t="s">
        <v>89</v>
      </c>
      <c r="D59">
        <v>10.74</v>
      </c>
      <c r="K59">
        <v>161</v>
      </c>
      <c r="L59">
        <v>213</v>
      </c>
      <c r="M59">
        <v>265</v>
      </c>
      <c r="N59">
        <v>317</v>
      </c>
      <c r="O59">
        <v>369</v>
      </c>
      <c r="P59">
        <v>421</v>
      </c>
      <c r="Q59">
        <v>473</v>
      </c>
      <c r="R59">
        <v>525</v>
      </c>
      <c r="S59">
        <v>577</v>
      </c>
      <c r="T59">
        <v>629</v>
      </c>
    </row>
    <row r="60" spans="1:20">
      <c r="A60">
        <v>2019</v>
      </c>
      <c r="B60" t="s">
        <v>5</v>
      </c>
      <c r="C60" t="s">
        <v>90</v>
      </c>
      <c r="D60">
        <v>10.71</v>
      </c>
      <c r="K60">
        <v>162</v>
      </c>
      <c r="L60">
        <v>214</v>
      </c>
      <c r="M60">
        <v>266</v>
      </c>
      <c r="N60">
        <v>318</v>
      </c>
      <c r="O60">
        <v>370</v>
      </c>
      <c r="P60">
        <v>422</v>
      </c>
      <c r="Q60">
        <v>474</v>
      </c>
      <c r="R60">
        <v>526</v>
      </c>
      <c r="S60">
        <v>578</v>
      </c>
      <c r="T60">
        <v>630</v>
      </c>
    </row>
    <row r="61" spans="1:20">
      <c r="A61">
        <v>2019</v>
      </c>
      <c r="B61" t="s">
        <v>5</v>
      </c>
      <c r="C61" t="s">
        <v>91</v>
      </c>
      <c r="D61">
        <v>10.62</v>
      </c>
      <c r="K61">
        <v>163</v>
      </c>
      <c r="L61">
        <v>215</v>
      </c>
      <c r="M61">
        <v>267</v>
      </c>
      <c r="N61">
        <v>319</v>
      </c>
      <c r="O61">
        <v>371</v>
      </c>
      <c r="P61">
        <v>423</v>
      </c>
      <c r="Q61">
        <v>475</v>
      </c>
      <c r="R61">
        <v>527</v>
      </c>
      <c r="S61">
        <v>579</v>
      </c>
      <c r="T61">
        <v>631</v>
      </c>
    </row>
    <row r="62" spans="1:20">
      <c r="A62">
        <v>2019</v>
      </c>
      <c r="B62" t="s">
        <v>5</v>
      </c>
      <c r="C62" t="s">
        <v>22</v>
      </c>
      <c r="D62">
        <v>10.57</v>
      </c>
      <c r="K62">
        <v>164</v>
      </c>
      <c r="L62">
        <v>216</v>
      </c>
      <c r="M62">
        <v>268</v>
      </c>
      <c r="N62">
        <v>320</v>
      </c>
      <c r="O62">
        <v>372</v>
      </c>
      <c r="P62">
        <v>424</v>
      </c>
      <c r="Q62">
        <v>476</v>
      </c>
      <c r="R62">
        <v>528</v>
      </c>
      <c r="S62">
        <v>580</v>
      </c>
      <c r="T62">
        <v>632</v>
      </c>
    </row>
    <row r="63" spans="1:20">
      <c r="A63">
        <v>2019</v>
      </c>
      <c r="B63" t="s">
        <v>5</v>
      </c>
      <c r="C63" t="s">
        <v>92</v>
      </c>
      <c r="D63">
        <v>10.72</v>
      </c>
      <c r="K63">
        <v>165</v>
      </c>
      <c r="L63">
        <v>217</v>
      </c>
      <c r="M63">
        <v>269</v>
      </c>
      <c r="N63">
        <v>321</v>
      </c>
      <c r="O63">
        <v>373</v>
      </c>
      <c r="P63">
        <v>425</v>
      </c>
      <c r="Q63">
        <v>477</v>
      </c>
      <c r="R63">
        <v>529</v>
      </c>
      <c r="S63">
        <v>581</v>
      </c>
      <c r="T63">
        <v>633</v>
      </c>
    </row>
    <row r="64" spans="1:20">
      <c r="A64">
        <v>2019</v>
      </c>
      <c r="B64" t="s">
        <v>5</v>
      </c>
      <c r="C64" t="s">
        <v>93</v>
      </c>
      <c r="D64">
        <v>10.85</v>
      </c>
      <c r="K64">
        <v>166</v>
      </c>
      <c r="L64">
        <v>218</v>
      </c>
      <c r="M64">
        <v>270</v>
      </c>
      <c r="N64">
        <v>322</v>
      </c>
      <c r="O64">
        <v>374</v>
      </c>
      <c r="P64">
        <v>426</v>
      </c>
      <c r="Q64">
        <v>478</v>
      </c>
      <c r="R64">
        <v>530</v>
      </c>
      <c r="S64">
        <v>582</v>
      </c>
      <c r="T64">
        <v>634</v>
      </c>
    </row>
    <row r="65" spans="1:20">
      <c r="A65">
        <v>2019</v>
      </c>
      <c r="B65" t="s">
        <v>5</v>
      </c>
      <c r="C65" t="s">
        <v>94</v>
      </c>
      <c r="D65">
        <v>10.69</v>
      </c>
      <c r="K65">
        <v>167</v>
      </c>
      <c r="L65">
        <v>219</v>
      </c>
      <c r="M65">
        <v>271</v>
      </c>
      <c r="N65">
        <v>323</v>
      </c>
      <c r="O65">
        <v>375</v>
      </c>
      <c r="P65">
        <v>427</v>
      </c>
      <c r="Q65">
        <v>479</v>
      </c>
      <c r="R65">
        <v>531</v>
      </c>
      <c r="S65">
        <v>583</v>
      </c>
      <c r="T65">
        <v>635</v>
      </c>
    </row>
    <row r="66" spans="1:20">
      <c r="A66">
        <v>2019</v>
      </c>
      <c r="B66" t="s">
        <v>5</v>
      </c>
      <c r="C66" t="s">
        <v>95</v>
      </c>
      <c r="D66">
        <v>10.74</v>
      </c>
      <c r="K66">
        <v>168</v>
      </c>
      <c r="L66">
        <v>220</v>
      </c>
      <c r="M66">
        <v>272</v>
      </c>
      <c r="N66">
        <v>324</v>
      </c>
      <c r="O66">
        <v>376</v>
      </c>
      <c r="P66">
        <v>428</v>
      </c>
      <c r="Q66">
        <v>480</v>
      </c>
      <c r="R66">
        <v>532</v>
      </c>
      <c r="S66">
        <v>584</v>
      </c>
      <c r="T66">
        <v>636</v>
      </c>
    </row>
    <row r="67" spans="1:20">
      <c r="A67">
        <v>2019</v>
      </c>
      <c r="B67" t="s">
        <v>5</v>
      </c>
      <c r="C67" t="s">
        <v>96</v>
      </c>
      <c r="D67">
        <v>10.79</v>
      </c>
      <c r="K67">
        <v>169</v>
      </c>
      <c r="L67">
        <v>221</v>
      </c>
      <c r="M67">
        <v>273</v>
      </c>
      <c r="N67">
        <v>325</v>
      </c>
      <c r="O67">
        <v>377</v>
      </c>
      <c r="P67">
        <v>429</v>
      </c>
      <c r="Q67">
        <v>481</v>
      </c>
      <c r="R67">
        <v>533</v>
      </c>
      <c r="S67">
        <v>585</v>
      </c>
      <c r="T67">
        <v>637</v>
      </c>
    </row>
    <row r="68" spans="1:20">
      <c r="A68">
        <v>2019</v>
      </c>
      <c r="B68" t="s">
        <v>5</v>
      </c>
      <c r="C68" t="s">
        <v>97</v>
      </c>
      <c r="D68">
        <v>10.51</v>
      </c>
      <c r="K68">
        <v>170</v>
      </c>
      <c r="L68">
        <v>222</v>
      </c>
      <c r="M68">
        <v>274</v>
      </c>
      <c r="N68">
        <v>326</v>
      </c>
      <c r="O68">
        <v>378</v>
      </c>
      <c r="P68">
        <v>430</v>
      </c>
      <c r="Q68">
        <v>482</v>
      </c>
      <c r="R68">
        <v>534</v>
      </c>
      <c r="S68">
        <v>586</v>
      </c>
      <c r="T68">
        <v>638</v>
      </c>
    </row>
    <row r="69" spans="1:20">
      <c r="A69">
        <v>2019</v>
      </c>
      <c r="B69" t="s">
        <v>5</v>
      </c>
      <c r="C69" t="s">
        <v>98</v>
      </c>
      <c r="D69">
        <v>10.68</v>
      </c>
      <c r="K69">
        <v>171</v>
      </c>
      <c r="L69">
        <v>223</v>
      </c>
      <c r="M69">
        <v>275</v>
      </c>
      <c r="N69">
        <v>327</v>
      </c>
      <c r="O69">
        <v>379</v>
      </c>
      <c r="P69">
        <v>431</v>
      </c>
      <c r="Q69">
        <v>483</v>
      </c>
      <c r="R69">
        <v>535</v>
      </c>
      <c r="S69">
        <v>587</v>
      </c>
      <c r="T69">
        <v>639</v>
      </c>
    </row>
    <row r="70" spans="1:20">
      <c r="A70">
        <v>2019</v>
      </c>
      <c r="B70" t="s">
        <v>5</v>
      </c>
      <c r="C70" t="s">
        <v>99</v>
      </c>
      <c r="D70">
        <v>10.59</v>
      </c>
      <c r="K70">
        <v>172</v>
      </c>
      <c r="L70">
        <v>224</v>
      </c>
      <c r="M70">
        <v>276</v>
      </c>
      <c r="N70">
        <v>328</v>
      </c>
      <c r="O70">
        <v>380</v>
      </c>
      <c r="P70">
        <v>432</v>
      </c>
      <c r="Q70">
        <v>484</v>
      </c>
      <c r="R70">
        <v>536</v>
      </c>
      <c r="S70">
        <v>588</v>
      </c>
      <c r="T70">
        <v>640</v>
      </c>
    </row>
    <row r="71" spans="1:20">
      <c r="A71">
        <v>2019</v>
      </c>
      <c r="B71" t="s">
        <v>5</v>
      </c>
      <c r="C71" t="s">
        <v>100</v>
      </c>
      <c r="D71">
        <v>10.83</v>
      </c>
      <c r="K71">
        <v>173</v>
      </c>
      <c r="L71">
        <v>225</v>
      </c>
      <c r="M71">
        <v>277</v>
      </c>
      <c r="N71">
        <v>329</v>
      </c>
      <c r="O71">
        <v>381</v>
      </c>
      <c r="P71">
        <v>433</v>
      </c>
      <c r="Q71">
        <v>485</v>
      </c>
      <c r="R71">
        <v>537</v>
      </c>
      <c r="S71">
        <v>589</v>
      </c>
      <c r="T71">
        <v>641</v>
      </c>
    </row>
    <row r="72" spans="1:20">
      <c r="A72">
        <v>2019</v>
      </c>
      <c r="B72" t="s">
        <v>5</v>
      </c>
      <c r="C72" t="s">
        <v>101</v>
      </c>
      <c r="D72">
        <v>10.66</v>
      </c>
      <c r="K72">
        <v>174</v>
      </c>
      <c r="L72">
        <v>226</v>
      </c>
      <c r="M72">
        <v>278</v>
      </c>
      <c r="N72">
        <v>330</v>
      </c>
      <c r="O72">
        <v>382</v>
      </c>
      <c r="P72">
        <v>434</v>
      </c>
      <c r="Q72">
        <v>486</v>
      </c>
      <c r="R72">
        <v>538</v>
      </c>
      <c r="S72">
        <v>590</v>
      </c>
      <c r="T72">
        <v>642</v>
      </c>
    </row>
    <row r="73" spans="1:20">
      <c r="A73">
        <v>2019</v>
      </c>
      <c r="B73" t="s">
        <v>5</v>
      </c>
      <c r="C73" t="s">
        <v>102</v>
      </c>
      <c r="D73">
        <v>10.51</v>
      </c>
      <c r="K73">
        <v>175</v>
      </c>
      <c r="L73">
        <v>227</v>
      </c>
      <c r="M73">
        <v>279</v>
      </c>
      <c r="N73">
        <v>331</v>
      </c>
      <c r="O73">
        <v>383</v>
      </c>
      <c r="P73">
        <v>435</v>
      </c>
      <c r="Q73">
        <v>487</v>
      </c>
      <c r="R73">
        <v>539</v>
      </c>
      <c r="S73">
        <v>591</v>
      </c>
      <c r="T73">
        <v>643</v>
      </c>
    </row>
    <row r="74" spans="1:20">
      <c r="A74">
        <v>2019</v>
      </c>
      <c r="B74" t="s">
        <v>5</v>
      </c>
      <c r="C74" t="s">
        <v>103</v>
      </c>
      <c r="D74">
        <v>10.82</v>
      </c>
      <c r="K74">
        <v>176</v>
      </c>
      <c r="L74">
        <v>228</v>
      </c>
      <c r="M74">
        <v>280</v>
      </c>
      <c r="N74">
        <v>332</v>
      </c>
      <c r="O74">
        <v>384</v>
      </c>
      <c r="P74">
        <v>436</v>
      </c>
      <c r="Q74">
        <v>488</v>
      </c>
      <c r="R74">
        <v>540</v>
      </c>
      <c r="S74">
        <v>592</v>
      </c>
      <c r="T74">
        <v>644</v>
      </c>
    </row>
    <row r="75" spans="1:20">
      <c r="A75">
        <v>2019</v>
      </c>
      <c r="B75" t="s">
        <v>5</v>
      </c>
      <c r="C75" t="s">
        <v>104</v>
      </c>
      <c r="D75">
        <v>10.58</v>
      </c>
      <c r="K75">
        <v>177</v>
      </c>
      <c r="L75">
        <v>229</v>
      </c>
      <c r="M75">
        <v>281</v>
      </c>
      <c r="N75">
        <v>333</v>
      </c>
      <c r="O75">
        <v>385</v>
      </c>
      <c r="P75">
        <v>437</v>
      </c>
      <c r="Q75">
        <v>489</v>
      </c>
      <c r="R75">
        <v>541</v>
      </c>
      <c r="S75">
        <v>593</v>
      </c>
      <c r="T75">
        <v>645</v>
      </c>
    </row>
    <row r="76" spans="1:20">
      <c r="A76">
        <v>2019</v>
      </c>
      <c r="B76" t="s">
        <v>5</v>
      </c>
      <c r="C76" t="s">
        <v>105</v>
      </c>
      <c r="D76">
        <v>10.8</v>
      </c>
      <c r="K76">
        <v>178</v>
      </c>
      <c r="L76">
        <v>230</v>
      </c>
      <c r="M76">
        <v>282</v>
      </c>
      <c r="N76">
        <v>334</v>
      </c>
      <c r="O76">
        <v>386</v>
      </c>
      <c r="P76">
        <v>438</v>
      </c>
      <c r="Q76">
        <v>490</v>
      </c>
      <c r="R76">
        <v>542</v>
      </c>
      <c r="S76">
        <v>594</v>
      </c>
      <c r="T76">
        <v>646</v>
      </c>
    </row>
    <row r="77" spans="1:20">
      <c r="A77">
        <v>2019</v>
      </c>
      <c r="B77" t="s">
        <v>5</v>
      </c>
      <c r="C77" t="s">
        <v>23</v>
      </c>
      <c r="D77">
        <v>10.55</v>
      </c>
      <c r="K77">
        <v>179</v>
      </c>
      <c r="L77">
        <v>231</v>
      </c>
      <c r="M77">
        <v>283</v>
      </c>
      <c r="N77">
        <v>335</v>
      </c>
      <c r="O77">
        <v>387</v>
      </c>
      <c r="P77">
        <v>439</v>
      </c>
      <c r="Q77">
        <v>491</v>
      </c>
      <c r="R77">
        <v>543</v>
      </c>
      <c r="S77">
        <v>595</v>
      </c>
      <c r="T77">
        <v>647</v>
      </c>
    </row>
    <row r="78" spans="1:20">
      <c r="A78">
        <v>2019</v>
      </c>
      <c r="B78" t="s">
        <v>5</v>
      </c>
      <c r="C78" t="s">
        <v>106</v>
      </c>
      <c r="D78">
        <v>10.6</v>
      </c>
      <c r="K78">
        <v>180</v>
      </c>
      <c r="L78">
        <v>232</v>
      </c>
      <c r="M78">
        <v>284</v>
      </c>
      <c r="N78">
        <v>336</v>
      </c>
      <c r="O78">
        <v>388</v>
      </c>
      <c r="P78">
        <v>440</v>
      </c>
      <c r="Q78">
        <v>492</v>
      </c>
      <c r="R78">
        <v>544</v>
      </c>
      <c r="S78">
        <v>596</v>
      </c>
      <c r="T78">
        <v>648</v>
      </c>
    </row>
    <row r="79" spans="1:20">
      <c r="A79">
        <v>2019</v>
      </c>
      <c r="B79" t="s">
        <v>5</v>
      </c>
      <c r="C79" t="s">
        <v>107</v>
      </c>
      <c r="D79">
        <v>10.56</v>
      </c>
      <c r="K79">
        <v>181</v>
      </c>
      <c r="L79">
        <v>233</v>
      </c>
      <c r="M79">
        <v>285</v>
      </c>
      <c r="N79">
        <v>337</v>
      </c>
      <c r="O79">
        <v>389</v>
      </c>
      <c r="P79">
        <v>441</v>
      </c>
      <c r="Q79">
        <v>493</v>
      </c>
      <c r="R79">
        <v>545</v>
      </c>
      <c r="S79">
        <v>597</v>
      </c>
      <c r="T79">
        <v>649</v>
      </c>
    </row>
    <row r="80" spans="1:20">
      <c r="A80">
        <v>2019</v>
      </c>
      <c r="B80" t="s">
        <v>5</v>
      </c>
      <c r="C80" t="s">
        <v>108</v>
      </c>
      <c r="D80">
        <v>10.53</v>
      </c>
      <c r="K80">
        <v>182</v>
      </c>
      <c r="L80">
        <v>234</v>
      </c>
      <c r="M80">
        <v>286</v>
      </c>
      <c r="N80">
        <v>338</v>
      </c>
      <c r="O80">
        <v>390</v>
      </c>
      <c r="P80">
        <v>442</v>
      </c>
      <c r="Q80">
        <v>494</v>
      </c>
      <c r="R80">
        <v>546</v>
      </c>
      <c r="S80">
        <v>598</v>
      </c>
      <c r="T80">
        <v>650</v>
      </c>
    </row>
    <row r="81" spans="1:20">
      <c r="A81">
        <v>2019</v>
      </c>
      <c r="B81" t="s">
        <v>5</v>
      </c>
      <c r="C81" t="s">
        <v>109</v>
      </c>
      <c r="D81">
        <v>10.67</v>
      </c>
      <c r="K81">
        <v>183</v>
      </c>
      <c r="L81">
        <v>235</v>
      </c>
      <c r="M81">
        <v>287</v>
      </c>
      <c r="N81">
        <v>339</v>
      </c>
      <c r="O81">
        <v>391</v>
      </c>
      <c r="P81">
        <v>443</v>
      </c>
      <c r="Q81">
        <v>495</v>
      </c>
      <c r="R81">
        <v>547</v>
      </c>
      <c r="S81">
        <v>599</v>
      </c>
      <c r="T81">
        <v>651</v>
      </c>
    </row>
    <row r="82" spans="1:20">
      <c r="A82">
        <v>2019</v>
      </c>
      <c r="B82" t="s">
        <v>5</v>
      </c>
      <c r="C82" t="s">
        <v>110</v>
      </c>
      <c r="D82">
        <v>10.85</v>
      </c>
      <c r="K82">
        <v>184</v>
      </c>
      <c r="L82">
        <v>236</v>
      </c>
      <c r="M82">
        <v>288</v>
      </c>
      <c r="N82">
        <v>340</v>
      </c>
      <c r="O82">
        <v>392</v>
      </c>
      <c r="P82">
        <v>444</v>
      </c>
      <c r="Q82">
        <v>496</v>
      </c>
      <c r="R82">
        <v>548</v>
      </c>
      <c r="S82">
        <v>600</v>
      </c>
      <c r="T82">
        <v>652</v>
      </c>
    </row>
    <row r="83" spans="1:20">
      <c r="A83">
        <v>2019</v>
      </c>
      <c r="B83" t="s">
        <v>5</v>
      </c>
      <c r="C83" t="s">
        <v>111</v>
      </c>
      <c r="D83">
        <v>10.78</v>
      </c>
      <c r="K83">
        <v>185</v>
      </c>
      <c r="L83">
        <v>237</v>
      </c>
      <c r="M83">
        <v>289</v>
      </c>
      <c r="N83">
        <v>341</v>
      </c>
      <c r="O83">
        <v>393</v>
      </c>
      <c r="P83">
        <v>445</v>
      </c>
      <c r="Q83">
        <v>497</v>
      </c>
      <c r="R83">
        <v>549</v>
      </c>
      <c r="S83">
        <v>601</v>
      </c>
      <c r="T83">
        <v>653</v>
      </c>
    </row>
    <row r="84" spans="1:20">
      <c r="A84">
        <v>2019</v>
      </c>
      <c r="B84" t="s">
        <v>5</v>
      </c>
      <c r="C84" t="s">
        <v>112</v>
      </c>
      <c r="D84">
        <v>10.54</v>
      </c>
      <c r="K84">
        <v>186</v>
      </c>
      <c r="L84">
        <v>238</v>
      </c>
      <c r="M84">
        <v>290</v>
      </c>
      <c r="N84">
        <v>342</v>
      </c>
      <c r="O84">
        <v>394</v>
      </c>
      <c r="P84">
        <v>446</v>
      </c>
      <c r="Q84">
        <v>498</v>
      </c>
      <c r="R84">
        <v>550</v>
      </c>
      <c r="S84">
        <v>602</v>
      </c>
      <c r="T84">
        <v>654</v>
      </c>
    </row>
    <row r="85" spans="1:20">
      <c r="A85">
        <v>2019</v>
      </c>
      <c r="B85" t="s">
        <v>5</v>
      </c>
      <c r="C85" t="s">
        <v>113</v>
      </c>
      <c r="D85">
        <v>10.57</v>
      </c>
      <c r="K85">
        <v>187</v>
      </c>
      <c r="L85">
        <v>239</v>
      </c>
      <c r="M85">
        <v>291</v>
      </c>
      <c r="N85">
        <v>343</v>
      </c>
      <c r="O85">
        <v>395</v>
      </c>
      <c r="P85">
        <v>447</v>
      </c>
      <c r="Q85">
        <v>499</v>
      </c>
      <c r="R85">
        <v>551</v>
      </c>
      <c r="S85">
        <v>603</v>
      </c>
      <c r="T85">
        <v>655</v>
      </c>
    </row>
    <row r="86" spans="1:20">
      <c r="A86">
        <v>2019</v>
      </c>
      <c r="B86" t="s">
        <v>5</v>
      </c>
      <c r="C86" t="s">
        <v>114</v>
      </c>
      <c r="D86">
        <v>10.51</v>
      </c>
      <c r="K86">
        <v>188</v>
      </c>
      <c r="L86">
        <v>240</v>
      </c>
      <c r="M86">
        <v>292</v>
      </c>
      <c r="N86">
        <v>344</v>
      </c>
      <c r="O86">
        <v>396</v>
      </c>
      <c r="P86">
        <v>448</v>
      </c>
      <c r="Q86">
        <v>500</v>
      </c>
      <c r="R86">
        <v>552</v>
      </c>
      <c r="S86">
        <v>604</v>
      </c>
      <c r="T86">
        <v>656</v>
      </c>
    </row>
    <row r="87" spans="1:20">
      <c r="A87">
        <v>2019</v>
      </c>
      <c r="B87" t="s">
        <v>5</v>
      </c>
      <c r="C87" t="s">
        <v>36</v>
      </c>
      <c r="D87">
        <v>10.59</v>
      </c>
      <c r="K87">
        <v>189</v>
      </c>
      <c r="L87">
        <v>241</v>
      </c>
      <c r="M87">
        <v>293</v>
      </c>
      <c r="N87">
        <v>345</v>
      </c>
      <c r="O87">
        <v>397</v>
      </c>
      <c r="P87">
        <v>449</v>
      </c>
      <c r="Q87">
        <v>501</v>
      </c>
      <c r="R87">
        <v>553</v>
      </c>
      <c r="S87">
        <v>605</v>
      </c>
      <c r="T87">
        <v>657</v>
      </c>
    </row>
    <row r="88" spans="1:20">
      <c r="A88">
        <v>2019</v>
      </c>
      <c r="B88" t="s">
        <v>5</v>
      </c>
      <c r="C88" t="s">
        <v>115</v>
      </c>
      <c r="D88">
        <v>11.2</v>
      </c>
      <c r="K88">
        <v>190</v>
      </c>
      <c r="L88">
        <v>242</v>
      </c>
      <c r="M88">
        <v>294</v>
      </c>
      <c r="N88">
        <v>346</v>
      </c>
      <c r="O88">
        <v>398</v>
      </c>
      <c r="P88">
        <v>450</v>
      </c>
      <c r="Q88">
        <v>502</v>
      </c>
      <c r="R88">
        <v>554</v>
      </c>
      <c r="S88">
        <v>606</v>
      </c>
      <c r="T88">
        <v>658</v>
      </c>
    </row>
    <row r="89" spans="1:20">
      <c r="A89">
        <v>2019</v>
      </c>
      <c r="B89" t="s">
        <v>5</v>
      </c>
      <c r="C89" t="s">
        <v>116</v>
      </c>
      <c r="D89">
        <v>10.56</v>
      </c>
      <c r="K89">
        <v>191</v>
      </c>
      <c r="L89">
        <v>243</v>
      </c>
      <c r="M89">
        <v>295</v>
      </c>
      <c r="N89">
        <v>347</v>
      </c>
      <c r="O89">
        <v>399</v>
      </c>
      <c r="P89">
        <v>451</v>
      </c>
      <c r="Q89">
        <v>503</v>
      </c>
      <c r="R89">
        <v>555</v>
      </c>
      <c r="S89">
        <v>607</v>
      </c>
      <c r="T89">
        <v>659</v>
      </c>
    </row>
    <row r="90" spans="1:20">
      <c r="A90">
        <v>2019</v>
      </c>
      <c r="B90" t="s">
        <v>5</v>
      </c>
      <c r="C90" t="s">
        <v>24</v>
      </c>
      <c r="D90">
        <v>10.64</v>
      </c>
      <c r="K90">
        <v>192</v>
      </c>
      <c r="L90">
        <v>244</v>
      </c>
      <c r="M90">
        <v>296</v>
      </c>
      <c r="N90">
        <v>348</v>
      </c>
      <c r="O90">
        <v>400</v>
      </c>
      <c r="P90">
        <v>452</v>
      </c>
      <c r="Q90">
        <v>504</v>
      </c>
      <c r="R90">
        <v>556</v>
      </c>
      <c r="S90">
        <v>608</v>
      </c>
      <c r="T90">
        <v>660</v>
      </c>
    </row>
    <row r="91" spans="1:20">
      <c r="A91">
        <v>2019</v>
      </c>
      <c r="B91" t="s">
        <v>5</v>
      </c>
      <c r="C91" t="s">
        <v>117</v>
      </c>
      <c r="D91">
        <v>11.19</v>
      </c>
      <c r="K91">
        <v>193</v>
      </c>
      <c r="L91">
        <v>245</v>
      </c>
      <c r="M91">
        <v>297</v>
      </c>
      <c r="N91">
        <v>349</v>
      </c>
      <c r="O91">
        <v>401</v>
      </c>
      <c r="P91">
        <v>453</v>
      </c>
      <c r="Q91">
        <v>505</v>
      </c>
      <c r="R91">
        <v>557</v>
      </c>
      <c r="S91">
        <v>609</v>
      </c>
      <c r="T91">
        <v>661</v>
      </c>
    </row>
    <row r="92" spans="1:20">
      <c r="A92">
        <v>2019</v>
      </c>
      <c r="B92" t="s">
        <v>5</v>
      </c>
      <c r="C92" t="s">
        <v>118</v>
      </c>
      <c r="D92">
        <v>10.51</v>
      </c>
      <c r="K92">
        <v>194</v>
      </c>
      <c r="L92">
        <v>246</v>
      </c>
      <c r="M92">
        <v>298</v>
      </c>
      <c r="N92">
        <v>350</v>
      </c>
      <c r="O92">
        <v>402</v>
      </c>
      <c r="P92">
        <v>454</v>
      </c>
      <c r="Q92">
        <v>506</v>
      </c>
      <c r="R92">
        <v>558</v>
      </c>
      <c r="S92">
        <v>610</v>
      </c>
      <c r="T92">
        <v>662</v>
      </c>
    </row>
    <row r="93" spans="1:20">
      <c r="A93">
        <v>2019</v>
      </c>
      <c r="B93" t="s">
        <v>5</v>
      </c>
      <c r="C93" t="s">
        <v>25</v>
      </c>
      <c r="D93">
        <v>10.64</v>
      </c>
      <c r="K93">
        <v>195</v>
      </c>
      <c r="L93">
        <v>247</v>
      </c>
      <c r="M93">
        <v>299</v>
      </c>
      <c r="N93">
        <v>351</v>
      </c>
      <c r="O93">
        <v>403</v>
      </c>
      <c r="P93">
        <v>455</v>
      </c>
      <c r="Q93">
        <v>507</v>
      </c>
      <c r="R93">
        <v>559</v>
      </c>
      <c r="S93">
        <v>611</v>
      </c>
      <c r="T93">
        <v>663</v>
      </c>
    </row>
    <row r="94" spans="1:20">
      <c r="A94">
        <v>2019</v>
      </c>
      <c r="B94" t="s">
        <v>5</v>
      </c>
      <c r="C94" t="s">
        <v>119</v>
      </c>
      <c r="D94">
        <v>10.81</v>
      </c>
      <c r="K94">
        <v>196</v>
      </c>
      <c r="L94">
        <v>248</v>
      </c>
      <c r="M94">
        <v>300</v>
      </c>
      <c r="N94">
        <v>352</v>
      </c>
      <c r="O94">
        <v>404</v>
      </c>
      <c r="P94">
        <v>456</v>
      </c>
      <c r="Q94">
        <v>508</v>
      </c>
      <c r="R94">
        <v>560</v>
      </c>
      <c r="S94">
        <v>612</v>
      </c>
      <c r="T94">
        <v>664</v>
      </c>
    </row>
    <row r="95" spans="1:20">
      <c r="A95">
        <v>2019</v>
      </c>
      <c r="B95" t="s">
        <v>5</v>
      </c>
      <c r="C95" t="s">
        <v>26</v>
      </c>
      <c r="D95">
        <v>10.6</v>
      </c>
      <c r="K95">
        <v>197</v>
      </c>
      <c r="L95">
        <v>249</v>
      </c>
      <c r="M95">
        <v>301</v>
      </c>
      <c r="N95">
        <v>353</v>
      </c>
      <c r="O95">
        <v>405</v>
      </c>
      <c r="P95">
        <v>457</v>
      </c>
      <c r="Q95">
        <v>509</v>
      </c>
      <c r="R95">
        <v>561</v>
      </c>
      <c r="S95">
        <v>613</v>
      </c>
      <c r="T95">
        <v>665</v>
      </c>
    </row>
    <row r="96" spans="1:20">
      <c r="A96">
        <v>2019</v>
      </c>
      <c r="B96" t="s">
        <v>5</v>
      </c>
      <c r="C96" t="s">
        <v>120</v>
      </c>
      <c r="D96">
        <v>10.63</v>
      </c>
      <c r="K96">
        <v>198</v>
      </c>
      <c r="L96">
        <v>250</v>
      </c>
      <c r="M96">
        <v>302</v>
      </c>
      <c r="N96">
        <v>354</v>
      </c>
      <c r="O96">
        <v>406</v>
      </c>
      <c r="P96">
        <v>458</v>
      </c>
      <c r="Q96">
        <v>510</v>
      </c>
      <c r="R96">
        <v>562</v>
      </c>
      <c r="S96">
        <v>614</v>
      </c>
      <c r="T96">
        <v>666</v>
      </c>
    </row>
    <row r="97" spans="1:20">
      <c r="A97">
        <v>2019</v>
      </c>
      <c r="B97" t="s">
        <v>5</v>
      </c>
      <c r="C97" t="s">
        <v>121</v>
      </c>
      <c r="D97">
        <v>10.67</v>
      </c>
      <c r="K97">
        <v>199</v>
      </c>
      <c r="L97">
        <v>251</v>
      </c>
      <c r="M97">
        <v>303</v>
      </c>
      <c r="N97">
        <v>355</v>
      </c>
      <c r="O97">
        <v>407</v>
      </c>
      <c r="P97">
        <v>459</v>
      </c>
      <c r="Q97">
        <v>511</v>
      </c>
      <c r="R97">
        <v>563</v>
      </c>
      <c r="S97">
        <v>615</v>
      </c>
      <c r="T97">
        <v>667</v>
      </c>
    </row>
    <row r="98" spans="1:20">
      <c r="A98">
        <v>2019</v>
      </c>
      <c r="B98" t="s">
        <v>5</v>
      </c>
      <c r="C98" t="s">
        <v>122</v>
      </c>
      <c r="D98">
        <v>10.7</v>
      </c>
      <c r="K98">
        <v>200</v>
      </c>
      <c r="L98">
        <v>252</v>
      </c>
      <c r="M98">
        <v>304</v>
      </c>
      <c r="N98">
        <v>356</v>
      </c>
      <c r="O98">
        <v>408</v>
      </c>
      <c r="P98">
        <v>460</v>
      </c>
      <c r="Q98">
        <v>512</v>
      </c>
      <c r="R98">
        <v>564</v>
      </c>
      <c r="S98">
        <v>616</v>
      </c>
      <c r="T98">
        <v>668</v>
      </c>
    </row>
    <row r="99" spans="1:20">
      <c r="A99">
        <v>2019</v>
      </c>
      <c r="B99" t="s">
        <v>5</v>
      </c>
      <c r="C99" t="s">
        <v>123</v>
      </c>
      <c r="D99">
        <v>10.72</v>
      </c>
      <c r="K99">
        <v>201</v>
      </c>
      <c r="L99">
        <v>253</v>
      </c>
      <c r="M99">
        <v>305</v>
      </c>
      <c r="N99">
        <v>357</v>
      </c>
      <c r="O99">
        <v>409</v>
      </c>
      <c r="P99">
        <v>461</v>
      </c>
      <c r="Q99">
        <v>513</v>
      </c>
      <c r="R99">
        <v>565</v>
      </c>
      <c r="S99">
        <v>617</v>
      </c>
      <c r="T99">
        <v>669</v>
      </c>
    </row>
    <row r="100" spans="1:20">
      <c r="A100">
        <v>2019</v>
      </c>
      <c r="B100" t="s">
        <v>5</v>
      </c>
      <c r="C100" t="s">
        <v>27</v>
      </c>
      <c r="D100">
        <v>10.61</v>
      </c>
      <c r="K100">
        <v>202</v>
      </c>
      <c r="L100">
        <v>254</v>
      </c>
      <c r="M100">
        <v>306</v>
      </c>
      <c r="N100">
        <v>358</v>
      </c>
      <c r="O100">
        <v>410</v>
      </c>
      <c r="P100">
        <v>462</v>
      </c>
      <c r="Q100">
        <v>514</v>
      </c>
      <c r="R100">
        <v>566</v>
      </c>
      <c r="S100">
        <v>618</v>
      </c>
      <c r="T100">
        <v>670</v>
      </c>
    </row>
    <row r="101" spans="1:20">
      <c r="A101">
        <v>2019</v>
      </c>
      <c r="B101" t="s">
        <v>5</v>
      </c>
      <c r="C101" t="s">
        <v>124</v>
      </c>
      <c r="D101">
        <v>10.52</v>
      </c>
      <c r="K101">
        <v>203</v>
      </c>
      <c r="L101">
        <v>255</v>
      </c>
      <c r="M101">
        <v>307</v>
      </c>
      <c r="N101">
        <v>359</v>
      </c>
      <c r="O101">
        <v>411</v>
      </c>
      <c r="P101">
        <v>463</v>
      </c>
      <c r="Q101">
        <v>515</v>
      </c>
      <c r="R101">
        <v>567</v>
      </c>
      <c r="S101">
        <v>619</v>
      </c>
      <c r="T101">
        <v>671</v>
      </c>
    </row>
    <row r="102" spans="1:20">
      <c r="A102">
        <v>2019</v>
      </c>
      <c r="B102" t="s">
        <v>5</v>
      </c>
      <c r="C102" t="s">
        <v>28</v>
      </c>
      <c r="D102">
        <v>10.61</v>
      </c>
      <c r="K102">
        <v>204</v>
      </c>
      <c r="L102">
        <v>256</v>
      </c>
      <c r="M102">
        <v>308</v>
      </c>
      <c r="N102">
        <v>360</v>
      </c>
      <c r="O102">
        <v>412</v>
      </c>
      <c r="P102">
        <v>464</v>
      </c>
      <c r="Q102">
        <v>516</v>
      </c>
      <c r="R102">
        <v>568</v>
      </c>
      <c r="S102">
        <v>620</v>
      </c>
      <c r="T102">
        <v>672</v>
      </c>
    </row>
    <row r="103" spans="1:20">
      <c r="A103">
        <v>2019</v>
      </c>
      <c r="B103" t="s">
        <v>5</v>
      </c>
      <c r="C103" t="s">
        <v>125</v>
      </c>
      <c r="D103">
        <v>10.6</v>
      </c>
      <c r="K103">
        <v>205</v>
      </c>
      <c r="L103">
        <v>257</v>
      </c>
      <c r="M103">
        <v>309</v>
      </c>
      <c r="N103">
        <v>361</v>
      </c>
      <c r="O103">
        <v>413</v>
      </c>
      <c r="P103">
        <v>465</v>
      </c>
      <c r="Q103">
        <v>517</v>
      </c>
      <c r="R103">
        <v>569</v>
      </c>
      <c r="S103">
        <v>621</v>
      </c>
      <c r="T103">
        <v>673</v>
      </c>
    </row>
    <row r="104" spans="1:20">
      <c r="A104">
        <v>2019</v>
      </c>
      <c r="B104" t="s">
        <v>5</v>
      </c>
      <c r="C104" t="s">
        <v>126</v>
      </c>
      <c r="D104">
        <v>10.88</v>
      </c>
      <c r="K104">
        <v>206</v>
      </c>
      <c r="L104">
        <v>258</v>
      </c>
      <c r="M104">
        <v>310</v>
      </c>
      <c r="N104">
        <v>362</v>
      </c>
      <c r="O104">
        <v>414</v>
      </c>
      <c r="P104">
        <v>466</v>
      </c>
      <c r="Q104">
        <v>518</v>
      </c>
      <c r="R104">
        <v>570</v>
      </c>
      <c r="S104">
        <v>622</v>
      </c>
      <c r="T104">
        <v>674</v>
      </c>
    </row>
    <row r="105" spans="1:20">
      <c r="A105">
        <v>2019</v>
      </c>
      <c r="B105" t="s">
        <v>5</v>
      </c>
      <c r="C105" t="s">
        <v>127</v>
      </c>
      <c r="D105">
        <v>10.91</v>
      </c>
      <c r="K105">
        <v>207</v>
      </c>
      <c r="L105">
        <v>259</v>
      </c>
      <c r="M105">
        <v>311</v>
      </c>
      <c r="N105">
        <v>363</v>
      </c>
      <c r="O105">
        <v>415</v>
      </c>
      <c r="P105">
        <v>467</v>
      </c>
      <c r="Q105">
        <v>519</v>
      </c>
      <c r="R105">
        <v>571</v>
      </c>
      <c r="S105">
        <v>623</v>
      </c>
      <c r="T105">
        <v>675</v>
      </c>
    </row>
    <row r="106" spans="1:20">
      <c r="A106">
        <v>2019</v>
      </c>
      <c r="B106" t="s">
        <v>6</v>
      </c>
      <c r="C106" t="s">
        <v>85</v>
      </c>
      <c r="D106">
        <v>11.93</v>
      </c>
      <c r="K106">
        <v>208</v>
      </c>
      <c r="L106">
        <v>260</v>
      </c>
      <c r="M106">
        <v>312</v>
      </c>
      <c r="N106">
        <v>364</v>
      </c>
      <c r="O106">
        <v>416</v>
      </c>
      <c r="P106">
        <v>468</v>
      </c>
      <c r="Q106">
        <v>520</v>
      </c>
      <c r="R106">
        <v>572</v>
      </c>
      <c r="S106">
        <v>624</v>
      </c>
      <c r="T106">
        <v>676</v>
      </c>
    </row>
    <row r="107" spans="1:20">
      <c r="A107">
        <v>2019</v>
      </c>
      <c r="B107" t="s">
        <v>6</v>
      </c>
      <c r="C107" t="s">
        <v>86</v>
      </c>
      <c r="D107">
        <v>11.95</v>
      </c>
      <c r="K107">
        <v>209</v>
      </c>
      <c r="L107">
        <v>261</v>
      </c>
      <c r="M107">
        <v>313</v>
      </c>
      <c r="N107">
        <v>365</v>
      </c>
      <c r="O107">
        <v>417</v>
      </c>
      <c r="P107">
        <v>469</v>
      </c>
      <c r="Q107">
        <v>521</v>
      </c>
      <c r="R107">
        <v>573</v>
      </c>
      <c r="S107">
        <v>625</v>
      </c>
      <c r="T107">
        <v>677</v>
      </c>
    </row>
    <row r="108" spans="1:20">
      <c r="A108">
        <v>2019</v>
      </c>
      <c r="B108" t="s">
        <v>6</v>
      </c>
      <c r="C108" t="s">
        <v>87</v>
      </c>
      <c r="D108">
        <v>11.96</v>
      </c>
    </row>
    <row r="109" spans="1:20">
      <c r="A109">
        <v>2019</v>
      </c>
      <c r="B109" t="s">
        <v>6</v>
      </c>
      <c r="C109" t="s">
        <v>88</v>
      </c>
      <c r="D109">
        <v>11.96</v>
      </c>
    </row>
    <row r="110" spans="1:20">
      <c r="A110">
        <v>2019</v>
      </c>
      <c r="B110" t="s">
        <v>6</v>
      </c>
      <c r="C110" t="s">
        <v>21</v>
      </c>
      <c r="D110">
        <v>11.95</v>
      </c>
    </row>
    <row r="111" spans="1:20">
      <c r="A111">
        <v>2019</v>
      </c>
      <c r="B111" t="s">
        <v>6</v>
      </c>
      <c r="C111" t="s">
        <v>89</v>
      </c>
      <c r="D111">
        <v>11.95</v>
      </c>
    </row>
    <row r="112" spans="1:20">
      <c r="A112">
        <v>2019</v>
      </c>
      <c r="B112" t="s">
        <v>6</v>
      </c>
      <c r="C112" t="s">
        <v>90</v>
      </c>
      <c r="D112">
        <v>11.95</v>
      </c>
    </row>
    <row r="113" spans="1:4">
      <c r="A113">
        <v>2019</v>
      </c>
      <c r="B113" t="s">
        <v>6</v>
      </c>
      <c r="C113" t="s">
        <v>91</v>
      </c>
      <c r="D113">
        <v>11.94</v>
      </c>
    </row>
    <row r="114" spans="1:4">
      <c r="A114">
        <v>2019</v>
      </c>
      <c r="B114" t="s">
        <v>6</v>
      </c>
      <c r="C114" t="s">
        <v>22</v>
      </c>
      <c r="D114">
        <v>11.94</v>
      </c>
    </row>
    <row r="115" spans="1:4">
      <c r="A115">
        <v>2019</v>
      </c>
      <c r="B115" t="s">
        <v>6</v>
      </c>
      <c r="C115" t="s">
        <v>92</v>
      </c>
      <c r="D115">
        <v>11.95</v>
      </c>
    </row>
    <row r="116" spans="1:4">
      <c r="A116">
        <v>2019</v>
      </c>
      <c r="B116" t="s">
        <v>6</v>
      </c>
      <c r="C116" t="s">
        <v>93</v>
      </c>
      <c r="D116">
        <v>11.97</v>
      </c>
    </row>
    <row r="117" spans="1:4">
      <c r="A117">
        <v>2019</v>
      </c>
      <c r="B117" t="s">
        <v>6</v>
      </c>
      <c r="C117" t="s">
        <v>94</v>
      </c>
      <c r="D117">
        <v>11.95</v>
      </c>
    </row>
    <row r="118" spans="1:4">
      <c r="A118">
        <v>2019</v>
      </c>
      <c r="B118" t="s">
        <v>6</v>
      </c>
      <c r="C118" t="s">
        <v>95</v>
      </c>
      <c r="D118">
        <v>11.95</v>
      </c>
    </row>
    <row r="119" spans="1:4">
      <c r="A119">
        <v>2019</v>
      </c>
      <c r="B119" t="s">
        <v>6</v>
      </c>
      <c r="C119" t="s">
        <v>96</v>
      </c>
      <c r="D119">
        <v>11.96</v>
      </c>
    </row>
    <row r="120" spans="1:4">
      <c r="A120">
        <v>2019</v>
      </c>
      <c r="B120" t="s">
        <v>6</v>
      </c>
      <c r="C120" t="s">
        <v>97</v>
      </c>
      <c r="D120">
        <v>11.93</v>
      </c>
    </row>
    <row r="121" spans="1:4">
      <c r="A121">
        <v>2019</v>
      </c>
      <c r="B121" t="s">
        <v>6</v>
      </c>
      <c r="C121" t="s">
        <v>98</v>
      </c>
      <c r="D121">
        <v>11.95</v>
      </c>
    </row>
    <row r="122" spans="1:4">
      <c r="A122">
        <v>2019</v>
      </c>
      <c r="B122" t="s">
        <v>6</v>
      </c>
      <c r="C122" t="s">
        <v>99</v>
      </c>
      <c r="D122">
        <v>11.94</v>
      </c>
    </row>
    <row r="123" spans="1:4">
      <c r="A123">
        <v>2019</v>
      </c>
      <c r="B123" t="s">
        <v>6</v>
      </c>
      <c r="C123" t="s">
        <v>100</v>
      </c>
      <c r="D123">
        <v>11.96</v>
      </c>
    </row>
    <row r="124" spans="1:4">
      <c r="A124">
        <v>2019</v>
      </c>
      <c r="B124" t="s">
        <v>6</v>
      </c>
      <c r="C124" t="s">
        <v>101</v>
      </c>
      <c r="D124">
        <v>11.95</v>
      </c>
    </row>
    <row r="125" spans="1:4">
      <c r="A125">
        <v>2019</v>
      </c>
      <c r="B125" t="s">
        <v>6</v>
      </c>
      <c r="C125" t="s">
        <v>102</v>
      </c>
      <c r="D125">
        <v>11.93</v>
      </c>
    </row>
    <row r="126" spans="1:4">
      <c r="A126">
        <v>2019</v>
      </c>
      <c r="B126" t="s">
        <v>6</v>
      </c>
      <c r="C126" t="s">
        <v>103</v>
      </c>
      <c r="D126">
        <v>11.96</v>
      </c>
    </row>
    <row r="127" spans="1:4">
      <c r="A127">
        <v>2019</v>
      </c>
      <c r="B127" t="s">
        <v>6</v>
      </c>
      <c r="C127" t="s">
        <v>104</v>
      </c>
      <c r="D127">
        <v>11.94</v>
      </c>
    </row>
    <row r="128" spans="1:4">
      <c r="A128">
        <v>2019</v>
      </c>
      <c r="B128" t="s">
        <v>6</v>
      </c>
      <c r="C128" t="s">
        <v>105</v>
      </c>
      <c r="D128">
        <v>11.96</v>
      </c>
    </row>
    <row r="129" spans="1:4">
      <c r="A129">
        <v>2019</v>
      </c>
      <c r="B129" t="s">
        <v>6</v>
      </c>
      <c r="C129" t="s">
        <v>23</v>
      </c>
      <c r="D129">
        <v>11.94</v>
      </c>
    </row>
    <row r="130" spans="1:4">
      <c r="A130">
        <v>2019</v>
      </c>
      <c r="B130" t="s">
        <v>6</v>
      </c>
      <c r="C130" t="s">
        <v>106</v>
      </c>
      <c r="D130">
        <v>11.94</v>
      </c>
    </row>
    <row r="131" spans="1:4">
      <c r="A131">
        <v>2019</v>
      </c>
      <c r="B131" t="s">
        <v>6</v>
      </c>
      <c r="C131" t="s">
        <v>107</v>
      </c>
      <c r="D131">
        <v>11.94</v>
      </c>
    </row>
    <row r="132" spans="1:4">
      <c r="A132">
        <v>2019</v>
      </c>
      <c r="B132" t="s">
        <v>6</v>
      </c>
      <c r="C132" t="s">
        <v>108</v>
      </c>
      <c r="D132">
        <v>11.93</v>
      </c>
    </row>
    <row r="133" spans="1:4">
      <c r="A133">
        <v>2019</v>
      </c>
      <c r="B133" t="s">
        <v>6</v>
      </c>
      <c r="C133" t="s">
        <v>109</v>
      </c>
      <c r="D133">
        <v>11.95</v>
      </c>
    </row>
    <row r="134" spans="1:4">
      <c r="A134">
        <v>2019</v>
      </c>
      <c r="B134" t="s">
        <v>6</v>
      </c>
      <c r="C134" t="s">
        <v>110</v>
      </c>
      <c r="D134">
        <v>11.96</v>
      </c>
    </row>
    <row r="135" spans="1:4">
      <c r="A135">
        <v>2019</v>
      </c>
      <c r="B135" t="s">
        <v>6</v>
      </c>
      <c r="C135" t="s">
        <v>111</v>
      </c>
      <c r="D135">
        <v>11.96</v>
      </c>
    </row>
    <row r="136" spans="1:4">
      <c r="A136">
        <v>2019</v>
      </c>
      <c r="B136" t="s">
        <v>6</v>
      </c>
      <c r="C136" t="s">
        <v>112</v>
      </c>
      <c r="D136">
        <v>11.94</v>
      </c>
    </row>
    <row r="137" spans="1:4">
      <c r="A137">
        <v>2019</v>
      </c>
      <c r="B137" t="s">
        <v>6</v>
      </c>
      <c r="C137" t="s">
        <v>113</v>
      </c>
      <c r="D137">
        <v>11.94</v>
      </c>
    </row>
    <row r="138" spans="1:4">
      <c r="A138">
        <v>2019</v>
      </c>
      <c r="B138" t="s">
        <v>6</v>
      </c>
      <c r="C138" t="s">
        <v>114</v>
      </c>
      <c r="D138">
        <v>11.93</v>
      </c>
    </row>
    <row r="139" spans="1:4">
      <c r="A139">
        <v>2019</v>
      </c>
      <c r="B139" t="s">
        <v>6</v>
      </c>
      <c r="C139" t="s">
        <v>36</v>
      </c>
      <c r="D139">
        <v>11.94</v>
      </c>
    </row>
    <row r="140" spans="1:4">
      <c r="A140">
        <v>2019</v>
      </c>
      <c r="B140" t="s">
        <v>6</v>
      </c>
      <c r="C140" t="s">
        <v>115</v>
      </c>
      <c r="D140">
        <v>12</v>
      </c>
    </row>
    <row r="141" spans="1:4">
      <c r="A141">
        <v>2019</v>
      </c>
      <c r="B141" t="s">
        <v>6</v>
      </c>
      <c r="C141" t="s">
        <v>116</v>
      </c>
      <c r="D141">
        <v>11.94</v>
      </c>
    </row>
    <row r="142" spans="1:4">
      <c r="A142">
        <v>2019</v>
      </c>
      <c r="B142" t="s">
        <v>6</v>
      </c>
      <c r="C142" t="s">
        <v>24</v>
      </c>
      <c r="D142">
        <v>11.95</v>
      </c>
    </row>
    <row r="143" spans="1:4">
      <c r="A143">
        <v>2019</v>
      </c>
      <c r="B143" t="s">
        <v>6</v>
      </c>
      <c r="C143" t="s">
        <v>117</v>
      </c>
      <c r="D143">
        <v>12</v>
      </c>
    </row>
    <row r="144" spans="1:4">
      <c r="A144">
        <v>2019</v>
      </c>
      <c r="B144" t="s">
        <v>6</v>
      </c>
      <c r="C144" t="s">
        <v>118</v>
      </c>
      <c r="D144">
        <v>11.93</v>
      </c>
    </row>
    <row r="145" spans="1:4">
      <c r="A145">
        <v>2019</v>
      </c>
      <c r="B145" t="s">
        <v>6</v>
      </c>
      <c r="C145" t="s">
        <v>25</v>
      </c>
      <c r="D145">
        <v>11.94</v>
      </c>
    </row>
    <row r="146" spans="1:4">
      <c r="A146">
        <v>2019</v>
      </c>
      <c r="B146" t="s">
        <v>6</v>
      </c>
      <c r="C146" t="s">
        <v>119</v>
      </c>
      <c r="D146">
        <v>11.96</v>
      </c>
    </row>
    <row r="147" spans="1:4">
      <c r="A147">
        <v>2019</v>
      </c>
      <c r="B147" t="s">
        <v>6</v>
      </c>
      <c r="C147" t="s">
        <v>26</v>
      </c>
      <c r="D147">
        <v>11.94</v>
      </c>
    </row>
    <row r="148" spans="1:4">
      <c r="A148">
        <v>2019</v>
      </c>
      <c r="B148" t="s">
        <v>6</v>
      </c>
      <c r="C148" t="s">
        <v>120</v>
      </c>
      <c r="D148">
        <v>11.94</v>
      </c>
    </row>
    <row r="149" spans="1:4">
      <c r="A149">
        <v>2019</v>
      </c>
      <c r="B149" t="s">
        <v>6</v>
      </c>
      <c r="C149" t="s">
        <v>121</v>
      </c>
      <c r="D149">
        <v>11.95</v>
      </c>
    </row>
    <row r="150" spans="1:4">
      <c r="A150">
        <v>2019</v>
      </c>
      <c r="B150" t="s">
        <v>6</v>
      </c>
      <c r="C150" t="s">
        <v>122</v>
      </c>
      <c r="D150">
        <v>11.95</v>
      </c>
    </row>
    <row r="151" spans="1:4">
      <c r="A151">
        <v>2019</v>
      </c>
      <c r="B151" t="s">
        <v>6</v>
      </c>
      <c r="C151" t="s">
        <v>123</v>
      </c>
      <c r="D151">
        <v>11.95</v>
      </c>
    </row>
    <row r="152" spans="1:4">
      <c r="A152">
        <v>2019</v>
      </c>
      <c r="B152" t="s">
        <v>6</v>
      </c>
      <c r="C152" t="s">
        <v>27</v>
      </c>
      <c r="D152">
        <v>11.94</v>
      </c>
    </row>
    <row r="153" spans="1:4">
      <c r="A153">
        <v>2019</v>
      </c>
      <c r="B153" t="s">
        <v>6</v>
      </c>
      <c r="C153" t="s">
        <v>124</v>
      </c>
      <c r="D153">
        <v>11.93</v>
      </c>
    </row>
    <row r="154" spans="1:4">
      <c r="A154">
        <v>2019</v>
      </c>
      <c r="B154" t="s">
        <v>6</v>
      </c>
      <c r="C154" t="s">
        <v>28</v>
      </c>
      <c r="D154">
        <v>11.94</v>
      </c>
    </row>
    <row r="155" spans="1:4">
      <c r="A155">
        <v>2019</v>
      </c>
      <c r="B155" t="s">
        <v>6</v>
      </c>
      <c r="C155" t="s">
        <v>125</v>
      </c>
      <c r="D155">
        <v>11.94</v>
      </c>
    </row>
    <row r="156" spans="1:4">
      <c r="A156">
        <v>2019</v>
      </c>
      <c r="B156" t="s">
        <v>6</v>
      </c>
      <c r="C156" t="s">
        <v>126</v>
      </c>
      <c r="D156">
        <v>11.97</v>
      </c>
    </row>
    <row r="157" spans="1:4">
      <c r="A157">
        <v>2019</v>
      </c>
      <c r="B157" t="s">
        <v>6</v>
      </c>
      <c r="C157" t="s">
        <v>127</v>
      </c>
      <c r="D157">
        <v>11.97</v>
      </c>
    </row>
    <row r="158" spans="1:4">
      <c r="A158">
        <v>2019</v>
      </c>
      <c r="B158" t="s">
        <v>7</v>
      </c>
      <c r="C158" t="s">
        <v>85</v>
      </c>
      <c r="D158">
        <v>13.39</v>
      </c>
    </row>
    <row r="159" spans="1:4">
      <c r="A159">
        <v>2019</v>
      </c>
      <c r="B159" t="s">
        <v>7</v>
      </c>
      <c r="C159" t="s">
        <v>86</v>
      </c>
      <c r="D159">
        <v>13.23</v>
      </c>
    </row>
    <row r="160" spans="1:4">
      <c r="A160">
        <v>2019</v>
      </c>
      <c r="B160" t="s">
        <v>7</v>
      </c>
      <c r="C160" t="s">
        <v>87</v>
      </c>
      <c r="D160">
        <v>13.2</v>
      </c>
    </row>
    <row r="161" spans="1:4">
      <c r="A161">
        <v>2019</v>
      </c>
      <c r="B161" t="s">
        <v>7</v>
      </c>
      <c r="C161" t="s">
        <v>88</v>
      </c>
      <c r="D161">
        <v>13.14</v>
      </c>
    </row>
    <row r="162" spans="1:4">
      <c r="A162">
        <v>2019</v>
      </c>
      <c r="B162" t="s">
        <v>7</v>
      </c>
      <c r="C162" t="s">
        <v>21</v>
      </c>
      <c r="D162">
        <v>13.3</v>
      </c>
    </row>
    <row r="163" spans="1:4">
      <c r="A163">
        <v>2019</v>
      </c>
      <c r="B163" t="s">
        <v>7</v>
      </c>
      <c r="C163" t="s">
        <v>89</v>
      </c>
      <c r="D163">
        <v>13.22</v>
      </c>
    </row>
    <row r="164" spans="1:4">
      <c r="A164">
        <v>2019</v>
      </c>
      <c r="B164" t="s">
        <v>7</v>
      </c>
      <c r="C164" t="s">
        <v>90</v>
      </c>
      <c r="D164">
        <v>13.25</v>
      </c>
    </row>
    <row r="165" spans="1:4">
      <c r="A165">
        <v>2019</v>
      </c>
      <c r="B165" t="s">
        <v>7</v>
      </c>
      <c r="C165" t="s">
        <v>91</v>
      </c>
      <c r="D165">
        <v>13.33</v>
      </c>
    </row>
    <row r="166" spans="1:4">
      <c r="A166">
        <v>2019</v>
      </c>
      <c r="B166" t="s">
        <v>7</v>
      </c>
      <c r="C166" t="s">
        <v>22</v>
      </c>
      <c r="D166">
        <v>13.37</v>
      </c>
    </row>
    <row r="167" spans="1:4">
      <c r="A167">
        <v>2019</v>
      </c>
      <c r="B167" t="s">
        <v>7</v>
      </c>
      <c r="C167" t="s">
        <v>92</v>
      </c>
      <c r="D167">
        <v>13.25</v>
      </c>
    </row>
    <row r="168" spans="1:4">
      <c r="A168">
        <v>2019</v>
      </c>
      <c r="B168" t="s">
        <v>7</v>
      </c>
      <c r="C168" t="s">
        <v>93</v>
      </c>
      <c r="D168">
        <v>13.13</v>
      </c>
    </row>
    <row r="169" spans="1:4">
      <c r="A169">
        <v>2019</v>
      </c>
      <c r="B169" t="s">
        <v>7</v>
      </c>
      <c r="C169" t="s">
        <v>94</v>
      </c>
      <c r="D169">
        <v>13.26</v>
      </c>
    </row>
    <row r="170" spans="1:4">
      <c r="A170">
        <v>2019</v>
      </c>
      <c r="B170" t="s">
        <v>7</v>
      </c>
      <c r="C170" t="s">
        <v>95</v>
      </c>
      <c r="D170">
        <v>13.23</v>
      </c>
    </row>
    <row r="171" spans="1:4">
      <c r="A171">
        <v>2019</v>
      </c>
      <c r="B171" t="s">
        <v>7</v>
      </c>
      <c r="C171" t="s">
        <v>96</v>
      </c>
      <c r="D171">
        <v>13.18</v>
      </c>
    </row>
    <row r="172" spans="1:4">
      <c r="A172">
        <v>2019</v>
      </c>
      <c r="B172" t="s">
        <v>7</v>
      </c>
      <c r="C172" t="s">
        <v>97</v>
      </c>
      <c r="D172">
        <v>13.42</v>
      </c>
    </row>
    <row r="173" spans="1:4">
      <c r="A173">
        <v>2019</v>
      </c>
      <c r="B173" t="s">
        <v>7</v>
      </c>
      <c r="C173" t="s">
        <v>98</v>
      </c>
      <c r="D173">
        <v>13.27</v>
      </c>
    </row>
    <row r="174" spans="1:4">
      <c r="A174">
        <v>2019</v>
      </c>
      <c r="B174" t="s">
        <v>7</v>
      </c>
      <c r="C174" t="s">
        <v>99</v>
      </c>
      <c r="D174">
        <v>13.35</v>
      </c>
    </row>
    <row r="175" spans="1:4">
      <c r="A175">
        <v>2019</v>
      </c>
      <c r="B175" t="s">
        <v>7</v>
      </c>
      <c r="C175" t="s">
        <v>100</v>
      </c>
      <c r="D175">
        <v>13.15</v>
      </c>
    </row>
    <row r="176" spans="1:4">
      <c r="A176">
        <v>2019</v>
      </c>
      <c r="B176" t="s">
        <v>7</v>
      </c>
      <c r="C176" t="s">
        <v>101</v>
      </c>
      <c r="D176">
        <v>13.3</v>
      </c>
    </row>
    <row r="177" spans="1:4">
      <c r="A177">
        <v>2019</v>
      </c>
      <c r="B177" t="s">
        <v>7</v>
      </c>
      <c r="C177" t="s">
        <v>102</v>
      </c>
      <c r="D177">
        <v>13.42</v>
      </c>
    </row>
    <row r="178" spans="1:4">
      <c r="A178">
        <v>2019</v>
      </c>
      <c r="B178" t="s">
        <v>7</v>
      </c>
      <c r="C178" t="s">
        <v>103</v>
      </c>
      <c r="D178">
        <v>13.16</v>
      </c>
    </row>
    <row r="179" spans="1:4">
      <c r="A179">
        <v>2019</v>
      </c>
      <c r="B179" t="s">
        <v>7</v>
      </c>
      <c r="C179" t="s">
        <v>104</v>
      </c>
      <c r="D179">
        <v>13.36</v>
      </c>
    </row>
    <row r="180" spans="1:4">
      <c r="A180">
        <v>2019</v>
      </c>
      <c r="B180" t="s">
        <v>7</v>
      </c>
      <c r="C180" t="s">
        <v>105</v>
      </c>
      <c r="D180">
        <v>13.18</v>
      </c>
    </row>
    <row r="181" spans="1:4">
      <c r="A181">
        <v>2019</v>
      </c>
      <c r="B181" t="s">
        <v>7</v>
      </c>
      <c r="C181" t="s">
        <v>23</v>
      </c>
      <c r="D181">
        <v>13.38</v>
      </c>
    </row>
    <row r="182" spans="1:4">
      <c r="A182">
        <v>2019</v>
      </c>
      <c r="B182" t="s">
        <v>7</v>
      </c>
      <c r="C182" t="s">
        <v>106</v>
      </c>
      <c r="D182">
        <v>13.34</v>
      </c>
    </row>
    <row r="183" spans="1:4">
      <c r="A183">
        <v>2019</v>
      </c>
      <c r="B183" t="s">
        <v>7</v>
      </c>
      <c r="C183" t="s">
        <v>107</v>
      </c>
      <c r="D183">
        <v>13.38</v>
      </c>
    </row>
    <row r="184" spans="1:4">
      <c r="A184">
        <v>2019</v>
      </c>
      <c r="B184" t="s">
        <v>7</v>
      </c>
      <c r="C184" t="s">
        <v>108</v>
      </c>
      <c r="D184">
        <v>13.4</v>
      </c>
    </row>
    <row r="185" spans="1:4">
      <c r="A185">
        <v>2019</v>
      </c>
      <c r="B185" t="s">
        <v>7</v>
      </c>
      <c r="C185" t="s">
        <v>109</v>
      </c>
      <c r="D185">
        <v>13.28</v>
      </c>
    </row>
    <row r="186" spans="1:4">
      <c r="A186">
        <v>2019</v>
      </c>
      <c r="B186" t="s">
        <v>7</v>
      </c>
      <c r="C186" t="s">
        <v>110</v>
      </c>
      <c r="D186">
        <v>13.14</v>
      </c>
    </row>
    <row r="187" spans="1:4">
      <c r="A187">
        <v>2019</v>
      </c>
      <c r="B187" t="s">
        <v>7</v>
      </c>
      <c r="C187" t="s">
        <v>111</v>
      </c>
      <c r="D187">
        <v>13.18</v>
      </c>
    </row>
    <row r="188" spans="1:4">
      <c r="A188">
        <v>2019</v>
      </c>
      <c r="B188" t="s">
        <v>7</v>
      </c>
      <c r="C188" t="s">
        <v>112</v>
      </c>
      <c r="D188">
        <v>13.39</v>
      </c>
    </row>
    <row r="189" spans="1:4">
      <c r="A189">
        <v>2019</v>
      </c>
      <c r="B189" t="s">
        <v>7</v>
      </c>
      <c r="C189" t="s">
        <v>113</v>
      </c>
      <c r="D189">
        <v>13.37</v>
      </c>
    </row>
    <row r="190" spans="1:4">
      <c r="A190">
        <v>2019</v>
      </c>
      <c r="B190" t="s">
        <v>7</v>
      </c>
      <c r="C190" t="s">
        <v>114</v>
      </c>
      <c r="D190">
        <v>13.42</v>
      </c>
    </row>
    <row r="191" spans="1:4">
      <c r="A191">
        <v>2019</v>
      </c>
      <c r="B191" t="s">
        <v>7</v>
      </c>
      <c r="C191" t="s">
        <v>36</v>
      </c>
      <c r="D191">
        <v>13.36</v>
      </c>
    </row>
    <row r="192" spans="1:4">
      <c r="A192">
        <v>2019</v>
      </c>
      <c r="B192" t="s">
        <v>7</v>
      </c>
      <c r="C192" t="s">
        <v>115</v>
      </c>
      <c r="D192">
        <v>12.84</v>
      </c>
    </row>
    <row r="193" spans="1:4">
      <c r="A193">
        <v>2019</v>
      </c>
      <c r="B193" t="s">
        <v>7</v>
      </c>
      <c r="C193" t="s">
        <v>116</v>
      </c>
      <c r="D193">
        <v>13.38</v>
      </c>
    </row>
    <row r="194" spans="1:4">
      <c r="A194">
        <v>2019</v>
      </c>
      <c r="B194" t="s">
        <v>7</v>
      </c>
      <c r="C194" t="s">
        <v>24</v>
      </c>
      <c r="D194">
        <v>13.31</v>
      </c>
    </row>
    <row r="195" spans="1:4">
      <c r="A195">
        <v>2019</v>
      </c>
      <c r="B195" t="s">
        <v>7</v>
      </c>
      <c r="C195" t="s">
        <v>117</v>
      </c>
      <c r="D195">
        <v>12.85</v>
      </c>
    </row>
    <row r="196" spans="1:4">
      <c r="A196">
        <v>2019</v>
      </c>
      <c r="B196" t="s">
        <v>7</v>
      </c>
      <c r="C196" t="s">
        <v>118</v>
      </c>
      <c r="D196">
        <v>13.42</v>
      </c>
    </row>
    <row r="197" spans="1:4">
      <c r="A197">
        <v>2019</v>
      </c>
      <c r="B197" t="s">
        <v>7</v>
      </c>
      <c r="C197" t="s">
        <v>25</v>
      </c>
      <c r="D197">
        <v>13.31</v>
      </c>
    </row>
    <row r="198" spans="1:4">
      <c r="A198">
        <v>2019</v>
      </c>
      <c r="B198" t="s">
        <v>7</v>
      </c>
      <c r="C198" t="s">
        <v>119</v>
      </c>
      <c r="D198">
        <v>13.16</v>
      </c>
    </row>
    <row r="199" spans="1:4">
      <c r="A199">
        <v>2019</v>
      </c>
      <c r="B199" t="s">
        <v>7</v>
      </c>
      <c r="C199" t="s">
        <v>26</v>
      </c>
      <c r="D199">
        <v>13.35</v>
      </c>
    </row>
    <row r="200" spans="1:4">
      <c r="A200">
        <v>2019</v>
      </c>
      <c r="B200" t="s">
        <v>7</v>
      </c>
      <c r="C200" t="s">
        <v>120</v>
      </c>
      <c r="D200">
        <v>13.32</v>
      </c>
    </row>
    <row r="201" spans="1:4">
      <c r="A201">
        <v>2019</v>
      </c>
      <c r="B201" t="s">
        <v>7</v>
      </c>
      <c r="C201" t="s">
        <v>121</v>
      </c>
      <c r="D201">
        <v>13.28</v>
      </c>
    </row>
    <row r="202" spans="1:4">
      <c r="A202">
        <v>2019</v>
      </c>
      <c r="B202" t="s">
        <v>7</v>
      </c>
      <c r="C202" t="s">
        <v>122</v>
      </c>
      <c r="D202">
        <v>13.26</v>
      </c>
    </row>
    <row r="203" spans="1:4">
      <c r="A203">
        <v>2019</v>
      </c>
      <c r="B203" t="s">
        <v>7</v>
      </c>
      <c r="C203" t="s">
        <v>123</v>
      </c>
      <c r="D203">
        <v>13.25</v>
      </c>
    </row>
    <row r="204" spans="1:4">
      <c r="A204">
        <v>2019</v>
      </c>
      <c r="B204" t="s">
        <v>7</v>
      </c>
      <c r="C204" t="s">
        <v>27</v>
      </c>
      <c r="D204">
        <v>13.34</v>
      </c>
    </row>
    <row r="205" spans="1:4">
      <c r="A205">
        <v>2019</v>
      </c>
      <c r="B205" t="s">
        <v>7</v>
      </c>
      <c r="C205" t="s">
        <v>124</v>
      </c>
      <c r="D205">
        <v>13.41</v>
      </c>
    </row>
    <row r="206" spans="1:4">
      <c r="A206">
        <v>2019</v>
      </c>
      <c r="B206" t="s">
        <v>7</v>
      </c>
      <c r="C206" t="s">
        <v>28</v>
      </c>
      <c r="D206">
        <v>13.33</v>
      </c>
    </row>
    <row r="207" spans="1:4">
      <c r="A207">
        <v>2019</v>
      </c>
      <c r="B207" t="s">
        <v>7</v>
      </c>
      <c r="C207" t="s">
        <v>125</v>
      </c>
      <c r="D207">
        <v>13.34</v>
      </c>
    </row>
    <row r="208" spans="1:4">
      <c r="A208">
        <v>2019</v>
      </c>
      <c r="B208" t="s">
        <v>7</v>
      </c>
      <c r="C208" t="s">
        <v>126</v>
      </c>
      <c r="D208">
        <v>13.1</v>
      </c>
    </row>
    <row r="209" spans="1:4">
      <c r="A209">
        <v>2019</v>
      </c>
      <c r="B209" t="s">
        <v>7</v>
      </c>
      <c r="C209" t="s">
        <v>127</v>
      </c>
      <c r="D209">
        <v>13.08</v>
      </c>
    </row>
    <row r="210" spans="1:4">
      <c r="A210">
        <v>2019</v>
      </c>
      <c r="B210" t="s">
        <v>8</v>
      </c>
      <c r="C210" t="s">
        <v>85</v>
      </c>
      <c r="D210">
        <v>14.64</v>
      </c>
    </row>
    <row r="211" spans="1:4">
      <c r="A211">
        <v>2019</v>
      </c>
      <c r="B211" t="s">
        <v>8</v>
      </c>
      <c r="C211" t="s">
        <v>86</v>
      </c>
      <c r="D211">
        <v>14.31</v>
      </c>
    </row>
    <row r="212" spans="1:4">
      <c r="A212">
        <v>2019</v>
      </c>
      <c r="B212" t="s">
        <v>8</v>
      </c>
      <c r="C212" t="s">
        <v>87</v>
      </c>
      <c r="D212">
        <v>14.25</v>
      </c>
    </row>
    <row r="213" spans="1:4">
      <c r="A213">
        <v>2019</v>
      </c>
      <c r="B213" t="s">
        <v>8</v>
      </c>
      <c r="C213" t="s">
        <v>88</v>
      </c>
      <c r="D213">
        <v>14.14</v>
      </c>
    </row>
    <row r="214" spans="1:4">
      <c r="A214">
        <v>2019</v>
      </c>
      <c r="B214" t="s">
        <v>8</v>
      </c>
      <c r="C214" t="s">
        <v>21</v>
      </c>
      <c r="D214">
        <v>14.45</v>
      </c>
    </row>
    <row r="215" spans="1:4">
      <c r="A215">
        <v>2019</v>
      </c>
      <c r="B215" t="s">
        <v>8</v>
      </c>
      <c r="C215" t="s">
        <v>89</v>
      </c>
      <c r="D215">
        <v>14.3</v>
      </c>
    </row>
    <row r="216" spans="1:4">
      <c r="A216">
        <v>2019</v>
      </c>
      <c r="B216" t="s">
        <v>8</v>
      </c>
      <c r="C216" t="s">
        <v>90</v>
      </c>
      <c r="D216">
        <v>14.35</v>
      </c>
    </row>
    <row r="217" spans="1:4">
      <c r="A217">
        <v>2019</v>
      </c>
      <c r="B217" t="s">
        <v>8</v>
      </c>
      <c r="C217" t="s">
        <v>91</v>
      </c>
      <c r="D217">
        <v>14.51</v>
      </c>
    </row>
    <row r="218" spans="1:4">
      <c r="A218">
        <v>2019</v>
      </c>
      <c r="B218" t="s">
        <v>8</v>
      </c>
      <c r="C218" t="s">
        <v>22</v>
      </c>
      <c r="D218">
        <v>14.6</v>
      </c>
    </row>
    <row r="219" spans="1:4">
      <c r="A219">
        <v>2019</v>
      </c>
      <c r="B219" t="s">
        <v>8</v>
      </c>
      <c r="C219" t="s">
        <v>92</v>
      </c>
      <c r="D219">
        <v>14.35</v>
      </c>
    </row>
    <row r="220" spans="1:4">
      <c r="A220">
        <v>2019</v>
      </c>
      <c r="B220" t="s">
        <v>8</v>
      </c>
      <c r="C220" t="s">
        <v>93</v>
      </c>
      <c r="D220">
        <v>14.11</v>
      </c>
    </row>
    <row r="221" spans="1:4">
      <c r="A221">
        <v>2019</v>
      </c>
      <c r="B221" t="s">
        <v>8</v>
      </c>
      <c r="C221" t="s">
        <v>94</v>
      </c>
      <c r="D221">
        <v>14.39</v>
      </c>
    </row>
    <row r="222" spans="1:4">
      <c r="A222">
        <v>2019</v>
      </c>
      <c r="B222" t="s">
        <v>8</v>
      </c>
      <c r="C222" t="s">
        <v>95</v>
      </c>
      <c r="D222">
        <v>14.31</v>
      </c>
    </row>
    <row r="223" spans="1:4">
      <c r="A223">
        <v>2019</v>
      </c>
      <c r="B223" t="s">
        <v>8</v>
      </c>
      <c r="C223" t="s">
        <v>96</v>
      </c>
      <c r="D223">
        <v>14.22</v>
      </c>
    </row>
    <row r="224" spans="1:4">
      <c r="A224">
        <v>2019</v>
      </c>
      <c r="B224" t="s">
        <v>8</v>
      </c>
      <c r="C224" t="s">
        <v>97</v>
      </c>
      <c r="D224">
        <v>14.69</v>
      </c>
    </row>
    <row r="225" spans="1:4">
      <c r="A225">
        <v>2019</v>
      </c>
      <c r="B225" t="s">
        <v>8</v>
      </c>
      <c r="C225" t="s">
        <v>98</v>
      </c>
      <c r="D225">
        <v>14.4</v>
      </c>
    </row>
    <row r="226" spans="1:4">
      <c r="A226">
        <v>2019</v>
      </c>
      <c r="B226" t="s">
        <v>8</v>
      </c>
      <c r="C226" t="s">
        <v>99</v>
      </c>
      <c r="D226">
        <v>14.56</v>
      </c>
    </row>
    <row r="227" spans="1:4">
      <c r="A227">
        <v>2019</v>
      </c>
      <c r="B227" t="s">
        <v>8</v>
      </c>
      <c r="C227" t="s">
        <v>100</v>
      </c>
      <c r="D227">
        <v>14.16</v>
      </c>
    </row>
    <row r="228" spans="1:4">
      <c r="A228">
        <v>2019</v>
      </c>
      <c r="B228" t="s">
        <v>8</v>
      </c>
      <c r="C228" t="s">
        <v>101</v>
      </c>
      <c r="D228">
        <v>14.44</v>
      </c>
    </row>
    <row r="229" spans="1:4">
      <c r="A229">
        <v>2019</v>
      </c>
      <c r="B229" t="s">
        <v>8</v>
      </c>
      <c r="C229" t="s">
        <v>102</v>
      </c>
      <c r="D229">
        <v>14.69</v>
      </c>
    </row>
    <row r="230" spans="1:4">
      <c r="A230">
        <v>2019</v>
      </c>
      <c r="B230" t="s">
        <v>8</v>
      </c>
      <c r="C230" t="s">
        <v>103</v>
      </c>
      <c r="D230">
        <v>14.17</v>
      </c>
    </row>
    <row r="231" spans="1:4">
      <c r="A231">
        <v>2019</v>
      </c>
      <c r="B231" t="s">
        <v>8</v>
      </c>
      <c r="C231" t="s">
        <v>104</v>
      </c>
      <c r="D231">
        <v>14.58</v>
      </c>
    </row>
    <row r="232" spans="1:4">
      <c r="A232">
        <v>2019</v>
      </c>
      <c r="B232" t="s">
        <v>8</v>
      </c>
      <c r="C232" t="s">
        <v>105</v>
      </c>
      <c r="D232">
        <v>14.21</v>
      </c>
    </row>
    <row r="233" spans="1:4">
      <c r="A233">
        <v>2019</v>
      </c>
      <c r="B233" t="s">
        <v>8</v>
      </c>
      <c r="C233" t="s">
        <v>23</v>
      </c>
      <c r="D233">
        <v>14.62</v>
      </c>
    </row>
    <row r="234" spans="1:4">
      <c r="A234">
        <v>2019</v>
      </c>
      <c r="B234" t="s">
        <v>8</v>
      </c>
      <c r="C234" t="s">
        <v>106</v>
      </c>
      <c r="D234">
        <v>14.53</v>
      </c>
    </row>
    <row r="235" spans="1:4">
      <c r="A235">
        <v>2019</v>
      </c>
      <c r="B235" t="s">
        <v>8</v>
      </c>
      <c r="C235" t="s">
        <v>107</v>
      </c>
      <c r="D235">
        <v>14.6</v>
      </c>
    </row>
    <row r="236" spans="1:4">
      <c r="A236">
        <v>2019</v>
      </c>
      <c r="B236" t="s">
        <v>8</v>
      </c>
      <c r="C236" t="s">
        <v>108</v>
      </c>
      <c r="D236">
        <v>14.66</v>
      </c>
    </row>
    <row r="237" spans="1:4">
      <c r="A237">
        <v>2019</v>
      </c>
      <c r="B237" t="s">
        <v>8</v>
      </c>
      <c r="C237" t="s">
        <v>109</v>
      </c>
      <c r="D237">
        <v>14.43</v>
      </c>
    </row>
    <row r="238" spans="1:4">
      <c r="A238">
        <v>2019</v>
      </c>
      <c r="B238" t="s">
        <v>8</v>
      </c>
      <c r="C238" t="s">
        <v>110</v>
      </c>
      <c r="D238">
        <v>14.13</v>
      </c>
    </row>
    <row r="239" spans="1:4">
      <c r="A239">
        <v>2019</v>
      </c>
      <c r="B239" t="s">
        <v>8</v>
      </c>
      <c r="C239" t="s">
        <v>111</v>
      </c>
      <c r="D239">
        <v>14.23</v>
      </c>
    </row>
    <row r="240" spans="1:4">
      <c r="A240">
        <v>2019</v>
      </c>
      <c r="B240" t="s">
        <v>8</v>
      </c>
      <c r="C240" t="s">
        <v>112</v>
      </c>
      <c r="D240">
        <v>14.64</v>
      </c>
    </row>
    <row r="241" spans="1:4">
      <c r="A241">
        <v>2019</v>
      </c>
      <c r="B241" t="s">
        <v>8</v>
      </c>
      <c r="C241" t="s">
        <v>113</v>
      </c>
      <c r="D241">
        <v>14.6</v>
      </c>
    </row>
    <row r="242" spans="1:4">
      <c r="A242">
        <v>2019</v>
      </c>
      <c r="B242" t="s">
        <v>8</v>
      </c>
      <c r="C242" t="s">
        <v>114</v>
      </c>
      <c r="D242">
        <v>14.69</v>
      </c>
    </row>
    <row r="243" spans="1:4">
      <c r="A243">
        <v>2019</v>
      </c>
      <c r="B243" t="s">
        <v>8</v>
      </c>
      <c r="C243" t="s">
        <v>36</v>
      </c>
      <c r="D243">
        <v>14.57</v>
      </c>
    </row>
    <row r="244" spans="1:4">
      <c r="A244">
        <v>2019</v>
      </c>
      <c r="B244" t="s">
        <v>8</v>
      </c>
      <c r="C244" t="s">
        <v>115</v>
      </c>
      <c r="D244">
        <v>13.54</v>
      </c>
    </row>
    <row r="245" spans="1:4">
      <c r="A245">
        <v>2019</v>
      </c>
      <c r="B245" t="s">
        <v>8</v>
      </c>
      <c r="C245" t="s">
        <v>116</v>
      </c>
      <c r="D245">
        <v>14.6</v>
      </c>
    </row>
    <row r="246" spans="1:4">
      <c r="A246">
        <v>2019</v>
      </c>
      <c r="B246" t="s">
        <v>8</v>
      </c>
      <c r="C246" t="s">
        <v>24</v>
      </c>
      <c r="D246">
        <v>14.47</v>
      </c>
    </row>
    <row r="247" spans="1:4">
      <c r="A247">
        <v>2019</v>
      </c>
      <c r="B247" t="s">
        <v>8</v>
      </c>
      <c r="C247" t="s">
        <v>117</v>
      </c>
      <c r="D247">
        <v>13.56</v>
      </c>
    </row>
    <row r="248" spans="1:4">
      <c r="A248">
        <v>2019</v>
      </c>
      <c r="B248" t="s">
        <v>8</v>
      </c>
      <c r="C248" t="s">
        <v>118</v>
      </c>
      <c r="D248">
        <v>14.7</v>
      </c>
    </row>
    <row r="249" spans="1:4">
      <c r="A249">
        <v>2019</v>
      </c>
      <c r="B249" t="s">
        <v>8</v>
      </c>
      <c r="C249" t="s">
        <v>25</v>
      </c>
      <c r="D249">
        <v>14.47</v>
      </c>
    </row>
    <row r="250" spans="1:4">
      <c r="A250">
        <v>2019</v>
      </c>
      <c r="B250" t="s">
        <v>8</v>
      </c>
      <c r="C250" t="s">
        <v>119</v>
      </c>
      <c r="D250">
        <v>14.18</v>
      </c>
    </row>
    <row r="251" spans="1:4">
      <c r="A251">
        <v>2019</v>
      </c>
      <c r="B251" t="s">
        <v>8</v>
      </c>
      <c r="C251" t="s">
        <v>26</v>
      </c>
      <c r="D251">
        <v>14.54</v>
      </c>
    </row>
    <row r="252" spans="1:4">
      <c r="A252">
        <v>2019</v>
      </c>
      <c r="B252" t="s">
        <v>8</v>
      </c>
      <c r="C252" t="s">
        <v>120</v>
      </c>
      <c r="D252">
        <v>14.49</v>
      </c>
    </row>
    <row r="253" spans="1:4">
      <c r="A253">
        <v>2019</v>
      </c>
      <c r="B253" t="s">
        <v>8</v>
      </c>
      <c r="C253" t="s">
        <v>121</v>
      </c>
      <c r="D253">
        <v>14.42</v>
      </c>
    </row>
    <row r="254" spans="1:4">
      <c r="A254">
        <v>2019</v>
      </c>
      <c r="B254" t="s">
        <v>8</v>
      </c>
      <c r="C254" t="s">
        <v>122</v>
      </c>
      <c r="D254">
        <v>14.38</v>
      </c>
    </row>
    <row r="255" spans="1:4">
      <c r="A255">
        <v>2019</v>
      </c>
      <c r="B255" t="s">
        <v>8</v>
      </c>
      <c r="C255" t="s">
        <v>123</v>
      </c>
      <c r="D255">
        <v>14.35</v>
      </c>
    </row>
    <row r="256" spans="1:4">
      <c r="A256">
        <v>2019</v>
      </c>
      <c r="B256" t="s">
        <v>8</v>
      </c>
      <c r="C256" t="s">
        <v>27</v>
      </c>
      <c r="D256">
        <v>14.53</v>
      </c>
    </row>
    <row r="257" spans="1:4">
      <c r="A257">
        <v>2019</v>
      </c>
      <c r="B257" t="s">
        <v>8</v>
      </c>
      <c r="C257" t="s">
        <v>124</v>
      </c>
      <c r="D257">
        <v>14.68</v>
      </c>
    </row>
    <row r="258" spans="1:4">
      <c r="A258">
        <v>2019</v>
      </c>
      <c r="B258" t="s">
        <v>8</v>
      </c>
      <c r="C258" t="s">
        <v>28</v>
      </c>
      <c r="D258">
        <v>14.52</v>
      </c>
    </row>
    <row r="259" spans="1:4">
      <c r="A259">
        <v>2019</v>
      </c>
      <c r="B259" t="s">
        <v>8</v>
      </c>
      <c r="C259" t="s">
        <v>125</v>
      </c>
      <c r="D259">
        <v>14.53</v>
      </c>
    </row>
    <row r="260" spans="1:4">
      <c r="A260">
        <v>2019</v>
      </c>
      <c r="B260" t="s">
        <v>8</v>
      </c>
      <c r="C260" t="s">
        <v>126</v>
      </c>
      <c r="D260">
        <v>14.07</v>
      </c>
    </row>
    <row r="261" spans="1:4">
      <c r="A261">
        <v>2019</v>
      </c>
      <c r="B261" t="s">
        <v>8</v>
      </c>
      <c r="C261" t="s">
        <v>127</v>
      </c>
      <c r="D261">
        <v>14.02</v>
      </c>
    </row>
    <row r="262" spans="1:4">
      <c r="A262">
        <v>2019</v>
      </c>
      <c r="B262" t="s">
        <v>9</v>
      </c>
      <c r="C262" t="s">
        <v>85</v>
      </c>
      <c r="D262">
        <v>15.28</v>
      </c>
    </row>
    <row r="263" spans="1:4">
      <c r="A263">
        <v>2019</v>
      </c>
      <c r="B263" t="s">
        <v>9</v>
      </c>
      <c r="C263" t="s">
        <v>86</v>
      </c>
      <c r="D263">
        <v>14.86</v>
      </c>
    </row>
    <row r="264" spans="1:4">
      <c r="A264">
        <v>2019</v>
      </c>
      <c r="B264" t="s">
        <v>9</v>
      </c>
      <c r="C264" t="s">
        <v>87</v>
      </c>
      <c r="D264">
        <v>14.79</v>
      </c>
    </row>
    <row r="265" spans="1:4">
      <c r="A265">
        <v>2019</v>
      </c>
      <c r="B265" t="s">
        <v>9</v>
      </c>
      <c r="C265" t="s">
        <v>88</v>
      </c>
      <c r="D265">
        <v>14.64</v>
      </c>
    </row>
    <row r="266" spans="1:4">
      <c r="A266">
        <v>2019</v>
      </c>
      <c r="B266" t="s">
        <v>9</v>
      </c>
      <c r="C266" t="s">
        <v>21</v>
      </c>
      <c r="D266">
        <v>15.04</v>
      </c>
    </row>
    <row r="267" spans="1:4">
      <c r="A267">
        <v>2019</v>
      </c>
      <c r="B267" t="s">
        <v>9</v>
      </c>
      <c r="C267" t="s">
        <v>89</v>
      </c>
      <c r="D267">
        <v>14.85</v>
      </c>
    </row>
    <row r="268" spans="1:4">
      <c r="A268">
        <v>2019</v>
      </c>
      <c r="B268" t="s">
        <v>9</v>
      </c>
      <c r="C268" t="s">
        <v>90</v>
      </c>
      <c r="D268">
        <v>14.92</v>
      </c>
    </row>
    <row r="269" spans="1:4">
      <c r="A269">
        <v>2019</v>
      </c>
      <c r="B269" t="s">
        <v>9</v>
      </c>
      <c r="C269" t="s">
        <v>91</v>
      </c>
      <c r="D269">
        <v>15.12</v>
      </c>
    </row>
    <row r="270" spans="1:4">
      <c r="A270">
        <v>2019</v>
      </c>
      <c r="B270" t="s">
        <v>9</v>
      </c>
      <c r="C270" t="s">
        <v>22</v>
      </c>
      <c r="D270">
        <v>15.23</v>
      </c>
    </row>
    <row r="271" spans="1:4">
      <c r="A271">
        <v>2019</v>
      </c>
      <c r="B271" t="s">
        <v>9</v>
      </c>
      <c r="C271" t="s">
        <v>92</v>
      </c>
      <c r="D271">
        <v>14.91</v>
      </c>
    </row>
    <row r="272" spans="1:4">
      <c r="A272">
        <v>2019</v>
      </c>
      <c r="B272" t="s">
        <v>9</v>
      </c>
      <c r="C272" t="s">
        <v>93</v>
      </c>
      <c r="D272">
        <v>14.61</v>
      </c>
    </row>
    <row r="273" spans="1:4">
      <c r="A273">
        <v>2019</v>
      </c>
      <c r="B273" t="s">
        <v>9</v>
      </c>
      <c r="C273" t="s">
        <v>94</v>
      </c>
      <c r="D273">
        <v>14.96</v>
      </c>
    </row>
    <row r="274" spans="1:4">
      <c r="A274">
        <v>2019</v>
      </c>
      <c r="B274" t="s">
        <v>9</v>
      </c>
      <c r="C274" t="s">
        <v>95</v>
      </c>
      <c r="D274">
        <v>14.85</v>
      </c>
    </row>
    <row r="275" spans="1:4">
      <c r="A275">
        <v>2019</v>
      </c>
      <c r="B275" t="s">
        <v>9</v>
      </c>
      <c r="C275" t="s">
        <v>96</v>
      </c>
      <c r="D275">
        <v>14.74</v>
      </c>
    </row>
    <row r="276" spans="1:4">
      <c r="A276">
        <v>2019</v>
      </c>
      <c r="B276" t="s">
        <v>9</v>
      </c>
      <c r="C276" t="s">
        <v>97</v>
      </c>
      <c r="D276">
        <v>15.35</v>
      </c>
    </row>
    <row r="277" spans="1:4">
      <c r="A277">
        <v>2019</v>
      </c>
      <c r="B277" t="s">
        <v>9</v>
      </c>
      <c r="C277" t="s">
        <v>98</v>
      </c>
      <c r="D277">
        <v>14.97</v>
      </c>
    </row>
    <row r="278" spans="1:4">
      <c r="A278">
        <v>2019</v>
      </c>
      <c r="B278" t="s">
        <v>9</v>
      </c>
      <c r="C278" t="s">
        <v>99</v>
      </c>
      <c r="D278">
        <v>15.18</v>
      </c>
    </row>
    <row r="279" spans="1:4">
      <c r="A279">
        <v>2019</v>
      </c>
      <c r="B279" t="s">
        <v>9</v>
      </c>
      <c r="C279" t="s">
        <v>100</v>
      </c>
      <c r="D279">
        <v>14.68</v>
      </c>
    </row>
    <row r="280" spans="1:4">
      <c r="A280">
        <v>2019</v>
      </c>
      <c r="B280" t="s">
        <v>9</v>
      </c>
      <c r="C280" t="s">
        <v>101</v>
      </c>
      <c r="D280">
        <v>15.03</v>
      </c>
    </row>
    <row r="281" spans="1:4">
      <c r="A281">
        <v>2019</v>
      </c>
      <c r="B281" t="s">
        <v>9</v>
      </c>
      <c r="C281" t="s">
        <v>102</v>
      </c>
      <c r="D281">
        <v>15.34</v>
      </c>
    </row>
    <row r="282" spans="1:4">
      <c r="A282">
        <v>2019</v>
      </c>
      <c r="B282" t="s">
        <v>9</v>
      </c>
      <c r="C282" t="s">
        <v>103</v>
      </c>
      <c r="D282">
        <v>14.68</v>
      </c>
    </row>
    <row r="283" spans="1:4">
      <c r="A283">
        <v>2019</v>
      </c>
      <c r="B283" t="s">
        <v>9</v>
      </c>
      <c r="C283" t="s">
        <v>104</v>
      </c>
      <c r="D283">
        <v>15.2</v>
      </c>
    </row>
    <row r="284" spans="1:4">
      <c r="A284">
        <v>2019</v>
      </c>
      <c r="B284" t="s">
        <v>9</v>
      </c>
      <c r="C284" t="s">
        <v>105</v>
      </c>
      <c r="D284">
        <v>14.73</v>
      </c>
    </row>
    <row r="285" spans="1:4">
      <c r="A285">
        <v>2019</v>
      </c>
      <c r="B285" t="s">
        <v>9</v>
      </c>
      <c r="C285" t="s">
        <v>23</v>
      </c>
      <c r="D285">
        <v>15.26</v>
      </c>
    </row>
    <row r="286" spans="1:4">
      <c r="A286">
        <v>2019</v>
      </c>
      <c r="B286" t="s">
        <v>9</v>
      </c>
      <c r="C286" t="s">
        <v>106</v>
      </c>
      <c r="D286">
        <v>15.14</v>
      </c>
    </row>
    <row r="287" spans="1:4">
      <c r="A287">
        <v>2019</v>
      </c>
      <c r="B287" t="s">
        <v>9</v>
      </c>
      <c r="C287" t="s">
        <v>107</v>
      </c>
      <c r="D287">
        <v>15.24</v>
      </c>
    </row>
    <row r="288" spans="1:4">
      <c r="A288">
        <v>2019</v>
      </c>
      <c r="B288" t="s">
        <v>9</v>
      </c>
      <c r="C288" t="s">
        <v>108</v>
      </c>
      <c r="D288">
        <v>15.3</v>
      </c>
    </row>
    <row r="289" spans="1:4">
      <c r="A289">
        <v>2019</v>
      </c>
      <c r="B289" t="s">
        <v>9</v>
      </c>
      <c r="C289" t="s">
        <v>109</v>
      </c>
      <c r="D289">
        <v>15.01</v>
      </c>
    </row>
    <row r="290" spans="1:4">
      <c r="A290">
        <v>2019</v>
      </c>
      <c r="B290" t="s">
        <v>9</v>
      </c>
      <c r="C290" t="s">
        <v>110</v>
      </c>
      <c r="D290">
        <v>14.63</v>
      </c>
    </row>
    <row r="291" spans="1:4">
      <c r="A291">
        <v>2019</v>
      </c>
      <c r="B291" t="s">
        <v>9</v>
      </c>
      <c r="C291" t="s">
        <v>111</v>
      </c>
      <c r="D291">
        <v>14.76</v>
      </c>
    </row>
    <row r="292" spans="1:4">
      <c r="A292">
        <v>2019</v>
      </c>
      <c r="B292" t="s">
        <v>9</v>
      </c>
      <c r="C292" t="s">
        <v>112</v>
      </c>
      <c r="D292">
        <v>15.28</v>
      </c>
    </row>
    <row r="293" spans="1:4">
      <c r="A293">
        <v>2019</v>
      </c>
      <c r="B293" t="s">
        <v>9</v>
      </c>
      <c r="C293" t="s">
        <v>113</v>
      </c>
      <c r="D293">
        <v>15.22</v>
      </c>
    </row>
    <row r="294" spans="1:4">
      <c r="A294">
        <v>2019</v>
      </c>
      <c r="B294" t="s">
        <v>9</v>
      </c>
      <c r="C294" t="s">
        <v>114</v>
      </c>
      <c r="D294">
        <v>15.35</v>
      </c>
    </row>
    <row r="295" spans="1:4">
      <c r="A295">
        <v>2019</v>
      </c>
      <c r="B295" t="s">
        <v>9</v>
      </c>
      <c r="C295" t="s">
        <v>36</v>
      </c>
      <c r="D295">
        <v>15.19</v>
      </c>
    </row>
    <row r="296" spans="1:4">
      <c r="A296">
        <v>2019</v>
      </c>
      <c r="B296" t="s">
        <v>9</v>
      </c>
      <c r="C296" t="s">
        <v>115</v>
      </c>
      <c r="D296">
        <v>13.9</v>
      </c>
    </row>
    <row r="297" spans="1:4">
      <c r="A297">
        <v>2019</v>
      </c>
      <c r="B297" t="s">
        <v>9</v>
      </c>
      <c r="C297" t="s">
        <v>116</v>
      </c>
      <c r="D297">
        <v>15.24</v>
      </c>
    </row>
    <row r="298" spans="1:4">
      <c r="A298">
        <v>2019</v>
      </c>
      <c r="B298" t="s">
        <v>9</v>
      </c>
      <c r="C298" t="s">
        <v>24</v>
      </c>
      <c r="D298">
        <v>15.07</v>
      </c>
    </row>
    <row r="299" spans="1:4">
      <c r="A299">
        <v>2019</v>
      </c>
      <c r="B299" t="s">
        <v>9</v>
      </c>
      <c r="C299" t="s">
        <v>117</v>
      </c>
      <c r="D299">
        <v>13.92</v>
      </c>
    </row>
    <row r="300" spans="1:4">
      <c r="A300">
        <v>2019</v>
      </c>
      <c r="B300" t="s">
        <v>9</v>
      </c>
      <c r="C300" t="s">
        <v>118</v>
      </c>
      <c r="D300">
        <v>15.36</v>
      </c>
    </row>
    <row r="301" spans="1:4">
      <c r="A301">
        <v>2019</v>
      </c>
      <c r="B301" t="s">
        <v>9</v>
      </c>
      <c r="C301" t="s">
        <v>25</v>
      </c>
      <c r="D301">
        <v>15.07</v>
      </c>
    </row>
    <row r="302" spans="1:4">
      <c r="A302">
        <v>2019</v>
      </c>
      <c r="B302" t="s">
        <v>9</v>
      </c>
      <c r="C302" t="s">
        <v>119</v>
      </c>
      <c r="D302">
        <v>14.7</v>
      </c>
    </row>
    <row r="303" spans="1:4">
      <c r="A303">
        <v>2019</v>
      </c>
      <c r="B303" t="s">
        <v>9</v>
      </c>
      <c r="C303" t="s">
        <v>26</v>
      </c>
      <c r="D303">
        <v>15.16</v>
      </c>
    </row>
    <row r="304" spans="1:4">
      <c r="A304">
        <v>2019</v>
      </c>
      <c r="B304" t="s">
        <v>9</v>
      </c>
      <c r="C304" t="s">
        <v>120</v>
      </c>
      <c r="D304">
        <v>15.09</v>
      </c>
    </row>
    <row r="305" spans="1:4">
      <c r="A305">
        <v>2019</v>
      </c>
      <c r="B305" t="s">
        <v>9</v>
      </c>
      <c r="C305" t="s">
        <v>121</v>
      </c>
      <c r="D305">
        <v>15</v>
      </c>
    </row>
    <row r="306" spans="1:4">
      <c r="A306">
        <v>2019</v>
      </c>
      <c r="B306" t="s">
        <v>9</v>
      </c>
      <c r="C306" t="s">
        <v>122</v>
      </c>
      <c r="D306">
        <v>14.95</v>
      </c>
    </row>
    <row r="307" spans="1:4">
      <c r="A307">
        <v>2019</v>
      </c>
      <c r="B307" t="s">
        <v>9</v>
      </c>
      <c r="C307" t="s">
        <v>123</v>
      </c>
      <c r="D307">
        <v>14.91</v>
      </c>
    </row>
    <row r="308" spans="1:4">
      <c r="A308">
        <v>2019</v>
      </c>
      <c r="B308" t="s">
        <v>9</v>
      </c>
      <c r="C308" t="s">
        <v>27</v>
      </c>
      <c r="D308">
        <v>15.14</v>
      </c>
    </row>
    <row r="309" spans="1:4">
      <c r="A309">
        <v>2019</v>
      </c>
      <c r="B309" t="s">
        <v>9</v>
      </c>
      <c r="C309" t="s">
        <v>124</v>
      </c>
      <c r="D309">
        <v>15.34</v>
      </c>
    </row>
    <row r="310" spans="1:4">
      <c r="A310">
        <v>2019</v>
      </c>
      <c r="B310" t="s">
        <v>9</v>
      </c>
      <c r="C310" t="s">
        <v>28</v>
      </c>
      <c r="D310">
        <v>15.13</v>
      </c>
    </row>
    <row r="311" spans="1:4">
      <c r="A311">
        <v>2019</v>
      </c>
      <c r="B311" t="s">
        <v>9</v>
      </c>
      <c r="C311" t="s">
        <v>125</v>
      </c>
      <c r="D311">
        <v>15.15</v>
      </c>
    </row>
    <row r="312" spans="1:4">
      <c r="A312">
        <v>2019</v>
      </c>
      <c r="B312" t="s">
        <v>9</v>
      </c>
      <c r="C312" t="s">
        <v>126</v>
      </c>
      <c r="D312">
        <v>14.56</v>
      </c>
    </row>
    <row r="313" spans="1:4">
      <c r="A313">
        <v>2019</v>
      </c>
      <c r="B313" t="s">
        <v>9</v>
      </c>
      <c r="C313" t="s">
        <v>127</v>
      </c>
      <c r="D313">
        <v>14.5</v>
      </c>
    </row>
    <row r="314" spans="1:4">
      <c r="A314">
        <v>2019</v>
      </c>
      <c r="B314" t="s">
        <v>10</v>
      </c>
      <c r="C314" t="s">
        <v>85</v>
      </c>
      <c r="D314">
        <v>14.98</v>
      </c>
    </row>
    <row r="315" spans="1:4">
      <c r="A315">
        <v>2019</v>
      </c>
      <c r="B315" t="s">
        <v>10</v>
      </c>
      <c r="C315" t="s">
        <v>86</v>
      </c>
      <c r="D315">
        <v>14.6</v>
      </c>
    </row>
    <row r="316" spans="1:4">
      <c r="A316">
        <v>2019</v>
      </c>
      <c r="B316" t="s">
        <v>10</v>
      </c>
      <c r="C316" t="s">
        <v>87</v>
      </c>
      <c r="D316">
        <v>14.54</v>
      </c>
    </row>
    <row r="317" spans="1:4">
      <c r="A317">
        <v>2019</v>
      </c>
      <c r="B317" t="s">
        <v>10</v>
      </c>
      <c r="C317" t="s">
        <v>88</v>
      </c>
      <c r="D317">
        <v>14.4</v>
      </c>
    </row>
    <row r="318" spans="1:4">
      <c r="A318">
        <v>2019</v>
      </c>
      <c r="B318" t="s">
        <v>10</v>
      </c>
      <c r="C318" t="s">
        <v>21</v>
      </c>
      <c r="D318">
        <v>14.75</v>
      </c>
    </row>
    <row r="319" spans="1:4">
      <c r="A319">
        <v>2019</v>
      </c>
      <c r="B319" t="s">
        <v>10</v>
      </c>
      <c r="C319" t="s">
        <v>89</v>
      </c>
      <c r="D319">
        <v>14.58</v>
      </c>
    </row>
    <row r="320" spans="1:4">
      <c r="A320">
        <v>2019</v>
      </c>
      <c r="B320" t="s">
        <v>10</v>
      </c>
      <c r="C320" t="s">
        <v>90</v>
      </c>
      <c r="D320">
        <v>14.65</v>
      </c>
    </row>
    <row r="321" spans="1:4">
      <c r="A321">
        <v>2019</v>
      </c>
      <c r="B321" t="s">
        <v>10</v>
      </c>
      <c r="C321" t="s">
        <v>91</v>
      </c>
      <c r="D321">
        <v>14.83</v>
      </c>
    </row>
    <row r="322" spans="1:4">
      <c r="A322">
        <v>2019</v>
      </c>
      <c r="B322" t="s">
        <v>10</v>
      </c>
      <c r="C322" t="s">
        <v>22</v>
      </c>
      <c r="D322">
        <v>14.92</v>
      </c>
    </row>
    <row r="323" spans="1:4">
      <c r="A323">
        <v>2019</v>
      </c>
      <c r="B323" t="s">
        <v>10</v>
      </c>
      <c r="C323" t="s">
        <v>92</v>
      </c>
      <c r="D323">
        <v>14.64</v>
      </c>
    </row>
    <row r="324" spans="1:4">
      <c r="A324">
        <v>2019</v>
      </c>
      <c r="B324" t="s">
        <v>10</v>
      </c>
      <c r="C324" t="s">
        <v>93</v>
      </c>
      <c r="D324">
        <v>14.37</v>
      </c>
    </row>
    <row r="325" spans="1:4">
      <c r="A325">
        <v>2019</v>
      </c>
      <c r="B325" t="s">
        <v>10</v>
      </c>
      <c r="C325" t="s">
        <v>94</v>
      </c>
      <c r="D325">
        <v>14.69</v>
      </c>
    </row>
    <row r="326" spans="1:4">
      <c r="A326">
        <v>2019</v>
      </c>
      <c r="B326" t="s">
        <v>10</v>
      </c>
      <c r="C326" t="s">
        <v>95</v>
      </c>
      <c r="D326">
        <v>14.59</v>
      </c>
    </row>
    <row r="327" spans="1:4">
      <c r="A327">
        <v>2019</v>
      </c>
      <c r="B327" t="s">
        <v>10</v>
      </c>
      <c r="C327" t="s">
        <v>96</v>
      </c>
      <c r="D327">
        <v>14.49</v>
      </c>
    </row>
    <row r="328" spans="1:4">
      <c r="A328">
        <v>2019</v>
      </c>
      <c r="B328" t="s">
        <v>10</v>
      </c>
      <c r="C328" t="s">
        <v>97</v>
      </c>
      <c r="D328">
        <v>15.03</v>
      </c>
    </row>
    <row r="329" spans="1:4">
      <c r="A329">
        <v>2019</v>
      </c>
      <c r="B329" t="s">
        <v>10</v>
      </c>
      <c r="C329" t="s">
        <v>98</v>
      </c>
      <c r="D329">
        <v>14.7</v>
      </c>
    </row>
    <row r="330" spans="1:4">
      <c r="A330">
        <v>2019</v>
      </c>
      <c r="B330" t="s">
        <v>10</v>
      </c>
      <c r="C330" t="s">
        <v>99</v>
      </c>
      <c r="D330">
        <v>14.89</v>
      </c>
    </row>
    <row r="331" spans="1:4">
      <c r="A331">
        <v>2019</v>
      </c>
      <c r="B331" t="s">
        <v>10</v>
      </c>
      <c r="C331" t="s">
        <v>100</v>
      </c>
      <c r="D331">
        <v>14.43</v>
      </c>
    </row>
    <row r="332" spans="1:4">
      <c r="A332">
        <v>2019</v>
      </c>
      <c r="B332" t="s">
        <v>10</v>
      </c>
      <c r="C332" t="s">
        <v>101</v>
      </c>
      <c r="D332">
        <v>14.75</v>
      </c>
    </row>
    <row r="333" spans="1:4">
      <c r="A333">
        <v>2019</v>
      </c>
      <c r="B333" t="s">
        <v>10</v>
      </c>
      <c r="C333" t="s">
        <v>102</v>
      </c>
      <c r="D333">
        <v>15.03</v>
      </c>
    </row>
    <row r="334" spans="1:4">
      <c r="A334">
        <v>2019</v>
      </c>
      <c r="B334" t="s">
        <v>10</v>
      </c>
      <c r="C334" t="s">
        <v>103</v>
      </c>
      <c r="D334">
        <v>14.44</v>
      </c>
    </row>
    <row r="335" spans="1:4">
      <c r="A335">
        <v>2019</v>
      </c>
      <c r="B335" t="s">
        <v>10</v>
      </c>
      <c r="C335" t="s">
        <v>104</v>
      </c>
      <c r="D335">
        <v>14.9</v>
      </c>
    </row>
    <row r="336" spans="1:4">
      <c r="A336">
        <v>2019</v>
      </c>
      <c r="B336" t="s">
        <v>10</v>
      </c>
      <c r="C336" t="s">
        <v>105</v>
      </c>
      <c r="D336">
        <v>14.48</v>
      </c>
    </row>
    <row r="337" spans="1:4">
      <c r="A337">
        <v>2019</v>
      </c>
      <c r="B337" t="s">
        <v>10</v>
      </c>
      <c r="C337" t="s">
        <v>23</v>
      </c>
      <c r="D337">
        <v>14.95</v>
      </c>
    </row>
    <row r="338" spans="1:4">
      <c r="A338">
        <v>2019</v>
      </c>
      <c r="B338" t="s">
        <v>10</v>
      </c>
      <c r="C338" t="s">
        <v>106</v>
      </c>
      <c r="D338">
        <v>14.85</v>
      </c>
    </row>
    <row r="339" spans="1:4">
      <c r="A339">
        <v>2019</v>
      </c>
      <c r="B339" t="s">
        <v>10</v>
      </c>
      <c r="C339" t="s">
        <v>107</v>
      </c>
      <c r="D339">
        <v>14.93</v>
      </c>
    </row>
    <row r="340" spans="1:4">
      <c r="A340">
        <v>2019</v>
      </c>
      <c r="B340" t="s">
        <v>10</v>
      </c>
      <c r="C340" t="s">
        <v>108</v>
      </c>
      <c r="D340">
        <v>14.99</v>
      </c>
    </row>
    <row r="341" spans="1:4">
      <c r="A341">
        <v>2019</v>
      </c>
      <c r="B341" t="s">
        <v>10</v>
      </c>
      <c r="C341" t="s">
        <v>109</v>
      </c>
      <c r="D341">
        <v>14.73</v>
      </c>
    </row>
    <row r="342" spans="1:4">
      <c r="A342">
        <v>2019</v>
      </c>
      <c r="B342" t="s">
        <v>10</v>
      </c>
      <c r="C342" t="s">
        <v>110</v>
      </c>
      <c r="D342">
        <v>14.39</v>
      </c>
    </row>
    <row r="343" spans="1:4">
      <c r="A343">
        <v>2019</v>
      </c>
      <c r="B343" t="s">
        <v>10</v>
      </c>
      <c r="C343" t="s">
        <v>111</v>
      </c>
      <c r="D343">
        <v>14.5</v>
      </c>
    </row>
    <row r="344" spans="1:4">
      <c r="A344">
        <v>2019</v>
      </c>
      <c r="B344" t="s">
        <v>10</v>
      </c>
      <c r="C344" t="s">
        <v>112</v>
      </c>
      <c r="D344">
        <v>14.98</v>
      </c>
    </row>
    <row r="345" spans="1:4">
      <c r="A345">
        <v>2019</v>
      </c>
      <c r="B345" t="s">
        <v>10</v>
      </c>
      <c r="C345" t="s">
        <v>113</v>
      </c>
      <c r="D345">
        <v>14.92</v>
      </c>
    </row>
    <row r="346" spans="1:4">
      <c r="A346">
        <v>2019</v>
      </c>
      <c r="B346" t="s">
        <v>10</v>
      </c>
      <c r="C346" t="s">
        <v>114</v>
      </c>
      <c r="D346">
        <v>15.03</v>
      </c>
    </row>
    <row r="347" spans="1:4">
      <c r="A347">
        <v>2019</v>
      </c>
      <c r="B347" t="s">
        <v>10</v>
      </c>
      <c r="C347" t="s">
        <v>36</v>
      </c>
      <c r="D347">
        <v>14.89</v>
      </c>
    </row>
    <row r="348" spans="1:4">
      <c r="A348">
        <v>2019</v>
      </c>
      <c r="B348" t="s">
        <v>10</v>
      </c>
      <c r="C348" t="s">
        <v>115</v>
      </c>
      <c r="D348">
        <v>13.73</v>
      </c>
    </row>
    <row r="349" spans="1:4">
      <c r="A349">
        <v>2019</v>
      </c>
      <c r="B349" t="s">
        <v>10</v>
      </c>
      <c r="C349" t="s">
        <v>116</v>
      </c>
      <c r="D349">
        <v>14.93</v>
      </c>
    </row>
    <row r="350" spans="1:4">
      <c r="A350">
        <v>2019</v>
      </c>
      <c r="B350" t="s">
        <v>10</v>
      </c>
      <c r="C350" t="s">
        <v>24</v>
      </c>
      <c r="D350">
        <v>14.78</v>
      </c>
    </row>
    <row r="351" spans="1:4">
      <c r="A351">
        <v>2019</v>
      </c>
      <c r="B351" t="s">
        <v>10</v>
      </c>
      <c r="C351" t="s">
        <v>117</v>
      </c>
      <c r="D351">
        <v>13.75</v>
      </c>
    </row>
    <row r="352" spans="1:4">
      <c r="A352">
        <v>2019</v>
      </c>
      <c r="B352" t="s">
        <v>10</v>
      </c>
      <c r="C352" t="s">
        <v>118</v>
      </c>
      <c r="D352">
        <v>15.05</v>
      </c>
    </row>
    <row r="353" spans="1:4">
      <c r="A353">
        <v>2019</v>
      </c>
      <c r="B353" t="s">
        <v>10</v>
      </c>
      <c r="C353" t="s">
        <v>25</v>
      </c>
      <c r="D353">
        <v>14.78</v>
      </c>
    </row>
    <row r="354" spans="1:4">
      <c r="A354">
        <v>2019</v>
      </c>
      <c r="B354" t="s">
        <v>10</v>
      </c>
      <c r="C354" t="s">
        <v>119</v>
      </c>
      <c r="D354">
        <v>14.45</v>
      </c>
    </row>
    <row r="355" spans="1:4">
      <c r="A355">
        <v>2019</v>
      </c>
      <c r="B355" t="s">
        <v>10</v>
      </c>
      <c r="C355" t="s">
        <v>26</v>
      </c>
      <c r="D355">
        <v>14.86</v>
      </c>
    </row>
    <row r="356" spans="1:4">
      <c r="A356">
        <v>2019</v>
      </c>
      <c r="B356" t="s">
        <v>10</v>
      </c>
      <c r="C356" t="s">
        <v>120</v>
      </c>
      <c r="D356">
        <v>14.8</v>
      </c>
    </row>
    <row r="357" spans="1:4">
      <c r="A357">
        <v>2019</v>
      </c>
      <c r="B357" t="s">
        <v>10</v>
      </c>
      <c r="C357" t="s">
        <v>121</v>
      </c>
      <c r="D357">
        <v>14.72</v>
      </c>
    </row>
    <row r="358" spans="1:4">
      <c r="A358">
        <v>2019</v>
      </c>
      <c r="B358" t="s">
        <v>10</v>
      </c>
      <c r="C358" t="s">
        <v>122</v>
      </c>
      <c r="D358">
        <v>14.68</v>
      </c>
    </row>
    <row r="359" spans="1:4">
      <c r="A359">
        <v>2019</v>
      </c>
      <c r="B359" t="s">
        <v>10</v>
      </c>
      <c r="C359" t="s">
        <v>123</v>
      </c>
      <c r="D359">
        <v>14.64</v>
      </c>
    </row>
    <row r="360" spans="1:4">
      <c r="A360">
        <v>2019</v>
      </c>
      <c r="B360" t="s">
        <v>10</v>
      </c>
      <c r="C360" t="s">
        <v>27</v>
      </c>
      <c r="D360">
        <v>14.85</v>
      </c>
    </row>
    <row r="361" spans="1:4">
      <c r="A361">
        <v>2019</v>
      </c>
      <c r="B361" t="s">
        <v>10</v>
      </c>
      <c r="C361" t="s">
        <v>124</v>
      </c>
      <c r="D361">
        <v>15.02</v>
      </c>
    </row>
    <row r="362" spans="1:4">
      <c r="A362">
        <v>2019</v>
      </c>
      <c r="B362" t="s">
        <v>10</v>
      </c>
      <c r="C362" t="s">
        <v>28</v>
      </c>
      <c r="D362">
        <v>14.84</v>
      </c>
    </row>
    <row r="363" spans="1:4">
      <c r="A363">
        <v>2019</v>
      </c>
      <c r="B363" t="s">
        <v>10</v>
      </c>
      <c r="C363" t="s">
        <v>125</v>
      </c>
      <c r="D363">
        <v>14.85</v>
      </c>
    </row>
    <row r="364" spans="1:4">
      <c r="A364">
        <v>2019</v>
      </c>
      <c r="B364" t="s">
        <v>10</v>
      </c>
      <c r="C364" t="s">
        <v>126</v>
      </c>
      <c r="D364">
        <v>14.32</v>
      </c>
    </row>
    <row r="365" spans="1:4">
      <c r="A365">
        <v>2019</v>
      </c>
      <c r="B365" t="s">
        <v>10</v>
      </c>
      <c r="C365" t="s">
        <v>127</v>
      </c>
      <c r="D365">
        <v>14.27</v>
      </c>
    </row>
    <row r="366" spans="1:4">
      <c r="A366">
        <v>2019</v>
      </c>
      <c r="B366" t="s">
        <v>11</v>
      </c>
      <c r="C366" t="s">
        <v>85</v>
      </c>
      <c r="D366">
        <v>13.89</v>
      </c>
    </row>
    <row r="367" spans="1:4">
      <c r="A367">
        <v>2019</v>
      </c>
      <c r="B367" t="s">
        <v>11</v>
      </c>
      <c r="C367" t="s">
        <v>86</v>
      </c>
      <c r="D367">
        <v>13.66</v>
      </c>
    </row>
    <row r="368" spans="1:4">
      <c r="A368">
        <v>2019</v>
      </c>
      <c r="B368" t="s">
        <v>11</v>
      </c>
      <c r="C368" t="s">
        <v>87</v>
      </c>
      <c r="D368">
        <v>13.62</v>
      </c>
    </row>
    <row r="369" spans="1:4">
      <c r="A369">
        <v>2019</v>
      </c>
      <c r="B369" t="s">
        <v>11</v>
      </c>
      <c r="C369" t="s">
        <v>88</v>
      </c>
      <c r="D369">
        <v>13.54</v>
      </c>
    </row>
    <row r="370" spans="1:4">
      <c r="A370">
        <v>2019</v>
      </c>
      <c r="B370" t="s">
        <v>11</v>
      </c>
      <c r="C370" t="s">
        <v>21</v>
      </c>
      <c r="D370">
        <v>13.75</v>
      </c>
    </row>
    <row r="371" spans="1:4">
      <c r="A371">
        <v>2019</v>
      </c>
      <c r="B371" t="s">
        <v>11</v>
      </c>
      <c r="C371" t="s">
        <v>89</v>
      </c>
      <c r="D371">
        <v>13.65</v>
      </c>
    </row>
    <row r="372" spans="1:4">
      <c r="A372">
        <v>2019</v>
      </c>
      <c r="B372" t="s">
        <v>11</v>
      </c>
      <c r="C372" t="s">
        <v>90</v>
      </c>
      <c r="D372">
        <v>13.69</v>
      </c>
    </row>
    <row r="373" spans="1:4">
      <c r="A373">
        <v>2019</v>
      </c>
      <c r="B373" t="s">
        <v>11</v>
      </c>
      <c r="C373" t="s">
        <v>91</v>
      </c>
      <c r="D373">
        <v>13.8</v>
      </c>
    </row>
    <row r="374" spans="1:4">
      <c r="A374">
        <v>2019</v>
      </c>
      <c r="B374" t="s">
        <v>11</v>
      </c>
      <c r="C374" t="s">
        <v>22</v>
      </c>
      <c r="D374">
        <v>13.86</v>
      </c>
    </row>
    <row r="375" spans="1:4">
      <c r="A375">
        <v>2019</v>
      </c>
      <c r="B375" t="s">
        <v>11</v>
      </c>
      <c r="C375" t="s">
        <v>92</v>
      </c>
      <c r="D375">
        <v>13.69</v>
      </c>
    </row>
    <row r="376" spans="1:4">
      <c r="A376">
        <v>2019</v>
      </c>
      <c r="B376" t="s">
        <v>11</v>
      </c>
      <c r="C376" t="s">
        <v>93</v>
      </c>
      <c r="D376">
        <v>13.52</v>
      </c>
    </row>
    <row r="377" spans="1:4">
      <c r="A377">
        <v>2019</v>
      </c>
      <c r="B377" t="s">
        <v>11</v>
      </c>
      <c r="C377" t="s">
        <v>94</v>
      </c>
      <c r="D377">
        <v>13.72</v>
      </c>
    </row>
    <row r="378" spans="1:4">
      <c r="A378">
        <v>2019</v>
      </c>
      <c r="B378" t="s">
        <v>11</v>
      </c>
      <c r="C378" t="s">
        <v>95</v>
      </c>
      <c r="D378">
        <v>13.66</v>
      </c>
    </row>
    <row r="379" spans="1:4">
      <c r="A379">
        <v>2019</v>
      </c>
      <c r="B379" t="s">
        <v>11</v>
      </c>
      <c r="C379" t="s">
        <v>96</v>
      </c>
      <c r="D379">
        <v>13.59</v>
      </c>
    </row>
    <row r="380" spans="1:4">
      <c r="A380">
        <v>2019</v>
      </c>
      <c r="B380" t="s">
        <v>11</v>
      </c>
      <c r="C380" t="s">
        <v>97</v>
      </c>
      <c r="D380">
        <v>13.93</v>
      </c>
    </row>
    <row r="381" spans="1:4">
      <c r="A381">
        <v>2019</v>
      </c>
      <c r="B381" t="s">
        <v>11</v>
      </c>
      <c r="C381" t="s">
        <v>98</v>
      </c>
      <c r="D381">
        <v>13.72</v>
      </c>
    </row>
    <row r="382" spans="1:4">
      <c r="A382">
        <v>2019</v>
      </c>
      <c r="B382" t="s">
        <v>11</v>
      </c>
      <c r="C382" t="s">
        <v>99</v>
      </c>
      <c r="D382">
        <v>13.84</v>
      </c>
    </row>
    <row r="383" spans="1:4">
      <c r="A383">
        <v>2019</v>
      </c>
      <c r="B383" t="s">
        <v>11</v>
      </c>
      <c r="C383" t="s">
        <v>100</v>
      </c>
      <c r="D383">
        <v>13.56</v>
      </c>
    </row>
    <row r="384" spans="1:4">
      <c r="A384">
        <v>2019</v>
      </c>
      <c r="B384" t="s">
        <v>11</v>
      </c>
      <c r="C384" t="s">
        <v>101</v>
      </c>
      <c r="D384">
        <v>13.75</v>
      </c>
    </row>
    <row r="385" spans="1:4">
      <c r="A385">
        <v>2019</v>
      </c>
      <c r="B385" t="s">
        <v>11</v>
      </c>
      <c r="C385" t="s">
        <v>102</v>
      </c>
      <c r="D385">
        <v>13.92</v>
      </c>
    </row>
    <row r="386" spans="1:4">
      <c r="A386">
        <v>2019</v>
      </c>
      <c r="B386" t="s">
        <v>11</v>
      </c>
      <c r="C386" t="s">
        <v>103</v>
      </c>
      <c r="D386">
        <v>13.56</v>
      </c>
    </row>
    <row r="387" spans="1:4">
      <c r="A387">
        <v>2019</v>
      </c>
      <c r="B387" t="s">
        <v>11</v>
      </c>
      <c r="C387" t="s">
        <v>104</v>
      </c>
      <c r="D387">
        <v>13.85</v>
      </c>
    </row>
    <row r="388" spans="1:4">
      <c r="A388">
        <v>2019</v>
      </c>
      <c r="B388" t="s">
        <v>11</v>
      </c>
      <c r="C388" t="s">
        <v>105</v>
      </c>
      <c r="D388">
        <v>13.59</v>
      </c>
    </row>
    <row r="389" spans="1:4">
      <c r="A389">
        <v>2019</v>
      </c>
      <c r="B389" t="s">
        <v>11</v>
      </c>
      <c r="C389" t="s">
        <v>23</v>
      </c>
      <c r="D389">
        <v>13.88</v>
      </c>
    </row>
    <row r="390" spans="1:4">
      <c r="A390">
        <v>2019</v>
      </c>
      <c r="B390" t="s">
        <v>11</v>
      </c>
      <c r="C390" t="s">
        <v>106</v>
      </c>
      <c r="D390">
        <v>13.81</v>
      </c>
    </row>
    <row r="391" spans="1:4">
      <c r="A391">
        <v>2019</v>
      </c>
      <c r="B391" t="s">
        <v>11</v>
      </c>
      <c r="C391" t="s">
        <v>107</v>
      </c>
      <c r="D391">
        <v>13.87</v>
      </c>
    </row>
    <row r="392" spans="1:4">
      <c r="A392">
        <v>2019</v>
      </c>
      <c r="B392" t="s">
        <v>11</v>
      </c>
      <c r="C392" t="s">
        <v>108</v>
      </c>
      <c r="D392">
        <v>13.9</v>
      </c>
    </row>
    <row r="393" spans="1:4">
      <c r="A393">
        <v>2019</v>
      </c>
      <c r="B393" t="s">
        <v>11</v>
      </c>
      <c r="C393" t="s">
        <v>109</v>
      </c>
      <c r="D393">
        <v>13.74</v>
      </c>
    </row>
    <row r="394" spans="1:4">
      <c r="A394">
        <v>2019</v>
      </c>
      <c r="B394" t="s">
        <v>11</v>
      </c>
      <c r="C394" t="s">
        <v>110</v>
      </c>
      <c r="D394">
        <v>13.53</v>
      </c>
    </row>
    <row r="395" spans="1:4">
      <c r="A395">
        <v>2019</v>
      </c>
      <c r="B395" t="s">
        <v>11</v>
      </c>
      <c r="C395" t="s">
        <v>111</v>
      </c>
      <c r="D395">
        <v>13.6</v>
      </c>
    </row>
    <row r="396" spans="1:4">
      <c r="A396">
        <v>2019</v>
      </c>
      <c r="B396" t="s">
        <v>11</v>
      </c>
      <c r="C396" t="s">
        <v>112</v>
      </c>
      <c r="D396">
        <v>13.89</v>
      </c>
    </row>
    <row r="397" spans="1:4">
      <c r="A397">
        <v>2019</v>
      </c>
      <c r="B397" t="s">
        <v>11</v>
      </c>
      <c r="C397" t="s">
        <v>113</v>
      </c>
      <c r="D397">
        <v>13.86</v>
      </c>
    </row>
    <row r="398" spans="1:4">
      <c r="A398">
        <v>2019</v>
      </c>
      <c r="B398" t="s">
        <v>11</v>
      </c>
      <c r="C398" t="s">
        <v>114</v>
      </c>
      <c r="D398">
        <v>13.93</v>
      </c>
    </row>
    <row r="399" spans="1:4">
      <c r="A399">
        <v>2019</v>
      </c>
      <c r="B399" t="s">
        <v>11</v>
      </c>
      <c r="C399" t="s">
        <v>36</v>
      </c>
      <c r="D399">
        <v>13.84</v>
      </c>
    </row>
    <row r="400" spans="1:4">
      <c r="A400">
        <v>2019</v>
      </c>
      <c r="B400" t="s">
        <v>11</v>
      </c>
      <c r="C400" t="s">
        <v>115</v>
      </c>
      <c r="D400">
        <v>13.12</v>
      </c>
    </row>
    <row r="401" spans="1:4">
      <c r="A401">
        <v>2019</v>
      </c>
      <c r="B401" t="s">
        <v>11</v>
      </c>
      <c r="C401" t="s">
        <v>116</v>
      </c>
      <c r="D401">
        <v>13.86</v>
      </c>
    </row>
    <row r="402" spans="1:4">
      <c r="A402">
        <v>2019</v>
      </c>
      <c r="B402" t="s">
        <v>11</v>
      </c>
      <c r="C402" t="s">
        <v>24</v>
      </c>
      <c r="D402">
        <v>13.77</v>
      </c>
    </row>
    <row r="403" spans="1:4">
      <c r="A403">
        <v>2019</v>
      </c>
      <c r="B403" t="s">
        <v>11</v>
      </c>
      <c r="C403" t="s">
        <v>117</v>
      </c>
      <c r="D403">
        <v>13.13</v>
      </c>
    </row>
    <row r="404" spans="1:4">
      <c r="A404">
        <v>2019</v>
      </c>
      <c r="B404" t="s">
        <v>11</v>
      </c>
      <c r="C404" t="s">
        <v>118</v>
      </c>
      <c r="D404">
        <v>13.93</v>
      </c>
    </row>
    <row r="405" spans="1:4">
      <c r="A405">
        <v>2019</v>
      </c>
      <c r="B405" t="s">
        <v>11</v>
      </c>
      <c r="C405" t="s">
        <v>25</v>
      </c>
      <c r="D405">
        <v>13.77</v>
      </c>
    </row>
    <row r="406" spans="1:4">
      <c r="A406">
        <v>2019</v>
      </c>
      <c r="B406" t="s">
        <v>11</v>
      </c>
      <c r="C406" t="s">
        <v>119</v>
      </c>
      <c r="D406">
        <v>13.57</v>
      </c>
    </row>
    <row r="407" spans="1:4">
      <c r="A407">
        <v>2019</v>
      </c>
      <c r="B407" t="s">
        <v>11</v>
      </c>
      <c r="C407" t="s">
        <v>26</v>
      </c>
      <c r="D407">
        <v>13.82</v>
      </c>
    </row>
    <row r="408" spans="1:4">
      <c r="A408">
        <v>2019</v>
      </c>
      <c r="B408" t="s">
        <v>11</v>
      </c>
      <c r="C408" t="s">
        <v>120</v>
      </c>
      <c r="D408">
        <v>13.79</v>
      </c>
    </row>
    <row r="409" spans="1:4">
      <c r="A409">
        <v>2019</v>
      </c>
      <c r="B409" t="s">
        <v>11</v>
      </c>
      <c r="C409" t="s">
        <v>121</v>
      </c>
      <c r="D409">
        <v>13.74</v>
      </c>
    </row>
    <row r="410" spans="1:4">
      <c r="A410">
        <v>2019</v>
      </c>
      <c r="B410" t="s">
        <v>11</v>
      </c>
      <c r="C410" t="s">
        <v>122</v>
      </c>
      <c r="D410">
        <v>13.71</v>
      </c>
    </row>
    <row r="411" spans="1:4">
      <c r="A411">
        <v>2019</v>
      </c>
      <c r="B411" t="s">
        <v>11</v>
      </c>
      <c r="C411" t="s">
        <v>123</v>
      </c>
      <c r="D411">
        <v>13.69</v>
      </c>
    </row>
    <row r="412" spans="1:4">
      <c r="A412">
        <v>2019</v>
      </c>
      <c r="B412" t="s">
        <v>11</v>
      </c>
      <c r="C412" t="s">
        <v>27</v>
      </c>
      <c r="D412">
        <v>13.82</v>
      </c>
    </row>
    <row r="413" spans="1:4">
      <c r="A413">
        <v>2019</v>
      </c>
      <c r="B413" t="s">
        <v>11</v>
      </c>
      <c r="C413" t="s">
        <v>124</v>
      </c>
      <c r="D413">
        <v>13.92</v>
      </c>
    </row>
    <row r="414" spans="1:4">
      <c r="A414">
        <v>2019</v>
      </c>
      <c r="B414" t="s">
        <v>11</v>
      </c>
      <c r="C414" t="s">
        <v>28</v>
      </c>
      <c r="D414">
        <v>13.81</v>
      </c>
    </row>
    <row r="415" spans="1:4">
      <c r="A415">
        <v>2019</v>
      </c>
      <c r="B415" t="s">
        <v>11</v>
      </c>
      <c r="C415" t="s">
        <v>125</v>
      </c>
      <c r="D415">
        <v>13.82</v>
      </c>
    </row>
    <row r="416" spans="1:4">
      <c r="A416">
        <v>2019</v>
      </c>
      <c r="B416" t="s">
        <v>11</v>
      </c>
      <c r="C416" t="s">
        <v>126</v>
      </c>
      <c r="D416">
        <v>13.49</v>
      </c>
    </row>
    <row r="417" spans="1:4">
      <c r="A417">
        <v>2019</v>
      </c>
      <c r="B417" t="s">
        <v>11</v>
      </c>
      <c r="C417" t="s">
        <v>127</v>
      </c>
      <c r="D417">
        <v>13.46</v>
      </c>
    </row>
    <row r="418" spans="1:4">
      <c r="A418">
        <v>2019</v>
      </c>
      <c r="B418" t="s">
        <v>12</v>
      </c>
      <c r="C418" t="s">
        <v>85</v>
      </c>
      <c r="D418">
        <v>12.5</v>
      </c>
    </row>
    <row r="419" spans="1:4">
      <c r="A419">
        <v>2019</v>
      </c>
      <c r="B419" t="s">
        <v>12</v>
      </c>
      <c r="C419" t="s">
        <v>86</v>
      </c>
      <c r="D419">
        <v>12.45</v>
      </c>
    </row>
    <row r="420" spans="1:4">
      <c r="A420">
        <v>2019</v>
      </c>
      <c r="B420" t="s">
        <v>12</v>
      </c>
      <c r="C420" t="s">
        <v>87</v>
      </c>
      <c r="D420">
        <v>12.44</v>
      </c>
    </row>
    <row r="421" spans="1:4">
      <c r="A421">
        <v>2019</v>
      </c>
      <c r="B421" t="s">
        <v>12</v>
      </c>
      <c r="C421" t="s">
        <v>88</v>
      </c>
      <c r="D421">
        <v>12.42</v>
      </c>
    </row>
    <row r="422" spans="1:4">
      <c r="A422">
        <v>2019</v>
      </c>
      <c r="B422" t="s">
        <v>12</v>
      </c>
      <c r="C422" t="s">
        <v>21</v>
      </c>
      <c r="D422">
        <v>12.47</v>
      </c>
    </row>
    <row r="423" spans="1:4">
      <c r="A423">
        <v>2019</v>
      </c>
      <c r="B423" t="s">
        <v>12</v>
      </c>
      <c r="C423" t="s">
        <v>89</v>
      </c>
      <c r="D423">
        <v>12.44</v>
      </c>
    </row>
    <row r="424" spans="1:4">
      <c r="A424">
        <v>2019</v>
      </c>
      <c r="B424" t="s">
        <v>12</v>
      </c>
      <c r="C424" t="s">
        <v>90</v>
      </c>
      <c r="D424">
        <v>12.45</v>
      </c>
    </row>
    <row r="425" spans="1:4">
      <c r="A425">
        <v>2019</v>
      </c>
      <c r="B425" t="s">
        <v>12</v>
      </c>
      <c r="C425" t="s">
        <v>91</v>
      </c>
      <c r="D425">
        <v>12.48</v>
      </c>
    </row>
    <row r="426" spans="1:4">
      <c r="A426">
        <v>2019</v>
      </c>
      <c r="B426" t="s">
        <v>12</v>
      </c>
      <c r="C426" t="s">
        <v>22</v>
      </c>
      <c r="D426">
        <v>12.49</v>
      </c>
    </row>
    <row r="427" spans="1:4">
      <c r="A427">
        <v>2019</v>
      </c>
      <c r="B427" t="s">
        <v>12</v>
      </c>
      <c r="C427" t="s">
        <v>92</v>
      </c>
      <c r="D427">
        <v>12.45</v>
      </c>
    </row>
    <row r="428" spans="1:4">
      <c r="A428">
        <v>2019</v>
      </c>
      <c r="B428" t="s">
        <v>12</v>
      </c>
      <c r="C428" t="s">
        <v>93</v>
      </c>
      <c r="D428">
        <v>12.42</v>
      </c>
    </row>
    <row r="429" spans="1:4">
      <c r="A429">
        <v>2019</v>
      </c>
      <c r="B429" t="s">
        <v>12</v>
      </c>
      <c r="C429" t="s">
        <v>94</v>
      </c>
      <c r="D429">
        <v>12.46</v>
      </c>
    </row>
    <row r="430" spans="1:4">
      <c r="A430">
        <v>2019</v>
      </c>
      <c r="B430" t="s">
        <v>12</v>
      </c>
      <c r="C430" t="s">
        <v>95</v>
      </c>
      <c r="D430">
        <v>12.44</v>
      </c>
    </row>
    <row r="431" spans="1:4">
      <c r="A431">
        <v>2019</v>
      </c>
      <c r="B431" t="s">
        <v>12</v>
      </c>
      <c r="C431" t="s">
        <v>96</v>
      </c>
      <c r="D431">
        <v>12.43</v>
      </c>
    </row>
    <row r="432" spans="1:4">
      <c r="A432">
        <v>2019</v>
      </c>
      <c r="B432" t="s">
        <v>12</v>
      </c>
      <c r="C432" t="s">
        <v>97</v>
      </c>
      <c r="D432">
        <v>12.51</v>
      </c>
    </row>
    <row r="433" spans="1:4">
      <c r="A433">
        <v>2019</v>
      </c>
      <c r="B433" t="s">
        <v>12</v>
      </c>
      <c r="C433" t="s">
        <v>98</v>
      </c>
      <c r="D433">
        <v>12.46</v>
      </c>
    </row>
    <row r="434" spans="1:4">
      <c r="A434">
        <v>2019</v>
      </c>
      <c r="B434" t="s">
        <v>12</v>
      </c>
      <c r="C434" t="s">
        <v>99</v>
      </c>
      <c r="D434">
        <v>12.49</v>
      </c>
    </row>
    <row r="435" spans="1:4">
      <c r="A435">
        <v>2019</v>
      </c>
      <c r="B435" t="s">
        <v>12</v>
      </c>
      <c r="C435" t="s">
        <v>100</v>
      </c>
      <c r="D435">
        <v>12.42</v>
      </c>
    </row>
    <row r="436" spans="1:4">
      <c r="A436">
        <v>2019</v>
      </c>
      <c r="B436" t="s">
        <v>12</v>
      </c>
      <c r="C436" t="s">
        <v>101</v>
      </c>
      <c r="D436">
        <v>12.46</v>
      </c>
    </row>
    <row r="437" spans="1:4">
      <c r="A437">
        <v>2019</v>
      </c>
      <c r="B437" t="s">
        <v>12</v>
      </c>
      <c r="C437" t="s">
        <v>102</v>
      </c>
      <c r="D437">
        <v>12.51</v>
      </c>
    </row>
    <row r="438" spans="1:4">
      <c r="A438">
        <v>2019</v>
      </c>
      <c r="B438" t="s">
        <v>12</v>
      </c>
      <c r="C438" t="s">
        <v>103</v>
      </c>
      <c r="D438">
        <v>12.42</v>
      </c>
    </row>
    <row r="439" spans="1:4">
      <c r="A439">
        <v>2019</v>
      </c>
      <c r="B439" t="s">
        <v>12</v>
      </c>
      <c r="C439" t="s">
        <v>104</v>
      </c>
      <c r="D439">
        <v>12.49</v>
      </c>
    </row>
    <row r="440" spans="1:4">
      <c r="A440">
        <v>2019</v>
      </c>
      <c r="B440" t="s">
        <v>12</v>
      </c>
      <c r="C440" t="s">
        <v>105</v>
      </c>
      <c r="D440">
        <v>12.43</v>
      </c>
    </row>
    <row r="441" spans="1:4">
      <c r="A441">
        <v>2019</v>
      </c>
      <c r="B441" t="s">
        <v>12</v>
      </c>
      <c r="C441" t="s">
        <v>23</v>
      </c>
      <c r="D441">
        <v>12.49</v>
      </c>
    </row>
    <row r="442" spans="1:4">
      <c r="A442">
        <v>2019</v>
      </c>
      <c r="B442" t="s">
        <v>12</v>
      </c>
      <c r="C442" t="s">
        <v>106</v>
      </c>
      <c r="D442">
        <v>12.48</v>
      </c>
    </row>
    <row r="443" spans="1:4">
      <c r="A443">
        <v>2019</v>
      </c>
      <c r="B443" t="s">
        <v>12</v>
      </c>
      <c r="C443" t="s">
        <v>107</v>
      </c>
      <c r="D443">
        <v>12.49</v>
      </c>
    </row>
    <row r="444" spans="1:4">
      <c r="A444">
        <v>2019</v>
      </c>
      <c r="B444" t="s">
        <v>12</v>
      </c>
      <c r="C444" t="s">
        <v>108</v>
      </c>
      <c r="D444">
        <v>12.5</v>
      </c>
    </row>
    <row r="445" spans="1:4">
      <c r="A445">
        <v>2019</v>
      </c>
      <c r="B445" t="s">
        <v>12</v>
      </c>
      <c r="C445" t="s">
        <v>109</v>
      </c>
      <c r="D445">
        <v>12.46</v>
      </c>
    </row>
    <row r="446" spans="1:4">
      <c r="A446">
        <v>2019</v>
      </c>
      <c r="B446" t="s">
        <v>12</v>
      </c>
      <c r="C446" t="s">
        <v>110</v>
      </c>
      <c r="D446">
        <v>12.42</v>
      </c>
    </row>
    <row r="447" spans="1:4">
      <c r="A447">
        <v>2019</v>
      </c>
      <c r="B447" t="s">
        <v>12</v>
      </c>
      <c r="C447" t="s">
        <v>111</v>
      </c>
      <c r="D447">
        <v>12.43</v>
      </c>
    </row>
    <row r="448" spans="1:4">
      <c r="A448">
        <v>2019</v>
      </c>
      <c r="B448" t="s">
        <v>12</v>
      </c>
      <c r="C448" t="s">
        <v>112</v>
      </c>
      <c r="D448">
        <v>12.5</v>
      </c>
    </row>
    <row r="449" spans="1:4">
      <c r="A449">
        <v>2019</v>
      </c>
      <c r="B449" t="s">
        <v>12</v>
      </c>
      <c r="C449" t="s">
        <v>113</v>
      </c>
      <c r="D449">
        <v>12.49</v>
      </c>
    </row>
    <row r="450" spans="1:4">
      <c r="A450">
        <v>2019</v>
      </c>
      <c r="B450" t="s">
        <v>12</v>
      </c>
      <c r="C450" t="s">
        <v>114</v>
      </c>
      <c r="D450">
        <v>12.5</v>
      </c>
    </row>
    <row r="451" spans="1:4">
      <c r="A451">
        <v>2019</v>
      </c>
      <c r="B451" t="s">
        <v>12</v>
      </c>
      <c r="C451" t="s">
        <v>36</v>
      </c>
      <c r="D451">
        <v>12.49</v>
      </c>
    </row>
    <row r="452" spans="1:4">
      <c r="A452">
        <v>2019</v>
      </c>
      <c r="B452" t="s">
        <v>12</v>
      </c>
      <c r="C452" t="s">
        <v>115</v>
      </c>
      <c r="D452">
        <v>12.32</v>
      </c>
    </row>
    <row r="453" spans="1:4">
      <c r="A453">
        <v>2019</v>
      </c>
      <c r="B453" t="s">
        <v>12</v>
      </c>
      <c r="C453" t="s">
        <v>116</v>
      </c>
      <c r="D453">
        <v>12.49</v>
      </c>
    </row>
    <row r="454" spans="1:4">
      <c r="A454">
        <v>2019</v>
      </c>
      <c r="B454" t="s">
        <v>12</v>
      </c>
      <c r="C454" t="s">
        <v>24</v>
      </c>
      <c r="D454">
        <v>12.47</v>
      </c>
    </row>
    <row r="455" spans="1:4">
      <c r="A455">
        <v>2019</v>
      </c>
      <c r="B455" t="s">
        <v>12</v>
      </c>
      <c r="C455" t="s">
        <v>117</v>
      </c>
      <c r="D455">
        <v>12.33</v>
      </c>
    </row>
    <row r="456" spans="1:4">
      <c r="A456">
        <v>2019</v>
      </c>
      <c r="B456" t="s">
        <v>12</v>
      </c>
      <c r="C456" t="s">
        <v>118</v>
      </c>
      <c r="D456">
        <v>12.51</v>
      </c>
    </row>
    <row r="457" spans="1:4">
      <c r="A457">
        <v>2019</v>
      </c>
      <c r="B457" t="s">
        <v>12</v>
      </c>
      <c r="C457" t="s">
        <v>25</v>
      </c>
      <c r="D457">
        <v>12.46</v>
      </c>
    </row>
    <row r="458" spans="1:4">
      <c r="A458">
        <v>2019</v>
      </c>
      <c r="B458" t="s">
        <v>12</v>
      </c>
      <c r="C458" t="s">
        <v>119</v>
      </c>
      <c r="D458">
        <v>12.42</v>
      </c>
    </row>
    <row r="459" spans="1:4">
      <c r="A459">
        <v>2019</v>
      </c>
      <c r="B459" t="s">
        <v>12</v>
      </c>
      <c r="C459" t="s">
        <v>26</v>
      </c>
      <c r="D459">
        <v>12.48</v>
      </c>
    </row>
    <row r="460" spans="1:4">
      <c r="A460">
        <v>2019</v>
      </c>
      <c r="B460" t="s">
        <v>12</v>
      </c>
      <c r="C460" t="s">
        <v>120</v>
      </c>
      <c r="D460">
        <v>12.47</v>
      </c>
    </row>
    <row r="461" spans="1:4">
      <c r="A461">
        <v>2019</v>
      </c>
      <c r="B461" t="s">
        <v>12</v>
      </c>
      <c r="C461" t="s">
        <v>121</v>
      </c>
      <c r="D461">
        <v>12.47</v>
      </c>
    </row>
    <row r="462" spans="1:4">
      <c r="A462">
        <v>2019</v>
      </c>
      <c r="B462" t="s">
        <v>12</v>
      </c>
      <c r="C462" t="s">
        <v>122</v>
      </c>
      <c r="D462">
        <v>12.46</v>
      </c>
    </row>
    <row r="463" spans="1:4">
      <c r="A463">
        <v>2019</v>
      </c>
      <c r="B463" t="s">
        <v>12</v>
      </c>
      <c r="C463" t="s">
        <v>123</v>
      </c>
      <c r="D463">
        <v>12.45</v>
      </c>
    </row>
    <row r="464" spans="1:4">
      <c r="A464">
        <v>2019</v>
      </c>
      <c r="B464" t="s">
        <v>12</v>
      </c>
      <c r="C464" t="s">
        <v>27</v>
      </c>
      <c r="D464">
        <v>12.48</v>
      </c>
    </row>
    <row r="465" spans="1:4">
      <c r="A465">
        <v>2019</v>
      </c>
      <c r="B465" t="s">
        <v>12</v>
      </c>
      <c r="C465" t="s">
        <v>124</v>
      </c>
      <c r="D465">
        <v>12.5</v>
      </c>
    </row>
    <row r="466" spans="1:4">
      <c r="A466">
        <v>2019</v>
      </c>
      <c r="B466" t="s">
        <v>12</v>
      </c>
      <c r="C466" t="s">
        <v>28</v>
      </c>
      <c r="D466">
        <v>12.48</v>
      </c>
    </row>
    <row r="467" spans="1:4">
      <c r="A467">
        <v>2019</v>
      </c>
      <c r="B467" t="s">
        <v>12</v>
      </c>
      <c r="C467" t="s">
        <v>125</v>
      </c>
      <c r="D467">
        <v>12.48</v>
      </c>
    </row>
    <row r="468" spans="1:4">
      <c r="A468">
        <v>2019</v>
      </c>
      <c r="B468" t="s">
        <v>12</v>
      </c>
      <c r="C468" t="s">
        <v>126</v>
      </c>
      <c r="D468">
        <v>12.41</v>
      </c>
    </row>
    <row r="469" spans="1:4">
      <c r="A469">
        <v>2019</v>
      </c>
      <c r="B469" t="s">
        <v>12</v>
      </c>
      <c r="C469" t="s">
        <v>127</v>
      </c>
      <c r="D469">
        <v>12.4</v>
      </c>
    </row>
    <row r="470" spans="1:4">
      <c r="A470">
        <v>2019</v>
      </c>
      <c r="B470" t="s">
        <v>57</v>
      </c>
      <c r="C470" t="s">
        <v>85</v>
      </c>
      <c r="D470">
        <v>11.05</v>
      </c>
    </row>
    <row r="471" spans="1:4">
      <c r="A471">
        <v>2019</v>
      </c>
      <c r="B471" t="s">
        <v>57</v>
      </c>
      <c r="C471" t="s">
        <v>86</v>
      </c>
      <c r="D471">
        <v>11.18</v>
      </c>
    </row>
    <row r="472" spans="1:4">
      <c r="A472">
        <v>2019</v>
      </c>
      <c r="B472" t="s">
        <v>57</v>
      </c>
      <c r="C472" t="s">
        <v>87</v>
      </c>
      <c r="D472">
        <v>11.2</v>
      </c>
    </row>
    <row r="473" spans="1:4">
      <c r="A473">
        <v>2019</v>
      </c>
      <c r="B473" t="s">
        <v>57</v>
      </c>
      <c r="C473" t="s">
        <v>88</v>
      </c>
      <c r="D473">
        <v>11.25</v>
      </c>
    </row>
    <row r="474" spans="1:4">
      <c r="A474">
        <v>2019</v>
      </c>
      <c r="B474" t="s">
        <v>57</v>
      </c>
      <c r="C474" t="s">
        <v>21</v>
      </c>
      <c r="D474">
        <v>11.13</v>
      </c>
    </row>
    <row r="475" spans="1:4">
      <c r="A475">
        <v>2019</v>
      </c>
      <c r="B475" t="s">
        <v>57</v>
      </c>
      <c r="C475" t="s">
        <v>89</v>
      </c>
      <c r="D475">
        <v>11.18</v>
      </c>
    </row>
    <row r="476" spans="1:4">
      <c r="A476">
        <v>2019</v>
      </c>
      <c r="B476" t="s">
        <v>57</v>
      </c>
      <c r="C476" t="s">
        <v>90</v>
      </c>
      <c r="D476">
        <v>11.16</v>
      </c>
    </row>
    <row r="477" spans="1:4">
      <c r="A477">
        <v>2019</v>
      </c>
      <c r="B477" t="s">
        <v>57</v>
      </c>
      <c r="C477" t="s">
        <v>91</v>
      </c>
      <c r="D477">
        <v>11.1</v>
      </c>
    </row>
    <row r="478" spans="1:4">
      <c r="A478">
        <v>2019</v>
      </c>
      <c r="B478" t="s">
        <v>57</v>
      </c>
      <c r="C478" t="s">
        <v>22</v>
      </c>
      <c r="D478">
        <v>11.07</v>
      </c>
    </row>
    <row r="479" spans="1:4">
      <c r="A479">
        <v>2019</v>
      </c>
      <c r="B479" t="s">
        <v>57</v>
      </c>
      <c r="C479" t="s">
        <v>92</v>
      </c>
      <c r="D479">
        <v>11.17</v>
      </c>
    </row>
    <row r="480" spans="1:4">
      <c r="A480">
        <v>2019</v>
      </c>
      <c r="B480" t="s">
        <v>57</v>
      </c>
      <c r="C480" t="s">
        <v>93</v>
      </c>
      <c r="D480">
        <v>11.26</v>
      </c>
    </row>
    <row r="481" spans="1:4">
      <c r="A481">
        <v>2019</v>
      </c>
      <c r="B481" t="s">
        <v>57</v>
      </c>
      <c r="C481" t="s">
        <v>94</v>
      </c>
      <c r="D481">
        <v>11.15</v>
      </c>
    </row>
    <row r="482" spans="1:4">
      <c r="A482">
        <v>2019</v>
      </c>
      <c r="B482" t="s">
        <v>57</v>
      </c>
      <c r="C482" t="s">
        <v>95</v>
      </c>
      <c r="D482">
        <v>11.18</v>
      </c>
    </row>
    <row r="483" spans="1:4">
      <c r="A483">
        <v>2019</v>
      </c>
      <c r="B483" t="s">
        <v>57</v>
      </c>
      <c r="C483" t="s">
        <v>96</v>
      </c>
      <c r="D483">
        <v>11.22</v>
      </c>
    </row>
    <row r="484" spans="1:4">
      <c r="A484">
        <v>2019</v>
      </c>
      <c r="B484" t="s">
        <v>57</v>
      </c>
      <c r="C484" t="s">
        <v>97</v>
      </c>
      <c r="D484">
        <v>11.03</v>
      </c>
    </row>
    <row r="485" spans="1:4">
      <c r="A485">
        <v>2019</v>
      </c>
      <c r="B485" t="s">
        <v>57</v>
      </c>
      <c r="C485" t="s">
        <v>98</v>
      </c>
      <c r="D485">
        <v>11.15</v>
      </c>
    </row>
    <row r="486" spans="1:4">
      <c r="A486">
        <v>2019</v>
      </c>
      <c r="B486" t="s">
        <v>57</v>
      </c>
      <c r="C486" t="s">
        <v>99</v>
      </c>
      <c r="D486">
        <v>11.08</v>
      </c>
    </row>
    <row r="487" spans="1:4">
      <c r="A487">
        <v>2019</v>
      </c>
      <c r="B487" t="s">
        <v>57</v>
      </c>
      <c r="C487" t="s">
        <v>100</v>
      </c>
      <c r="D487">
        <v>11.24</v>
      </c>
    </row>
    <row r="488" spans="1:4">
      <c r="A488">
        <v>2019</v>
      </c>
      <c r="B488" t="s">
        <v>57</v>
      </c>
      <c r="C488" t="s">
        <v>101</v>
      </c>
      <c r="D488">
        <v>11.13</v>
      </c>
    </row>
    <row r="489" spans="1:4">
      <c r="A489">
        <v>2019</v>
      </c>
      <c r="B489" t="s">
        <v>57</v>
      </c>
      <c r="C489" t="s">
        <v>102</v>
      </c>
      <c r="D489">
        <v>11.03</v>
      </c>
    </row>
    <row r="490" spans="1:4">
      <c r="A490">
        <v>2019</v>
      </c>
      <c r="B490" t="s">
        <v>57</v>
      </c>
      <c r="C490" t="s">
        <v>103</v>
      </c>
      <c r="D490">
        <v>11.23</v>
      </c>
    </row>
    <row r="491" spans="1:4">
      <c r="A491">
        <v>2019</v>
      </c>
      <c r="B491" t="s">
        <v>57</v>
      </c>
      <c r="C491" t="s">
        <v>104</v>
      </c>
      <c r="D491">
        <v>11.07</v>
      </c>
    </row>
    <row r="492" spans="1:4">
      <c r="A492">
        <v>2019</v>
      </c>
      <c r="B492" t="s">
        <v>57</v>
      </c>
      <c r="C492" t="s">
        <v>105</v>
      </c>
      <c r="D492">
        <v>11.22</v>
      </c>
    </row>
    <row r="493" spans="1:4">
      <c r="A493">
        <v>2019</v>
      </c>
      <c r="B493" t="s">
        <v>57</v>
      </c>
      <c r="C493" t="s">
        <v>23</v>
      </c>
      <c r="D493">
        <v>11.06</v>
      </c>
    </row>
    <row r="494" spans="1:4">
      <c r="A494">
        <v>2019</v>
      </c>
      <c r="B494" t="s">
        <v>57</v>
      </c>
      <c r="C494" t="s">
        <v>106</v>
      </c>
      <c r="D494">
        <v>11.09</v>
      </c>
    </row>
    <row r="495" spans="1:4">
      <c r="A495">
        <v>2019</v>
      </c>
      <c r="B495" t="s">
        <v>57</v>
      </c>
      <c r="C495" t="s">
        <v>107</v>
      </c>
      <c r="D495">
        <v>11.06</v>
      </c>
    </row>
    <row r="496" spans="1:4">
      <c r="A496">
        <v>2019</v>
      </c>
      <c r="B496" t="s">
        <v>57</v>
      </c>
      <c r="C496" t="s">
        <v>108</v>
      </c>
      <c r="D496">
        <v>11.04</v>
      </c>
    </row>
    <row r="497" spans="1:4">
      <c r="A497">
        <v>2019</v>
      </c>
      <c r="B497" t="s">
        <v>57</v>
      </c>
      <c r="C497" t="s">
        <v>109</v>
      </c>
      <c r="D497">
        <v>11.13</v>
      </c>
    </row>
    <row r="498" spans="1:4">
      <c r="A498">
        <v>2019</v>
      </c>
      <c r="B498" t="s">
        <v>57</v>
      </c>
      <c r="C498" t="s">
        <v>110</v>
      </c>
      <c r="D498">
        <v>11.25</v>
      </c>
    </row>
    <row r="499" spans="1:4">
      <c r="A499">
        <v>2019</v>
      </c>
      <c r="B499" t="s">
        <v>57</v>
      </c>
      <c r="C499" t="s">
        <v>111</v>
      </c>
      <c r="D499">
        <v>11.21</v>
      </c>
    </row>
    <row r="500" spans="1:4">
      <c r="A500">
        <v>2019</v>
      </c>
      <c r="B500" t="s">
        <v>57</v>
      </c>
      <c r="C500" t="s">
        <v>112</v>
      </c>
      <c r="D500">
        <v>11.05</v>
      </c>
    </row>
    <row r="501" spans="1:4">
      <c r="A501">
        <v>2019</v>
      </c>
      <c r="B501" t="s">
        <v>57</v>
      </c>
      <c r="C501" t="s">
        <v>113</v>
      </c>
      <c r="D501">
        <v>11.07</v>
      </c>
    </row>
    <row r="502" spans="1:4">
      <c r="A502">
        <v>2019</v>
      </c>
      <c r="B502" t="s">
        <v>57</v>
      </c>
      <c r="C502" t="s">
        <v>114</v>
      </c>
      <c r="D502">
        <v>11.03</v>
      </c>
    </row>
    <row r="503" spans="1:4">
      <c r="A503">
        <v>2019</v>
      </c>
      <c r="B503" t="s">
        <v>57</v>
      </c>
      <c r="C503" t="s">
        <v>36</v>
      </c>
      <c r="D503">
        <v>11.08</v>
      </c>
    </row>
    <row r="504" spans="1:4">
      <c r="A504">
        <v>2019</v>
      </c>
      <c r="B504" t="s">
        <v>57</v>
      </c>
      <c r="C504" t="s">
        <v>115</v>
      </c>
      <c r="D504">
        <v>11.49</v>
      </c>
    </row>
    <row r="505" spans="1:4">
      <c r="A505">
        <v>2019</v>
      </c>
      <c r="B505" t="s">
        <v>57</v>
      </c>
      <c r="C505" t="s">
        <v>116</v>
      </c>
      <c r="D505">
        <v>11.06</v>
      </c>
    </row>
    <row r="506" spans="1:4">
      <c r="A506">
        <v>2019</v>
      </c>
      <c r="B506" t="s">
        <v>57</v>
      </c>
      <c r="C506" t="s">
        <v>24</v>
      </c>
      <c r="D506">
        <v>11.12</v>
      </c>
    </row>
    <row r="507" spans="1:4">
      <c r="A507">
        <v>2019</v>
      </c>
      <c r="B507" t="s">
        <v>57</v>
      </c>
      <c r="C507" t="s">
        <v>117</v>
      </c>
      <c r="D507">
        <v>11.48</v>
      </c>
    </row>
    <row r="508" spans="1:4">
      <c r="A508">
        <v>2019</v>
      </c>
      <c r="B508" t="s">
        <v>57</v>
      </c>
      <c r="C508" t="s">
        <v>118</v>
      </c>
      <c r="D508">
        <v>11.03</v>
      </c>
    </row>
    <row r="509" spans="1:4">
      <c r="A509">
        <v>2019</v>
      </c>
      <c r="B509" t="s">
        <v>57</v>
      </c>
      <c r="C509" t="s">
        <v>25</v>
      </c>
      <c r="D509">
        <v>11.12</v>
      </c>
    </row>
    <row r="510" spans="1:4">
      <c r="A510">
        <v>2019</v>
      </c>
      <c r="B510" t="s">
        <v>57</v>
      </c>
      <c r="C510" t="s">
        <v>119</v>
      </c>
      <c r="D510">
        <v>11.23</v>
      </c>
    </row>
    <row r="511" spans="1:4">
      <c r="A511">
        <v>2019</v>
      </c>
      <c r="B511" t="s">
        <v>57</v>
      </c>
      <c r="C511" t="s">
        <v>26</v>
      </c>
      <c r="D511">
        <v>11.09</v>
      </c>
    </row>
    <row r="512" spans="1:4">
      <c r="A512">
        <v>2019</v>
      </c>
      <c r="B512" t="s">
        <v>57</v>
      </c>
      <c r="C512" t="s">
        <v>120</v>
      </c>
      <c r="D512">
        <v>11.11</v>
      </c>
    </row>
    <row r="513" spans="1:4">
      <c r="A513">
        <v>2019</v>
      </c>
      <c r="B513" t="s">
        <v>57</v>
      </c>
      <c r="C513" t="s">
        <v>121</v>
      </c>
      <c r="D513">
        <v>11.14</v>
      </c>
    </row>
    <row r="514" spans="1:4">
      <c r="A514">
        <v>2019</v>
      </c>
      <c r="B514" t="s">
        <v>57</v>
      </c>
      <c r="C514" t="s">
        <v>122</v>
      </c>
      <c r="D514">
        <v>11.15</v>
      </c>
    </row>
    <row r="515" spans="1:4">
      <c r="A515">
        <v>2019</v>
      </c>
      <c r="B515" t="s">
        <v>57</v>
      </c>
      <c r="C515" t="s">
        <v>123</v>
      </c>
      <c r="D515">
        <v>11.17</v>
      </c>
    </row>
    <row r="516" spans="1:4">
      <c r="A516">
        <v>2019</v>
      </c>
      <c r="B516" t="s">
        <v>57</v>
      </c>
      <c r="C516" t="s">
        <v>27</v>
      </c>
      <c r="D516">
        <v>11.09</v>
      </c>
    </row>
    <row r="517" spans="1:4">
      <c r="A517">
        <v>2019</v>
      </c>
      <c r="B517" t="s">
        <v>57</v>
      </c>
      <c r="C517" t="s">
        <v>124</v>
      </c>
      <c r="D517">
        <v>11.03</v>
      </c>
    </row>
    <row r="518" spans="1:4">
      <c r="A518">
        <v>2019</v>
      </c>
      <c r="B518" t="s">
        <v>57</v>
      </c>
      <c r="C518" t="s">
        <v>28</v>
      </c>
      <c r="D518">
        <v>11.1</v>
      </c>
    </row>
    <row r="519" spans="1:4">
      <c r="A519">
        <v>2019</v>
      </c>
      <c r="B519" t="s">
        <v>57</v>
      </c>
      <c r="C519" t="s">
        <v>125</v>
      </c>
      <c r="D519">
        <v>11.09</v>
      </c>
    </row>
    <row r="520" spans="1:4">
      <c r="A520">
        <v>2019</v>
      </c>
      <c r="B520" t="s">
        <v>57</v>
      </c>
      <c r="C520" t="s">
        <v>126</v>
      </c>
      <c r="D520">
        <v>11.28</v>
      </c>
    </row>
    <row r="521" spans="1:4">
      <c r="A521">
        <v>2019</v>
      </c>
      <c r="B521" t="s">
        <v>57</v>
      </c>
      <c r="C521" t="s">
        <v>127</v>
      </c>
      <c r="D521">
        <v>11.3</v>
      </c>
    </row>
    <row r="522" spans="1:4">
      <c r="A522">
        <v>2019</v>
      </c>
      <c r="B522" t="s">
        <v>14</v>
      </c>
      <c r="C522" t="s">
        <v>85</v>
      </c>
      <c r="D522">
        <v>9.77</v>
      </c>
    </row>
    <row r="523" spans="1:4">
      <c r="A523">
        <v>2019</v>
      </c>
      <c r="B523" t="s">
        <v>14</v>
      </c>
      <c r="C523" t="s">
        <v>86</v>
      </c>
      <c r="D523">
        <v>10.07</v>
      </c>
    </row>
    <row r="524" spans="1:4">
      <c r="A524">
        <v>2019</v>
      </c>
      <c r="B524" t="s">
        <v>14</v>
      </c>
      <c r="C524" t="s">
        <v>87</v>
      </c>
      <c r="D524">
        <v>10.119999999999999</v>
      </c>
    </row>
    <row r="525" spans="1:4">
      <c r="A525">
        <v>2019</v>
      </c>
      <c r="B525" t="s">
        <v>14</v>
      </c>
      <c r="C525" t="s">
        <v>88</v>
      </c>
      <c r="D525">
        <v>10.220000000000001</v>
      </c>
    </row>
    <row r="526" spans="1:4">
      <c r="A526">
        <v>2019</v>
      </c>
      <c r="B526" t="s">
        <v>14</v>
      </c>
      <c r="C526" t="s">
        <v>21</v>
      </c>
      <c r="D526">
        <v>9.94</v>
      </c>
    </row>
    <row r="527" spans="1:4">
      <c r="A527">
        <v>2019</v>
      </c>
      <c r="B527" t="s">
        <v>14</v>
      </c>
      <c r="C527" t="s">
        <v>89</v>
      </c>
      <c r="D527">
        <v>10.08</v>
      </c>
    </row>
    <row r="528" spans="1:4">
      <c r="A528">
        <v>2019</v>
      </c>
      <c r="B528" t="s">
        <v>14</v>
      </c>
      <c r="C528" t="s">
        <v>90</v>
      </c>
      <c r="D528">
        <v>10.029999999999999</v>
      </c>
    </row>
    <row r="529" spans="1:4">
      <c r="A529">
        <v>2019</v>
      </c>
      <c r="B529" t="s">
        <v>14</v>
      </c>
      <c r="C529" t="s">
        <v>91</v>
      </c>
      <c r="D529">
        <v>9.89</v>
      </c>
    </row>
    <row r="530" spans="1:4">
      <c r="A530">
        <v>2019</v>
      </c>
      <c r="B530" t="s">
        <v>14</v>
      </c>
      <c r="C530" t="s">
        <v>22</v>
      </c>
      <c r="D530">
        <v>9.81</v>
      </c>
    </row>
    <row r="531" spans="1:4">
      <c r="A531">
        <v>2019</v>
      </c>
      <c r="B531" t="s">
        <v>14</v>
      </c>
      <c r="C531" t="s">
        <v>92</v>
      </c>
      <c r="D531">
        <v>10.029999999999999</v>
      </c>
    </row>
    <row r="532" spans="1:4">
      <c r="A532">
        <v>2019</v>
      </c>
      <c r="B532" t="s">
        <v>14</v>
      </c>
      <c r="C532" t="s">
        <v>93</v>
      </c>
      <c r="D532">
        <v>10.25</v>
      </c>
    </row>
    <row r="533" spans="1:4">
      <c r="A533">
        <v>2019</v>
      </c>
      <c r="B533" t="s">
        <v>14</v>
      </c>
      <c r="C533" t="s">
        <v>94</v>
      </c>
      <c r="D533">
        <v>10</v>
      </c>
    </row>
    <row r="534" spans="1:4">
      <c r="A534">
        <v>2019</v>
      </c>
      <c r="B534" t="s">
        <v>14</v>
      </c>
      <c r="C534" t="s">
        <v>95</v>
      </c>
      <c r="D534">
        <v>10.07</v>
      </c>
    </row>
    <row r="535" spans="1:4">
      <c r="A535">
        <v>2019</v>
      </c>
      <c r="B535" t="s">
        <v>14</v>
      </c>
      <c r="C535" t="s">
        <v>96</v>
      </c>
      <c r="D535">
        <v>10.15</v>
      </c>
    </row>
    <row r="536" spans="1:4">
      <c r="A536">
        <v>2019</v>
      </c>
      <c r="B536" t="s">
        <v>14</v>
      </c>
      <c r="C536" t="s">
        <v>97</v>
      </c>
      <c r="D536">
        <v>9.7200000000000006</v>
      </c>
    </row>
    <row r="537" spans="1:4">
      <c r="A537">
        <v>2019</v>
      </c>
      <c r="B537" t="s">
        <v>14</v>
      </c>
      <c r="C537" t="s">
        <v>98</v>
      </c>
      <c r="D537">
        <v>9.99</v>
      </c>
    </row>
    <row r="538" spans="1:4">
      <c r="A538">
        <v>2019</v>
      </c>
      <c r="B538" t="s">
        <v>14</v>
      </c>
      <c r="C538" t="s">
        <v>99</v>
      </c>
      <c r="D538">
        <v>9.84</v>
      </c>
    </row>
    <row r="539" spans="1:4">
      <c r="A539">
        <v>2019</v>
      </c>
      <c r="B539" t="s">
        <v>14</v>
      </c>
      <c r="C539" t="s">
        <v>100</v>
      </c>
      <c r="D539">
        <v>10.199999999999999</v>
      </c>
    </row>
    <row r="540" spans="1:4">
      <c r="A540">
        <v>2019</v>
      </c>
      <c r="B540" t="s">
        <v>14</v>
      </c>
      <c r="C540" t="s">
        <v>101</v>
      </c>
      <c r="D540">
        <v>9.9499999999999993</v>
      </c>
    </row>
    <row r="541" spans="1:4">
      <c r="A541">
        <v>2019</v>
      </c>
      <c r="B541" t="s">
        <v>14</v>
      </c>
      <c r="C541" t="s">
        <v>102</v>
      </c>
      <c r="D541">
        <v>9.73</v>
      </c>
    </row>
    <row r="542" spans="1:4">
      <c r="A542">
        <v>2019</v>
      </c>
      <c r="B542" t="s">
        <v>14</v>
      </c>
      <c r="C542" t="s">
        <v>103</v>
      </c>
      <c r="D542">
        <v>10.19</v>
      </c>
    </row>
    <row r="543" spans="1:4">
      <c r="A543">
        <v>2019</v>
      </c>
      <c r="B543" t="s">
        <v>14</v>
      </c>
      <c r="C543" t="s">
        <v>104</v>
      </c>
      <c r="D543">
        <v>9.83</v>
      </c>
    </row>
    <row r="544" spans="1:4">
      <c r="A544">
        <v>2019</v>
      </c>
      <c r="B544" t="s">
        <v>14</v>
      </c>
      <c r="C544" t="s">
        <v>105</v>
      </c>
      <c r="D544">
        <v>10.16</v>
      </c>
    </row>
    <row r="545" spans="1:4">
      <c r="A545">
        <v>2019</v>
      </c>
      <c r="B545" t="s">
        <v>14</v>
      </c>
      <c r="C545" t="s">
        <v>23</v>
      </c>
      <c r="D545">
        <v>9.7899999999999991</v>
      </c>
    </row>
    <row r="546" spans="1:4">
      <c r="A546">
        <v>2019</v>
      </c>
      <c r="B546" t="s">
        <v>14</v>
      </c>
      <c r="C546" t="s">
        <v>106</v>
      </c>
      <c r="D546">
        <v>9.8699999999999992</v>
      </c>
    </row>
    <row r="547" spans="1:4">
      <c r="A547">
        <v>2019</v>
      </c>
      <c r="B547" t="s">
        <v>14</v>
      </c>
      <c r="C547" t="s">
        <v>107</v>
      </c>
      <c r="D547">
        <v>9.8000000000000007</v>
      </c>
    </row>
    <row r="548" spans="1:4">
      <c r="A548">
        <v>2019</v>
      </c>
      <c r="B548" t="s">
        <v>14</v>
      </c>
      <c r="C548" t="s">
        <v>108</v>
      </c>
      <c r="D548">
        <v>9.75</v>
      </c>
    </row>
    <row r="549" spans="1:4">
      <c r="A549">
        <v>2019</v>
      </c>
      <c r="B549" t="s">
        <v>14</v>
      </c>
      <c r="C549" t="s">
        <v>109</v>
      </c>
      <c r="D549">
        <v>9.9600000000000009</v>
      </c>
    </row>
    <row r="550" spans="1:4">
      <c r="A550">
        <v>2019</v>
      </c>
      <c r="B550" t="s">
        <v>14</v>
      </c>
      <c r="C550" t="s">
        <v>110</v>
      </c>
      <c r="D550">
        <v>10.23</v>
      </c>
    </row>
    <row r="551" spans="1:4">
      <c r="A551">
        <v>2019</v>
      </c>
      <c r="B551" t="s">
        <v>14</v>
      </c>
      <c r="C551" t="s">
        <v>111</v>
      </c>
      <c r="D551">
        <v>10.15</v>
      </c>
    </row>
    <row r="552" spans="1:4">
      <c r="A552">
        <v>2019</v>
      </c>
      <c r="B552" t="s">
        <v>14</v>
      </c>
      <c r="C552" t="s">
        <v>112</v>
      </c>
      <c r="D552">
        <v>9.77</v>
      </c>
    </row>
    <row r="553" spans="1:4">
      <c r="A553">
        <v>2019</v>
      </c>
      <c r="B553" t="s">
        <v>14</v>
      </c>
      <c r="C553" t="s">
        <v>113</v>
      </c>
      <c r="D553">
        <v>9.81</v>
      </c>
    </row>
    <row r="554" spans="1:4">
      <c r="A554">
        <v>2019</v>
      </c>
      <c r="B554" t="s">
        <v>14</v>
      </c>
      <c r="C554" t="s">
        <v>114</v>
      </c>
      <c r="D554">
        <v>9.7200000000000006</v>
      </c>
    </row>
    <row r="555" spans="1:4">
      <c r="A555">
        <v>2019</v>
      </c>
      <c r="B555" t="s">
        <v>14</v>
      </c>
      <c r="C555" t="s">
        <v>36</v>
      </c>
      <c r="D555">
        <v>9.84</v>
      </c>
    </row>
    <row r="556" spans="1:4">
      <c r="A556">
        <v>2019</v>
      </c>
      <c r="B556" t="s">
        <v>14</v>
      </c>
      <c r="C556" t="s">
        <v>115</v>
      </c>
      <c r="D556">
        <v>10.77</v>
      </c>
    </row>
    <row r="557" spans="1:4">
      <c r="A557">
        <v>2019</v>
      </c>
      <c r="B557" t="s">
        <v>14</v>
      </c>
      <c r="C557" t="s">
        <v>116</v>
      </c>
      <c r="D557">
        <v>9.8000000000000007</v>
      </c>
    </row>
    <row r="558" spans="1:4">
      <c r="A558">
        <v>2019</v>
      </c>
      <c r="B558" t="s">
        <v>14</v>
      </c>
      <c r="C558" t="s">
        <v>24</v>
      </c>
      <c r="D558">
        <v>9.92</v>
      </c>
    </row>
    <row r="559" spans="1:4">
      <c r="A559">
        <v>2019</v>
      </c>
      <c r="B559" t="s">
        <v>14</v>
      </c>
      <c r="C559" t="s">
        <v>117</v>
      </c>
      <c r="D559">
        <v>10.75</v>
      </c>
    </row>
    <row r="560" spans="1:4">
      <c r="A560">
        <v>2019</v>
      </c>
      <c r="B560" t="s">
        <v>14</v>
      </c>
      <c r="C560" t="s">
        <v>118</v>
      </c>
      <c r="D560">
        <v>9.7200000000000006</v>
      </c>
    </row>
    <row r="561" spans="1:4">
      <c r="A561">
        <v>2019</v>
      </c>
      <c r="B561" t="s">
        <v>14</v>
      </c>
      <c r="C561" t="s">
        <v>25</v>
      </c>
      <c r="D561">
        <v>9.92</v>
      </c>
    </row>
    <row r="562" spans="1:4">
      <c r="A562">
        <v>2019</v>
      </c>
      <c r="B562" t="s">
        <v>14</v>
      </c>
      <c r="C562" t="s">
        <v>119</v>
      </c>
      <c r="D562">
        <v>10.19</v>
      </c>
    </row>
    <row r="563" spans="1:4">
      <c r="A563">
        <v>2019</v>
      </c>
      <c r="B563" t="s">
        <v>14</v>
      </c>
      <c r="C563" t="s">
        <v>26</v>
      </c>
      <c r="D563">
        <v>9.86</v>
      </c>
    </row>
    <row r="564" spans="1:4">
      <c r="A564">
        <v>2019</v>
      </c>
      <c r="B564" t="s">
        <v>14</v>
      </c>
      <c r="C564" t="s">
        <v>120</v>
      </c>
      <c r="D564">
        <v>9.91</v>
      </c>
    </row>
    <row r="565" spans="1:4">
      <c r="A565">
        <v>2019</v>
      </c>
      <c r="B565" t="s">
        <v>14</v>
      </c>
      <c r="C565" t="s">
        <v>121</v>
      </c>
      <c r="D565">
        <v>9.9700000000000006</v>
      </c>
    </row>
    <row r="566" spans="1:4">
      <c r="A566">
        <v>2019</v>
      </c>
      <c r="B566" t="s">
        <v>14</v>
      </c>
      <c r="C566" t="s">
        <v>122</v>
      </c>
      <c r="D566">
        <v>10.01</v>
      </c>
    </row>
    <row r="567" spans="1:4">
      <c r="A567">
        <v>2019</v>
      </c>
      <c r="B567" t="s">
        <v>14</v>
      </c>
      <c r="C567" t="s">
        <v>123</v>
      </c>
      <c r="D567">
        <v>10.029999999999999</v>
      </c>
    </row>
    <row r="568" spans="1:4">
      <c r="A568">
        <v>2019</v>
      </c>
      <c r="B568" t="s">
        <v>14</v>
      </c>
      <c r="C568" t="s">
        <v>27</v>
      </c>
      <c r="D568">
        <v>9.8699999999999992</v>
      </c>
    </row>
    <row r="569" spans="1:4">
      <c r="A569">
        <v>2019</v>
      </c>
      <c r="B569" t="s">
        <v>14</v>
      </c>
      <c r="C569" t="s">
        <v>124</v>
      </c>
      <c r="D569">
        <v>9.73</v>
      </c>
    </row>
    <row r="570" spans="1:4">
      <c r="A570">
        <v>2019</v>
      </c>
      <c r="B570" t="s">
        <v>14</v>
      </c>
      <c r="C570" t="s">
        <v>28</v>
      </c>
      <c r="D570">
        <v>9.8800000000000008</v>
      </c>
    </row>
    <row r="571" spans="1:4">
      <c r="A571">
        <v>2019</v>
      </c>
      <c r="B571" t="s">
        <v>14</v>
      </c>
      <c r="C571" t="s">
        <v>125</v>
      </c>
      <c r="D571">
        <v>9.8699999999999992</v>
      </c>
    </row>
    <row r="572" spans="1:4">
      <c r="A572">
        <v>2019</v>
      </c>
      <c r="B572" t="s">
        <v>14</v>
      </c>
      <c r="C572" t="s">
        <v>126</v>
      </c>
      <c r="D572">
        <v>10.29</v>
      </c>
    </row>
    <row r="573" spans="1:4">
      <c r="A573">
        <v>2019</v>
      </c>
      <c r="B573" t="s">
        <v>14</v>
      </c>
      <c r="C573" t="s">
        <v>127</v>
      </c>
      <c r="D573">
        <v>10.33</v>
      </c>
    </row>
    <row r="574" spans="1:4">
      <c r="A574">
        <v>2019</v>
      </c>
      <c r="B574" t="s">
        <v>15</v>
      </c>
      <c r="C574" t="s">
        <v>85</v>
      </c>
      <c r="D574">
        <v>9.09</v>
      </c>
    </row>
    <row r="575" spans="1:4">
      <c r="A575">
        <v>2019</v>
      </c>
      <c r="B575" t="s">
        <v>15</v>
      </c>
      <c r="C575" t="s">
        <v>86</v>
      </c>
      <c r="D575">
        <v>9.49</v>
      </c>
    </row>
    <row r="576" spans="1:4">
      <c r="A576">
        <v>2019</v>
      </c>
      <c r="B576" t="s">
        <v>15</v>
      </c>
      <c r="C576" t="s">
        <v>87</v>
      </c>
      <c r="D576">
        <v>9.5500000000000007</v>
      </c>
    </row>
    <row r="577" spans="1:4">
      <c r="A577">
        <v>2019</v>
      </c>
      <c r="B577" t="s">
        <v>15</v>
      </c>
      <c r="C577" t="s">
        <v>88</v>
      </c>
      <c r="D577">
        <v>9.69</v>
      </c>
    </row>
    <row r="578" spans="1:4">
      <c r="A578">
        <v>2019</v>
      </c>
      <c r="B578" t="s">
        <v>15</v>
      </c>
      <c r="C578" t="s">
        <v>21</v>
      </c>
      <c r="D578">
        <v>9.32</v>
      </c>
    </row>
    <row r="579" spans="1:4">
      <c r="A579">
        <v>2019</v>
      </c>
      <c r="B579" t="s">
        <v>15</v>
      </c>
      <c r="C579" t="s">
        <v>89</v>
      </c>
      <c r="D579">
        <v>9.5</v>
      </c>
    </row>
    <row r="580" spans="1:4">
      <c r="A580">
        <v>2019</v>
      </c>
      <c r="B580" t="s">
        <v>15</v>
      </c>
      <c r="C580" t="s">
        <v>90</v>
      </c>
      <c r="D580">
        <v>9.43</v>
      </c>
    </row>
    <row r="581" spans="1:4">
      <c r="A581">
        <v>2019</v>
      </c>
      <c r="B581" t="s">
        <v>15</v>
      </c>
      <c r="C581" t="s">
        <v>91</v>
      </c>
      <c r="D581">
        <v>9.25</v>
      </c>
    </row>
    <row r="582" spans="1:4">
      <c r="A582">
        <v>2019</v>
      </c>
      <c r="B582" t="s">
        <v>15</v>
      </c>
      <c r="C582" t="s">
        <v>22</v>
      </c>
      <c r="D582">
        <v>9.14</v>
      </c>
    </row>
    <row r="583" spans="1:4">
      <c r="A583">
        <v>2019</v>
      </c>
      <c r="B583" t="s">
        <v>15</v>
      </c>
      <c r="C583" t="s">
        <v>92</v>
      </c>
      <c r="D583">
        <v>9.44</v>
      </c>
    </row>
    <row r="584" spans="1:4">
      <c r="A584">
        <v>2019</v>
      </c>
      <c r="B584" t="s">
        <v>15</v>
      </c>
      <c r="C584" t="s">
        <v>93</v>
      </c>
      <c r="D584">
        <v>9.7200000000000006</v>
      </c>
    </row>
    <row r="585" spans="1:4">
      <c r="A585">
        <v>2019</v>
      </c>
      <c r="B585" t="s">
        <v>15</v>
      </c>
      <c r="C585" t="s">
        <v>94</v>
      </c>
      <c r="D585">
        <v>9.39</v>
      </c>
    </row>
    <row r="586" spans="1:4">
      <c r="A586">
        <v>2019</v>
      </c>
      <c r="B586" t="s">
        <v>15</v>
      </c>
      <c r="C586" t="s">
        <v>95</v>
      </c>
      <c r="D586">
        <v>9.49</v>
      </c>
    </row>
    <row r="587" spans="1:4">
      <c r="A587">
        <v>2019</v>
      </c>
      <c r="B587" t="s">
        <v>15</v>
      </c>
      <c r="C587" t="s">
        <v>96</v>
      </c>
      <c r="D587">
        <v>9.59</v>
      </c>
    </row>
    <row r="588" spans="1:4">
      <c r="A588">
        <v>2019</v>
      </c>
      <c r="B588" t="s">
        <v>15</v>
      </c>
      <c r="C588" t="s">
        <v>97</v>
      </c>
      <c r="D588">
        <v>9.0299999999999994</v>
      </c>
    </row>
    <row r="589" spans="1:4">
      <c r="A589">
        <v>2019</v>
      </c>
      <c r="B589" t="s">
        <v>15</v>
      </c>
      <c r="C589" t="s">
        <v>98</v>
      </c>
      <c r="D589">
        <v>9.3800000000000008</v>
      </c>
    </row>
    <row r="590" spans="1:4">
      <c r="A590">
        <v>2019</v>
      </c>
      <c r="B590" t="s">
        <v>15</v>
      </c>
      <c r="C590" t="s">
        <v>99</v>
      </c>
      <c r="D590">
        <v>9.18</v>
      </c>
    </row>
    <row r="591" spans="1:4">
      <c r="A591">
        <v>2019</v>
      </c>
      <c r="B591" t="s">
        <v>15</v>
      </c>
      <c r="C591" t="s">
        <v>100</v>
      </c>
      <c r="D591">
        <v>9.66</v>
      </c>
    </row>
    <row r="592" spans="1:4">
      <c r="A592">
        <v>2019</v>
      </c>
      <c r="B592" t="s">
        <v>15</v>
      </c>
      <c r="C592" t="s">
        <v>101</v>
      </c>
      <c r="D592">
        <v>9.32</v>
      </c>
    </row>
    <row r="593" spans="1:4">
      <c r="A593">
        <v>2019</v>
      </c>
      <c r="B593" t="s">
        <v>15</v>
      </c>
      <c r="C593" t="s">
        <v>102</v>
      </c>
      <c r="D593">
        <v>9.0299999999999994</v>
      </c>
    </row>
    <row r="594" spans="1:4">
      <c r="A594">
        <v>2019</v>
      </c>
      <c r="B594" t="s">
        <v>15</v>
      </c>
      <c r="C594" t="s">
        <v>103</v>
      </c>
      <c r="D594">
        <v>9.65</v>
      </c>
    </row>
    <row r="595" spans="1:4">
      <c r="A595">
        <v>2019</v>
      </c>
      <c r="B595" t="s">
        <v>15</v>
      </c>
      <c r="C595" t="s">
        <v>104</v>
      </c>
      <c r="D595">
        <v>9.17</v>
      </c>
    </row>
    <row r="596" spans="1:4">
      <c r="A596">
        <v>2019</v>
      </c>
      <c r="B596" t="s">
        <v>15</v>
      </c>
      <c r="C596" t="s">
        <v>105</v>
      </c>
      <c r="D596">
        <v>9.6</v>
      </c>
    </row>
    <row r="597" spans="1:4">
      <c r="A597">
        <v>2019</v>
      </c>
      <c r="B597" t="s">
        <v>15</v>
      </c>
      <c r="C597" t="s">
        <v>23</v>
      </c>
      <c r="D597">
        <v>9.1199999999999992</v>
      </c>
    </row>
    <row r="598" spans="1:4">
      <c r="A598">
        <v>2019</v>
      </c>
      <c r="B598" t="s">
        <v>15</v>
      </c>
      <c r="C598" t="s">
        <v>106</v>
      </c>
      <c r="D598">
        <v>9.2200000000000006</v>
      </c>
    </row>
    <row r="599" spans="1:4">
      <c r="A599">
        <v>2019</v>
      </c>
      <c r="B599" t="s">
        <v>15</v>
      </c>
      <c r="C599" t="s">
        <v>107</v>
      </c>
      <c r="D599">
        <v>9.1300000000000008</v>
      </c>
    </row>
    <row r="600" spans="1:4">
      <c r="A600">
        <v>2019</v>
      </c>
      <c r="B600" t="s">
        <v>15</v>
      </c>
      <c r="C600" t="s">
        <v>108</v>
      </c>
      <c r="D600">
        <v>9.07</v>
      </c>
    </row>
    <row r="601" spans="1:4">
      <c r="A601">
        <v>2019</v>
      </c>
      <c r="B601" t="s">
        <v>15</v>
      </c>
      <c r="C601" t="s">
        <v>109</v>
      </c>
      <c r="D601">
        <v>9.35</v>
      </c>
    </row>
    <row r="602" spans="1:4">
      <c r="A602">
        <v>2019</v>
      </c>
      <c r="B602" t="s">
        <v>15</v>
      </c>
      <c r="C602" t="s">
        <v>110</v>
      </c>
      <c r="D602">
        <v>9.6999999999999993</v>
      </c>
    </row>
    <row r="603" spans="1:4">
      <c r="A603">
        <v>2019</v>
      </c>
      <c r="B603" t="s">
        <v>15</v>
      </c>
      <c r="C603" t="s">
        <v>111</v>
      </c>
      <c r="D603">
        <v>9.58</v>
      </c>
    </row>
    <row r="604" spans="1:4">
      <c r="A604">
        <v>2019</v>
      </c>
      <c r="B604" t="s">
        <v>15</v>
      </c>
      <c r="C604" t="s">
        <v>112</v>
      </c>
      <c r="D604">
        <v>9.09</v>
      </c>
    </row>
    <row r="605" spans="1:4">
      <c r="A605">
        <v>2019</v>
      </c>
      <c r="B605" t="s">
        <v>15</v>
      </c>
      <c r="C605" t="s">
        <v>113</v>
      </c>
      <c r="D605">
        <v>9.15</v>
      </c>
    </row>
    <row r="606" spans="1:4">
      <c r="A606">
        <v>2019</v>
      </c>
      <c r="B606" t="s">
        <v>15</v>
      </c>
      <c r="C606" t="s">
        <v>114</v>
      </c>
      <c r="D606">
        <v>9.0299999999999994</v>
      </c>
    </row>
    <row r="607" spans="1:4">
      <c r="A607">
        <v>2019</v>
      </c>
      <c r="B607" t="s">
        <v>15</v>
      </c>
      <c r="C607" t="s">
        <v>36</v>
      </c>
      <c r="D607">
        <v>9.18</v>
      </c>
    </row>
    <row r="608" spans="1:4">
      <c r="A608">
        <v>2019</v>
      </c>
      <c r="B608" t="s">
        <v>15</v>
      </c>
      <c r="C608" t="s">
        <v>115</v>
      </c>
      <c r="D608">
        <v>10.4</v>
      </c>
    </row>
    <row r="609" spans="1:4">
      <c r="A609">
        <v>2019</v>
      </c>
      <c r="B609" t="s">
        <v>15</v>
      </c>
      <c r="C609" t="s">
        <v>116</v>
      </c>
      <c r="D609">
        <v>9.14</v>
      </c>
    </row>
    <row r="610" spans="1:4">
      <c r="A610">
        <v>2019</v>
      </c>
      <c r="B610" t="s">
        <v>15</v>
      </c>
      <c r="C610" t="s">
        <v>24</v>
      </c>
      <c r="D610">
        <v>9.2899999999999991</v>
      </c>
    </row>
    <row r="611" spans="1:4">
      <c r="A611">
        <v>2019</v>
      </c>
      <c r="B611" t="s">
        <v>15</v>
      </c>
      <c r="C611" t="s">
        <v>117</v>
      </c>
      <c r="D611">
        <v>10.37</v>
      </c>
    </row>
    <row r="612" spans="1:4">
      <c r="A612">
        <v>2019</v>
      </c>
      <c r="B612" t="s">
        <v>15</v>
      </c>
      <c r="C612" t="s">
        <v>118</v>
      </c>
      <c r="D612">
        <v>9.02</v>
      </c>
    </row>
    <row r="613" spans="1:4">
      <c r="A613">
        <v>2019</v>
      </c>
      <c r="B613" t="s">
        <v>15</v>
      </c>
      <c r="C613" t="s">
        <v>25</v>
      </c>
      <c r="D613">
        <v>9.2899999999999991</v>
      </c>
    </row>
    <row r="614" spans="1:4">
      <c r="A614">
        <v>2019</v>
      </c>
      <c r="B614" t="s">
        <v>15</v>
      </c>
      <c r="C614" t="s">
        <v>119</v>
      </c>
      <c r="D614">
        <v>9.64</v>
      </c>
    </row>
    <row r="615" spans="1:4">
      <c r="A615">
        <v>2019</v>
      </c>
      <c r="B615" t="s">
        <v>15</v>
      </c>
      <c r="C615" t="s">
        <v>26</v>
      </c>
      <c r="D615">
        <v>9.2100000000000009</v>
      </c>
    </row>
    <row r="616" spans="1:4">
      <c r="A616">
        <v>2019</v>
      </c>
      <c r="B616" t="s">
        <v>15</v>
      </c>
      <c r="C616" t="s">
        <v>120</v>
      </c>
      <c r="D616">
        <v>9.27</v>
      </c>
    </row>
    <row r="617" spans="1:4">
      <c r="A617">
        <v>2019</v>
      </c>
      <c r="B617" t="s">
        <v>15</v>
      </c>
      <c r="C617" t="s">
        <v>121</v>
      </c>
      <c r="D617">
        <v>9.35</v>
      </c>
    </row>
    <row r="618" spans="1:4">
      <c r="A618">
        <v>2019</v>
      </c>
      <c r="B618" t="s">
        <v>15</v>
      </c>
      <c r="C618" t="s">
        <v>122</v>
      </c>
      <c r="D618">
        <v>9.4</v>
      </c>
    </row>
    <row r="619" spans="1:4">
      <c r="A619">
        <v>2019</v>
      </c>
      <c r="B619" t="s">
        <v>15</v>
      </c>
      <c r="C619" t="s">
        <v>123</v>
      </c>
      <c r="D619">
        <v>9.44</v>
      </c>
    </row>
    <row r="620" spans="1:4">
      <c r="A620">
        <v>2019</v>
      </c>
      <c r="B620" t="s">
        <v>15</v>
      </c>
      <c r="C620" t="s">
        <v>27</v>
      </c>
      <c r="D620">
        <v>9.2200000000000006</v>
      </c>
    </row>
    <row r="621" spans="1:4">
      <c r="A621">
        <v>2019</v>
      </c>
      <c r="B621" t="s">
        <v>15</v>
      </c>
      <c r="C621" t="s">
        <v>124</v>
      </c>
      <c r="D621">
        <v>9.0399999999999991</v>
      </c>
    </row>
    <row r="622" spans="1:4">
      <c r="A622">
        <v>2019</v>
      </c>
      <c r="B622" t="s">
        <v>15</v>
      </c>
      <c r="C622" t="s">
        <v>28</v>
      </c>
      <c r="D622">
        <v>9.23</v>
      </c>
    </row>
    <row r="623" spans="1:4">
      <c r="A623">
        <v>2019</v>
      </c>
      <c r="B623" t="s">
        <v>15</v>
      </c>
      <c r="C623" t="s">
        <v>125</v>
      </c>
      <c r="D623">
        <v>9.2200000000000006</v>
      </c>
    </row>
    <row r="624" spans="1:4">
      <c r="A624">
        <v>2019</v>
      </c>
      <c r="B624" t="s">
        <v>15</v>
      </c>
      <c r="C624" t="s">
        <v>126</v>
      </c>
      <c r="D624">
        <v>9.77</v>
      </c>
    </row>
    <row r="625" spans="1:4">
      <c r="A625">
        <v>2019</v>
      </c>
      <c r="B625" t="s">
        <v>15</v>
      </c>
      <c r="C625" t="s">
        <v>127</v>
      </c>
      <c r="D625">
        <v>9.83</v>
      </c>
    </row>
    <row r="628" spans="1:4">
      <c r="A628" t="s">
        <v>128</v>
      </c>
    </row>
    <row r="629" spans="1:4">
      <c r="A629" t="s">
        <v>129</v>
      </c>
    </row>
    <row r="630" spans="1:4">
      <c r="A630" t="s">
        <v>130</v>
      </c>
    </row>
    <row r="631" spans="1:4">
      <c r="A631" t="s">
        <v>131</v>
      </c>
    </row>
    <row r="632" spans="1:4">
      <c r="A632" t="s">
        <v>132</v>
      </c>
    </row>
    <row r="633" spans="1:4">
      <c r="A633" t="s">
        <v>133</v>
      </c>
    </row>
    <row r="634" spans="1:4">
      <c r="A634" t="s">
        <v>134</v>
      </c>
    </row>
    <row r="637" spans="1:4">
      <c r="A637" s="84" t="s">
        <v>135</v>
      </c>
    </row>
    <row r="638" spans="1:4">
      <c r="A638" t="s">
        <v>136</v>
      </c>
    </row>
    <row r="639" spans="1:4">
      <c r="A639" t="s">
        <v>137</v>
      </c>
    </row>
  </sheetData>
  <hyperlinks>
    <hyperlink ref="A637" r:id="rId1" xr:uid="{CC9851FD-107B-408A-91DB-B140B9D8A9B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4B73A-5B11-4586-B9A5-D638B256F1B1}">
  <dimension ref="A1:AR9"/>
  <sheetViews>
    <sheetView workbookViewId="0"/>
  </sheetViews>
  <sheetFormatPr baseColWidth="10" defaultRowHeight="14.4"/>
  <cols>
    <col min="1" max="2" width="10.77734375" bestFit="1" customWidth="1"/>
    <col min="3" max="3" width="11.44140625" bestFit="1" customWidth="1"/>
    <col min="4" max="4" width="34.109375" bestFit="1" customWidth="1"/>
    <col min="5" max="6" width="10.77734375" bestFit="1" customWidth="1"/>
    <col min="7" max="7" width="14.109375" bestFit="1" customWidth="1"/>
    <col min="8" max="9" width="10.77734375" bestFit="1" customWidth="1"/>
    <col min="10" max="18" width="11.77734375" bestFit="1" customWidth="1"/>
    <col min="19" max="19" width="12.21875" bestFit="1" customWidth="1"/>
    <col min="20" max="20" width="11.77734375" bestFit="1" customWidth="1"/>
    <col min="21" max="21" width="12" bestFit="1" customWidth="1"/>
    <col min="22" max="22" width="11.77734375" bestFit="1" customWidth="1"/>
    <col min="23" max="23" width="15.33203125" bestFit="1" customWidth="1"/>
    <col min="24" max="24" width="13.6640625" bestFit="1" customWidth="1"/>
    <col min="25" max="32" width="11.77734375" bestFit="1" customWidth="1"/>
    <col min="33" max="33" width="12.33203125" bestFit="1" customWidth="1"/>
    <col min="34" max="34" width="11.77734375" bestFit="1" customWidth="1"/>
    <col min="35" max="35" width="12.109375" bestFit="1" customWidth="1"/>
    <col min="36" max="36" width="11.77734375" bestFit="1" customWidth="1"/>
    <col min="37" max="37" width="11.88671875" bestFit="1" customWidth="1"/>
    <col min="38" max="38" width="11.77734375" bestFit="1" customWidth="1"/>
    <col min="39" max="39" width="21.21875" bestFit="1" customWidth="1"/>
    <col min="40" max="41" width="11.77734375" bestFit="1" customWidth="1"/>
    <col min="42" max="42" width="18.44140625" bestFit="1" customWidth="1"/>
    <col min="43" max="43" width="27" bestFit="1" customWidth="1"/>
    <col min="44" max="44" width="13" style="186" customWidth="1"/>
  </cols>
  <sheetData>
    <row r="1" spans="1:44">
      <c r="A1" t="s">
        <v>473</v>
      </c>
      <c r="B1" t="s">
        <v>474</v>
      </c>
      <c r="C1" t="s">
        <v>475</v>
      </c>
      <c r="D1" t="s">
        <v>476</v>
      </c>
      <c r="E1" t="s">
        <v>477</v>
      </c>
      <c r="F1" t="s">
        <v>478</v>
      </c>
      <c r="G1" t="s">
        <v>479</v>
      </c>
      <c r="H1" t="s">
        <v>480</v>
      </c>
      <c r="I1" t="s">
        <v>481</v>
      </c>
      <c r="J1" t="s">
        <v>482</v>
      </c>
      <c r="K1" t="s">
        <v>483</v>
      </c>
      <c r="L1" t="s">
        <v>484</v>
      </c>
      <c r="M1" t="s">
        <v>485</v>
      </c>
      <c r="N1" t="s">
        <v>486</v>
      </c>
      <c r="O1" t="s">
        <v>487</v>
      </c>
      <c r="P1" t="s">
        <v>488</v>
      </c>
      <c r="Q1" t="s">
        <v>489</v>
      </c>
      <c r="R1" t="s">
        <v>490</v>
      </c>
      <c r="S1" t="s">
        <v>491</v>
      </c>
      <c r="T1" t="s">
        <v>492</v>
      </c>
      <c r="U1" t="s">
        <v>493</v>
      </c>
      <c r="V1" t="s">
        <v>494</v>
      </c>
      <c r="W1" t="s">
        <v>495</v>
      </c>
      <c r="X1" t="s">
        <v>496</v>
      </c>
      <c r="Y1" t="s">
        <v>497</v>
      </c>
      <c r="Z1" t="s">
        <v>498</v>
      </c>
      <c r="AA1" t="s">
        <v>499</v>
      </c>
      <c r="AB1" t="s">
        <v>500</v>
      </c>
      <c r="AC1" t="s">
        <v>501</v>
      </c>
      <c r="AD1" t="s">
        <v>502</v>
      </c>
      <c r="AE1" t="s">
        <v>503</v>
      </c>
      <c r="AF1" t="s">
        <v>504</v>
      </c>
      <c r="AG1" t="s">
        <v>505</v>
      </c>
      <c r="AH1" t="s">
        <v>506</v>
      </c>
      <c r="AI1" t="s">
        <v>507</v>
      </c>
      <c r="AJ1" t="s">
        <v>508</v>
      </c>
      <c r="AK1" t="s">
        <v>509</v>
      </c>
      <c r="AL1" t="s">
        <v>510</v>
      </c>
      <c r="AM1" t="s">
        <v>511</v>
      </c>
      <c r="AN1" t="s">
        <v>512</v>
      </c>
      <c r="AO1" t="s">
        <v>513</v>
      </c>
      <c r="AP1" t="s">
        <v>514</v>
      </c>
      <c r="AQ1" t="s">
        <v>515</v>
      </c>
      <c r="AR1" t="s">
        <v>591</v>
      </c>
    </row>
    <row r="2" spans="1:44">
      <c r="A2" s="235" t="s">
        <v>516</v>
      </c>
      <c r="B2" s="186">
        <v>1</v>
      </c>
      <c r="C2" s="235" t="s">
        <v>388</v>
      </c>
      <c r="D2" s="235" t="s">
        <v>63</v>
      </c>
      <c r="E2" s="235" t="s">
        <v>29</v>
      </c>
      <c r="F2" s="235" t="s">
        <v>30</v>
      </c>
      <c r="G2" s="235" t="s">
        <v>389</v>
      </c>
      <c r="H2" s="235" t="s">
        <v>390</v>
      </c>
      <c r="I2" s="235" t="s">
        <v>391</v>
      </c>
      <c r="J2" s="235" t="s">
        <v>392</v>
      </c>
      <c r="K2" s="235" t="s">
        <v>517</v>
      </c>
      <c r="L2" s="235" t="s">
        <v>518</v>
      </c>
      <c r="M2" s="235" t="s">
        <v>519</v>
      </c>
      <c r="N2" s="235" t="s">
        <v>520</v>
      </c>
      <c r="O2" s="235" t="s">
        <v>521</v>
      </c>
      <c r="P2" s="235" t="s">
        <v>522</v>
      </c>
      <c r="Q2" s="235" t="s">
        <v>592</v>
      </c>
      <c r="R2" s="235" t="s">
        <v>523</v>
      </c>
      <c r="S2" s="235" t="s">
        <v>524</v>
      </c>
      <c r="T2" s="235" t="s">
        <v>525</v>
      </c>
      <c r="U2" s="235" t="s">
        <v>526</v>
      </c>
      <c r="V2" s="235" t="s">
        <v>527</v>
      </c>
      <c r="W2" s="235" t="s">
        <v>393</v>
      </c>
      <c r="X2" s="235" t="s">
        <v>394</v>
      </c>
      <c r="Y2" s="235" t="s">
        <v>395</v>
      </c>
      <c r="Z2" s="235" t="s">
        <v>396</v>
      </c>
      <c r="AA2" s="235" t="s">
        <v>397</v>
      </c>
      <c r="AB2" s="235" t="s">
        <v>398</v>
      </c>
      <c r="AC2" s="235" t="s">
        <v>399</v>
      </c>
      <c r="AD2" s="235" t="s">
        <v>400</v>
      </c>
      <c r="AE2" s="235" t="s">
        <v>401</v>
      </c>
      <c r="AF2" s="235" t="s">
        <v>402</v>
      </c>
      <c r="AG2" s="235" t="s">
        <v>403</v>
      </c>
      <c r="AH2" s="235" t="s">
        <v>404</v>
      </c>
      <c r="AI2" s="235" t="s">
        <v>405</v>
      </c>
      <c r="AJ2" s="235" t="s">
        <v>406</v>
      </c>
      <c r="AK2" s="235" t="s">
        <v>407</v>
      </c>
      <c r="AL2" s="235" t="s">
        <v>169</v>
      </c>
      <c r="AM2" s="235" t="s">
        <v>408</v>
      </c>
      <c r="AN2" s="235" t="s">
        <v>409</v>
      </c>
      <c r="AO2" s="235" t="s">
        <v>78</v>
      </c>
      <c r="AP2" s="235" t="s">
        <v>361</v>
      </c>
      <c r="AQ2" s="235" t="s">
        <v>410</v>
      </c>
      <c r="AR2" s="235" t="s">
        <v>411</v>
      </c>
    </row>
    <row r="3" spans="1:44">
      <c r="A3" s="235" t="s">
        <v>516</v>
      </c>
      <c r="B3" s="186">
        <v>2</v>
      </c>
      <c r="C3" s="235" t="s">
        <v>528</v>
      </c>
      <c r="D3" s="235" t="s">
        <v>64</v>
      </c>
      <c r="E3" s="235" t="s">
        <v>36</v>
      </c>
      <c r="F3" s="235" t="s">
        <v>33</v>
      </c>
      <c r="G3" s="235" t="s">
        <v>328</v>
      </c>
      <c r="H3" s="235" t="s">
        <v>529</v>
      </c>
      <c r="I3" s="235" t="s">
        <v>530</v>
      </c>
      <c r="J3" s="235" t="s">
        <v>531</v>
      </c>
      <c r="K3" s="235"/>
      <c r="L3" s="235"/>
      <c r="M3" s="235"/>
      <c r="N3" s="235"/>
      <c r="O3" s="235"/>
      <c r="P3" s="235"/>
      <c r="Q3" s="235"/>
      <c r="R3" s="235"/>
      <c r="S3" s="235"/>
      <c r="T3" s="235"/>
      <c r="U3" s="235"/>
      <c r="V3" s="235"/>
      <c r="W3" s="235" t="s">
        <v>532</v>
      </c>
      <c r="X3" s="235" t="s">
        <v>533</v>
      </c>
      <c r="Y3" s="235" t="s">
        <v>534</v>
      </c>
      <c r="Z3" s="235" t="s">
        <v>535</v>
      </c>
      <c r="AA3" s="235" t="s">
        <v>536</v>
      </c>
      <c r="AB3" s="235" t="s">
        <v>537</v>
      </c>
      <c r="AC3" s="235" t="s">
        <v>538</v>
      </c>
      <c r="AD3" s="235" t="s">
        <v>539</v>
      </c>
      <c r="AE3" s="235" t="s">
        <v>540</v>
      </c>
      <c r="AF3" s="235" t="s">
        <v>539</v>
      </c>
      <c r="AG3" s="235" t="s">
        <v>541</v>
      </c>
      <c r="AH3" s="235" t="s">
        <v>542</v>
      </c>
      <c r="AI3" s="235" t="s">
        <v>543</v>
      </c>
      <c r="AJ3" s="235" t="s">
        <v>534</v>
      </c>
      <c r="AK3" s="235"/>
      <c r="AL3" s="235"/>
      <c r="AM3" s="235"/>
      <c r="AN3" s="235"/>
      <c r="AO3" s="235" t="s">
        <v>544</v>
      </c>
      <c r="AP3" s="235" t="s">
        <v>545</v>
      </c>
      <c r="AQ3" s="235" t="s">
        <v>546</v>
      </c>
      <c r="AR3" s="235" t="s">
        <v>547</v>
      </c>
    </row>
    <row r="4" spans="1:44">
      <c r="A4" s="235" t="s">
        <v>516</v>
      </c>
      <c r="B4" s="186">
        <v>3</v>
      </c>
      <c r="C4" s="235" t="s">
        <v>558</v>
      </c>
      <c r="D4" s="235" t="s">
        <v>311</v>
      </c>
      <c r="E4" s="235" t="s">
        <v>27</v>
      </c>
      <c r="F4" s="235" t="s">
        <v>33</v>
      </c>
      <c r="G4" s="235" t="s">
        <v>362</v>
      </c>
      <c r="H4" s="235" t="s">
        <v>559</v>
      </c>
      <c r="I4" s="235"/>
      <c r="J4" s="235"/>
      <c r="K4" s="235"/>
      <c r="L4" s="235"/>
      <c r="M4" s="235"/>
      <c r="N4" s="235"/>
      <c r="O4" s="235"/>
      <c r="P4" s="235"/>
      <c r="Q4" s="235"/>
      <c r="R4" s="235"/>
      <c r="S4" s="235"/>
      <c r="T4" s="235"/>
      <c r="U4" s="235"/>
      <c r="V4" s="235"/>
      <c r="W4" s="235" t="s">
        <v>532</v>
      </c>
      <c r="X4" s="235" t="s">
        <v>560</v>
      </c>
      <c r="Y4" s="235"/>
      <c r="Z4" s="235"/>
      <c r="AA4" s="235"/>
      <c r="AB4" s="235"/>
      <c r="AC4" s="235"/>
      <c r="AD4" s="235"/>
      <c r="AE4" s="235"/>
      <c r="AF4" s="235"/>
      <c r="AG4" s="235"/>
      <c r="AH4" s="235"/>
      <c r="AI4" s="235"/>
      <c r="AJ4" s="235"/>
      <c r="AK4" s="235" t="s">
        <v>561</v>
      </c>
      <c r="AL4" s="235"/>
      <c r="AM4" s="235"/>
      <c r="AN4" s="235"/>
      <c r="AO4" s="235" t="s">
        <v>562</v>
      </c>
      <c r="AP4" s="235" t="s">
        <v>563</v>
      </c>
      <c r="AQ4" s="235" t="s">
        <v>564</v>
      </c>
      <c r="AR4" s="235" t="s">
        <v>565</v>
      </c>
    </row>
    <row r="5" spans="1:44">
      <c r="A5" s="235" t="s">
        <v>516</v>
      </c>
      <c r="B5" s="186">
        <v>4</v>
      </c>
      <c r="C5" s="235" t="s">
        <v>566</v>
      </c>
      <c r="D5" s="235" t="s">
        <v>64</v>
      </c>
      <c r="E5" s="235" t="s">
        <v>36</v>
      </c>
      <c r="F5" s="235" t="s">
        <v>33</v>
      </c>
      <c r="G5" s="235" t="s">
        <v>328</v>
      </c>
      <c r="H5" s="235" t="s">
        <v>567</v>
      </c>
      <c r="I5" s="235" t="s">
        <v>568</v>
      </c>
      <c r="J5" s="235" t="s">
        <v>553</v>
      </c>
      <c r="K5" s="235"/>
      <c r="L5" s="235"/>
      <c r="M5" s="235"/>
      <c r="N5" s="235"/>
      <c r="O5" s="235"/>
      <c r="P5" s="235"/>
      <c r="Q5" s="235"/>
      <c r="R5" s="235"/>
      <c r="S5" s="235"/>
      <c r="T5" s="235"/>
      <c r="U5" s="235"/>
      <c r="V5" s="235"/>
      <c r="W5" s="235" t="s">
        <v>532</v>
      </c>
      <c r="X5" s="235" t="s">
        <v>569</v>
      </c>
      <c r="Y5" s="235" t="s">
        <v>570</v>
      </c>
      <c r="Z5" s="235" t="s">
        <v>571</v>
      </c>
      <c r="AA5" s="235" t="s">
        <v>572</v>
      </c>
      <c r="AB5" s="235" t="s">
        <v>573</v>
      </c>
      <c r="AC5" s="235" t="s">
        <v>574</v>
      </c>
      <c r="AD5" s="235" t="s">
        <v>575</v>
      </c>
      <c r="AE5" s="235" t="s">
        <v>539</v>
      </c>
      <c r="AF5" s="235" t="s">
        <v>557</v>
      </c>
      <c r="AG5" s="235" t="s">
        <v>576</v>
      </c>
      <c r="AH5" s="235" t="s">
        <v>577</v>
      </c>
      <c r="AI5" s="235" t="s">
        <v>578</v>
      </c>
      <c r="AJ5" s="235" t="s">
        <v>551</v>
      </c>
      <c r="AK5" s="235" t="s">
        <v>579</v>
      </c>
      <c r="AL5" s="235"/>
      <c r="AM5" s="235"/>
      <c r="AN5" s="235"/>
      <c r="AO5" s="235" t="s">
        <v>580</v>
      </c>
      <c r="AP5" s="235" t="s">
        <v>581</v>
      </c>
      <c r="AQ5" s="235" t="s">
        <v>582</v>
      </c>
      <c r="AR5" s="235" t="s">
        <v>583</v>
      </c>
    </row>
    <row r="6" spans="1:44">
      <c r="A6" s="235" t="s">
        <v>516</v>
      </c>
      <c r="B6" s="186">
        <v>5</v>
      </c>
      <c r="C6" s="235" t="s">
        <v>584</v>
      </c>
      <c r="D6" s="235" t="s">
        <v>311</v>
      </c>
      <c r="E6" s="235" t="s">
        <v>100</v>
      </c>
      <c r="F6" s="235" t="s">
        <v>35</v>
      </c>
      <c r="G6" s="235" t="s">
        <v>328</v>
      </c>
      <c r="H6" s="235" t="s">
        <v>585</v>
      </c>
      <c r="I6" s="235" t="s">
        <v>548</v>
      </c>
      <c r="J6" s="235" t="s">
        <v>530</v>
      </c>
      <c r="K6" s="235"/>
      <c r="L6" s="235"/>
      <c r="M6" s="235"/>
      <c r="N6" s="235"/>
      <c r="O6" s="235"/>
      <c r="P6" s="235"/>
      <c r="Q6" s="235"/>
      <c r="R6" s="235"/>
      <c r="S6" s="235"/>
      <c r="T6" s="235"/>
      <c r="U6" s="235"/>
      <c r="V6" s="235"/>
      <c r="W6" s="235" t="s">
        <v>550</v>
      </c>
      <c r="X6" s="235" t="s">
        <v>586</v>
      </c>
      <c r="Y6" s="235"/>
      <c r="Z6" s="235"/>
      <c r="AA6" s="235"/>
      <c r="AB6" s="235"/>
      <c r="AC6" s="235"/>
      <c r="AD6" s="235"/>
      <c r="AE6" s="235"/>
      <c r="AF6" s="235"/>
      <c r="AG6" s="235"/>
      <c r="AH6" s="235"/>
      <c r="AI6" s="235"/>
      <c r="AJ6" s="235"/>
      <c r="AK6" s="235" t="s">
        <v>587</v>
      </c>
      <c r="AL6" s="235" t="s">
        <v>12</v>
      </c>
      <c r="AM6" s="235"/>
      <c r="AN6" s="235"/>
      <c r="AO6" s="235" t="s">
        <v>544</v>
      </c>
      <c r="AP6" s="235" t="s">
        <v>588</v>
      </c>
      <c r="AQ6" s="235" t="s">
        <v>589</v>
      </c>
      <c r="AR6" s="235"/>
    </row>
    <row r="7" spans="1:44">
      <c r="A7" s="235" t="s">
        <v>516</v>
      </c>
      <c r="B7" s="186">
        <v>6</v>
      </c>
      <c r="C7" s="235" t="s">
        <v>593</v>
      </c>
      <c r="D7" s="235" t="s">
        <v>64</v>
      </c>
      <c r="E7" s="235" t="s">
        <v>88</v>
      </c>
      <c r="F7" s="235" t="s">
        <v>415</v>
      </c>
      <c r="G7" s="235" t="s">
        <v>300</v>
      </c>
      <c r="H7" s="235"/>
      <c r="I7" s="235"/>
      <c r="J7" s="235"/>
      <c r="K7" s="235" t="s">
        <v>555</v>
      </c>
      <c r="L7" s="235" t="s">
        <v>548</v>
      </c>
      <c r="M7" s="235" t="s">
        <v>594</v>
      </c>
      <c r="N7" s="235" t="s">
        <v>595</v>
      </c>
      <c r="O7" s="235" t="s">
        <v>552</v>
      </c>
      <c r="P7" s="235" t="s">
        <v>553</v>
      </c>
      <c r="Q7" s="235" t="s">
        <v>559</v>
      </c>
      <c r="R7" s="235" t="s">
        <v>555</v>
      </c>
      <c r="S7" s="235" t="s">
        <v>531</v>
      </c>
      <c r="T7" s="235" t="s">
        <v>553</v>
      </c>
      <c r="U7" s="235" t="s">
        <v>559</v>
      </c>
      <c r="V7" s="235" t="s">
        <v>549</v>
      </c>
      <c r="W7" s="235" t="s">
        <v>550</v>
      </c>
      <c r="X7" s="235" t="s">
        <v>533</v>
      </c>
      <c r="Y7" s="235"/>
      <c r="Z7" s="235"/>
      <c r="AA7" s="235"/>
      <c r="AB7" s="235"/>
      <c r="AC7" s="235"/>
      <c r="AD7" s="235"/>
      <c r="AE7" s="235"/>
      <c r="AF7" s="235"/>
      <c r="AG7" s="235"/>
      <c r="AH7" s="235"/>
      <c r="AI7" s="235"/>
      <c r="AJ7" s="235"/>
      <c r="AK7" s="235" t="s">
        <v>596</v>
      </c>
      <c r="AL7" s="235" t="s">
        <v>4</v>
      </c>
      <c r="AM7" s="235"/>
      <c r="AN7" s="235"/>
      <c r="AO7" s="235" t="s">
        <v>544</v>
      </c>
      <c r="AP7" s="235" t="s">
        <v>597</v>
      </c>
      <c r="AQ7" s="235" t="s">
        <v>598</v>
      </c>
      <c r="AR7" s="235"/>
    </row>
    <row r="8" spans="1:44">
      <c r="A8" s="235" t="s">
        <v>516</v>
      </c>
      <c r="B8" s="186">
        <v>7</v>
      </c>
      <c r="C8" s="235" t="s">
        <v>599</v>
      </c>
      <c r="D8" s="235" t="s">
        <v>64</v>
      </c>
      <c r="E8" s="235" t="s">
        <v>122</v>
      </c>
      <c r="F8" s="235" t="s">
        <v>415</v>
      </c>
      <c r="G8" s="235" t="s">
        <v>328</v>
      </c>
      <c r="H8" s="235" t="s">
        <v>600</v>
      </c>
      <c r="I8" s="235" t="s">
        <v>548</v>
      </c>
      <c r="J8" s="235" t="s">
        <v>530</v>
      </c>
      <c r="K8" s="235"/>
      <c r="L8" s="235"/>
      <c r="M8" s="235"/>
      <c r="N8" s="235"/>
      <c r="O8" s="235"/>
      <c r="P8" s="235"/>
      <c r="Q8" s="235"/>
      <c r="R8" s="235"/>
      <c r="S8" s="235"/>
      <c r="T8" s="235"/>
      <c r="U8" s="235"/>
      <c r="V8" s="235"/>
      <c r="W8" s="235" t="s">
        <v>550</v>
      </c>
      <c r="X8" s="235" t="s">
        <v>601</v>
      </c>
      <c r="Y8" s="235"/>
      <c r="Z8" s="235"/>
      <c r="AA8" s="235"/>
      <c r="AB8" s="235"/>
      <c r="AC8" s="235"/>
      <c r="AD8" s="235"/>
      <c r="AE8" s="235"/>
      <c r="AF8" s="235"/>
      <c r="AG8" s="235"/>
      <c r="AH8" s="235"/>
      <c r="AI8" s="235"/>
      <c r="AJ8" s="235"/>
      <c r="AK8" s="235" t="s">
        <v>602</v>
      </c>
      <c r="AL8" s="235" t="s">
        <v>11</v>
      </c>
      <c r="AM8" s="235" t="s">
        <v>532</v>
      </c>
      <c r="AN8" s="235"/>
      <c r="AO8" s="235" t="s">
        <v>580</v>
      </c>
      <c r="AP8" s="235" t="s">
        <v>603</v>
      </c>
      <c r="AQ8" s="235" t="s">
        <v>604</v>
      </c>
      <c r="AR8" s="235" t="s">
        <v>605</v>
      </c>
    </row>
    <row r="9" spans="1:44">
      <c r="A9" s="235" t="s">
        <v>516</v>
      </c>
      <c r="B9" s="186">
        <v>8</v>
      </c>
      <c r="C9" s="235" t="s">
        <v>606</v>
      </c>
      <c r="D9" s="235" t="s">
        <v>311</v>
      </c>
      <c r="E9" s="235" t="s">
        <v>26</v>
      </c>
      <c r="F9" s="235" t="s">
        <v>33</v>
      </c>
      <c r="G9" s="235" t="s">
        <v>304</v>
      </c>
      <c r="H9" s="235"/>
      <c r="I9" s="235"/>
      <c r="J9" s="235"/>
      <c r="K9" s="235" t="s">
        <v>568</v>
      </c>
      <c r="L9" s="235" t="s">
        <v>529</v>
      </c>
      <c r="M9" s="235" t="s">
        <v>607</v>
      </c>
      <c r="N9" s="235" t="s">
        <v>555</v>
      </c>
      <c r="O9" s="235" t="s">
        <v>549</v>
      </c>
      <c r="P9" s="235" t="s">
        <v>556</v>
      </c>
      <c r="Q9" s="235" t="s">
        <v>594</v>
      </c>
      <c r="R9" s="235" t="s">
        <v>554</v>
      </c>
      <c r="S9" s="235" t="s">
        <v>556</v>
      </c>
      <c r="T9" s="235" t="s">
        <v>555</v>
      </c>
      <c r="U9" s="235" t="s">
        <v>552</v>
      </c>
      <c r="V9" s="235" t="s">
        <v>529</v>
      </c>
      <c r="W9" s="235" t="s">
        <v>532</v>
      </c>
      <c r="X9" s="235" t="s">
        <v>608</v>
      </c>
      <c r="Y9" s="235" t="s">
        <v>609</v>
      </c>
      <c r="Z9" s="235" t="s">
        <v>610</v>
      </c>
      <c r="AA9" s="235" t="s">
        <v>611</v>
      </c>
      <c r="AB9" s="235" t="s">
        <v>612</v>
      </c>
      <c r="AC9" s="235" t="s">
        <v>613</v>
      </c>
      <c r="AD9" s="235" t="s">
        <v>614</v>
      </c>
      <c r="AE9" s="235" t="s">
        <v>615</v>
      </c>
      <c r="AF9" s="235" t="s">
        <v>616</v>
      </c>
      <c r="AG9" s="235" t="s">
        <v>617</v>
      </c>
      <c r="AH9" s="235" t="s">
        <v>618</v>
      </c>
      <c r="AI9" s="235" t="s">
        <v>619</v>
      </c>
      <c r="AJ9" s="235" t="s">
        <v>620</v>
      </c>
      <c r="AK9" s="235" t="s">
        <v>562</v>
      </c>
      <c r="AL9" s="235"/>
      <c r="AM9" s="235"/>
      <c r="AN9" s="235"/>
      <c r="AO9" s="235" t="s">
        <v>580</v>
      </c>
      <c r="AP9" s="235" t="s">
        <v>621</v>
      </c>
      <c r="AQ9" s="235"/>
      <c r="AR9" s="235" t="s">
        <v>622</v>
      </c>
    </row>
  </sheetData>
  <phoneticPr fontId="27"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3481F-D6AA-4821-9E1E-72DEFC86D66C}">
  <dimension ref="B1:L44"/>
  <sheetViews>
    <sheetView showGridLines="0" topLeftCell="A13" zoomScale="90" zoomScaleNormal="90" workbookViewId="0">
      <selection activeCell="C35" sqref="C35"/>
    </sheetView>
  </sheetViews>
  <sheetFormatPr baseColWidth="10" defaultRowHeight="16.2"/>
  <cols>
    <col min="1" max="1" width="11.5546875" style="163"/>
    <col min="2" max="2" width="31.33203125" style="163" customWidth="1"/>
    <col min="3" max="3" width="20.44140625" style="163" customWidth="1"/>
    <col min="4" max="4" width="38.5546875" style="163" customWidth="1"/>
    <col min="5" max="5" width="26.88671875" style="163" customWidth="1"/>
    <col min="6" max="6" width="19.5546875" style="163" customWidth="1"/>
    <col min="7" max="7" width="11.5546875" style="163"/>
    <col min="8" max="8" width="29.88671875" style="163" customWidth="1"/>
    <col min="9" max="9" width="13.88671875" style="163" customWidth="1"/>
    <col min="10" max="16384" width="11.5546875" style="163"/>
  </cols>
  <sheetData>
    <row r="1" spans="2:10" s="171" customFormat="1">
      <c r="B1" s="257" t="s">
        <v>65</v>
      </c>
      <c r="C1" s="258"/>
      <c r="D1" s="258"/>
    </row>
    <row r="2" spans="2:10" s="162" customFormat="1" ht="14.4"/>
    <row r="3" spans="2:10" ht="32.4">
      <c r="B3" s="169" t="s">
        <v>344</v>
      </c>
      <c r="D3" s="170" t="s">
        <v>460</v>
      </c>
      <c r="E3" s="174">
        <f>'Datos Instalación'!F16</f>
        <v>10</v>
      </c>
    </row>
    <row r="4" spans="2:10">
      <c r="B4" s="229">
        <v>3</v>
      </c>
      <c r="D4" s="170" t="s">
        <v>461</v>
      </c>
      <c r="E4" s="174">
        <f>'Datos Instalación'!F17</f>
        <v>13</v>
      </c>
    </row>
    <row r="6" spans="2:10" s="172" customFormat="1">
      <c r="B6" s="259" t="s">
        <v>462</v>
      </c>
      <c r="C6" s="259"/>
      <c r="D6" s="259"/>
      <c r="H6" s="173"/>
    </row>
    <row r="8" spans="2:10">
      <c r="B8" s="164" t="s">
        <v>469</v>
      </c>
      <c r="C8" s="180" t="s">
        <v>156</v>
      </c>
      <c r="D8" s="215" t="s">
        <v>157</v>
      </c>
      <c r="E8" s="164"/>
      <c r="H8" s="165" t="s">
        <v>459</v>
      </c>
      <c r="I8" s="238" t="str">
        <f>'Hoja Cliente Aux'!C15</f>
        <v>2.0 TD</v>
      </c>
    </row>
    <row r="9" spans="2:10">
      <c r="B9" s="165" t="s">
        <v>2</v>
      </c>
      <c r="C9" s="181">
        <f ca="1">VAN_Nuevos!D32</f>
        <v>7477.5494162132309</v>
      </c>
      <c r="D9" s="183">
        <f ca="1">VAN_Usados!D33</f>
        <v>7687.0582521178776</v>
      </c>
      <c r="E9" s="165"/>
    </row>
    <row r="10" spans="2:10">
      <c r="B10" s="165" t="s">
        <v>20</v>
      </c>
      <c r="C10" s="182">
        <f ca="1">VAN_Nuevos!D33</f>
        <v>0.10679816333407444</v>
      </c>
      <c r="D10" s="184">
        <f ca="1">VAN_Usados!D34</f>
        <v>0.14201792139258562</v>
      </c>
      <c r="E10" s="165"/>
    </row>
    <row r="11" spans="2:10">
      <c r="B11" s="165" t="s">
        <v>412</v>
      </c>
      <c r="C11" s="219">
        <f ca="1">SUM(SUM(VAN_Nuevos!C26:AF26),SUM(VAN_Nuevos!C25:AF25),SUM(VAN_Nuevos!C28:AF28),SUM(VAN_Nuevos!C27:AF27))*(-1)</f>
        <v>6192.7070000000003</v>
      </c>
      <c r="D11" s="220">
        <f ca="1">SUM(VAN_Usados!C25:AF29)*(-1)</f>
        <v>5670.2070000000003</v>
      </c>
      <c r="E11" s="165"/>
    </row>
    <row r="12" spans="2:10">
      <c r="D12" s="179"/>
    </row>
    <row r="13" spans="2:10" s="172" customFormat="1">
      <c r="B13" s="257" t="s">
        <v>463</v>
      </c>
      <c r="C13" s="257"/>
      <c r="D13" s="257"/>
      <c r="H13" s="173"/>
    </row>
    <row r="14" spans="2:10" s="165" customFormat="1">
      <c r="H14" s="163"/>
      <c r="I14" s="163" t="s">
        <v>417</v>
      </c>
      <c r="J14" s="228" t="s">
        <v>307</v>
      </c>
    </row>
    <row r="15" spans="2:10" s="165" customFormat="1">
      <c r="C15" s="165" t="s">
        <v>156</v>
      </c>
      <c r="D15" s="216" t="s">
        <v>157</v>
      </c>
      <c r="H15" s="175"/>
    </row>
    <row r="16" spans="2:10">
      <c r="B16" s="165" t="s">
        <v>2</v>
      </c>
      <c r="C16" s="230" t="e">
        <f ca="1">IF($J$14="Si",Recálculo!E95,"")</f>
        <v>#N/A</v>
      </c>
      <c r="D16" s="217" t="e">
        <f ca="1">IF(J$14="Si",Recálculo!E125,"")</f>
        <v>#N/A</v>
      </c>
      <c r="H16" s="176" t="s">
        <v>418</v>
      </c>
      <c r="I16" s="226" t="s">
        <v>328</v>
      </c>
    </row>
    <row r="17" spans="2:12">
      <c r="B17" s="165" t="s">
        <v>20</v>
      </c>
      <c r="C17" s="166" t="e">
        <f ca="1">IF($J$14="Si",Recálculo!E96,"")</f>
        <v>#VALUE!</v>
      </c>
      <c r="D17" s="218" t="e">
        <f ca="1">IF(J$14="Si",Recálculo!E126,"")</f>
        <v>#VALUE!</v>
      </c>
      <c r="H17" s="177"/>
      <c r="I17" s="167" t="s">
        <v>431</v>
      </c>
      <c r="J17" s="165" t="s">
        <v>163</v>
      </c>
    </row>
    <row r="18" spans="2:12">
      <c r="H18" s="176" t="str">
        <f>IF(I16="2.0 TD", "Término Potencia Pico", " Término Potencia")</f>
        <v>Término Potencia Pico</v>
      </c>
      <c r="I18" s="227">
        <v>32.67266</v>
      </c>
      <c r="J18" s="225">
        <v>1</v>
      </c>
    </row>
    <row r="19" spans="2:12" ht="16.8">
      <c r="H19" s="176" t="str">
        <f>IF(I16="2.0 TD", "Término Potencia Valle ", " ")</f>
        <v xml:space="preserve">Término Potencia Valle </v>
      </c>
      <c r="I19" s="227">
        <v>3.4243600000000001</v>
      </c>
      <c r="J19" s="225">
        <v>3</v>
      </c>
      <c r="L19" s="162"/>
    </row>
    <row r="20" spans="2:12">
      <c r="H20" s="177" t="s">
        <v>432</v>
      </c>
      <c r="I20" s="226" t="s">
        <v>80</v>
      </c>
    </row>
    <row r="21" spans="2:12">
      <c r="H21" s="178"/>
      <c r="I21" s="168"/>
    </row>
    <row r="22" spans="2:12">
      <c r="H22" s="175" t="s">
        <v>419</v>
      </c>
      <c r="I22" s="165" t="s">
        <v>457</v>
      </c>
    </row>
    <row r="23" spans="2:12">
      <c r="H23" s="176" t="str">
        <f>IF(I16="2.0A","Precio Tarifa",IF(I16="2.0 DHA","Precio Hora Pico",IF(I16="2.0 TD","Precio Hora Pico","")))</f>
        <v>Precio Hora Pico</v>
      </c>
      <c r="I23" s="225">
        <v>0.2445</v>
      </c>
    </row>
    <row r="24" spans="2:12">
      <c r="H24" s="176" t="str">
        <f>IF(I16="2.0A","",IF(I16="2.0 DHA","",IF(I16="2.0 TD","Precio Hora Llano","")))</f>
        <v>Precio Hora Llano</v>
      </c>
      <c r="I24" s="225">
        <v>0.14649999999999999</v>
      </c>
    </row>
    <row r="25" spans="2:12">
      <c r="H25" s="176" t="str">
        <f>IF(I16="2.0A","",IF(I16="2.0 DHA","Precio Hora Valle",IF(I16="2.0 TD","Precio Hora Valle","")))</f>
        <v>Precio Hora Valle</v>
      </c>
      <c r="I25" s="225">
        <v>9.8000000000000004E-2</v>
      </c>
    </row>
    <row r="27" spans="2:12" s="172" customFormat="1">
      <c r="B27" s="257" t="s">
        <v>464</v>
      </c>
      <c r="C27" s="257"/>
      <c r="D27" s="257"/>
    </row>
    <row r="28" spans="2:12" ht="35.4" customHeight="1">
      <c r="D28" s="165"/>
      <c r="G28" s="256" t="s">
        <v>458</v>
      </c>
      <c r="H28" s="256"/>
      <c r="I28" s="256"/>
      <c r="J28" s="224" t="s">
        <v>307</v>
      </c>
    </row>
    <row r="29" spans="2:12" ht="16.2" customHeight="1">
      <c r="B29" s="255" t="s">
        <v>412</v>
      </c>
      <c r="C29" s="165" t="s">
        <v>157</v>
      </c>
      <c r="D29" s="221">
        <f ca="1">D11</f>
        <v>5670.2070000000003</v>
      </c>
    </row>
    <row r="30" spans="2:12" ht="16.2" customHeight="1">
      <c r="B30" s="255"/>
      <c r="C30" s="165" t="s">
        <v>156</v>
      </c>
      <c r="D30" s="221">
        <f ca="1">C11</f>
        <v>6192.7070000000003</v>
      </c>
    </row>
    <row r="31" spans="2:12" ht="16.2" customHeight="1">
      <c r="D31" s="165"/>
    </row>
    <row r="32" spans="2:12" ht="16.2" customHeight="1">
      <c r="B32" s="255" t="s">
        <v>465</v>
      </c>
      <c r="C32" s="165" t="s">
        <v>224</v>
      </c>
      <c r="D32" s="222">
        <f>'Hoja BIPV'!C47</f>
        <v>0.05</v>
      </c>
    </row>
    <row r="33" spans="2:4">
      <c r="B33" s="255"/>
      <c r="C33" s="165" t="s">
        <v>78</v>
      </c>
      <c r="D33" s="223">
        <f>'Hoja BIPV'!C49</f>
        <v>10</v>
      </c>
    </row>
    <row r="35" spans="2:4">
      <c r="B35" s="165" t="s">
        <v>466</v>
      </c>
      <c r="C35" s="232">
        <v>4500</v>
      </c>
    </row>
    <row r="37" spans="2:4">
      <c r="B37" s="165" t="s">
        <v>467</v>
      </c>
      <c r="C37" s="231">
        <f>IF(J28="No","",'Cálculo Préstamo'!E13)</f>
        <v>582.77058734455511</v>
      </c>
    </row>
    <row r="39" spans="2:4">
      <c r="B39" s="165" t="s">
        <v>468</v>
      </c>
      <c r="C39" s="165" t="s">
        <v>157</v>
      </c>
      <c r="D39" s="231" t="e">
        <f ca="1" xml:space="preserve"> IF(J28="No","",IF(RESUMEN!D16&gt;RESUMEN!D9,RESUMEN!D16,RESUMEN!D9))</f>
        <v>#N/A</v>
      </c>
    </row>
    <row r="40" spans="2:4">
      <c r="C40" s="165" t="s">
        <v>156</v>
      </c>
      <c r="D40" s="231" t="e">
        <f ca="1" xml:space="preserve"> IF(J28="No", "",IF(RESUMEN!C16&gt;RESUMEN!C9,RESUMEN!C16,RESUMEN!C9))</f>
        <v>#N/A</v>
      </c>
    </row>
    <row r="44" spans="2:4">
      <c r="C44" s="240"/>
    </row>
  </sheetData>
  <sheetProtection sheet="1" objects="1" scenarios="1" selectLockedCells="1"/>
  <mergeCells count="7">
    <mergeCell ref="B29:B30"/>
    <mergeCell ref="B32:B33"/>
    <mergeCell ref="G28:I28"/>
    <mergeCell ref="B1:D1"/>
    <mergeCell ref="B6:D6"/>
    <mergeCell ref="B13:D13"/>
    <mergeCell ref="B27:D27"/>
  </mergeCells>
  <conditionalFormatting sqref="C9:D10">
    <cfRule type="cellIs" dxfId="38" priority="3" operator="lessThan">
      <formula>0</formula>
    </cfRule>
    <cfRule type="cellIs" dxfId="37" priority="4" operator="greaterThan">
      <formula>0</formula>
    </cfRule>
  </conditionalFormatting>
  <conditionalFormatting sqref="D39:D40">
    <cfRule type="cellIs" dxfId="36" priority="2" operator="greaterThan">
      <formula>50</formula>
    </cfRule>
  </conditionalFormatting>
  <conditionalFormatting sqref="C37">
    <cfRule type="cellIs" dxfId="35" priority="1" operator="greaterThan">
      <formula>5</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7F78A976-79A1-43DF-94F5-0C856327828A}">
          <x14:formula1>
            <xm:f>'Hoja Cliente Aux'!$AY$15:$AY$19</xm:f>
          </x14:formula1>
          <xm:sqref>I16</xm:sqref>
        </x14:dataValidation>
        <x14:dataValidation type="list" allowBlank="1" showInputMessage="1" showErrorMessage="1" xr:uid="{FAFA648C-4BF2-4D9B-977E-FF78300B7627}">
          <x14:formula1>
            <xm:f>Auxiliares!$I$19:$I$22</xm:f>
          </x14:formula1>
          <xm:sqref>I20</xm:sqref>
        </x14:dataValidation>
        <x14:dataValidation type="list" allowBlank="1" showInputMessage="1" showErrorMessage="1" xr:uid="{E83FB205-18AE-4AB1-83B2-FB9DE3A901D2}">
          <x14:formula1>
            <xm:f>Auxiliares!$B$45:$B$46</xm:f>
          </x14:formula1>
          <xm:sqref>J14 J28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B7155-E8A4-45D8-A6C6-AE50D2177A30}">
  <dimension ref="A1:G1"/>
  <sheetViews>
    <sheetView workbookViewId="0">
      <selection activeCell="D4" sqref="D4"/>
    </sheetView>
  </sheetViews>
  <sheetFormatPr baseColWidth="10" defaultRowHeight="14.4"/>
  <cols>
    <col min="1" max="1" width="14.88671875" style="1" customWidth="1"/>
    <col min="2" max="2" width="21.5546875" style="1" customWidth="1"/>
    <col min="3" max="3" width="14.5546875" style="1" customWidth="1"/>
    <col min="4" max="4" width="12.33203125" style="1" customWidth="1"/>
    <col min="5" max="5" width="17.88671875" style="1" customWidth="1"/>
    <col min="6" max="6" width="21" style="1" customWidth="1"/>
    <col min="7" max="7" width="12.77734375" style="1" customWidth="1"/>
    <col min="8" max="16384" width="11.5546875" style="1"/>
  </cols>
  <sheetData>
    <row r="1" spans="1:7">
      <c r="A1" s="1" t="s">
        <v>359</v>
      </c>
      <c r="B1" s="1" t="s">
        <v>358</v>
      </c>
      <c r="C1" s="1" t="s">
        <v>2</v>
      </c>
      <c r="D1" s="1" t="s">
        <v>20</v>
      </c>
      <c r="E1" s="1" t="s">
        <v>412</v>
      </c>
      <c r="F1" s="1" t="s">
        <v>413</v>
      </c>
      <c r="G1" s="1" t="s">
        <v>414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D3631-2031-46E2-A94F-FFB1E15546F0}">
  <dimension ref="A4:AY59"/>
  <sheetViews>
    <sheetView topLeftCell="A9" zoomScale="70" zoomScaleNormal="70" workbookViewId="0">
      <selection activeCell="B23" sqref="B23"/>
    </sheetView>
  </sheetViews>
  <sheetFormatPr baseColWidth="10" defaultRowHeight="16.2"/>
  <cols>
    <col min="1" max="1" width="29.88671875" style="190" customWidth="1"/>
    <col min="2" max="2" width="33.33203125" style="190" customWidth="1"/>
    <col min="3" max="3" width="29.21875" style="190" customWidth="1"/>
    <col min="4" max="4" width="16.77734375" style="190" customWidth="1"/>
    <col min="5" max="5" width="14.77734375" style="190" customWidth="1"/>
    <col min="6" max="6" width="11.5546875" style="190"/>
    <col min="7" max="7" width="39" style="190" customWidth="1"/>
    <col min="8" max="16384" width="11.5546875" style="190"/>
  </cols>
  <sheetData>
    <row r="4" spans="1:51" s="205" customFormat="1">
      <c r="A4" s="198"/>
      <c r="B4" s="198"/>
      <c r="C4" s="199" t="s">
        <v>63</v>
      </c>
      <c r="D4" s="198"/>
      <c r="E4" s="198"/>
      <c r="F4" s="198"/>
      <c r="G4" s="198"/>
      <c r="H4" s="198"/>
      <c r="I4" s="198"/>
      <c r="J4" s="198"/>
      <c r="K4" s="198"/>
    </row>
    <row r="6" spans="1:51">
      <c r="B6" s="200" t="s">
        <v>309</v>
      </c>
      <c r="C6" s="201" t="s">
        <v>64</v>
      </c>
    </row>
    <row r="9" spans="1:51" s="205" customFormat="1">
      <c r="A9" s="198"/>
      <c r="B9" s="198"/>
      <c r="C9" s="199" t="s">
        <v>297</v>
      </c>
      <c r="D9" s="198"/>
      <c r="E9" s="198"/>
      <c r="F9" s="198"/>
      <c r="G9" s="198"/>
      <c r="H9" s="198"/>
      <c r="I9" s="198"/>
      <c r="J9" s="198"/>
      <c r="K9" s="198"/>
    </row>
    <row r="11" spans="1:51">
      <c r="B11" s="200" t="s">
        <v>29</v>
      </c>
      <c r="C11" s="201" t="s">
        <v>36</v>
      </c>
    </row>
    <row r="12" spans="1:51">
      <c r="B12" s="200" t="s">
        <v>30</v>
      </c>
      <c r="C12" s="201" t="s">
        <v>33</v>
      </c>
    </row>
    <row r="14" spans="1:51" s="205" customFormat="1">
      <c r="A14" s="198"/>
      <c r="B14" s="198"/>
      <c r="C14" s="199" t="s">
        <v>298</v>
      </c>
      <c r="D14" s="198"/>
      <c r="E14" s="198"/>
      <c r="F14" s="198"/>
      <c r="G14" s="198"/>
      <c r="H14" s="198"/>
      <c r="I14" s="198"/>
      <c r="J14" s="198"/>
      <c r="K14" s="198"/>
    </row>
    <row r="16" spans="1:51">
      <c r="B16" s="200" t="s">
        <v>299</v>
      </c>
      <c r="C16" s="201" t="s">
        <v>328</v>
      </c>
      <c r="AY16" s="190" t="s">
        <v>302</v>
      </c>
    </row>
    <row r="17" spans="1:51">
      <c r="AY17" s="190" t="s">
        <v>301</v>
      </c>
    </row>
    <row r="18" spans="1:51">
      <c r="AY18" s="190" t="s">
        <v>328</v>
      </c>
    </row>
    <row r="19" spans="1:51">
      <c r="A19" s="190" t="str">
        <f>IF(C16="2.0A","Precio Tarifa €/kWh",IF(C16="2.0 DHA","Precio Hora Pico €/kWh",IF(C16="2.0 TD","Precio Hora Pico €/kWh","")))</f>
        <v>Precio Hora Pico €/kWh</v>
      </c>
      <c r="B19" s="201">
        <v>0.14599999999999999</v>
      </c>
      <c r="C19" s="190" t="str">
        <f>IF(OR(C$16="PVPC",C$16="Precio Indexado"),"Precio "&amp;AV19&amp;" €/kW","")</f>
        <v/>
      </c>
      <c r="D19" s="202"/>
      <c r="AV19" s="190" t="s">
        <v>4</v>
      </c>
      <c r="AY19" s="190" t="s">
        <v>300</v>
      </c>
    </row>
    <row r="20" spans="1:51">
      <c r="A20" s="190" t="str">
        <f>IF(C16="2.0A","",IF(C16="2.0 DHA","",IF(C16="2.0 TD","Precio Hora Llano €/kWh","")))</f>
        <v>Precio Hora Llano €/kWh</v>
      </c>
      <c r="B20" s="201"/>
      <c r="C20" s="190" t="str">
        <f t="shared" ref="C20:C30" si="0">IF(OR(C$16="PVPC",C$16="Precio Indexado"),"Precio "&amp;AV20&amp;" €/kW","")</f>
        <v/>
      </c>
      <c r="D20" s="202"/>
      <c r="AV20" s="190" t="s">
        <v>5</v>
      </c>
      <c r="AY20" s="190" t="s">
        <v>304</v>
      </c>
    </row>
    <row r="21" spans="1:51">
      <c r="A21" s="190" t="str">
        <f>IF(C16="2.0A","",IF(C16="2.0 DHA","Precio Hora Valle €/kWh",IF(C16="2.0 TD","Precio Hora Valle €/kWh","")))</f>
        <v>Precio Hora Valle €/kWh</v>
      </c>
      <c r="B21" s="201"/>
      <c r="C21" s="190" t="str">
        <f t="shared" si="0"/>
        <v/>
      </c>
      <c r="D21" s="202"/>
      <c r="AV21" s="190" t="s">
        <v>6</v>
      </c>
    </row>
    <row r="22" spans="1:51">
      <c r="B22" s="201"/>
      <c r="C22" s="190" t="str">
        <f t="shared" si="0"/>
        <v/>
      </c>
      <c r="D22" s="202"/>
      <c r="AV22" s="190" t="s">
        <v>7</v>
      </c>
    </row>
    <row r="23" spans="1:51" ht="32.4">
      <c r="A23" s="203" t="str">
        <f>IF(OR(C16="2.0A",C16="2.0 DHA", C16="Precio Indexado"),"Término Potencia €/kW",IF(OR(C16="2.0 TD",C16="PVPC"),"Término Potencia €/kW Pico",""))</f>
        <v>Término Potencia €/kW Pico</v>
      </c>
      <c r="B23" s="201">
        <v>4.2300000000000004</v>
      </c>
      <c r="C23" s="190" t="str">
        <f t="shared" si="0"/>
        <v/>
      </c>
      <c r="D23" s="202"/>
      <c r="AV23" s="190" t="s">
        <v>8</v>
      </c>
    </row>
    <row r="24" spans="1:51" ht="32.4">
      <c r="A24" s="203" t="str">
        <f>IF(C16="2.0A","",IF(OR(C16="2.0 TD",C16="PVPC"),"Término Potencia €/kW Valle",""))</f>
        <v>Término Potencia €/kW Valle</v>
      </c>
      <c r="B24" s="201"/>
      <c r="C24" s="190" t="str">
        <f t="shared" si="0"/>
        <v/>
      </c>
      <c r="D24" s="202"/>
      <c r="AV24" s="190" t="s">
        <v>9</v>
      </c>
    </row>
    <row r="25" spans="1:51" ht="32.4">
      <c r="A25" s="214" t="s">
        <v>423</v>
      </c>
      <c r="B25" s="201" t="s">
        <v>169</v>
      </c>
      <c r="C25" s="190" t="str">
        <f t="shared" si="0"/>
        <v/>
      </c>
      <c r="D25" s="202"/>
      <c r="AV25" s="190" t="s">
        <v>10</v>
      </c>
    </row>
    <row r="26" spans="1:51">
      <c r="A26" s="204" t="s">
        <v>456</v>
      </c>
      <c r="B26" s="190">
        <v>3</v>
      </c>
      <c r="C26" s="190" t="str">
        <f t="shared" si="0"/>
        <v/>
      </c>
      <c r="D26" s="202"/>
      <c r="AV26" s="190" t="s">
        <v>11</v>
      </c>
    </row>
    <row r="27" spans="1:51">
      <c r="C27" s="190" t="str">
        <f t="shared" si="0"/>
        <v/>
      </c>
      <c r="D27" s="202"/>
      <c r="AV27" s="190" t="s">
        <v>12</v>
      </c>
    </row>
    <row r="28" spans="1:51">
      <c r="A28" s="190" t="str">
        <f>IF(C16="Precio Indexado","Cuota Mensual (€)","")</f>
        <v/>
      </c>
      <c r="C28" s="190" t="str">
        <f t="shared" si="0"/>
        <v/>
      </c>
      <c r="D28" s="202"/>
      <c r="AV28" s="190" t="s">
        <v>57</v>
      </c>
    </row>
    <row r="29" spans="1:51">
      <c r="C29" s="190" t="str">
        <f t="shared" si="0"/>
        <v/>
      </c>
      <c r="D29" s="202"/>
      <c r="AV29" s="190" t="s">
        <v>303</v>
      </c>
    </row>
    <row r="30" spans="1:51">
      <c r="C30" s="190" t="str">
        <f t="shared" si="0"/>
        <v/>
      </c>
      <c r="D30" s="202"/>
      <c r="AV30" s="190" t="s">
        <v>15</v>
      </c>
    </row>
    <row r="31" spans="1:51">
      <c r="D31" s="201"/>
    </row>
    <row r="33" spans="1:48" s="205" customFormat="1">
      <c r="A33" s="198"/>
      <c r="B33" s="198"/>
      <c r="C33" s="199" t="s">
        <v>470</v>
      </c>
      <c r="D33" s="198"/>
      <c r="E33" s="198"/>
      <c r="F33" s="198"/>
      <c r="G33" s="198"/>
      <c r="H33" s="198"/>
      <c r="I33" s="198"/>
      <c r="J33" s="198"/>
      <c r="K33" s="198"/>
    </row>
    <row r="35" spans="1:48" s="213" customFormat="1" ht="32.4">
      <c r="B35" s="195" t="s">
        <v>306</v>
      </c>
      <c r="C35" s="234" t="s">
        <v>307</v>
      </c>
      <c r="AV35" s="213" t="s">
        <v>307</v>
      </c>
    </row>
    <row r="36" spans="1:48">
      <c r="B36" s="205"/>
    </row>
    <row r="37" spans="1:48" ht="64.8">
      <c r="B37" s="206" t="s">
        <v>318</v>
      </c>
      <c r="C37" s="207">
        <v>0.5</v>
      </c>
    </row>
    <row r="38" spans="1:48">
      <c r="A38" s="203" t="str">
        <f>IF($C$35="Si","Introduce el consumo","")</f>
        <v>Introduce el consumo</v>
      </c>
      <c r="C38" s="208"/>
      <c r="D38" s="213" t="str">
        <f>IF(C35="No","Introduzca el consumo de un mes","")</f>
        <v/>
      </c>
      <c r="E38" s="201"/>
      <c r="AV38" s="190" t="s">
        <v>39</v>
      </c>
    </row>
    <row r="39" spans="1:48">
      <c r="B39" s="190" t="str">
        <f>IF($C$35="Si","Consumo en "&amp;AV19,"")</f>
        <v>Consumo en Enero</v>
      </c>
      <c r="C39" s="209">
        <v>410</v>
      </c>
      <c r="D39" s="190" t="str">
        <f>IF(C35="No","Mes ","")</f>
        <v/>
      </c>
      <c r="E39" s="201"/>
    </row>
    <row r="40" spans="1:48">
      <c r="B40" s="210" t="str">
        <f t="shared" ref="B40:B49" si="1">IF($C$35="Si","Consumo en "&amp;AV20,"")</f>
        <v>Consumo en Febrero</v>
      </c>
      <c r="C40" s="202">
        <v>383</v>
      </c>
      <c r="E40" s="201"/>
    </row>
    <row r="41" spans="1:48">
      <c r="B41" s="210" t="str">
        <f t="shared" si="1"/>
        <v>Consumo en Marzo</v>
      </c>
      <c r="C41" s="211">
        <v>335</v>
      </c>
    </row>
    <row r="42" spans="1:48">
      <c r="B42" s="190" t="str">
        <f t="shared" si="1"/>
        <v>Consumo en Abril</v>
      </c>
      <c r="C42" s="212">
        <v>286</v>
      </c>
    </row>
    <row r="43" spans="1:48">
      <c r="B43" s="190" t="str">
        <f t="shared" si="1"/>
        <v>Consumo en Mayo</v>
      </c>
      <c r="C43" s="209">
        <v>276</v>
      </c>
    </row>
    <row r="44" spans="1:48">
      <c r="B44" s="190" t="str">
        <f t="shared" si="1"/>
        <v>Consumo en Junio</v>
      </c>
      <c r="C44" s="209">
        <v>267</v>
      </c>
    </row>
    <row r="45" spans="1:48">
      <c r="B45" s="190" t="str">
        <f t="shared" si="1"/>
        <v>Consumo en Julio</v>
      </c>
      <c r="C45" s="209">
        <v>302</v>
      </c>
    </row>
    <row r="46" spans="1:48">
      <c r="B46" s="190" t="str">
        <f t="shared" si="1"/>
        <v>Consumo en Agosto</v>
      </c>
      <c r="C46" s="209">
        <v>294</v>
      </c>
    </row>
    <row r="47" spans="1:48">
      <c r="B47" s="190" t="str">
        <f>IF($C$35="Si","Consumo en "&amp;AV27,"")</f>
        <v>Consumo en Septiembre</v>
      </c>
      <c r="C47" s="209">
        <v>305</v>
      </c>
    </row>
    <row r="48" spans="1:48">
      <c r="B48" s="190" t="str">
        <f t="shared" si="1"/>
        <v>Consumo en Octubre</v>
      </c>
      <c r="C48" s="212">
        <v>348</v>
      </c>
    </row>
    <row r="49" spans="1:11">
      <c r="B49" s="190" t="str">
        <f t="shared" si="1"/>
        <v xml:space="preserve">Consumo en Noviembre </v>
      </c>
      <c r="C49" s="209">
        <v>391</v>
      </c>
    </row>
    <row r="50" spans="1:11">
      <c r="B50" s="190" t="str">
        <f>IF($C$35="Si","Consumo en "&amp;AV30,"")</f>
        <v>Consumo en Diciembre</v>
      </c>
      <c r="C50" s="209">
        <v>404</v>
      </c>
    </row>
    <row r="52" spans="1:11" s="205" customFormat="1">
      <c r="A52" s="198"/>
      <c r="B52" s="198"/>
      <c r="C52" s="199" t="s">
        <v>308</v>
      </c>
      <c r="D52" s="198"/>
      <c r="E52" s="198"/>
      <c r="F52" s="198"/>
      <c r="G52" s="198"/>
      <c r="H52" s="198"/>
      <c r="I52" s="198"/>
      <c r="J52" s="198"/>
      <c r="K52" s="198"/>
    </row>
    <row r="54" spans="1:11">
      <c r="B54" s="200" t="s">
        <v>320</v>
      </c>
      <c r="C54" s="201">
        <v>0.05</v>
      </c>
      <c r="D54" s="201" t="s">
        <v>319</v>
      </c>
    </row>
    <row r="55" spans="1:11">
      <c r="B55" s="200" t="s">
        <v>321</v>
      </c>
    </row>
    <row r="57" spans="1:11" s="205" customFormat="1">
      <c r="A57" s="198"/>
      <c r="B57" s="198"/>
      <c r="C57" s="199" t="s">
        <v>313</v>
      </c>
      <c r="D57" s="198"/>
      <c r="E57" s="198"/>
      <c r="F57" s="198"/>
      <c r="G57" s="198"/>
      <c r="H57" s="198"/>
      <c r="I57" s="198"/>
      <c r="J57" s="198"/>
      <c r="K57" s="198"/>
    </row>
    <row r="59" spans="1:11" ht="32.4">
      <c r="B59" s="206" t="s">
        <v>314</v>
      </c>
      <c r="C59" s="201">
        <v>20</v>
      </c>
    </row>
  </sheetData>
  <sheetProtection sheet="1" selectLockedCells="1"/>
  <conditionalFormatting sqref="A19:A24 A28:A29">
    <cfRule type="containsText" dxfId="34" priority="1" operator="containsText" text="P">
      <formula>NOT(ISERROR(SEARCH("P",A19)))</formula>
    </cfRule>
    <cfRule type="containsText" dxfId="33" priority="5" operator="containsText" text="a">
      <formula>NOT(ISERROR(SEARCH("a",A19)))</formula>
    </cfRule>
  </conditionalFormatting>
  <conditionalFormatting sqref="C19:C30">
    <cfRule type="containsText" dxfId="32" priority="4" operator="containsText" text="P">
      <formula>NOT(ISERROR(SEARCH("P",C19)))</formula>
    </cfRule>
  </conditionalFormatting>
  <conditionalFormatting sqref="A38 B39:B50">
    <cfRule type="containsText" dxfId="31" priority="3" operator="containsText" text="onsumo">
      <formula>NOT(ISERROR(SEARCH("onsumo",A38)))</formula>
    </cfRule>
  </conditionalFormatting>
  <conditionalFormatting sqref="D38:D39">
    <cfRule type="containsText" dxfId="30" priority="2" operator="containsText" text=" ">
      <formula>NOT(ISERROR(SEARCH(" ",D38)))</formula>
    </cfRule>
  </conditionalFormatting>
  <dataValidations count="3">
    <dataValidation type="list" allowBlank="1" showInputMessage="1" showErrorMessage="1" sqref="E39" xr:uid="{F7569DC6-32F4-4F35-BD7D-238521E1226D}">
      <formula1>$AV$19:$AV$30</formula1>
    </dataValidation>
    <dataValidation type="list" allowBlank="1" showInputMessage="1" showErrorMessage="1" sqref="C35" xr:uid="{6F4B26A4-B33C-4853-96CA-092648FE817B}">
      <formula1>$AV$35:$AV$38</formula1>
    </dataValidation>
    <dataValidation type="list" allowBlank="1" showInputMessage="1" showErrorMessage="1" sqref="C16" xr:uid="{5D53B921-9B84-4F92-9EA9-74D32B1D737F}">
      <formula1>$AY$16:$AY$21</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34B8AEAD-AC27-47A6-A0F7-3A47B42C3174}">
          <x14:formula1>
            <xm:f>Auxiliares!$I$19:$I$22</xm:f>
          </x14:formula1>
          <xm:sqref>B25</xm:sqref>
        </x14:dataValidation>
        <x14:dataValidation type="list" allowBlank="1" showInputMessage="1" showErrorMessage="1" xr:uid="{2C8E662B-1B69-41B1-92B1-EB7087CB9742}">
          <x14:formula1>
            <xm:f>Auxiliares!$B$3:$B$6</xm:f>
          </x14:formula1>
          <xm:sqref>C12</xm:sqref>
        </x14:dataValidation>
        <x14:dataValidation type="list" allowBlank="1" showInputMessage="1" showErrorMessage="1" xr:uid="{482720E7-679C-4A52-95F6-1C4CAB7E123B}">
          <x14:formula1>
            <xm:f>horas_de_luz_por_provinci!$C$2:$C$53</xm:f>
          </x14:formula1>
          <xm:sqref>C11</xm:sqref>
        </x14:dataValidation>
        <x14:dataValidation type="list" allowBlank="1" showInputMessage="1" showErrorMessage="1" xr:uid="{FE377075-100D-43A6-87F4-16B7CC88107D}">
          <x14:formula1>
            <xm:f>'Datos Instalación'!$Y$9:$Y$12</xm:f>
          </x14:formula1>
          <xm:sqref>C6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236D2-9BB8-4464-85D4-8925F44ADEDC}">
  <dimension ref="A3:AY58"/>
  <sheetViews>
    <sheetView zoomScale="70" zoomScaleNormal="70" workbookViewId="0">
      <selection activeCell="D26" sqref="D26"/>
    </sheetView>
  </sheetViews>
  <sheetFormatPr baseColWidth="10" defaultRowHeight="14.4"/>
  <cols>
    <col min="1" max="1" width="26.77734375" style="152" customWidth="1"/>
    <col min="2" max="2" width="33.33203125" style="152" customWidth="1"/>
    <col min="3" max="3" width="29.21875" style="152" customWidth="1"/>
    <col min="4" max="4" width="13.77734375" style="152" customWidth="1"/>
    <col min="5" max="5" width="14.77734375" style="152" customWidth="1"/>
    <col min="6" max="6" width="11.5546875" style="152"/>
    <col min="7" max="7" width="39" style="152" customWidth="1"/>
    <col min="8" max="16384" width="11.5546875" style="152"/>
  </cols>
  <sheetData>
    <row r="3" spans="2:51" s="149" customFormat="1">
      <c r="C3" s="150" t="s">
        <v>63</v>
      </c>
    </row>
    <row r="5" spans="2:51">
      <c r="B5" s="151" t="s">
        <v>309</v>
      </c>
      <c r="C5" s="152" t="str">
        <f>IF(INICIO!L10="Hoja Cliente",'Hoja Cliente'!C6,_xlfn.XLOOKUP(INICIO!L13,Formulario!$AP$3:$AP$51,Formulario!D3:D51))</f>
        <v>Autoconsumo Individual con Excedentes</v>
      </c>
    </row>
    <row r="8" spans="2:51" s="149" customFormat="1">
      <c r="C8" s="150" t="s">
        <v>297</v>
      </c>
    </row>
    <row r="10" spans="2:51">
      <c r="B10" s="151" t="s">
        <v>29</v>
      </c>
      <c r="C10" s="152" t="str">
        <f>IF(INICIO!$L$10="Hoja Cliente",'Hoja Cliente'!C11,_xlfn.XLOOKUP(INICIO!L13,Formulario!$AP$3:$AP$51,Formulario!E3:E51))</f>
        <v>Toledo</v>
      </c>
    </row>
    <row r="11" spans="2:51">
      <c r="B11" s="151" t="s">
        <v>30</v>
      </c>
      <c r="C11" s="152" t="str">
        <f>IF(INICIO!$L$10="Hoja Cliente",'Hoja Cliente'!C12,_xlfn.XLOOKUP(INICIO!L13,Formulario!$AP$3:$AP$51,Formulario!F3:F51))</f>
        <v>Este-Oeste</v>
      </c>
    </row>
    <row r="13" spans="2:51" s="149" customFormat="1">
      <c r="C13" s="150" t="s">
        <v>298</v>
      </c>
    </row>
    <row r="15" spans="2:51">
      <c r="B15" s="151" t="s">
        <v>299</v>
      </c>
      <c r="C15" s="152" t="str">
        <f>IF(INICIO!L10="Hoja Cliente",'Hoja Cliente'!C16,_xlfn.XLOOKUP(INICIO!L13,Formulario!$AP$3:$AP$51,Formulario!G3:G51))</f>
        <v>2.0 TD</v>
      </c>
      <c r="AY15" s="152" t="s">
        <v>302</v>
      </c>
    </row>
    <row r="16" spans="2:51">
      <c r="AY16" s="152" t="s">
        <v>301</v>
      </c>
    </row>
    <row r="17" spans="1:51">
      <c r="AY17" s="152" t="s">
        <v>328</v>
      </c>
    </row>
    <row r="18" spans="1:51">
      <c r="A18" s="152" t="str">
        <f>IF(C15="2.0A","Precio Tarifa",IF(C15="2.0 DHA","Precio Hora Pico",IF(C15="2.0 TD","Precio Hora Pico","")))</f>
        <v>Precio Hora Pico</v>
      </c>
      <c r="B18" s="152" t="str">
        <f>IF(INICIO!$L$10="Hoja Cliente",'Hoja Cliente'!B19,_xlfn.XLOOKUP(INICIO!L13,Formulario!$AP$3:$AP$51,Formulario!H3:H51))</f>
        <v>0,15</v>
      </c>
      <c r="C18" s="152" t="str">
        <f t="shared" ref="C18:C29" si="0">IF(OR(C$15="PVPC",C$15="Precio Indexado"),"Precio "&amp;AV18,"")</f>
        <v/>
      </c>
      <c r="D18" s="153">
        <f>IF(INICIO!$L$10="Hoja Cliente",'Hoja Cliente'!D19,_xlfn.XLOOKUP(INICIO!$L$13,Formulario!$AP$3:$AP$51,Formulario!K$3:K$51))</f>
        <v>0</v>
      </c>
      <c r="AV18" s="152" t="s">
        <v>4</v>
      </c>
      <c r="AY18" s="152" t="s">
        <v>300</v>
      </c>
    </row>
    <row r="19" spans="1:51">
      <c r="A19" s="152" t="str">
        <f>IF(C15="2.0A","",IF(C15="2.0 DHA","",IF(C15="2.0 TD","Precio Hora Llano","")))</f>
        <v>Precio Hora Llano</v>
      </c>
      <c r="B19" s="152" t="str">
        <f>IF(INICIO!$L$10="Hoja Cliente",'Hoja Cliente'!B20,_xlfn.XLOOKUP(INICIO!L13,Formulario!$AP$3:$AP$51,Formulario!I3:I51))</f>
        <v>0,14</v>
      </c>
      <c r="C19" s="152" t="str">
        <f t="shared" si="0"/>
        <v/>
      </c>
      <c r="D19" s="153">
        <f>IF(INICIO!$L$10="Hoja Cliente",'Hoja Cliente'!D20,_xlfn.XLOOKUP(INICIO!$L$13,Formulario!$AP$3:$AP$51,Formulario!L$3:L$51))</f>
        <v>0</v>
      </c>
      <c r="AV19" s="152" t="s">
        <v>5</v>
      </c>
      <c r="AY19" s="152" t="s">
        <v>304</v>
      </c>
    </row>
    <row r="20" spans="1:51">
      <c r="A20" s="152" t="str">
        <f>IF(C15="2.0A","",IF(C15="2.0 DHA","Precio Hora Valle",IF(C15="2.0 TD","Precio Hora Valle","")))</f>
        <v>Precio Hora Valle</v>
      </c>
      <c r="B20" s="152" t="str">
        <f>IF(INICIO!$L$10="Hoja Cliente",'Hoja Cliente'!B21,_xlfn.XLOOKUP(INICIO!L13,Formulario!$AP$3:$AP$51,Formulario!J3:J51))</f>
        <v>0,12</v>
      </c>
      <c r="C20" s="152" t="str">
        <f t="shared" si="0"/>
        <v/>
      </c>
      <c r="D20" s="153">
        <f>IF(INICIO!$L$10="Hoja Cliente",'Hoja Cliente'!D21,_xlfn.XLOOKUP(INICIO!$L$13,Formulario!$AP$3:$AP$51,Formulario!M$3:M$51))</f>
        <v>0</v>
      </c>
      <c r="AV20" s="152" t="s">
        <v>6</v>
      </c>
    </row>
    <row r="21" spans="1:51">
      <c r="C21" s="152" t="str">
        <f t="shared" si="0"/>
        <v/>
      </c>
      <c r="D21" s="153">
        <f>IF(INICIO!$L$10="Hoja Cliente",'Hoja Cliente'!D22,_xlfn.XLOOKUP(INICIO!$L$13,Formulario!$AP$3:$AP$51,Formulario!N$3:N$51))</f>
        <v>0</v>
      </c>
      <c r="AV21" s="152" t="s">
        <v>7</v>
      </c>
    </row>
    <row r="22" spans="1:51">
      <c r="A22" s="154" t="str">
        <f>IF(OR(C15="2.0A",C15="2.0 DHA", C15="Precio Indexado"),"Término Potencia €/kW",IF(OR(C15="2.0 TD",C15="PVPC"),"Término Potencia €/kW Pico",""))</f>
        <v>Término Potencia €/kW Pico</v>
      </c>
      <c r="B22" s="152" t="str">
        <f>IF(INICIO!$L$10="Hoja Cliente",'Hoja Cliente'!B23,"")</f>
        <v/>
      </c>
      <c r="C22" s="152" t="str">
        <f t="shared" si="0"/>
        <v/>
      </c>
      <c r="D22" s="153">
        <f>IF(INICIO!$L$10="Hoja Cliente",'Hoja Cliente'!D23,_xlfn.XLOOKUP(INICIO!$L$13,Formulario!$AP$3:$AP$51,Formulario!O$3:O$51))</f>
        <v>0</v>
      </c>
      <c r="AV22" s="152" t="s">
        <v>8</v>
      </c>
    </row>
    <row r="23" spans="1:51">
      <c r="A23" s="154" t="str">
        <f>IF(C15="2.0A","",IF(OR(C15="2.0 TD",C15="PVPC"),"Término Potencia €/kW Valle",""))</f>
        <v>Término Potencia €/kW Valle</v>
      </c>
      <c r="B23" s="152" t="str">
        <f>IF(INICIO!$L$10="Hoja Cliente",'Hoja Cliente'!B24,"")</f>
        <v/>
      </c>
      <c r="C23" s="152" t="str">
        <f t="shared" si="0"/>
        <v/>
      </c>
      <c r="D23" s="153">
        <f>IF(INICIO!$L$10="Hoja Cliente",'Hoja Cliente'!D24,_xlfn.XLOOKUP(INICIO!$L$13,Formulario!$AP$3:$AP$51,Formulario!P$3:P$51))</f>
        <v>0</v>
      </c>
      <c r="AV23" s="152" t="s">
        <v>9</v>
      </c>
    </row>
    <row r="24" spans="1:51">
      <c r="A24" s="155" t="s">
        <v>423</v>
      </c>
      <c r="B24" s="152" t="str">
        <f>IF(INICIO!$L$10="Hoja Cliente",'Hoja Cliente'!B25,"")</f>
        <v/>
      </c>
      <c r="C24" s="152" t="str">
        <f t="shared" si="0"/>
        <v/>
      </c>
      <c r="D24" s="153">
        <f>IF(INICIO!$L$10="Hoja Cliente",'Hoja Cliente'!D25,_xlfn.XLOOKUP(INICIO!$L$13,Formulario!$AP$3:$AP$51,Formulario!Q$3:Q$51))</f>
        <v>0</v>
      </c>
      <c r="AV24" s="152" t="s">
        <v>10</v>
      </c>
    </row>
    <row r="25" spans="1:51">
      <c r="C25" s="152" t="str">
        <f t="shared" si="0"/>
        <v/>
      </c>
      <c r="D25" s="153">
        <f>IF(INICIO!$L$10="Hoja Cliente",'Hoja Cliente'!D26,_xlfn.XLOOKUP(INICIO!$L$13,Formulario!$AP$3:$AP$51,Formulario!R$3:R$51))</f>
        <v>0</v>
      </c>
      <c r="AV25" s="152" t="s">
        <v>11</v>
      </c>
    </row>
    <row r="26" spans="1:51">
      <c r="A26" s="152" t="str">
        <f>IF(C15="Precio Indexado","Cuota Mensual","")</f>
        <v/>
      </c>
      <c r="B26" s="152" t="str">
        <f>IF(INICIO!$L$10="Hoja Cliente",'Hoja Cliente'!B27,"")</f>
        <v/>
      </c>
      <c r="C26" s="152" t="str">
        <f t="shared" si="0"/>
        <v/>
      </c>
      <c r="D26" s="153">
        <f>IF(INICIO!$L$10="Hoja Cliente",'Hoja Cliente'!D27,_xlfn.XLOOKUP(INICIO!$L$13,Formulario!$AP$3:$AP$51,Formulario!S$3:S$51))</f>
        <v>0</v>
      </c>
      <c r="AV26" s="152" t="s">
        <v>12</v>
      </c>
    </row>
    <row r="27" spans="1:51">
      <c r="C27" s="152" t="str">
        <f t="shared" si="0"/>
        <v/>
      </c>
      <c r="D27" s="153">
        <f>IF(INICIO!$L$10="Hoja Cliente",'Hoja Cliente'!D28,_xlfn.XLOOKUP(INICIO!$L$13,Formulario!$AP$3:$AP$51,Formulario!T$3:T$51))</f>
        <v>0</v>
      </c>
      <c r="AV27" s="152" t="s">
        <v>57</v>
      </c>
    </row>
    <row r="28" spans="1:51">
      <c r="C28" s="152" t="str">
        <f t="shared" si="0"/>
        <v/>
      </c>
      <c r="D28" s="153">
        <f>IF(INICIO!$L$10="Hoja Cliente",'Hoja Cliente'!D29,_xlfn.XLOOKUP(INICIO!$L$13,Formulario!$AP$3:$AP$51,Formulario!U$3:U$51))</f>
        <v>0</v>
      </c>
      <c r="AV28" s="152" t="s">
        <v>303</v>
      </c>
    </row>
    <row r="29" spans="1:51">
      <c r="C29" s="152" t="str">
        <f t="shared" si="0"/>
        <v/>
      </c>
      <c r="D29" s="153">
        <f>IF(INICIO!$L$10="Hoja Cliente",'Hoja Cliente'!D30,_xlfn.XLOOKUP(INICIO!$L$13,Formulario!$AP$3:$AP$51,Formulario!V$3:V$51))</f>
        <v>0</v>
      </c>
      <c r="AV29" s="152" t="s">
        <v>15</v>
      </c>
    </row>
    <row r="32" spans="1:51" s="149" customFormat="1">
      <c r="C32" s="150" t="s">
        <v>305</v>
      </c>
    </row>
    <row r="34" spans="1:48">
      <c r="B34" s="151" t="s">
        <v>306</v>
      </c>
      <c r="C34" s="152" t="str">
        <f>IF(INICIO!$L$10="Hoja Cliente",'Hoja Cliente'!C35, IF(_xlfn.XLOOKUP(INICIO!$L$13,Formulario!$AP$3:$AP$51,Formulario!W$3:W$51)= "FALSO", "No", "Si"))</f>
        <v>No</v>
      </c>
      <c r="AV34" s="152" t="s">
        <v>307</v>
      </c>
    </row>
    <row r="35" spans="1:48">
      <c r="B35" s="156"/>
    </row>
    <row r="36" spans="1:48" ht="43.2">
      <c r="B36" s="157" t="s">
        <v>318</v>
      </c>
      <c r="C36" s="158" t="str">
        <f>IF(INICIO!$L$10="Hoja Cliente",'Hoja Cliente'!C37,_xlfn.XLOOKUP(INICIO!$L$13,Formulario!$AP$3:$AP$51,Formulario!X$3:X$51))</f>
        <v>25%</v>
      </c>
    </row>
    <row r="37" spans="1:48">
      <c r="A37" s="154" t="str">
        <f>IF($C$34="Si","Introduce el consumo","")</f>
        <v/>
      </c>
      <c r="C37" s="159"/>
      <c r="D37" s="154" t="str">
        <f>IF(C34="No","Introduzca una factura","")</f>
        <v>Introduzca una factura</v>
      </c>
      <c r="E37" s="152" t="str">
        <f>IF(INICIO!$L$10="Hoja Cliente",'Hoja Cliente'!E38,_xlfn.XLOOKUP(INICIO!$L$13,Formulario!$AP$3:$AP$51,Formulario!AK$3:AK$51))</f>
        <v>414</v>
      </c>
      <c r="AV37" s="152" t="s">
        <v>39</v>
      </c>
    </row>
    <row r="38" spans="1:48">
      <c r="B38" s="152" t="str">
        <f>IF($C$34="Si","Consumo en "&amp;AV18,"")</f>
        <v/>
      </c>
      <c r="C38" s="127">
        <f>IF(INICIO!$L$10="Hoja Cliente",'Hoja Cliente'!C39,_xlfn.XLOOKUP(INICIO!$L$13,Formulario!$AP$3:$AP$51,Formulario!Y$3:Y$51))</f>
        <v>0</v>
      </c>
      <c r="D38" s="152" t="str">
        <f>IF(C34="No","Mes ","")</f>
        <v xml:space="preserve">Mes </v>
      </c>
      <c r="E38" s="152" t="str">
        <f>IF(INICIO!$L$10="Hoja Cliente",'Hoja Cliente'!E39,_xlfn.XLOOKUP(INICIO!$L$13,Formulario!$AP$3:$AP$51,Formulario!AL$3:AL$51))</f>
        <v>Agosto</v>
      </c>
    </row>
    <row r="39" spans="1:48">
      <c r="B39" s="160" t="str">
        <f t="shared" ref="B39:B48" si="1">IF($C$34="Si","Consumo en "&amp;AV19,"")</f>
        <v/>
      </c>
      <c r="C39" s="127">
        <f>IF(INICIO!$L$10="Hoja Cliente",'Hoja Cliente'!C40,_xlfn.XLOOKUP(INICIO!$L$13,Formulario!$AP$3:$AP$51,Formulario!Z$3:Z$51))</f>
        <v>0</v>
      </c>
    </row>
    <row r="40" spans="1:48">
      <c r="B40" s="160" t="str">
        <f t="shared" si="1"/>
        <v/>
      </c>
      <c r="C40" s="127">
        <f>IF(INICIO!$L$10="Hoja Cliente",'Hoja Cliente'!C41,_xlfn.XLOOKUP(INICIO!$L$13,Formulario!$AP$3:$AP$51,Formulario!AA$3:AA$51))</f>
        <v>0</v>
      </c>
    </row>
    <row r="41" spans="1:48">
      <c r="B41" s="152" t="str">
        <f t="shared" si="1"/>
        <v/>
      </c>
      <c r="C41" s="127">
        <f>IF(INICIO!$L$10="Hoja Cliente",'Hoja Cliente'!C42,_xlfn.XLOOKUP(INICIO!$L$13,Formulario!$AP$3:$AP$51,Formulario!AB$3:AB$51))</f>
        <v>0</v>
      </c>
    </row>
    <row r="42" spans="1:48">
      <c r="B42" s="152" t="str">
        <f t="shared" si="1"/>
        <v/>
      </c>
      <c r="C42" s="127">
        <f>IF(INICIO!$L$10="Hoja Cliente",'Hoja Cliente'!C43,_xlfn.XLOOKUP(INICIO!$L$13,Formulario!$AP$3:$AP$51,Formulario!AC$3:AC$51))</f>
        <v>0</v>
      </c>
    </row>
    <row r="43" spans="1:48">
      <c r="B43" s="152" t="str">
        <f t="shared" si="1"/>
        <v/>
      </c>
      <c r="C43" s="127">
        <f>IF(INICIO!$L$10="Hoja Cliente",'Hoja Cliente'!C44,_xlfn.XLOOKUP(INICIO!$L$13,Formulario!$AP$3:$AP$51,Formulario!AD$3:AD$51))</f>
        <v>0</v>
      </c>
    </row>
    <row r="44" spans="1:48">
      <c r="B44" s="152" t="str">
        <f t="shared" si="1"/>
        <v/>
      </c>
      <c r="C44" s="127">
        <f>IF(INICIO!$L$10="Hoja Cliente",'Hoja Cliente'!C45,_xlfn.XLOOKUP(INICIO!$L$13,Formulario!$AP$3:$AP$51,Formulario!AE$3:AE$51))</f>
        <v>0</v>
      </c>
    </row>
    <row r="45" spans="1:48">
      <c r="B45" s="152" t="str">
        <f t="shared" si="1"/>
        <v/>
      </c>
      <c r="C45" s="127">
        <f>IF(INICIO!$L$10="Hoja Cliente",'Hoja Cliente'!C46,_xlfn.XLOOKUP(INICIO!$L$13,Formulario!$AP$3:$AP$51,Formulario!AF$3:AF$51))</f>
        <v>0</v>
      </c>
    </row>
    <row r="46" spans="1:48">
      <c r="B46" s="152" t="str">
        <f>IF($C$34="Si","Consumo en "&amp;AV26,"")</f>
        <v/>
      </c>
      <c r="C46" s="127">
        <f>IF(INICIO!$L$10="Hoja Cliente",'Hoja Cliente'!C47,_xlfn.XLOOKUP(INICIO!$L$13,Formulario!$AP$3:$AP$51,Formulario!AG$3:AG$51))</f>
        <v>0</v>
      </c>
    </row>
    <row r="47" spans="1:48">
      <c r="B47" s="152" t="str">
        <f t="shared" si="1"/>
        <v/>
      </c>
      <c r="C47" s="127">
        <f>IF(INICIO!$L$10="Hoja Cliente",'Hoja Cliente'!C48,_xlfn.XLOOKUP(INICIO!$L$13,Formulario!$AP$3:$AP$51,Formulario!AH$3:AH$51))</f>
        <v>0</v>
      </c>
    </row>
    <row r="48" spans="1:48">
      <c r="B48" s="152" t="str">
        <f t="shared" si="1"/>
        <v/>
      </c>
      <c r="C48" s="127">
        <f>IF(INICIO!$L$10="Hoja Cliente",'Hoja Cliente'!C49,_xlfn.XLOOKUP(INICIO!$L$13,Formulario!$AP$3:$AP$51,Formulario!AI$3:AI$51))</f>
        <v>0</v>
      </c>
    </row>
    <row r="49" spans="2:4">
      <c r="B49" s="152" t="str">
        <f>IF($C$34="Si","Consumo en "&amp;AV29,"")</f>
        <v/>
      </c>
      <c r="C49" s="127">
        <f>IF(INICIO!$L$10="Hoja Cliente",'Hoja Cliente'!C50,_xlfn.XLOOKUP(INICIO!$L$13,Formulario!$AP$3:$AP$51,Formulario!AJ$3:AJ$51))</f>
        <v>0</v>
      </c>
    </row>
    <row r="51" spans="2:4" s="149" customFormat="1">
      <c r="C51" s="150" t="s">
        <v>308</v>
      </c>
    </row>
    <row r="53" spans="2:4">
      <c r="B53" s="151" t="s">
        <v>320</v>
      </c>
      <c r="C53" s="152">
        <f>IF(INICIO!$L$10="Hoja Cliente",'Hoja Cliente'!C54,0.05)</f>
        <v>0.05</v>
      </c>
      <c r="D53" s="152" t="s">
        <v>319</v>
      </c>
    </row>
    <row r="54" spans="2:4">
      <c r="B54" s="151" t="s">
        <v>321</v>
      </c>
    </row>
    <row r="56" spans="2:4" s="149" customFormat="1">
      <c r="C56" s="161" t="s">
        <v>313</v>
      </c>
    </row>
    <row r="58" spans="2:4" ht="28.8">
      <c r="B58" s="157" t="s">
        <v>314</v>
      </c>
      <c r="C58" s="152" t="str">
        <f>IF(INICIO!$L$10="Hoja Cliente",'Hoja Cliente'!C59,_xlfn.XLOOKUP(INICIO!$L$13,Formulario!$AP$3:$AP$51,Formulario!AO$3:AO$51))</f>
        <v>25</v>
      </c>
    </row>
  </sheetData>
  <sheetProtection selectLockedCells="1"/>
  <conditionalFormatting sqref="A26:A28 A18:A23">
    <cfRule type="containsText" dxfId="29" priority="1" operator="containsText" text="P">
      <formula>NOT(ISERROR(SEARCH("P",A18)))</formula>
    </cfRule>
    <cfRule type="containsText" dxfId="28" priority="5" operator="containsText" text="a">
      <formula>NOT(ISERROR(SEARCH("a",A18)))</formula>
    </cfRule>
  </conditionalFormatting>
  <conditionalFormatting sqref="C18:C29">
    <cfRule type="containsText" dxfId="27" priority="4" operator="containsText" text="P">
      <formula>NOT(ISERROR(SEARCH("P",C18)))</formula>
    </cfRule>
  </conditionalFormatting>
  <conditionalFormatting sqref="A37 B38:B49">
    <cfRule type="containsText" dxfId="26" priority="3" operator="containsText" text="onsumo">
      <formula>NOT(ISERROR(SEARCH("onsumo",A37)))</formula>
    </cfRule>
  </conditionalFormatting>
  <conditionalFormatting sqref="D37:D38">
    <cfRule type="containsText" dxfId="25" priority="2" operator="containsText" text=" ">
      <formula>NOT(ISERROR(SEARCH(" ",D37)))</formula>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F44EE-1868-41EB-8791-3CE9C50CB094}">
  <dimension ref="A2:AU58"/>
  <sheetViews>
    <sheetView showGridLines="0" zoomScale="80" zoomScaleNormal="80" workbookViewId="0">
      <selection activeCell="C26" sqref="C26"/>
    </sheetView>
  </sheetViews>
  <sheetFormatPr baseColWidth="10" defaultRowHeight="16.2"/>
  <cols>
    <col min="1" max="1" width="11.5546875" style="168"/>
    <col min="2" max="2" width="26.21875" style="168" customWidth="1"/>
    <col min="3" max="3" width="24.5546875" style="168" customWidth="1"/>
    <col min="4" max="4" width="19.44140625" style="168" customWidth="1"/>
    <col min="5" max="5" width="15.5546875" style="168" customWidth="1"/>
    <col min="6" max="6" width="30" style="168" customWidth="1"/>
    <col min="7" max="7" width="27.44140625" style="168" customWidth="1"/>
    <col min="8" max="8" width="11.5546875" style="168"/>
    <col min="9" max="9" width="32.88671875" style="168" customWidth="1"/>
    <col min="10" max="16384" width="11.5546875" style="168"/>
  </cols>
  <sheetData>
    <row r="2" spans="1:12" s="239" customFormat="1">
      <c r="A2" s="187"/>
      <c r="B2" s="187"/>
      <c r="C2" s="187" t="s">
        <v>269</v>
      </c>
      <c r="D2" s="187"/>
      <c r="E2" s="187"/>
      <c r="F2" s="187"/>
      <c r="G2" s="187"/>
      <c r="H2" s="187"/>
      <c r="I2" s="187"/>
      <c r="J2" s="187"/>
      <c r="K2" s="187"/>
    </row>
    <row r="4" spans="1:12" ht="48.6">
      <c r="D4" s="188" t="s">
        <v>270</v>
      </c>
      <c r="E4" s="188" t="s">
        <v>271</v>
      </c>
      <c r="F4" s="185"/>
      <c r="H4" s="189" t="s">
        <v>454</v>
      </c>
      <c r="I4" s="246" t="s">
        <v>452</v>
      </c>
    </row>
    <row r="5" spans="1:12">
      <c r="A5" s="260" t="s">
        <v>156</v>
      </c>
      <c r="C5" s="201" t="s">
        <v>452</v>
      </c>
      <c r="D5" s="241">
        <v>330</v>
      </c>
      <c r="E5" s="241">
        <v>144</v>
      </c>
    </row>
    <row r="6" spans="1:12">
      <c r="A6" s="260"/>
      <c r="C6" s="201" t="s">
        <v>451</v>
      </c>
      <c r="D6" s="241">
        <v>275</v>
      </c>
      <c r="E6" s="241">
        <v>119</v>
      </c>
    </row>
    <row r="7" spans="1:12">
      <c r="A7" s="260"/>
      <c r="C7" s="201" t="s">
        <v>453</v>
      </c>
      <c r="D7" s="241">
        <v>525</v>
      </c>
      <c r="E7" s="241">
        <v>200</v>
      </c>
    </row>
    <row r="8" spans="1:12">
      <c r="A8" s="260"/>
      <c r="C8" s="201" t="s">
        <v>324</v>
      </c>
      <c r="D8" s="241"/>
      <c r="E8" s="241"/>
    </row>
    <row r="9" spans="1:12">
      <c r="A9" s="260"/>
      <c r="C9" s="201" t="s">
        <v>325</v>
      </c>
      <c r="D9" s="241"/>
      <c r="E9" s="241"/>
    </row>
    <row r="10" spans="1:12" ht="64.8">
      <c r="A10" s="261" t="s">
        <v>157</v>
      </c>
      <c r="B10" s="191"/>
      <c r="C10" s="242" t="s">
        <v>315</v>
      </c>
      <c r="D10" s="243">
        <v>233</v>
      </c>
      <c r="E10" s="243">
        <v>20</v>
      </c>
      <c r="F10" s="191"/>
      <c r="H10" s="189" t="s">
        <v>455</v>
      </c>
      <c r="I10" s="246" t="s">
        <v>315</v>
      </c>
    </row>
    <row r="11" spans="1:12">
      <c r="A11" s="262"/>
      <c r="B11" s="192"/>
      <c r="C11" s="244" t="s">
        <v>326</v>
      </c>
      <c r="D11" s="245"/>
      <c r="E11" s="245"/>
      <c r="F11" s="192"/>
    </row>
    <row r="12" spans="1:12">
      <c r="A12" s="262"/>
      <c r="B12" s="192"/>
      <c r="C12" s="244" t="s">
        <v>327</v>
      </c>
      <c r="D12" s="245"/>
      <c r="E12" s="245"/>
      <c r="F12" s="192"/>
    </row>
    <row r="16" spans="1:12" s="239" customFormat="1">
      <c r="A16" s="187"/>
      <c r="B16" s="187"/>
      <c r="C16" s="187" t="s">
        <v>272</v>
      </c>
      <c r="D16" s="187"/>
      <c r="E16" s="187"/>
      <c r="F16" s="187"/>
      <c r="G16" s="187"/>
      <c r="H16" s="187"/>
      <c r="I16" s="187"/>
      <c r="J16" s="187"/>
      <c r="K16" s="187"/>
      <c r="L16" s="187"/>
    </row>
    <row r="18" spans="1:47">
      <c r="B18" s="193" t="s">
        <v>273</v>
      </c>
      <c r="C18" s="201" t="s">
        <v>276</v>
      </c>
      <c r="AU18" s="168" t="s">
        <v>275</v>
      </c>
    </row>
    <row r="19" spans="1:47">
      <c r="B19" s="193" t="s">
        <v>274</v>
      </c>
      <c r="C19" s="247">
        <v>0.5</v>
      </c>
      <c r="AU19" s="168" t="s">
        <v>276</v>
      </c>
    </row>
    <row r="20" spans="1:47">
      <c r="B20" s="193" t="s">
        <v>151</v>
      </c>
      <c r="C20" s="248">
        <v>400</v>
      </c>
    </row>
    <row r="23" spans="1:47" s="178" customFormat="1">
      <c r="A23" s="194"/>
      <c r="B23" s="194"/>
      <c r="C23" s="187" t="s">
        <v>278</v>
      </c>
      <c r="D23" s="194"/>
      <c r="E23" s="194"/>
      <c r="F23" s="194"/>
      <c r="G23" s="194"/>
      <c r="H23" s="194"/>
      <c r="I23" s="194"/>
      <c r="J23" s="194"/>
      <c r="K23" s="194"/>
    </row>
    <row r="26" spans="1:47">
      <c r="B26" s="195" t="s">
        <v>277</v>
      </c>
      <c r="C26" s="249">
        <v>5.4000000000000003E-3</v>
      </c>
    </row>
    <row r="28" spans="1:47" s="239" customFormat="1">
      <c r="A28" s="187"/>
      <c r="B28" s="187"/>
      <c r="C28" s="187" t="s">
        <v>471</v>
      </c>
      <c r="D28" s="187"/>
      <c r="E28" s="187"/>
      <c r="F28" s="187"/>
      <c r="G28" s="187"/>
      <c r="H28" s="187"/>
      <c r="I28" s="187"/>
      <c r="J28" s="187"/>
      <c r="K28" s="187"/>
    </row>
    <row r="30" spans="1:47">
      <c r="B30" s="196" t="s">
        <v>279</v>
      </c>
      <c r="C30" s="250">
        <v>700</v>
      </c>
    </row>
    <row r="31" spans="1:47">
      <c r="B31" s="196" t="s">
        <v>280</v>
      </c>
      <c r="C31" s="250">
        <v>1300</v>
      </c>
    </row>
    <row r="32" spans="1:47" ht="32.4">
      <c r="B32" s="195" t="s">
        <v>201</v>
      </c>
      <c r="C32" s="250">
        <v>85</v>
      </c>
    </row>
    <row r="33" spans="1:11">
      <c r="B33" s="196" t="s">
        <v>160</v>
      </c>
      <c r="C33" s="250"/>
      <c r="D33" s="168" t="s">
        <v>316</v>
      </c>
    </row>
    <row r="34" spans="1:11">
      <c r="B34" s="196" t="s">
        <v>281</v>
      </c>
      <c r="C34" s="250">
        <v>1000</v>
      </c>
    </row>
    <row r="36" spans="1:11" s="178" customFormat="1">
      <c r="A36" s="194"/>
      <c r="B36" s="194"/>
      <c r="C36" s="187" t="s">
        <v>351</v>
      </c>
      <c r="D36" s="194"/>
      <c r="E36" s="194"/>
      <c r="F36" s="194"/>
      <c r="G36" s="194"/>
      <c r="H36" s="194"/>
      <c r="I36" s="194"/>
      <c r="J36" s="194"/>
      <c r="K36" s="194"/>
    </row>
    <row r="38" spans="1:11">
      <c r="B38" s="193" t="s">
        <v>352</v>
      </c>
      <c r="C38" s="241">
        <v>0</v>
      </c>
      <c r="D38" s="197" t="s">
        <v>355</v>
      </c>
    </row>
    <row r="39" spans="1:11" ht="32.4">
      <c r="B39" s="206" t="s">
        <v>472</v>
      </c>
      <c r="C39" s="241" t="s">
        <v>157</v>
      </c>
    </row>
    <row r="41" spans="1:11" s="178" customFormat="1">
      <c r="A41" s="194"/>
      <c r="B41" s="194"/>
      <c r="C41" s="187" t="s">
        <v>282</v>
      </c>
      <c r="D41" s="194"/>
      <c r="E41" s="194"/>
      <c r="F41" s="194"/>
      <c r="G41" s="194"/>
      <c r="H41" s="194"/>
      <c r="I41" s="194"/>
      <c r="J41" s="194"/>
      <c r="K41" s="194"/>
    </row>
    <row r="43" spans="1:11" ht="19.8" customHeight="1">
      <c r="B43" s="195" t="s">
        <v>283</v>
      </c>
      <c r="C43" s="201">
        <v>0</v>
      </c>
      <c r="D43" s="168" t="s">
        <v>317</v>
      </c>
    </row>
    <row r="45" spans="1:11" s="178" customFormat="1">
      <c r="A45" s="194"/>
      <c r="B45" s="194"/>
      <c r="C45" s="187" t="s">
        <v>295</v>
      </c>
      <c r="D45" s="194"/>
      <c r="E45" s="194"/>
      <c r="F45" s="194"/>
      <c r="G45" s="194"/>
      <c r="H45" s="194"/>
      <c r="I45" s="194"/>
      <c r="J45" s="194"/>
      <c r="K45" s="194"/>
    </row>
    <row r="47" spans="1:11">
      <c r="B47" s="193" t="s">
        <v>224</v>
      </c>
      <c r="C47" s="207">
        <v>0.05</v>
      </c>
    </row>
    <row r="49" spans="1:11">
      <c r="B49" s="193" t="s">
        <v>296</v>
      </c>
      <c r="C49" s="201">
        <v>10</v>
      </c>
    </row>
    <row r="51" spans="1:11" s="178" customFormat="1">
      <c r="A51" s="194"/>
      <c r="B51" s="194"/>
      <c r="C51" s="187" t="s">
        <v>310</v>
      </c>
      <c r="D51" s="194"/>
      <c r="E51" s="194"/>
      <c r="F51" s="194"/>
      <c r="G51" s="194"/>
      <c r="H51" s="194"/>
      <c r="I51" s="194"/>
      <c r="J51" s="194"/>
      <c r="K51" s="194"/>
    </row>
    <row r="53" spans="1:11" ht="32.4">
      <c r="B53" s="195" t="s">
        <v>310</v>
      </c>
      <c r="C53" s="249">
        <v>5.0000000000000001E-3</v>
      </c>
    </row>
    <row r="55" spans="1:11" s="178" customFormat="1">
      <c r="A55" s="194"/>
      <c r="B55" s="259" t="s">
        <v>623</v>
      </c>
      <c r="C55" s="259"/>
      <c r="D55" s="259"/>
      <c r="E55" s="194"/>
      <c r="F55" s="194"/>
      <c r="G55" s="194"/>
      <c r="H55" s="194"/>
      <c r="I55" s="194"/>
      <c r="J55" s="194"/>
      <c r="K55" s="194"/>
    </row>
    <row r="57" spans="1:11">
      <c r="B57" s="193" t="s">
        <v>61</v>
      </c>
      <c r="C57" s="251">
        <v>5.1169632E-2</v>
      </c>
    </row>
    <row r="58" spans="1:11">
      <c r="B58" s="193" t="s">
        <v>62</v>
      </c>
      <c r="C58" s="247">
        <v>0.21</v>
      </c>
    </row>
  </sheetData>
  <sheetProtection sheet="1" objects="1" scenarios="1" selectLockedCells="1"/>
  <mergeCells count="3">
    <mergeCell ref="A5:A9"/>
    <mergeCell ref="A10:A12"/>
    <mergeCell ref="B55:D55"/>
  </mergeCells>
  <dataValidations count="3">
    <dataValidation type="list" allowBlank="1" showInputMessage="1" showErrorMessage="1" sqref="C18" xr:uid="{E7C24051-6B5A-41B9-B8C4-4E0B3D107807}">
      <formula1>$AU$18:$AU$19</formula1>
    </dataValidation>
    <dataValidation type="list" allowBlank="1" showInputMessage="1" showErrorMessage="1" sqref="I4" xr:uid="{BBD0581D-BA04-4F4A-8247-286379D05FBA}">
      <formula1>$C$5:$C$9</formula1>
    </dataValidation>
    <dataValidation type="list" allowBlank="1" showInputMessage="1" showErrorMessage="1" sqref="I10" xr:uid="{95F48B98-3D40-475C-9FEA-C959346B60C6}">
      <formula1>$C$10:$C$12</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12077E2-74A8-46AD-BCFD-15EA74349853}">
          <x14:formula1>
            <xm:f>'Datos Instalación'!$AH$14:$AH$15</xm:f>
          </x14:formula1>
          <xm:sqref>D38</xm:sqref>
        </x14:dataValidation>
        <x14:dataValidation type="list" allowBlank="1" showInputMessage="1" showErrorMessage="1" xr:uid="{2A1BE98B-57F7-4696-8A10-4B48D979F1CE}">
          <x14:formula1>
            <xm:f>'Datos Instalación'!$AH$18:$AH$20</xm:f>
          </x14:formula1>
          <xm:sqref>C39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BB4E4-18F6-4908-AC2D-C9F3E6C40E15}">
  <dimension ref="A1:U42"/>
  <sheetViews>
    <sheetView workbookViewId="0">
      <selection activeCell="A8" sqref="A8"/>
    </sheetView>
  </sheetViews>
  <sheetFormatPr baseColWidth="10" defaultRowHeight="14.4"/>
  <cols>
    <col min="1" max="1" width="12.88671875" customWidth="1"/>
    <col min="2" max="2" width="12.5546875" customWidth="1"/>
    <col min="3" max="4" width="15.109375" customWidth="1"/>
    <col min="5" max="5" width="18.5546875" customWidth="1"/>
    <col min="6" max="6" width="14.109375" customWidth="1"/>
    <col min="9" max="9" width="14.77734375" customWidth="1"/>
    <col min="10" max="10" width="12.77734375" customWidth="1"/>
    <col min="13" max="13" width="17.33203125" customWidth="1"/>
    <col min="14" max="14" width="12.77734375" customWidth="1"/>
    <col min="17" max="17" width="16.44140625" customWidth="1"/>
    <col min="18" max="18" width="10.6640625" customWidth="1"/>
    <col min="21" max="21" width="14" customWidth="1"/>
  </cols>
  <sheetData>
    <row r="1" spans="1:21">
      <c r="F1" s="263" t="s">
        <v>367</v>
      </c>
      <c r="G1" s="263"/>
      <c r="H1" s="263"/>
      <c r="I1" s="263"/>
      <c r="J1" s="264" t="s">
        <v>368</v>
      </c>
      <c r="K1" s="264"/>
      <c r="L1" s="264"/>
      <c r="M1" s="264"/>
      <c r="N1" s="265" t="s">
        <v>369</v>
      </c>
      <c r="O1" s="265"/>
      <c r="P1" s="265"/>
      <c r="Q1" s="265"/>
      <c r="R1" s="266" t="s">
        <v>370</v>
      </c>
      <c r="S1" s="266"/>
      <c r="T1" s="266"/>
      <c r="U1" s="266"/>
    </row>
    <row r="2" spans="1:21" s="96" customFormat="1" ht="28.8">
      <c r="A2" s="89" t="s">
        <v>361</v>
      </c>
      <c r="B2" s="89" t="s">
        <v>364</v>
      </c>
      <c r="C2" s="89" t="s">
        <v>365</v>
      </c>
      <c r="D2" s="89" t="s">
        <v>385</v>
      </c>
      <c r="E2" s="89" t="s">
        <v>366</v>
      </c>
      <c r="F2" s="116" t="s">
        <v>372</v>
      </c>
      <c r="G2" s="116" t="s">
        <v>373</v>
      </c>
      <c r="H2" s="116" t="s">
        <v>386</v>
      </c>
      <c r="I2" s="116" t="s">
        <v>371</v>
      </c>
      <c r="J2" s="115" t="s">
        <v>374</v>
      </c>
      <c r="K2" s="115" t="s">
        <v>375</v>
      </c>
      <c r="L2" s="115" t="s">
        <v>387</v>
      </c>
      <c r="M2" s="115" t="s">
        <v>379</v>
      </c>
      <c r="N2" s="125" t="s">
        <v>376</v>
      </c>
      <c r="O2" s="125" t="s">
        <v>377</v>
      </c>
      <c r="P2" s="125" t="s">
        <v>383</v>
      </c>
      <c r="Q2" s="125" t="s">
        <v>378</v>
      </c>
      <c r="R2" s="126" t="s">
        <v>380</v>
      </c>
      <c r="S2" s="126" t="s">
        <v>381</v>
      </c>
      <c r="T2" s="126" t="s">
        <v>384</v>
      </c>
      <c r="U2" s="126" t="s">
        <v>382</v>
      </c>
    </row>
    <row r="3" spans="1:21">
      <c r="A3" t="s">
        <v>362</v>
      </c>
      <c r="B3" t="s">
        <v>39</v>
      </c>
      <c r="C3" t="s">
        <v>39</v>
      </c>
      <c r="D3" t="s">
        <v>39</v>
      </c>
      <c r="E3">
        <v>1</v>
      </c>
      <c r="F3" s="117">
        <v>0</v>
      </c>
      <c r="G3" s="117">
        <v>0</v>
      </c>
      <c r="H3" s="117">
        <f>Tabla1[[#This Row],[Hora Fin]]-Tabla1[[#This Row],[Hora Inicio]]</f>
        <v>0</v>
      </c>
      <c r="I3" s="119" t="s">
        <v>307</v>
      </c>
      <c r="J3" s="120"/>
      <c r="K3" s="120"/>
      <c r="L3" s="120"/>
      <c r="M3" s="123" t="s">
        <v>39</v>
      </c>
      <c r="N3" s="117"/>
      <c r="O3" s="117"/>
      <c r="P3" s="117"/>
      <c r="Q3" s="118" t="s">
        <v>39</v>
      </c>
      <c r="R3" s="120"/>
      <c r="S3" s="120"/>
      <c r="T3" s="120"/>
      <c r="U3" s="121" t="s">
        <v>39</v>
      </c>
    </row>
    <row r="4" spans="1:21">
      <c r="A4" t="s">
        <v>363</v>
      </c>
      <c r="B4" t="s">
        <v>39</v>
      </c>
      <c r="C4" t="s">
        <v>39</v>
      </c>
      <c r="D4" t="s">
        <v>39</v>
      </c>
      <c r="E4">
        <v>2</v>
      </c>
      <c r="F4" s="117">
        <v>0.33333333333333331</v>
      </c>
      <c r="G4" s="117">
        <v>0.91666666666666663</v>
      </c>
      <c r="H4" s="117">
        <f>Tabla1[[#This Row],[Hora Fin]]-Tabla1[[#This Row],[Hora Inicio]]</f>
        <v>0.58333333333333326</v>
      </c>
      <c r="I4" s="119" t="s">
        <v>39</v>
      </c>
      <c r="J4" s="120"/>
      <c r="K4" s="120"/>
      <c r="L4" s="120"/>
      <c r="M4" s="123" t="s">
        <v>39</v>
      </c>
      <c r="N4" s="117"/>
      <c r="O4" s="117"/>
      <c r="P4" s="117"/>
      <c r="Q4" s="118" t="s">
        <v>39</v>
      </c>
      <c r="R4" s="120"/>
      <c r="S4" s="120"/>
      <c r="T4" s="120"/>
      <c r="U4" s="121" t="s">
        <v>39</v>
      </c>
    </row>
    <row r="5" spans="1:21">
      <c r="A5" t="s">
        <v>328</v>
      </c>
      <c r="B5" t="s">
        <v>39</v>
      </c>
      <c r="C5" t="s">
        <v>39</v>
      </c>
      <c r="D5" t="s">
        <v>39</v>
      </c>
      <c r="E5">
        <v>3</v>
      </c>
      <c r="F5" s="117"/>
      <c r="G5" s="117"/>
      <c r="H5" s="117">
        <f>Tabla1[[#This Row],[Hora Fin]]-Tabla1[[#This Row],[Hora Inicio]]</f>
        <v>0</v>
      </c>
      <c r="I5" s="119" t="s">
        <v>39</v>
      </c>
      <c r="J5" s="120"/>
      <c r="K5" s="120"/>
      <c r="L5" s="120"/>
      <c r="M5" s="123" t="s">
        <v>39</v>
      </c>
      <c r="N5" s="117"/>
      <c r="O5" s="117"/>
      <c r="P5" s="117"/>
      <c r="Q5" s="118" t="s">
        <v>39</v>
      </c>
      <c r="R5" s="120"/>
      <c r="S5" s="120"/>
      <c r="T5" s="120"/>
      <c r="U5" s="121" t="s">
        <v>39</v>
      </c>
    </row>
    <row r="6" spans="1:21">
      <c r="A6" t="s">
        <v>304</v>
      </c>
      <c r="B6" t="s">
        <v>39</v>
      </c>
      <c r="C6" t="s">
        <v>307</v>
      </c>
      <c r="D6" t="s">
        <v>307</v>
      </c>
      <c r="F6" s="117"/>
      <c r="G6" s="117"/>
      <c r="H6" s="117">
        <f>Tabla1[[#This Row],[Hora Fin]]-Tabla1[[#This Row],[Hora Inicio]]</f>
        <v>0</v>
      </c>
      <c r="I6" s="119" t="s">
        <v>39</v>
      </c>
      <c r="J6" s="120"/>
      <c r="K6" s="120"/>
      <c r="L6" s="120"/>
      <c r="M6" s="123" t="s">
        <v>39</v>
      </c>
      <c r="N6" s="117"/>
      <c r="O6" s="117"/>
      <c r="P6" s="117"/>
      <c r="Q6" s="118" t="s">
        <v>39</v>
      </c>
      <c r="R6" s="120"/>
      <c r="S6" s="120"/>
      <c r="T6" s="120"/>
      <c r="U6" s="121" t="s">
        <v>39</v>
      </c>
    </row>
    <row r="7" spans="1:21">
      <c r="A7" t="s">
        <v>300</v>
      </c>
      <c r="F7" s="117"/>
      <c r="G7" s="117"/>
      <c r="H7" s="117">
        <f>Tabla1[[#This Row],[Hora Fin]]-Tabla1[[#This Row],[Hora Inicio]]</f>
        <v>0</v>
      </c>
      <c r="I7" s="118"/>
      <c r="J7" s="120"/>
      <c r="K7" s="120"/>
      <c r="L7" s="120"/>
      <c r="M7" s="121"/>
      <c r="N7" s="117"/>
      <c r="O7" s="117"/>
      <c r="P7" s="117"/>
      <c r="Q7" s="118"/>
      <c r="R7" s="120"/>
      <c r="S7" s="120"/>
      <c r="T7" s="120"/>
      <c r="U7" s="121"/>
    </row>
    <row r="8" spans="1:21">
      <c r="A8" t="s">
        <v>364</v>
      </c>
      <c r="B8" t="s">
        <v>307</v>
      </c>
      <c r="C8" t="s">
        <v>39</v>
      </c>
      <c r="F8" s="117"/>
      <c r="G8" s="117"/>
      <c r="H8" s="117">
        <f>Tabla1[[#This Row],[Hora Fin]]-Tabla1[[#This Row],[Hora Inicio]]</f>
        <v>0</v>
      </c>
      <c r="I8" s="119" t="s">
        <v>39</v>
      </c>
      <c r="J8" s="120"/>
      <c r="K8" s="120"/>
      <c r="L8" s="120"/>
      <c r="M8" s="124" t="s">
        <v>39</v>
      </c>
      <c r="N8" s="117"/>
      <c r="O8" s="117"/>
      <c r="P8" s="117"/>
      <c r="Q8" s="118" t="s">
        <v>39</v>
      </c>
      <c r="R8" s="120"/>
      <c r="S8" s="120"/>
      <c r="T8" s="120"/>
      <c r="U8" s="121" t="s">
        <v>39</v>
      </c>
    </row>
    <row r="9" spans="1:21">
      <c r="J9" s="122"/>
      <c r="K9" s="122"/>
      <c r="L9" s="122"/>
      <c r="M9" s="122"/>
      <c r="N9" s="114"/>
      <c r="O9" s="114"/>
      <c r="P9" s="114"/>
    </row>
    <row r="10" spans="1:21">
      <c r="G10" s="18"/>
      <c r="H10" s="18"/>
    </row>
    <row r="11" spans="1:21">
      <c r="G11" s="18"/>
      <c r="H11" s="18"/>
    </row>
    <row r="12" spans="1:21">
      <c r="G12" s="18"/>
      <c r="H12" s="18"/>
    </row>
    <row r="14" spans="1:21">
      <c r="F14" s="114"/>
    </row>
    <row r="41" spans="2:2">
      <c r="B41" t="s">
        <v>307</v>
      </c>
    </row>
    <row r="42" spans="2:2">
      <c r="B42" t="s">
        <v>39</v>
      </c>
    </row>
  </sheetData>
  <mergeCells count="4">
    <mergeCell ref="F1:I1"/>
    <mergeCell ref="J1:M1"/>
    <mergeCell ref="N1:Q1"/>
    <mergeCell ref="R1:U1"/>
  </mergeCells>
  <phoneticPr fontId="27" type="noConversion"/>
  <dataValidations count="1">
    <dataValidation type="list" allowBlank="1" showInputMessage="1" showErrorMessage="1" sqref="U3:U8 Q3:Q8 M3:M8 B3:D8 I3:I8" xr:uid="{80AFC30B-504B-4F18-BF24-53C93FE81267}">
      <formula1>$B$41:$B$42</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6 1 8 3 0 2 0 6 - e f 0 6 - 4 4 0 b - a a 7 0 - f 8 2 4 c 1 a 4 5 1 2 8 "   x m l n s = " h t t p : / / s c h e m a s . m i c r o s o f t . c o m / D a t a M a s h u p " > A A A A A J g E A A B Q S w M E F A A C A A g A R Z c l U 5 r K r Y u k A A A A 9 Q A A A B I A H A B D b 2 5 m a W c v U G F j a 2 F n Z S 5 4 b W w g o h g A K K A U A A A A A A A A A A A A A A A A A A A A A A A A A A A A h Y 8 x D o I w G I W v Q r r T 1 m o M k p 8 y G D d J T E i M a 1 M q N E I x t F j u 5 u C R v I I Y R d 0 c 3 / e + 4 b 3 7 9 Q b p 0 N T B R X V W t y Z B M 0 x R o I x s C 2 3 K B P X u G E Y o 5 b A T 8 i R K F Y y y s f F g i w R V z p 1 j Q r z 3 2 M 9 x 2 5 W E U T o j h 2 y b y 0 o 1 A n 1 k / V 8 O t b F O G K k Q h / 1 r D G d 4 t c T R g m E K Z G K Q a f P t 2 T j 3 2 f 5 A W P e 1 6 z v F l Q 0 3 O Z A p A n l f 4 A 9 Q S w M E F A A C A A g A R Z c l 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E W X J V O o E h j W k g E A A I A F A A A T A B w A R m 9 y b X V s Y X M v U 2 V j d G l v b j E u b S C i G A A o o B Q A A A A A A A A A A A A A A A A A A A A A A A A A A A B 1 1 F 1 L w z A Y h u H z w f 5 D q C c b z L Z J u v m F B 3 M b O h U s O n E q I m m b d W V t U p v 4 O f b f 7 Z y C g k 9 P W u 6 X l P e i U C N j m 2 l F r j Z 3 e t B s N B t m L i q Z k C 1 n I q J c E p + 0 e N s h h y S X t t k g 9 X V R Z a l U d b m R k R u K V L b W D w O t r F T W t J y 5 t a X Z 9 7 x E x 8 Z N t U 5 z 6 c a 6 8 E x Z S Z G Y u Z T W e I k n P R b 2 B 9 N t + n J J B 7 Z I W F 5 O 0 h E / v R 6 O d r a j 0 a N / e p W G / a f g L j 6 T 5 7 u L v f D Y C J b 2 b T b r z s a 9 x b S b h b f 5 4 v L j R B z F 5 l r p x e v H b D r s 3 3 j l c z S 3 R e 6 0 2 5 3 N w k N h h V / v u 1 l 8 6 a / u 1 + X h e 1 p D s 1 K T W B R R J h K 9 p n 7 J 3 U k l l J n p q h j o / L l Q k / d S m t b X u z r L p b O J 1 O k Q W w + I l W 9 2 1 S E / n d V 9 r G w v c N f H f g 0 4 O B C A 3 g W 9 B / o O 6 L u g 7 4 F O f T R A Z M r Q A J k p Q l O k p o h N k Z s i O E V y h u Q M f m w k Z 0 j O k J w h O U N y h u Q M y R m S c y T n S M 6 R n C M 5 R 3 K O 5 B z J O Z J z J O d I H i B 5 g O Q B k g d / 5 a t 2 s 5 G p / / 8 0 B 5 9 Q S w E C L Q A U A A I A C A B F l y V T m s q t i 6 Q A A A D 1 A A A A E g A A A A A A A A A A A A A A A A A A A A A A Q 2 9 u Z m l n L 1 B h Y 2 t h Z 2 U u e G 1 s U E s B A i 0 A F A A C A A g A R Z c l U w / K 6 a u k A A A A 6 Q A A A B M A A A A A A A A A A A A A A A A A 8 A A A A F t D b 2 5 0 Z W 5 0 X 1 R 5 c G V z X S 5 4 b W x Q S w E C L Q A U A A I A C A B F l y V T q B I Y 1 p I B A A C A B Q A A E w A A A A A A A A A A A A A A A A D h A Q A A R m 9 y b X V s Y X M v U 2 V j d G l v b j E u b V B L B Q Y A A A A A A w A D A M I A A A D A 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I g A A A A A A A N 0 i 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U Y W J s Z S U y M D A 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s Z V 8 w X 1 8 z I i A v P j x F b n R y e S B U e X B l P S J G a W x s Z W R D b 2 1 w b G V 0 Z V J l c 3 V s d F R v V 2 9 y a 3 N o Z W V 0 I i B W Y W x 1 Z T 0 i b D E i I C 8 + P E V u d H J 5 I F R 5 c G U 9 I l J l b G F 0 a W 9 u c 2 h p c E l u Z m 9 D b 2 5 0 Y W l u Z X I i I F Z h b H V l P S J z e y Z x d W 9 0 O 2 N v b H V t b k N v d W 5 0 J n F 1 b 3 Q 7 O j Q 0 L C Z x d W 9 0 O 2 t l e U N v b H V t b k 5 h b W V z J n F 1 b 3 Q 7 O l t d L C Z x d W 9 0 O 3 F 1 Z X J 5 U m V s Y X R p b 2 5 z a G l w c y Z x d W 9 0 O z p b X S w m c X V v d D t j b 2 x 1 b W 5 J Z G V u d G l 0 a W V z J n F 1 b 3 Q 7 O l s m c X V v d D t T Z W N 0 a W 9 u M S 9 U Y W J s Z S A w I C g z K S 9 B d X R v U m V t b 3 Z l Z E N v b H V t b n M x L n t D b 2 x 1 b W 4 x L D B 9 J n F 1 b 3 Q 7 L C Z x d W 9 0 O 1 N l Y 3 R p b 2 4 x L 1 R h Y m x l I D A g K D M p L 0 F 1 d G 9 S Z W 1 v d m V k Q 2 9 s d W 1 u c z E u e 0 N v b H V t b j I s M X 0 m c X V v d D s s J n F 1 b 3 Q 7 U 2 V j d G l v b j E v V G F i b G U g M C A o M y k v Q X V 0 b 1 J l b W 9 2 Z W R D b 2 x 1 b W 5 z M S 5 7 Q 2 9 s d W 1 u M y w y f S Z x d W 9 0 O y w m c X V v d D t T Z W N 0 a W 9 u M S 9 U Y W J s Z S A w I C g z K S 9 B d X R v U m V t b 3 Z l Z E N v b H V t b n M x L n t D b 2 x 1 b W 4 0 L D N 9 J n F 1 b 3 Q 7 L C Z x d W 9 0 O 1 N l Y 3 R p b 2 4 x L 1 R h Y m x l I D A g K D M p L 0 F 1 d G 9 S Z W 1 v d m V k Q 2 9 s d W 1 u c z E u e 0 N v b H V t b j U s N H 0 m c X V v d D s s J n F 1 b 3 Q 7 U 2 V j d G l v b j E v V G F i b G U g M C A o M y k v Q X V 0 b 1 J l b W 9 2 Z W R D b 2 x 1 b W 5 z M S 5 7 Q 2 9 s d W 1 u N i w 1 f S Z x d W 9 0 O y w m c X V v d D t T Z W N 0 a W 9 u M S 9 U Y W J s Z S A w I C g z K S 9 B d X R v U m V t b 3 Z l Z E N v b H V t b n M x L n t D b 2 x 1 b W 4 3 L D Z 9 J n F 1 b 3 Q 7 L C Z x d W 9 0 O 1 N l Y 3 R p b 2 4 x L 1 R h Y m x l I D A g K D M p L 0 F 1 d G 9 S Z W 1 v d m V k Q 2 9 s d W 1 u c z E u e 0 N v b H V t b j g s N 3 0 m c X V v d D s s J n F 1 b 3 Q 7 U 2 V j d G l v b j E v V G F i b G U g M C A o M y k v Q X V 0 b 1 J l b W 9 2 Z W R D b 2 x 1 b W 5 z M S 5 7 Q 2 9 s d W 1 u O S w 4 f S Z x d W 9 0 O y w m c X V v d D t T Z W N 0 a W 9 u M S 9 U Y W J s Z S A w I C g z K S 9 B d X R v U m V t b 3 Z l Z E N v b H V t b n M x L n t D b 2 x 1 b W 4 x M C w 5 f S Z x d W 9 0 O y w m c X V v d D t T Z W N 0 a W 9 u M S 9 U Y W J s Z S A w I C g z K S 9 B d X R v U m V t b 3 Z l Z E N v b H V t b n M x L n t D b 2 x 1 b W 4 x M S w x M H 0 m c X V v d D s s J n F 1 b 3 Q 7 U 2 V j d G l v b j E v V G F i b G U g M C A o M y k v Q X V 0 b 1 J l b W 9 2 Z W R D b 2 x 1 b W 5 z M S 5 7 Q 2 9 s d W 1 u M T I s M T F 9 J n F 1 b 3 Q 7 L C Z x d W 9 0 O 1 N l Y 3 R p b 2 4 x L 1 R h Y m x l I D A g K D M p L 0 F 1 d G 9 S Z W 1 v d m V k Q 2 9 s d W 1 u c z E u e 0 N v b H V t b j E z L D E y f S Z x d W 9 0 O y w m c X V v d D t T Z W N 0 a W 9 u M S 9 U Y W J s Z S A w I C g z K S 9 B d X R v U m V t b 3 Z l Z E N v b H V t b n M x L n t D b 2 x 1 b W 4 x N C w x M 3 0 m c X V v d D s s J n F 1 b 3 Q 7 U 2 V j d G l v b j E v V G F i b G U g M C A o M y k v Q X V 0 b 1 J l b W 9 2 Z W R D b 2 x 1 b W 5 z M S 5 7 Q 2 9 s d W 1 u M T U s M T R 9 J n F 1 b 3 Q 7 L C Z x d W 9 0 O 1 N l Y 3 R p b 2 4 x L 1 R h Y m x l I D A g K D M p L 0 F 1 d G 9 S Z W 1 v d m V k Q 2 9 s d W 1 u c z E u e 0 N v b H V t b j E 2 L D E 1 f S Z x d W 9 0 O y w m c X V v d D t T Z W N 0 a W 9 u M S 9 U Y W J s Z S A w I C g z K S 9 B d X R v U m V t b 3 Z l Z E N v b H V t b n M x L n t D b 2 x 1 b W 4 x N y w x N n 0 m c X V v d D s s J n F 1 b 3 Q 7 U 2 V j d G l v b j E v V G F i b G U g M C A o M y k v Q X V 0 b 1 J l b W 9 2 Z W R D b 2 x 1 b W 5 z M S 5 7 Q 2 9 s d W 1 u M T g s M T d 9 J n F 1 b 3 Q 7 L C Z x d W 9 0 O 1 N l Y 3 R p b 2 4 x L 1 R h Y m x l I D A g K D M p L 0 F 1 d G 9 S Z W 1 v d m V k Q 2 9 s d W 1 u c z E u e 0 N v b H V t b j E 5 L D E 4 f S Z x d W 9 0 O y w m c X V v d D t T Z W N 0 a W 9 u M S 9 U Y W J s Z S A w I C g z K S 9 B d X R v U m V t b 3 Z l Z E N v b H V t b n M x L n t D b 2 x 1 b W 4 y M C w x O X 0 m c X V v d D s s J n F 1 b 3 Q 7 U 2 V j d G l v b j E v V G F i b G U g M C A o M y k v Q X V 0 b 1 J l b W 9 2 Z W R D b 2 x 1 b W 5 z M S 5 7 Q 2 9 s d W 1 u M j E s M j B 9 J n F 1 b 3 Q 7 L C Z x d W 9 0 O 1 N l Y 3 R p b 2 4 x L 1 R h Y m x l I D A g K D M p L 0 F 1 d G 9 S Z W 1 v d m V k Q 2 9 s d W 1 u c z E u e 0 N v b H V t b j I y L D I x f S Z x d W 9 0 O y w m c X V v d D t T Z W N 0 a W 9 u M S 9 U Y W J s Z S A w I C g z K S 9 B d X R v U m V t b 3 Z l Z E N v b H V t b n M x L n t D b 2 x 1 b W 4 y M y w y M n 0 m c X V v d D s s J n F 1 b 3 Q 7 U 2 V j d G l v b j E v V G F i b G U g M C A o M y k v Q X V 0 b 1 J l b W 9 2 Z W R D b 2 x 1 b W 5 z M S 5 7 Q 2 9 s d W 1 u M j Q s M j N 9 J n F 1 b 3 Q 7 L C Z x d W 9 0 O 1 N l Y 3 R p b 2 4 x L 1 R h Y m x l I D A g K D M p L 0 F 1 d G 9 S Z W 1 v d m V k Q 2 9 s d W 1 u c z E u e 0 N v b H V t b j I 1 L D I 0 f S Z x d W 9 0 O y w m c X V v d D t T Z W N 0 a W 9 u M S 9 U Y W J s Z S A w I C g z K S 9 B d X R v U m V t b 3 Z l Z E N v b H V t b n M x L n t D b 2 x 1 b W 4 y N i w y N X 0 m c X V v d D s s J n F 1 b 3 Q 7 U 2 V j d G l v b j E v V G F i b G U g M C A o M y k v Q X V 0 b 1 J l b W 9 2 Z W R D b 2 x 1 b W 5 z M S 5 7 Q 2 9 s d W 1 u M j c s M j Z 9 J n F 1 b 3 Q 7 L C Z x d W 9 0 O 1 N l Y 3 R p b 2 4 x L 1 R h Y m x l I D A g K D M p L 0 F 1 d G 9 S Z W 1 v d m V k Q 2 9 s d W 1 u c z E u e 0 N v b H V t b j I 4 L D I 3 f S Z x d W 9 0 O y w m c X V v d D t T Z W N 0 a W 9 u M S 9 U Y W J s Z S A w I C g z K S 9 B d X R v U m V t b 3 Z l Z E N v b H V t b n M x L n t D b 2 x 1 b W 4 y O S w y O H 0 m c X V v d D s s J n F 1 b 3 Q 7 U 2 V j d G l v b j E v V G F i b G U g M C A o M y k v Q X V 0 b 1 J l b W 9 2 Z W R D b 2 x 1 b W 5 z M S 5 7 Q 2 9 s d W 1 u M z A s M j l 9 J n F 1 b 3 Q 7 L C Z x d W 9 0 O 1 N l Y 3 R p b 2 4 x L 1 R h Y m x l I D A g K D M p L 0 F 1 d G 9 S Z W 1 v d m V k Q 2 9 s d W 1 u c z E u e 0 N v b H V t b j M x L D M w f S Z x d W 9 0 O y w m c X V v d D t T Z W N 0 a W 9 u M S 9 U Y W J s Z S A w I C g z K S 9 B d X R v U m V t b 3 Z l Z E N v b H V t b n M x L n t D b 2 x 1 b W 4 z M i w z M X 0 m c X V v d D s s J n F 1 b 3 Q 7 U 2 V j d G l v b j E v V G F i b G U g M C A o M y k v Q X V 0 b 1 J l b W 9 2 Z W R D b 2 x 1 b W 5 z M S 5 7 Q 2 9 s d W 1 u M z M s M z J 9 J n F 1 b 3 Q 7 L C Z x d W 9 0 O 1 N l Y 3 R p b 2 4 x L 1 R h Y m x l I D A g K D M p L 0 F 1 d G 9 S Z W 1 v d m V k Q 2 9 s d W 1 u c z E u e 0 N v b H V t b j M 0 L D M z f S Z x d W 9 0 O y w m c X V v d D t T Z W N 0 a W 9 u M S 9 U Y W J s Z S A w I C g z K S 9 B d X R v U m V t b 3 Z l Z E N v b H V t b n M x L n t D b 2 x 1 b W 4 z N S w z N H 0 m c X V v d D s s J n F 1 b 3 Q 7 U 2 V j d G l v b j E v V G F i b G U g M C A o M y k v Q X V 0 b 1 J l b W 9 2 Z W R D b 2 x 1 b W 5 z M S 5 7 Q 2 9 s d W 1 u M z Y s M z V 9 J n F 1 b 3 Q 7 L C Z x d W 9 0 O 1 N l Y 3 R p b 2 4 x L 1 R h Y m x l I D A g K D M p L 0 F 1 d G 9 S Z W 1 v d m V k Q 2 9 s d W 1 u c z E u e 0 N v b H V t b j M 3 L D M 2 f S Z x d W 9 0 O y w m c X V v d D t T Z W N 0 a W 9 u M S 9 U Y W J s Z S A w I C g z K S 9 B d X R v U m V t b 3 Z l Z E N v b H V t b n M x L n t D b 2 x 1 b W 4 z O C w z N 3 0 m c X V v d D s s J n F 1 b 3 Q 7 U 2 V j d G l v b j E v V G F i b G U g M C A o M y k v Q X V 0 b 1 J l b W 9 2 Z W R D b 2 x 1 b W 5 z M S 5 7 Q 2 9 s d W 1 u M z k s M z h 9 J n F 1 b 3 Q 7 L C Z x d W 9 0 O 1 N l Y 3 R p b 2 4 x L 1 R h Y m x l I D A g K D M p L 0 F 1 d G 9 S Z W 1 v d m V k Q 2 9 s d W 1 u c z E u e 0 N v b H V t b j Q w L D M 5 f S Z x d W 9 0 O y w m c X V v d D t T Z W N 0 a W 9 u M S 9 U Y W J s Z S A w I C g z K S 9 B d X R v U m V t b 3 Z l Z E N v b H V t b n M x L n t D b 2 x 1 b W 4 0 M S w 0 M H 0 m c X V v d D s s J n F 1 b 3 Q 7 U 2 V j d G l v b j E v V G F i b G U g M C A o M y k v Q X V 0 b 1 J l b W 9 2 Z W R D b 2 x 1 b W 5 z M S 5 7 Q 2 9 s d W 1 u N D I s N D F 9 J n F 1 b 3 Q 7 L C Z x d W 9 0 O 1 N l Y 3 R p b 2 4 x L 1 R h Y m x l I D A g K D M p L 0 F 1 d G 9 S Z W 1 v d m V k Q 2 9 s d W 1 u c z E u e 0 N v b H V t b j Q z L D Q y f S Z x d W 9 0 O y w m c X V v d D t T Z W N 0 a W 9 u M S 9 U Y W J s Z S A w I C g z K S 9 B d X R v U m V t b 3 Z l Z E N v b H V t b n M x L n t D b 2 x 1 b W 4 0 N C w 0 M 3 0 m c X V v d D t d L C Z x d W 9 0 O 0 N v b H V t b k N v d W 5 0 J n F 1 b 3 Q 7 O j Q 0 L C Z x d W 9 0 O 0 t l e U N v b H V t b k 5 h b W V z J n F 1 b 3 Q 7 O l t d L C Z x d W 9 0 O 0 N v b H V t b k l k Z W 5 0 a X R p Z X M m c X V v d D s 6 W y Z x d W 9 0 O 1 N l Y 3 R p b 2 4 x L 1 R h Y m x l I D A g K D M p L 0 F 1 d G 9 S Z W 1 v d m V k Q 2 9 s d W 1 u c z E u e 0 N v b H V t b j E s M H 0 m c X V v d D s s J n F 1 b 3 Q 7 U 2 V j d G l v b j E v V G F i b G U g M C A o M y k v Q X V 0 b 1 J l b W 9 2 Z W R D b 2 x 1 b W 5 z M S 5 7 Q 2 9 s d W 1 u M i w x f S Z x d W 9 0 O y w m c X V v d D t T Z W N 0 a W 9 u M S 9 U Y W J s Z S A w I C g z K S 9 B d X R v U m V t b 3 Z l Z E N v b H V t b n M x L n t D b 2 x 1 b W 4 z L D J 9 J n F 1 b 3 Q 7 L C Z x d W 9 0 O 1 N l Y 3 R p b 2 4 x L 1 R h Y m x l I D A g K D M p L 0 F 1 d G 9 S Z W 1 v d m V k Q 2 9 s d W 1 u c z E u e 0 N v b H V t b j Q s M 3 0 m c X V v d D s s J n F 1 b 3 Q 7 U 2 V j d G l v b j E v V G F i b G U g M C A o M y k v Q X V 0 b 1 J l b W 9 2 Z W R D b 2 x 1 b W 5 z M S 5 7 Q 2 9 s d W 1 u N S w 0 f S Z x d W 9 0 O y w m c X V v d D t T Z W N 0 a W 9 u M S 9 U Y W J s Z S A w I C g z K S 9 B d X R v U m V t b 3 Z l Z E N v b H V t b n M x L n t D b 2 x 1 b W 4 2 L D V 9 J n F 1 b 3 Q 7 L C Z x d W 9 0 O 1 N l Y 3 R p b 2 4 x L 1 R h Y m x l I D A g K D M p L 0 F 1 d G 9 S Z W 1 v d m V k Q 2 9 s d W 1 u c z E u e 0 N v b H V t b j c s N n 0 m c X V v d D s s J n F 1 b 3 Q 7 U 2 V j d G l v b j E v V G F i b G U g M C A o M y k v Q X V 0 b 1 J l b W 9 2 Z W R D b 2 x 1 b W 5 z M S 5 7 Q 2 9 s d W 1 u O C w 3 f S Z x d W 9 0 O y w m c X V v d D t T Z W N 0 a W 9 u M S 9 U Y W J s Z S A w I C g z K S 9 B d X R v U m V t b 3 Z l Z E N v b H V t b n M x L n t D b 2 x 1 b W 4 5 L D h 9 J n F 1 b 3 Q 7 L C Z x d W 9 0 O 1 N l Y 3 R p b 2 4 x L 1 R h Y m x l I D A g K D M p L 0 F 1 d G 9 S Z W 1 v d m V k Q 2 9 s d W 1 u c z E u e 0 N v b H V t b j E w L D l 9 J n F 1 b 3 Q 7 L C Z x d W 9 0 O 1 N l Y 3 R p b 2 4 x L 1 R h Y m x l I D A g K D M p L 0 F 1 d G 9 S Z W 1 v d m V k Q 2 9 s d W 1 u c z E u e 0 N v b H V t b j E x L D E w f S Z x d W 9 0 O y w m c X V v d D t T Z W N 0 a W 9 u M S 9 U Y W J s Z S A w I C g z K S 9 B d X R v U m V t b 3 Z l Z E N v b H V t b n M x L n t D b 2 x 1 b W 4 x M i w x M X 0 m c X V v d D s s J n F 1 b 3 Q 7 U 2 V j d G l v b j E v V G F i b G U g M C A o M y k v Q X V 0 b 1 J l b W 9 2 Z W R D b 2 x 1 b W 5 z M S 5 7 Q 2 9 s d W 1 u M T M s M T J 9 J n F 1 b 3 Q 7 L C Z x d W 9 0 O 1 N l Y 3 R p b 2 4 x L 1 R h Y m x l I D A g K D M p L 0 F 1 d G 9 S Z W 1 v d m V k Q 2 9 s d W 1 u c z E u e 0 N v b H V t b j E 0 L D E z f S Z x d W 9 0 O y w m c X V v d D t T Z W N 0 a W 9 u M S 9 U Y W J s Z S A w I C g z K S 9 B d X R v U m V t b 3 Z l Z E N v b H V t b n M x L n t D b 2 x 1 b W 4 x N S w x N H 0 m c X V v d D s s J n F 1 b 3 Q 7 U 2 V j d G l v b j E v V G F i b G U g M C A o M y k v Q X V 0 b 1 J l b W 9 2 Z W R D b 2 x 1 b W 5 z M S 5 7 Q 2 9 s d W 1 u M T Y s M T V 9 J n F 1 b 3 Q 7 L C Z x d W 9 0 O 1 N l Y 3 R p b 2 4 x L 1 R h Y m x l I D A g K D M p L 0 F 1 d G 9 S Z W 1 v d m V k Q 2 9 s d W 1 u c z E u e 0 N v b H V t b j E 3 L D E 2 f S Z x d W 9 0 O y w m c X V v d D t T Z W N 0 a W 9 u M S 9 U Y W J s Z S A w I C g z K S 9 B d X R v U m V t b 3 Z l Z E N v b H V t b n M x L n t D b 2 x 1 b W 4 x O C w x N 3 0 m c X V v d D s s J n F 1 b 3 Q 7 U 2 V j d G l v b j E v V G F i b G U g M C A o M y k v Q X V 0 b 1 J l b W 9 2 Z W R D b 2 x 1 b W 5 z M S 5 7 Q 2 9 s d W 1 u M T k s M T h 9 J n F 1 b 3 Q 7 L C Z x d W 9 0 O 1 N l Y 3 R p b 2 4 x L 1 R h Y m x l I D A g K D M p L 0 F 1 d G 9 S Z W 1 v d m V k Q 2 9 s d W 1 u c z E u e 0 N v b H V t b j I w L D E 5 f S Z x d W 9 0 O y w m c X V v d D t T Z W N 0 a W 9 u M S 9 U Y W J s Z S A w I C g z K S 9 B d X R v U m V t b 3 Z l Z E N v b H V t b n M x L n t D b 2 x 1 b W 4 y M S w y M H 0 m c X V v d D s s J n F 1 b 3 Q 7 U 2 V j d G l v b j E v V G F i b G U g M C A o M y k v Q X V 0 b 1 J l b W 9 2 Z W R D b 2 x 1 b W 5 z M S 5 7 Q 2 9 s d W 1 u M j I s M j F 9 J n F 1 b 3 Q 7 L C Z x d W 9 0 O 1 N l Y 3 R p b 2 4 x L 1 R h Y m x l I D A g K D M p L 0 F 1 d G 9 S Z W 1 v d m V k Q 2 9 s d W 1 u c z E u e 0 N v b H V t b j I z L D I y f S Z x d W 9 0 O y w m c X V v d D t T Z W N 0 a W 9 u M S 9 U Y W J s Z S A w I C g z K S 9 B d X R v U m V t b 3 Z l Z E N v b H V t b n M x L n t D b 2 x 1 b W 4 y N C w y M 3 0 m c X V v d D s s J n F 1 b 3 Q 7 U 2 V j d G l v b j E v V G F i b G U g M C A o M y k v Q X V 0 b 1 J l b W 9 2 Z W R D b 2 x 1 b W 5 z M S 5 7 Q 2 9 s d W 1 u M j U s M j R 9 J n F 1 b 3 Q 7 L C Z x d W 9 0 O 1 N l Y 3 R p b 2 4 x L 1 R h Y m x l I D A g K D M p L 0 F 1 d G 9 S Z W 1 v d m V k Q 2 9 s d W 1 u c z E u e 0 N v b H V t b j I 2 L D I 1 f S Z x d W 9 0 O y w m c X V v d D t T Z W N 0 a W 9 u M S 9 U Y W J s Z S A w I C g z K S 9 B d X R v U m V t b 3 Z l Z E N v b H V t b n M x L n t D b 2 x 1 b W 4 y N y w y N n 0 m c X V v d D s s J n F 1 b 3 Q 7 U 2 V j d G l v b j E v V G F i b G U g M C A o M y k v Q X V 0 b 1 J l b W 9 2 Z W R D b 2 x 1 b W 5 z M S 5 7 Q 2 9 s d W 1 u M j g s M j d 9 J n F 1 b 3 Q 7 L C Z x d W 9 0 O 1 N l Y 3 R p b 2 4 x L 1 R h Y m x l I D A g K D M p L 0 F 1 d G 9 S Z W 1 v d m V k Q 2 9 s d W 1 u c z E u e 0 N v b H V t b j I 5 L D I 4 f S Z x d W 9 0 O y w m c X V v d D t T Z W N 0 a W 9 u M S 9 U Y W J s Z S A w I C g z K S 9 B d X R v U m V t b 3 Z l Z E N v b H V t b n M x L n t D b 2 x 1 b W 4 z M C w y O X 0 m c X V v d D s s J n F 1 b 3 Q 7 U 2 V j d G l v b j E v V G F i b G U g M C A o M y k v Q X V 0 b 1 J l b W 9 2 Z W R D b 2 x 1 b W 5 z M S 5 7 Q 2 9 s d W 1 u M z E s M z B 9 J n F 1 b 3 Q 7 L C Z x d W 9 0 O 1 N l Y 3 R p b 2 4 x L 1 R h Y m x l I D A g K D M p L 0 F 1 d G 9 S Z W 1 v d m V k Q 2 9 s d W 1 u c z E u e 0 N v b H V t b j M y L D M x f S Z x d W 9 0 O y w m c X V v d D t T Z W N 0 a W 9 u M S 9 U Y W J s Z S A w I C g z K S 9 B d X R v U m V t b 3 Z l Z E N v b H V t b n M x L n t D b 2 x 1 b W 4 z M y w z M n 0 m c X V v d D s s J n F 1 b 3 Q 7 U 2 V j d G l v b j E v V G F i b G U g M C A o M y k v Q X V 0 b 1 J l b W 9 2 Z W R D b 2 x 1 b W 5 z M S 5 7 Q 2 9 s d W 1 u M z Q s M z N 9 J n F 1 b 3 Q 7 L C Z x d W 9 0 O 1 N l Y 3 R p b 2 4 x L 1 R h Y m x l I D A g K D M p L 0 F 1 d G 9 S Z W 1 v d m V k Q 2 9 s d W 1 u c z E u e 0 N v b H V t b j M 1 L D M 0 f S Z x d W 9 0 O y w m c X V v d D t T Z W N 0 a W 9 u M S 9 U Y W J s Z S A w I C g z K S 9 B d X R v U m V t b 3 Z l Z E N v b H V t b n M x L n t D b 2 x 1 b W 4 z N i w z N X 0 m c X V v d D s s J n F 1 b 3 Q 7 U 2 V j d G l v b j E v V G F i b G U g M C A o M y k v Q X V 0 b 1 J l b W 9 2 Z W R D b 2 x 1 b W 5 z M S 5 7 Q 2 9 s d W 1 u M z c s M z Z 9 J n F 1 b 3 Q 7 L C Z x d W 9 0 O 1 N l Y 3 R p b 2 4 x L 1 R h Y m x l I D A g K D M p L 0 F 1 d G 9 S Z W 1 v d m V k Q 2 9 s d W 1 u c z E u e 0 N v b H V t b j M 4 L D M 3 f S Z x d W 9 0 O y w m c X V v d D t T Z W N 0 a W 9 u M S 9 U Y W J s Z S A w I C g z K S 9 B d X R v U m V t b 3 Z l Z E N v b H V t b n M x L n t D b 2 x 1 b W 4 z O S w z O H 0 m c X V v d D s s J n F 1 b 3 Q 7 U 2 V j d G l v b j E v V G F i b G U g M C A o M y k v Q X V 0 b 1 J l b W 9 2 Z W R D b 2 x 1 b W 5 z M S 5 7 Q 2 9 s d W 1 u N D A s M z l 9 J n F 1 b 3 Q 7 L C Z x d W 9 0 O 1 N l Y 3 R p b 2 4 x L 1 R h Y m x l I D A g K D M p L 0 F 1 d G 9 S Z W 1 v d m V k Q 2 9 s d W 1 u c z E u e 0 N v b H V t b j Q x L D Q w f S Z x d W 9 0 O y w m c X V v d D t T Z W N 0 a W 9 u M S 9 U Y W J s Z S A w I C g z K S 9 B d X R v U m V t b 3 Z l Z E N v b H V t b n M x L n t D b 2 x 1 b W 4 0 M i w 0 M X 0 m c X V v d D s s J n F 1 b 3 Q 7 U 2 V j d G l v b j E v V G F i b G U g M C A o M y k v Q X V 0 b 1 J l b W 9 2 Z W R D b 2 x 1 b W 5 z M S 5 7 Q 2 9 s d W 1 u N D M s N D J 9 J n F 1 b 3 Q 7 L C Z x d W 9 0 O 1 N l Y 3 R p b 2 4 x L 1 R h Y m x l I D A g K D M p L 0 F 1 d G 9 S Z W 1 v d m V k Q 2 9 s d W 1 u c z E u e 0 N v b H V t b j Q 0 L D Q z f S Z x d W 9 0 O 1 0 s J n F 1 b 3 Q 7 U m V s Y X R p b 2 5 z a G l w S W 5 m b y Z x d W 9 0 O z p b X X 0 i I C 8 + P E V u d H J 5 I F R 5 c G U 9 I k Z p b G x T d G F 0 d X M i I F Z h b H V l P S J z Q 2 9 t c G x l d G U 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s s J n F 1 b 3 Q 7 Q 2 9 s d W 1 u M T c m c X V v d D s s J n F 1 b 3 Q 7 Q 2 9 s d W 1 u M T g m c X V v d D s s J n F 1 b 3 Q 7 Q 2 9 s d W 1 u M T k m c X V v d D s s J n F 1 b 3 Q 7 Q 2 9 s d W 1 u M j A m c X V v d D s s J n F 1 b 3 Q 7 Q 2 9 s d W 1 u M j E m c X V v d D s s J n F 1 b 3 Q 7 Q 2 9 s d W 1 u M j I m c X V v d D s s J n F 1 b 3 Q 7 Q 2 9 s d W 1 u M j M m c X V v d D s s J n F 1 b 3 Q 7 Q 2 9 s d W 1 u M j Q m c X V v d D s s J n F 1 b 3 Q 7 Q 2 9 s d W 1 u M j U m c X V v d D s s J n F 1 b 3 Q 7 Q 2 9 s d W 1 u M j Y m c X V v d D s s J n F 1 b 3 Q 7 Q 2 9 s d W 1 u M j c m c X V v d D s s J n F 1 b 3 Q 7 Q 2 9 s d W 1 u M j g m c X V v d D s s J n F 1 b 3 Q 7 Q 2 9 s d W 1 u M j k m c X V v d D s s J n F 1 b 3 Q 7 Q 2 9 s d W 1 u M z A m c X V v d D s s J n F 1 b 3 Q 7 Q 2 9 s d W 1 u M z E m c X V v d D s s J n F 1 b 3 Q 7 Q 2 9 s d W 1 u M z I m c X V v d D s s J n F 1 b 3 Q 7 Q 2 9 s d W 1 u M z M m c X V v d D s s J n F 1 b 3 Q 7 Q 2 9 s d W 1 u M z Q m c X V v d D s s J n F 1 b 3 Q 7 Q 2 9 s d W 1 u M z U m c X V v d D s s J n F 1 b 3 Q 7 Q 2 9 s d W 1 u M z Y m c X V v d D s s J n F 1 b 3 Q 7 Q 2 9 s d W 1 u M z c m c X V v d D s s J n F 1 b 3 Q 7 Q 2 9 s d W 1 u M z g m c X V v d D s s J n F 1 b 3 Q 7 Q 2 9 s d W 1 u M z k m c X V v d D s s J n F 1 b 3 Q 7 Q 2 9 s d W 1 u N D A m c X V v d D s s J n F 1 b 3 Q 7 Q 2 9 s d W 1 u N D E m c X V v d D s s J n F 1 b 3 Q 7 Q 2 9 s d W 1 u N D I m c X V v d D s s J n F 1 b 3 Q 7 Q 2 9 s d W 1 u N D M m c X V v d D s s J n F 1 b 3 Q 7 Q 2 9 s d W 1 u N D Q m c X V v d D t d I i A v P j x F b n R y e S B U e X B l P S J G a W x s Q 2 9 s d W 1 u V H l w Z X M i I F Z h b H V l P S J z Q m d N R 0 J n W U d C Z 1 l H Q m d Z R 0 J n W U d C Z 1 l H Q m d Z R 0 J n W U d C Z 1 l H Q m d Z R 0 J n W U d C Z 1 l H Q m d Z R 0 J n W U d C Z 1 k 9 I i A v P j x F b n R y e S B U e X B l P S J G a W x s T G F z d F V w Z G F 0 Z W Q i I F Z h b H V l P S J k M j A y M S 0 w O S 0 w N V Q x N j o 1 O D o x M C 4 0 N D E z M T M x W i I g L z 4 8 R W 5 0 c n k g V H l w Z T 0 i R m l s b E V y c m 9 y Q 2 9 1 b n Q i I F Z h b H V l P S J s M C I g L z 4 8 R W 5 0 c n k g V H l w Z T 0 i R m l s b E V y c m 9 y Q 2 9 k Z S I g V m F s d W U 9 I n N V b m t u b 3 d u I i A v P j x F b n R y e S B U e X B l P S J G a W x s Q 2 9 1 b n Q i I F Z h b H V l P S J s O C I g L z 4 8 R W 5 0 c n k g V H l w Z T 0 i Q W R k Z W R U b 0 R h d G F N b 2 R l b C I g V m F s d W U 9 I m w w I i A v P j x F b n R y e S B U e X B l P S J R d W V y e U l E I i B W Y W x 1 Z T 0 i c 2 Y 4 M D J j Z D c 2 L W N h N W M t N G N h N y 0 4 M z M w L W J j M m Y y N z Y 0 M j U 5 N i I g L z 4 8 L 1 N 0 Y W J s Z U V u d H J p Z X M + P C 9 J d G V t P j x J d G V t P j x J d G V t T G 9 j Y X R p b 2 4 + P E l 0 Z W 1 U e X B l P k Z v c m 1 1 b G E 8 L 0 l 0 Z W 1 U e X B l P j x J d G V t U G F 0 a D 5 T Z W N 0 a W 9 u M S 9 U Y W J s Z S U y M D A l M j A o M y k v T 3 J p Z 2 V u P C 9 J d G V t U G F 0 a D 4 8 L 0 l 0 Z W 1 M b 2 N h d G l v b j 4 8 U 3 R h Y m x l R W 5 0 c m l l c y A v P j w v S X R l b T 4 8 S X R l b T 4 8 S X R l b U x v Y 2 F 0 a W 9 u P j x J d G V t V H l w Z T 5 G b 3 J t d W x h P C 9 J d G V t V H l w Z T 4 8 S X R l b V B h d G g + U 2 V j d G l v b j E v V G F i b G U l M j A w J T I w K D M p L 0 R h d G E w P C 9 J d G V t U G F 0 a D 4 8 L 0 l 0 Z W 1 M b 2 N h d G l v b j 4 8 U 3 R h Y m x l R W 5 0 c m l l c y A v P j w v S X R l b T 4 8 S X R l b T 4 8 S X R l b U x v Y 2 F 0 a W 9 u P j x J d G V t V H l w Z T 5 G b 3 J t d W x h P C 9 J d G V t V H l w Z T 4 8 S X R l b V B h d G g + U 2 V j d G l v b j E v V G F i b G U l M j A w J T I w K D M p L 1 R p c G 8 l M j B j Y W 1 i a W F k b z w v S X R l b V B h d G g + P C 9 J d G V t T G 9 j Y X R p b 2 4 + P F N 0 Y W J s Z U V u d H J p Z X M g L z 4 8 L 0 l 0 Z W 0 + P C 9 J d G V t c z 4 8 L 0 x v Y 2 F s U G F j a 2 F n Z U 1 l d G F k Y X R h R m l s Z T 4 W A A A A U E s F B g A A A A A A A A A A A A A A A A A A A A A A A C Y B A A A B A A A A 0 I y d 3 w E V 0 R G M e g D A T 8 K X 6 w E A A A A U S H y Q l E 6 z S q / G S l 6 q P 0 7 8 A A A A A A I A A A A A A B B m A A A A A Q A A I A A A A A n M 1 2 U z x B Z S 0 e v 7 c l l V 1 0 1 m X 7 U Y e 3 4 / m g E a 5 p J 0 j + + k A A A A A A 6 A A A A A A g A A I A A A A K G 8 a G W v U 5 i o U 9 Q w W H v B g M c Y X I I g X U e 2 n n N v s i M u r Y C R U A A A A N 1 C j H q / V b H c s z c p M e J u L q O f / 5 q U 4 Q u n G V Y q T q b n P 9 j v e W T C m h k r U d g k X Y v G X 9 n U I k 5 H o J 3 R 4 w V H y J I A H X 7 L + Y N z G T y L n z + w E K Y O / l x V n n z Z Q A A A A D x x V 1 K L f f 3 m l x V 3 F Y Q V f q X L K o 4 q Q P c u L l 8 i B r Q G O n D 8 i o z A E j h d U K 1 5 U f u R N 6 Z 2 Z R W B T J C q p l 2 t 3 6 A e i H U y J M c = < / D a t a M a s h u p > 
</file>

<file path=customXml/itemProps1.xml><?xml version="1.0" encoding="utf-8"?>
<ds:datastoreItem xmlns:ds="http://schemas.openxmlformats.org/officeDocument/2006/customXml" ds:itemID="{CA0654B4-0FE4-4AEB-9DDE-5251508710F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Notas</vt:lpstr>
      <vt:lpstr>INICIO</vt:lpstr>
      <vt:lpstr>Formulario</vt:lpstr>
      <vt:lpstr>RESUMEN</vt:lpstr>
      <vt:lpstr>Resumen Auxiliar</vt:lpstr>
      <vt:lpstr>Hoja Cliente</vt:lpstr>
      <vt:lpstr>Hoja Cliente Aux</vt:lpstr>
      <vt:lpstr>Hoja BIPV</vt:lpstr>
      <vt:lpstr>Tipos Tarifas</vt:lpstr>
      <vt:lpstr>Datos Instalación</vt:lpstr>
      <vt:lpstr>Datos Consumo </vt:lpstr>
      <vt:lpstr>Rendimiento Paneles</vt:lpstr>
      <vt:lpstr>Auxiliares</vt:lpstr>
      <vt:lpstr>Recálculo</vt:lpstr>
      <vt:lpstr>Producción</vt:lpstr>
      <vt:lpstr>Ingresos</vt:lpstr>
      <vt:lpstr>CostesNoGeneración</vt:lpstr>
      <vt:lpstr>VAN_Nuevos</vt:lpstr>
      <vt:lpstr>VAN_Usados</vt:lpstr>
      <vt:lpstr>Estándares</vt:lpstr>
      <vt:lpstr>Cálculo Préstamo</vt:lpstr>
      <vt:lpstr>horas_de_luz_por_provinci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Obispo Alonso</dc:creator>
  <cp:lastModifiedBy>27mar</cp:lastModifiedBy>
  <dcterms:created xsi:type="dcterms:W3CDTF">2015-06-05T18:17:20Z</dcterms:created>
  <dcterms:modified xsi:type="dcterms:W3CDTF">2021-09-06T18:35:00Z</dcterms:modified>
</cp:coreProperties>
</file>