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6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TFG Estructuras\SUBIR\"/>
    </mc:Choice>
  </mc:AlternateContent>
  <xr:revisionPtr revIDLastSave="0" documentId="13_ncr:1_{E9BA2BE0-D02E-40D7-80A7-60C166E46BA7}" xr6:coauthVersionLast="47" xr6:coauthVersionMax="47" xr10:uidLastSave="{00000000-0000-0000-0000-000000000000}"/>
  <bookViews>
    <workbookView xWindow="-28920" yWindow="-5700" windowWidth="29040" windowHeight="16440" firstSheet="1" activeTab="8" xr2:uid="{98BFAC56-D044-4C86-8C34-6217DA635366}"/>
  </bookViews>
  <sheets>
    <sheet name="CTE" sheetId="8" r:id="rId1"/>
    <sheet name="Dimensiones" sheetId="16" r:id="rId2"/>
    <sheet name="Nieve" sheetId="1" r:id="rId3"/>
    <sheet name="Cargas V" sheetId="2" r:id="rId4"/>
    <sheet name="Cargas" sheetId="14" r:id="rId5"/>
    <sheet name="V vall aerop AEMET Op" sheetId="12" r:id="rId6"/>
    <sheet name="Barras" sheetId="15" r:id="rId7"/>
    <sheet name="PVGIS" sheetId="17" r:id="rId8"/>
    <sheet name="Analisis de  sensibilidad" sheetId="21" r:id="rId9"/>
    <sheet name="RESUMEN" sheetId="23" r:id="rId10"/>
    <sheet name="Presupuesto" sheetId="24" r:id="rId11"/>
    <sheet name="AEMET V" sheetId="9" r:id="rId12"/>
  </sheets>
  <definedNames>
    <definedName name="DatosExternos_2" localSheetId="5" hidden="1">'V vall aerop AEMET Op'!$A$1:$N$5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24" l="1"/>
  <c r="I21" i="24"/>
  <c r="L14" i="24"/>
  <c r="L13" i="24"/>
  <c r="L16" i="24"/>
  <c r="L15" i="24"/>
  <c r="J14" i="24"/>
  <c r="J15" i="24"/>
  <c r="J13" i="24"/>
  <c r="I9" i="24"/>
  <c r="F36" i="24"/>
  <c r="E32" i="24"/>
  <c r="E27" i="24"/>
  <c r="E21" i="24"/>
  <c r="E12" i="24"/>
  <c r="E7" i="24"/>
  <c r="F58" i="23"/>
  <c r="F57" i="23"/>
  <c r="E36" i="24" l="1"/>
  <c r="M34" i="12" l="1"/>
  <c r="E109" i="21"/>
  <c r="E110" i="21" s="1"/>
  <c r="E105" i="21"/>
  <c r="E106" i="21" s="1"/>
  <c r="C109" i="21"/>
  <c r="C110" i="21" s="1"/>
  <c r="C105" i="21"/>
  <c r="C106" i="21" s="1"/>
  <c r="H28" i="21"/>
  <c r="H29" i="21"/>
  <c r="H30" i="21" s="1"/>
  <c r="H31" i="21"/>
  <c r="H32" i="21"/>
  <c r="H34" i="21"/>
  <c r="H35" i="21"/>
  <c r="H36" i="21"/>
  <c r="H37" i="21"/>
  <c r="H38" i="21" s="1"/>
  <c r="H39" i="21"/>
  <c r="D28" i="21" l="1"/>
  <c r="E28" i="21"/>
  <c r="F28" i="21"/>
  <c r="G28" i="21"/>
  <c r="I28" i="21"/>
  <c r="J28" i="21"/>
  <c r="K28" i="21"/>
  <c r="C28" i="21"/>
  <c r="G38" i="21"/>
  <c r="K37" i="21"/>
  <c r="K38" i="21" s="1"/>
  <c r="J37" i="21"/>
  <c r="J38" i="21" s="1"/>
  <c r="G37" i="21"/>
  <c r="E37" i="21"/>
  <c r="E38" i="21" s="1"/>
  <c r="D37" i="21"/>
  <c r="D38" i="21" s="1"/>
  <c r="D31" i="21"/>
  <c r="D32" i="21"/>
  <c r="K31" i="21"/>
  <c r="K32" i="21" s="1"/>
  <c r="J31" i="21"/>
  <c r="J32" i="21" s="1"/>
  <c r="G31" i="21"/>
  <c r="G32" i="21" s="1"/>
  <c r="E31" i="21"/>
  <c r="E32" i="21" s="1"/>
  <c r="D8" i="21"/>
  <c r="E8" i="21"/>
  <c r="C8" i="21"/>
  <c r="C19" i="21"/>
  <c r="E17" i="21"/>
  <c r="E18" i="21" s="1"/>
  <c r="D17" i="21"/>
  <c r="D18" i="21" s="1"/>
  <c r="D11" i="21"/>
  <c r="E11" i="21"/>
  <c r="E12" i="21" s="1"/>
  <c r="D12" i="21"/>
  <c r="D34" i="21"/>
  <c r="D41" i="21" s="1"/>
  <c r="D42" i="21" s="1"/>
  <c r="E34" i="21"/>
  <c r="E41" i="21" s="1"/>
  <c r="E42" i="21" s="1"/>
  <c r="F34" i="21"/>
  <c r="F41" i="21" s="1"/>
  <c r="F42" i="21" s="1"/>
  <c r="G34" i="21"/>
  <c r="G41" i="21" s="1"/>
  <c r="G42" i="21" s="1"/>
  <c r="H41" i="21"/>
  <c r="H42" i="21" s="1"/>
  <c r="I34" i="21"/>
  <c r="I41" i="21" s="1"/>
  <c r="I42" i="21" s="1"/>
  <c r="J34" i="21"/>
  <c r="J41" i="21" s="1"/>
  <c r="J42" i="21" s="1"/>
  <c r="K34" i="21"/>
  <c r="K41" i="21" s="1"/>
  <c r="K42" i="21" s="1"/>
  <c r="C34" i="21"/>
  <c r="C41" i="21" s="1"/>
  <c r="C42" i="21" s="1"/>
  <c r="D14" i="21"/>
  <c r="D21" i="21" s="1"/>
  <c r="D22" i="21" s="1"/>
  <c r="E14" i="21"/>
  <c r="E21" i="21" s="1"/>
  <c r="E22" i="21" s="1"/>
  <c r="C14" i="21"/>
  <c r="C21" i="21" s="1"/>
  <c r="C22" i="21" s="1"/>
  <c r="I39" i="21"/>
  <c r="G35" i="21" l="1"/>
  <c r="G36" i="21" s="1"/>
  <c r="F35" i="21"/>
  <c r="F36" i="21" s="1"/>
  <c r="J35" i="21"/>
  <c r="J36" i="21" s="1"/>
  <c r="K35" i="21"/>
  <c r="K36" i="21" s="1"/>
  <c r="I35" i="21"/>
  <c r="I36" i="21" s="1"/>
  <c r="J39" i="21"/>
  <c r="D39" i="21"/>
  <c r="C39" i="21"/>
  <c r="E39" i="21"/>
  <c r="F39" i="21"/>
  <c r="G39" i="21"/>
  <c r="K39" i="21"/>
  <c r="J29" i="21"/>
  <c r="J30" i="21" s="1"/>
  <c r="K29" i="21"/>
  <c r="K30" i="21" s="1"/>
  <c r="I29" i="21"/>
  <c r="I30" i="21" s="1"/>
  <c r="G29" i="21"/>
  <c r="G30" i="21" s="1"/>
  <c r="F29" i="21"/>
  <c r="F30" i="21" s="1"/>
  <c r="C29" i="21"/>
  <c r="C30" i="21" s="1"/>
  <c r="D35" i="21"/>
  <c r="D36" i="21" s="1"/>
  <c r="E35" i="21"/>
  <c r="E36" i="21" s="1"/>
  <c r="C35" i="21"/>
  <c r="C36" i="21" s="1"/>
  <c r="D29" i="21"/>
  <c r="D30" i="21" s="1"/>
  <c r="E29" i="21"/>
  <c r="E30" i="21" s="1"/>
  <c r="D19" i="21"/>
  <c r="E19" i="21"/>
  <c r="D15" i="21"/>
  <c r="D16" i="21" s="1"/>
  <c r="E15" i="21"/>
  <c r="E16" i="21" s="1"/>
  <c r="C15" i="21"/>
  <c r="C16" i="21" s="1"/>
  <c r="H19" i="16"/>
  <c r="G19" i="16"/>
  <c r="D9" i="21" l="1"/>
  <c r="D10" i="21" s="1"/>
  <c r="E9" i="21"/>
  <c r="E10" i="21" s="1"/>
  <c r="C9" i="21"/>
  <c r="C10" i="21" s="1"/>
  <c r="D39" i="17"/>
  <c r="C39" i="17"/>
  <c r="C40" i="17" s="1"/>
  <c r="N8" i="16"/>
  <c r="O8" i="16"/>
  <c r="P8" i="16"/>
  <c r="N9" i="16"/>
  <c r="O9" i="16"/>
  <c r="P9" i="16"/>
  <c r="N10" i="16"/>
  <c r="O10" i="16"/>
  <c r="P10" i="16"/>
  <c r="N11" i="16"/>
  <c r="O11" i="16"/>
  <c r="P11" i="16"/>
  <c r="N12" i="16"/>
  <c r="O12" i="16"/>
  <c r="P12" i="16"/>
  <c r="N13" i="16"/>
  <c r="O13" i="16"/>
  <c r="P13" i="16"/>
  <c r="N14" i="16"/>
  <c r="O14" i="16"/>
  <c r="P14" i="16"/>
  <c r="O7" i="16"/>
  <c r="P7" i="16"/>
  <c r="N7" i="16"/>
  <c r="K10" i="16"/>
  <c r="J10" i="16"/>
  <c r="G9" i="16"/>
  <c r="G10" i="16" s="1"/>
  <c r="H9" i="16"/>
  <c r="H10" i="16" s="1"/>
  <c r="F9" i="16"/>
  <c r="F8" i="16"/>
  <c r="J5" i="16"/>
  <c r="K5" i="16"/>
  <c r="I5" i="16"/>
  <c r="G5" i="16"/>
  <c r="H5" i="16"/>
  <c r="F5" i="16"/>
  <c r="J47" i="17"/>
  <c r="J48" i="17" s="1"/>
  <c r="D46" i="17"/>
  <c r="E46" i="17"/>
  <c r="F46" i="17"/>
  <c r="G46" i="17"/>
  <c r="G47" i="17" s="1"/>
  <c r="G48" i="17" s="1"/>
  <c r="H46" i="17"/>
  <c r="I46" i="17"/>
  <c r="I47" i="17" s="1"/>
  <c r="I48" i="17" s="1"/>
  <c r="J46" i="17"/>
  <c r="K46" i="17"/>
  <c r="K47" i="17" s="1"/>
  <c r="K48" i="17" s="1"/>
  <c r="J39" i="17"/>
  <c r="K39" i="17"/>
  <c r="E39" i="17"/>
  <c r="E42" i="17" s="1"/>
  <c r="E43" i="17" s="1"/>
  <c r="F39" i="17"/>
  <c r="F40" i="17" s="1"/>
  <c r="F41" i="17" s="1"/>
  <c r="G39" i="17"/>
  <c r="H39" i="17"/>
  <c r="H42" i="17" s="1"/>
  <c r="H43" i="17" s="1"/>
  <c r="I39" i="17"/>
  <c r="I40" i="17" s="1"/>
  <c r="I41" i="17" s="1"/>
  <c r="D38" i="17"/>
  <c r="E38" i="17"/>
  <c r="F38" i="17"/>
  <c r="G38" i="17"/>
  <c r="H38" i="17"/>
  <c r="I38" i="17"/>
  <c r="J38" i="17"/>
  <c r="K38" i="17"/>
  <c r="C46" i="17"/>
  <c r="C47" i="17" s="1"/>
  <c r="C48" i="17" s="1"/>
  <c r="C38" i="17"/>
  <c r="D23" i="17"/>
  <c r="D24" i="17" s="1"/>
  <c r="E23" i="17"/>
  <c r="E24" i="17" s="1"/>
  <c r="C23" i="17"/>
  <c r="C24" i="17" s="1"/>
  <c r="D20" i="17"/>
  <c r="D21" i="17" s="1"/>
  <c r="E20" i="17"/>
  <c r="E21" i="17" s="1"/>
  <c r="C20" i="17"/>
  <c r="C21" i="17" s="1"/>
  <c r="C56" i="14"/>
  <c r="G15" i="16"/>
  <c r="G16" i="16" s="1"/>
  <c r="G17" i="16" s="1"/>
  <c r="D29" i="17" s="1"/>
  <c r="D30" i="17" s="1"/>
  <c r="H15" i="16"/>
  <c r="H16" i="16" s="1"/>
  <c r="H17" i="16" s="1"/>
  <c r="E29" i="17" s="1"/>
  <c r="E30" i="17" s="1"/>
  <c r="F15" i="16"/>
  <c r="F16" i="16" s="1"/>
  <c r="F17" i="16" s="1"/>
  <c r="C29" i="17" s="1"/>
  <c r="C30" i="17" s="1"/>
  <c r="G6" i="16"/>
  <c r="G7" i="16" s="1"/>
  <c r="G8" i="16" s="1"/>
  <c r="H6" i="16"/>
  <c r="H7" i="16" s="1"/>
  <c r="H8" i="16" s="1"/>
  <c r="F6" i="16"/>
  <c r="F7" i="16" s="1"/>
  <c r="D44" i="14"/>
  <c r="D46" i="14" s="1"/>
  <c r="D47" i="14" s="1"/>
  <c r="D48" i="14" s="1"/>
  <c r="E44" i="14"/>
  <c r="E46" i="14" s="1"/>
  <c r="E47" i="14" s="1"/>
  <c r="E48" i="14" s="1"/>
  <c r="F44" i="14"/>
  <c r="F46" i="14" s="1"/>
  <c r="F47" i="14" s="1"/>
  <c r="F48" i="14" s="1"/>
  <c r="L47" i="14"/>
  <c r="K47" i="14"/>
  <c r="C44" i="14"/>
  <c r="C46" i="14" s="1"/>
  <c r="C47" i="14" s="1"/>
  <c r="C48" i="14" s="1"/>
  <c r="G14" i="16"/>
  <c r="H14" i="16"/>
  <c r="F14" i="16"/>
  <c r="U10" i="8"/>
  <c r="C14" i="14"/>
  <c r="C13" i="14"/>
  <c r="X10" i="8"/>
  <c r="M35" i="12"/>
  <c r="I17" i="2" s="1"/>
  <c r="N34" i="12"/>
  <c r="D19" i="14" s="1"/>
  <c r="P11" i="12"/>
  <c r="O11" i="12"/>
  <c r="O10" i="12"/>
  <c r="Q10" i="12" s="1"/>
  <c r="F15" i="2"/>
  <c r="F16" i="2" s="1"/>
  <c r="F19" i="2" s="1"/>
  <c r="F17" i="2"/>
  <c r="I8" i="2"/>
  <c r="F8" i="2"/>
  <c r="I6" i="2"/>
  <c r="I7" i="2" s="1"/>
  <c r="I10" i="2" s="1"/>
  <c r="F6" i="2"/>
  <c r="C6" i="2" s="1"/>
  <c r="C7" i="2" s="1"/>
  <c r="C10" i="2" s="1"/>
  <c r="C12" i="8"/>
  <c r="R9" i="8"/>
  <c r="R10" i="8" s="1"/>
  <c r="L11" i="8"/>
  <c r="O8" i="8"/>
  <c r="O7" i="8"/>
  <c r="O6" i="8"/>
  <c r="C76" i="8"/>
  <c r="C77" i="8"/>
  <c r="C73" i="8"/>
  <c r="G75" i="8"/>
  <c r="F75" i="8"/>
  <c r="E75" i="8"/>
  <c r="C75" i="8"/>
  <c r="C20" i="8"/>
  <c r="E20" i="8"/>
  <c r="E10" i="8" s="1"/>
  <c r="F20" i="8"/>
  <c r="F10" i="8" s="1"/>
  <c r="G20" i="8"/>
  <c r="G10" i="8" s="1"/>
  <c r="C9" i="8"/>
  <c r="H47" i="17" l="1"/>
  <c r="H48" i="17" s="1"/>
  <c r="G40" i="17"/>
  <c r="G41" i="17" s="1"/>
  <c r="G42" i="17"/>
  <c r="G43" i="17" s="1"/>
  <c r="K42" i="17"/>
  <c r="K43" i="17" s="1"/>
  <c r="J40" i="17"/>
  <c r="J42" i="17"/>
  <c r="J43" i="17" s="1"/>
  <c r="D42" i="17"/>
  <c r="D43" i="17" s="1"/>
  <c r="H40" i="17"/>
  <c r="H41" i="17" s="1"/>
  <c r="E47" i="17"/>
  <c r="E48" i="17" s="1"/>
  <c r="K40" i="17"/>
  <c r="K41" i="17" s="1"/>
  <c r="D47" i="17"/>
  <c r="D48" i="17" s="1"/>
  <c r="E40" i="17"/>
  <c r="E41" i="17" s="1"/>
  <c r="D40" i="17"/>
  <c r="D41" i="17" s="1"/>
  <c r="E16" i="17"/>
  <c r="E17" i="17" s="1"/>
  <c r="D16" i="17"/>
  <c r="D17" i="17" s="1"/>
  <c r="F47" i="17"/>
  <c r="F48" i="17" s="1"/>
  <c r="J41" i="17"/>
  <c r="C41" i="17"/>
  <c r="G8" i="8"/>
  <c r="C8" i="2"/>
  <c r="C17" i="2"/>
  <c r="D20" i="14"/>
  <c r="F8" i="8"/>
  <c r="E8" i="8"/>
  <c r="I15" i="2"/>
  <c r="I16" i="2" s="1"/>
  <c r="I19" i="2" s="1"/>
  <c r="C16" i="17"/>
  <c r="C17" i="17" s="1"/>
  <c r="F7" i="2"/>
  <c r="F10" i="2" s="1"/>
  <c r="O9" i="8"/>
  <c r="O12" i="8" s="1"/>
  <c r="R8" i="8" s="1"/>
  <c r="C72" i="8"/>
  <c r="C11" i="8" s="1"/>
  <c r="O13" i="8"/>
  <c r="G6" i="8"/>
  <c r="F6" i="8"/>
  <c r="E6" i="8"/>
  <c r="D75" i="8"/>
  <c r="E72" i="8" s="1"/>
  <c r="E11" i="8" s="1"/>
  <c r="E7" i="8" s="1"/>
  <c r="D20" i="8"/>
  <c r="D10" i="8" s="1"/>
  <c r="D6" i="8" s="1"/>
  <c r="C10" i="8"/>
  <c r="C6" i="8" s="1"/>
  <c r="D8" i="8" l="1"/>
  <c r="C8" i="8"/>
  <c r="C15" i="2"/>
  <c r="C16" i="2" s="1"/>
  <c r="C19" i="2" s="1"/>
  <c r="C7" i="8"/>
  <c r="O10" i="8"/>
  <c r="R6" i="8" s="1"/>
  <c r="R7" i="8" s="1"/>
  <c r="D72" i="8"/>
  <c r="D11" i="8" s="1"/>
  <c r="D7" i="8" s="1"/>
  <c r="F72" i="8"/>
  <c r="F11" i="8" s="1"/>
  <c r="F7" i="8" s="1"/>
  <c r="G72" i="8"/>
  <c r="G11" i="8" s="1"/>
  <c r="G7" i="8" s="1"/>
  <c r="O11" i="8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E572C84-19A4-4384-A5B9-00E840B51630}" keepAlive="1" name="Consulta - valoresclimatologicos_valladolidciudad" description="Conexión a la consulta 'valoresclimatologicos_valladolidciudad' en el libro." type="5" refreshedVersion="8" background="1" saveData="1">
    <dbPr connection="Provider=Microsoft.Mashup.OleDb.1;Data Source=$Workbook$;Location=valoresclimatologicos_valladolidciudad;Extended Properties=&quot;&quot;" command="SELECT * FROM [valoresclimatologicos_valladolidciudad]"/>
  </connection>
  <connection id="2" xr16:uid="{2A1DC093-6CDE-404F-9FD1-594CE5C4BA49}" keepAlive="1" name="Consulta - viento vall aemet" description="Conexión a la consulta 'viento vall aemet' en el libro." type="5" refreshedVersion="8" background="1" saveData="1">
    <dbPr connection="Provider=Microsoft.Mashup.OleDb.1;Data Source=$Workbook$;Location=&quot;viento vall aemet&quot;;Extended Properties=&quot;&quot;" command="SELECT * FROM [viento vall aemet]"/>
  </connection>
  <connection id="3" xr16:uid="{B2FBECA2-BB18-4E4A-B962-2828C7DF81CE}" keepAlive="1" name="Consulta - viento vall aeropuerto AEMET OpenData" description="Conexión a la consulta 'viento vall aeropuerto AEMET OpenData' en el libro." type="5" refreshedVersion="8" background="1" saveData="1">
    <dbPr connection="Provider=Microsoft.Mashup.OleDb.1;Data Source=$Workbook$;Location=&quot;viento vall aeropuerto AEMET OpenData&quot;;Extended Properties=&quot;&quot;" command="SELECT * FROM [viento vall aeropuerto AEMET OpenData]"/>
  </connection>
</connections>
</file>

<file path=xl/sharedStrings.xml><?xml version="1.0" encoding="utf-8"?>
<sst xmlns="http://schemas.openxmlformats.org/spreadsheetml/2006/main" count="797" uniqueCount="379">
  <si>
    <t>Valladolid</t>
  </si>
  <si>
    <t>-</t>
  </si>
  <si>
    <t>Variable</t>
  </si>
  <si>
    <t>Valladolid Aeropuerto</t>
  </si>
  <si>
    <t>ACCIÓN DEL VIENTO</t>
  </si>
  <si>
    <t>Grado de aspereza del entorno</t>
  </si>
  <si>
    <t>Tabla 3.4. Valores del coeficiente de exposición ce</t>
  </si>
  <si>
    <t>Altura del punto considerado (m)</t>
  </si>
  <si>
    <t>Tabla 3.6 Coeficientes de presión interior</t>
  </si>
  <si>
    <t>Esbeltez en el plano paralelo al viento</t>
  </si>
  <si>
    <t>Área de huecos en Esbeltez en el zonas de succión respecto al área total de huecos del edificio</t>
  </si>
  <si>
    <t>&lt;= 1</t>
  </si>
  <si>
    <t>&gt;=4</t>
  </si>
  <si>
    <t>vb según zonas</t>
  </si>
  <si>
    <t>Zona A</t>
  </si>
  <si>
    <t>Zona B</t>
  </si>
  <si>
    <t>Zona C</t>
  </si>
  <si>
    <t>vb según histórico</t>
  </si>
  <si>
    <t>Aeropuerto</t>
  </si>
  <si>
    <t>Media</t>
  </si>
  <si>
    <t>vb según predicciones</t>
  </si>
  <si>
    <t>F</t>
  </si>
  <si>
    <t>k</t>
  </si>
  <si>
    <t>Z</t>
  </si>
  <si>
    <t>L</t>
  </si>
  <si>
    <t>D1. Corrección de la velocidad básica en función del período de servicio</t>
  </si>
  <si>
    <t>Período de retorno (años)</t>
  </si>
  <si>
    <t>Coeficiente corrector</t>
  </si>
  <si>
    <t>D2. Coeficientes para tipo de retorno</t>
  </si>
  <si>
    <t>Parámetro</t>
  </si>
  <si>
    <t>L (m)</t>
  </si>
  <si>
    <t>Z (m)</t>
  </si>
  <si>
    <t>Coeficiente de exposición (ce)</t>
  </si>
  <si>
    <t>Coeficientes de presión exterior</t>
  </si>
  <si>
    <t>δ (kg/m^3)</t>
  </si>
  <si>
    <t>qb (kN/m^2)</t>
  </si>
  <si>
    <t>pilares de esquina</t>
  </si>
  <si>
    <t>dinteles</t>
  </si>
  <si>
    <t>pilarillo central</t>
  </si>
  <si>
    <t>Portico hastial</t>
  </si>
  <si>
    <t>pilarillos hastiales ext</t>
  </si>
  <si>
    <t xml:space="preserve">z (m) </t>
  </si>
  <si>
    <t>Lateral</t>
  </si>
  <si>
    <t>pilares</t>
  </si>
  <si>
    <t>Largo</t>
  </si>
  <si>
    <t>Ancho</t>
  </si>
  <si>
    <t>Alto lateral</t>
  </si>
  <si>
    <t>Alto central</t>
  </si>
  <si>
    <t>Dimensiones de la NAVE (m)</t>
  </si>
  <si>
    <t>ce ext (Tabla 3.4)</t>
  </si>
  <si>
    <t>ce ext (Anejo D2)</t>
  </si>
  <si>
    <t>ce int</t>
  </si>
  <si>
    <t>qe (Tabla 3.4) (kN/m^2)</t>
  </si>
  <si>
    <t>qe (Anejo D2) (kN/m^2)</t>
  </si>
  <si>
    <t>Alto puerta</t>
  </si>
  <si>
    <t>b</t>
  </si>
  <si>
    <t>d</t>
  </si>
  <si>
    <t>h</t>
  </si>
  <si>
    <t>e</t>
  </si>
  <si>
    <t>e/10</t>
  </si>
  <si>
    <t>d-e</t>
  </si>
  <si>
    <t>A</t>
  </si>
  <si>
    <t>B</t>
  </si>
  <si>
    <t>C</t>
  </si>
  <si>
    <t>m^2</t>
  </si>
  <si>
    <t>m</t>
  </si>
  <si>
    <t>e-e/10</t>
  </si>
  <si>
    <t>pdte cubierta</t>
  </si>
  <si>
    <t>D</t>
  </si>
  <si>
    <t>E</t>
  </si>
  <si>
    <t>h/d</t>
  </si>
  <si>
    <t>Cargas de viento</t>
  </si>
  <si>
    <t>Velocidad del viento (km/h)</t>
  </si>
  <si>
    <t>Velocidad del viento (m/s)</t>
  </si>
  <si>
    <t>Carga por viento (kN/m2)</t>
  </si>
  <si>
    <t>Valladolid ciudad</t>
  </si>
  <si>
    <t>vb (m/s)</t>
  </si>
  <si>
    <t>N=kg*m/s2</t>
  </si>
  <si>
    <t xml:space="preserve">Racha máx. viento: </t>
  </si>
  <si>
    <t>velocidad  (km/h)</t>
  </si>
  <si>
    <t>Dirección (º)</t>
  </si>
  <si>
    <t>(25 feb. 1989 12:30)</t>
  </si>
  <si>
    <t>Valladolid aeropuerto</t>
  </si>
  <si>
    <t>(23 ene. 1971 17:20)</t>
  </si>
  <si>
    <t>qe (Anejo D2) con int</t>
  </si>
  <si>
    <t>cp ext (presión max)</t>
  </si>
  <si>
    <t>cp int (presión max)</t>
  </si>
  <si>
    <t>cp ext (succión max)</t>
  </si>
  <si>
    <t>cp int (succión max)</t>
  </si>
  <si>
    <t>Dirección</t>
  </si>
  <si>
    <t>La dirección del viento.- viene definida por el punto del horizonte del observador desde el cual sopla (de donde proviene).</t>
  </si>
  <si>
    <t>Column2.2</t>
  </si>
  <si>
    <t>Column2.3</t>
  </si>
  <si>
    <t>Column2.4</t>
  </si>
  <si>
    <t>Column2.5</t>
  </si>
  <si>
    <t>Column2.6</t>
  </si>
  <si>
    <t>Column2.7</t>
  </si>
  <si>
    <t>Column2.8</t>
  </si>
  <si>
    <t>Column2.9</t>
  </si>
  <si>
    <t>Column2.10</t>
  </si>
  <si>
    <t>Column2.11</t>
  </si>
  <si>
    <t>Column2.12</t>
  </si>
  <si>
    <t>Column2.1.3</t>
  </si>
  <si>
    <t>Column2.13.2</t>
  </si>
  <si>
    <t>Media ponderada</t>
  </si>
  <si>
    <t>Valores máximos históricos</t>
  </si>
  <si>
    <t>Medias ponderadas</t>
  </si>
  <si>
    <t>Column1.3</t>
  </si>
  <si>
    <t>rachMax</t>
  </si>
  <si>
    <t>dirRachMax</t>
  </si>
  <si>
    <t>dia</t>
  </si>
  <si>
    <t>anio</t>
  </si>
  <si>
    <t>Mes 1</t>
  </si>
  <si>
    <t>Altura  inf</t>
  </si>
  <si>
    <t>Altura sup</t>
  </si>
  <si>
    <t xml:space="preserve"> Cubierta 1 agua</t>
  </si>
  <si>
    <t>km/h</t>
  </si>
  <si>
    <t>m/s</t>
  </si>
  <si>
    <t xml:space="preserve"> </t>
  </si>
  <si>
    <t>Nieve en Villanubla</t>
  </si>
  <si>
    <t>Altitud (m)</t>
  </si>
  <si>
    <t>Zona</t>
  </si>
  <si>
    <t>µ</t>
  </si>
  <si>
    <t>sk (kN/m2)</t>
  </si>
  <si>
    <t>sk zona 3 850m</t>
  </si>
  <si>
    <t>por la inclinación &lt; 30º</t>
  </si>
  <si>
    <t>qn (kN/m2)</t>
  </si>
  <si>
    <t>Clasificación de barras</t>
  </si>
  <si>
    <t>Pilares fachada</t>
  </si>
  <si>
    <t>Pilares hastiales</t>
  </si>
  <si>
    <t>Pilares esquinas</t>
  </si>
  <si>
    <t>Vigas</t>
  </si>
  <si>
    <t>Dinteles hastiales</t>
  </si>
  <si>
    <t>Dinteles cubierta</t>
  </si>
  <si>
    <t>Correas</t>
  </si>
  <si>
    <t>Perfiles</t>
  </si>
  <si>
    <t>IPN</t>
  </si>
  <si>
    <t>IPE</t>
  </si>
  <si>
    <t>Carga de nieve</t>
  </si>
  <si>
    <t>Nieve</t>
  </si>
  <si>
    <t>Coeficiente</t>
  </si>
  <si>
    <t>Alto máx</t>
  </si>
  <si>
    <t>Alto mínimo</t>
  </si>
  <si>
    <t>Cubierta a 2 aguas</t>
  </si>
  <si>
    <t xml:space="preserve"> Cubierta a 1 agua</t>
  </si>
  <si>
    <t>Viento</t>
  </si>
  <si>
    <t>En Valladolid aeropuerto (Villanubla)</t>
  </si>
  <si>
    <t>Media ponderada (m/s)</t>
  </si>
  <si>
    <t>Dirección del viento (º)</t>
  </si>
  <si>
    <t>Dirección en ROBOT:</t>
  </si>
  <si>
    <t>Cubierta a 1 agua:</t>
  </si>
  <si>
    <t>Cubierta a 2 aguas:</t>
  </si>
  <si>
    <t>Comerciales:</t>
  </si>
  <si>
    <t>Area (m2)</t>
  </si>
  <si>
    <t>Masa panel (kg)</t>
  </si>
  <si>
    <t>Carga (kN/m2)</t>
  </si>
  <si>
    <t>60 células 2</t>
  </si>
  <si>
    <t>60 células 1</t>
  </si>
  <si>
    <t>72 células</t>
  </si>
  <si>
    <t>Masa / Área (kg /m2)</t>
  </si>
  <si>
    <t>Paneles solares</t>
  </si>
  <si>
    <t>132 células</t>
  </si>
  <si>
    <t>Sobrecarga instalación /mtto</t>
  </si>
  <si>
    <t>Peso propio estructural</t>
  </si>
  <si>
    <t>Cubierta</t>
  </si>
  <si>
    <t>Fija</t>
  </si>
  <si>
    <t>Fija / Variable</t>
  </si>
  <si>
    <t>Redondeo (kN/m2)</t>
  </si>
  <si>
    <t>Ancho cubierta (inclinado)</t>
  </si>
  <si>
    <t>Área total (m2)</t>
  </si>
  <si>
    <t>Área disponible (m2)</t>
  </si>
  <si>
    <t>Área mitad total (m2)</t>
  </si>
  <si>
    <t>Área mitad disponible (m2)</t>
  </si>
  <si>
    <t>Ancho mitad cubierta (inclinado)</t>
  </si>
  <si>
    <t>Porcentaje disponible cubierta</t>
  </si>
  <si>
    <t>Carga (kN / m2)</t>
  </si>
  <si>
    <t>(a mano)</t>
  </si>
  <si>
    <t>Generación eléctrica PVGIS</t>
  </si>
  <si>
    <t>Coordenadas</t>
  </si>
  <si>
    <t>X</t>
  </si>
  <si>
    <t>Y</t>
  </si>
  <si>
    <t>Cubierta a 1 agua</t>
  </si>
  <si>
    <t>Area disponible</t>
  </si>
  <si>
    <t>Potencia FV pico instalada (kWp)</t>
  </si>
  <si>
    <t>Módulo comercial elegido</t>
  </si>
  <si>
    <t>Potencia máxima nominal (Pmax)</t>
  </si>
  <si>
    <t>Eficiencia del módulo (%)</t>
  </si>
  <si>
    <t>Irradiancia (kW/m2)</t>
  </si>
  <si>
    <t>Cubierta y paneles solares</t>
  </si>
  <si>
    <t>Pórtico hastial al Oeste</t>
  </si>
  <si>
    <t>Pórtico hastial al Sur</t>
  </si>
  <si>
    <t>Pórtico hastial al Sur-Oeste</t>
  </si>
  <si>
    <t>Y+</t>
  </si>
  <si>
    <t>X-</t>
  </si>
  <si>
    <t>X- Y+</t>
  </si>
  <si>
    <t>X+</t>
  </si>
  <si>
    <t>X+ Y-</t>
  </si>
  <si>
    <t>X+ Y+</t>
  </si>
  <si>
    <t>X+Y+</t>
  </si>
  <si>
    <t>X-Y+</t>
  </si>
  <si>
    <t>Cubierta al Sur</t>
  </si>
  <si>
    <t>Viento del SO</t>
  </si>
  <si>
    <t>Viento del S</t>
  </si>
  <si>
    <t>Viento del O</t>
  </si>
  <si>
    <t>Y-</t>
  </si>
  <si>
    <t>Suma</t>
  </si>
  <si>
    <t>Cubierta y paneles solares (kN/m2)</t>
  </si>
  <si>
    <t>Ancho (sobre planta)</t>
  </si>
  <si>
    <t>Casos de carga</t>
  </si>
  <si>
    <t>Pendiente cubierta</t>
  </si>
  <si>
    <t>Producción anual FV [kWh]</t>
  </si>
  <si>
    <r>
      <t>Irradiación anual [kWh/m</t>
    </r>
    <r>
      <rPr>
        <sz val="5"/>
        <color rgb="FF000000"/>
        <rFont val="Arial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</si>
  <si>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t>Pendiente cubierta (º)</t>
  </si>
  <si>
    <t>Diferencia neta</t>
  </si>
  <si>
    <t>Azimut (º)</t>
  </si>
  <si>
    <t>Coste producción anual [cent€/kWh]</t>
  </si>
  <si>
    <t>Diferencia (%)</t>
  </si>
  <si>
    <t>Area disponible mitad</t>
  </si>
  <si>
    <t>Potencia FV pico instalada mitad</t>
  </si>
  <si>
    <t>PH al O</t>
  </si>
  <si>
    <t>PH al S</t>
  </si>
  <si>
    <t>PH al S-O</t>
  </si>
  <si>
    <r>
      <t>Irradiación anual lado A [kWh/m</t>
    </r>
    <r>
      <rPr>
        <sz val="5"/>
        <color rgb="FF000000"/>
        <rFont val="Arial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</si>
  <si>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t>Producción anual FV lado A [kWh]</t>
  </si>
  <si>
    <r>
      <t>Irradiación anual lado B [kWh/m</t>
    </r>
    <r>
      <rPr>
        <sz val="5"/>
        <color rgb="FF000000"/>
        <rFont val="Arial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</si>
  <si>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t>Producción anual FV lado B [kWh]</t>
  </si>
  <si>
    <r>
      <t>Irradiación anual total [kWh/m</t>
    </r>
    <r>
      <rPr>
        <sz val="5"/>
        <color rgb="FF000000"/>
        <rFont val="Arial"/>
        <family val="2"/>
      </rPr>
      <t>2</t>
    </r>
    <r>
      <rPr>
        <sz val="11"/>
        <color theme="1"/>
        <rFont val="Calibri"/>
        <family val="2"/>
        <scheme val="minor"/>
      </rPr>
      <t>]</t>
    </r>
  </si>
  <si>
    <t>Producción anual FV total [kWh]</t>
  </si>
  <si>
    <t>Coste producción anual A [cent€/kWh]</t>
  </si>
  <si>
    <t>Coste producción anual B [cent€/kWh]</t>
  </si>
  <si>
    <t>Coste producción anual total [cent€/kWh]</t>
  </si>
  <si>
    <t>Azimut lado A [º]</t>
  </si>
  <si>
    <t>Azimut lado B [º]</t>
  </si>
  <si>
    <t>Revisar: debo meter la mitad de coste sistema FV</t>
  </si>
  <si>
    <t>Y luego hacer media¿?</t>
  </si>
  <si>
    <t>Cubierta orientada al SUR</t>
  </si>
  <si>
    <t>Diferencia</t>
  </si>
  <si>
    <t>Alto en el centro</t>
  </si>
  <si>
    <t>Alto elegido para ROBOT</t>
  </si>
  <si>
    <t>Lineas de construcción en Z</t>
  </si>
  <si>
    <t>Origen</t>
  </si>
  <si>
    <t>Alto mín</t>
  </si>
  <si>
    <t>Correción para ROBOT</t>
  </si>
  <si>
    <t>Cantidad</t>
  </si>
  <si>
    <t>Sección de partida</t>
  </si>
  <si>
    <t>Peso [kg]</t>
  </si>
  <si>
    <t>Diferencia neta [kg]</t>
  </si>
  <si>
    <t>Eficiencia</t>
  </si>
  <si>
    <t>Combinación de cargas</t>
  </si>
  <si>
    <t>2. PH al O. Viento del SO.</t>
  </si>
  <si>
    <t>6. PH al S. Viento del O.</t>
  </si>
  <si>
    <t>1. PH al O. Viento del O.</t>
  </si>
  <si>
    <t>3. PH al O. Viento del S.</t>
  </si>
  <si>
    <t>13. PH al S. Viento del SO.</t>
  </si>
  <si>
    <t>Simplificando</t>
  </si>
  <si>
    <t>14. PH al S. Viento del S.</t>
  </si>
  <si>
    <t>15. PH al SO. Viento del O.</t>
  </si>
  <si>
    <t>16. PH al SO. Viento del SO.</t>
  </si>
  <si>
    <t>17. PH al SO. Viento del S.</t>
  </si>
  <si>
    <t>Más simplificado</t>
  </si>
  <si>
    <t>1. Viento PH</t>
  </si>
  <si>
    <t>2. Viento esquina</t>
  </si>
  <si>
    <t>3. Viento fachada</t>
  </si>
  <si>
    <t>Con el PH al SO, no concibo el caso de que le sople a la fachada, porque por histórico de datos, no es una dirección habitual. La voy a tener en cuenta de primeras, ya que hago el mismo cálculo para todos.</t>
  </si>
  <si>
    <t>Actualizado con SO</t>
  </si>
  <si>
    <t>Solicitación media</t>
  </si>
  <si>
    <t>Peso * Solicitación media [t]</t>
  </si>
  <si>
    <t>Peso [t]</t>
  </si>
  <si>
    <t>Diferencia neta respecto a 5º</t>
  </si>
  <si>
    <t>Diferencia (%) respecto a 5º</t>
  </si>
  <si>
    <t>Diferencia neta al anterior</t>
  </si>
  <si>
    <t>Diferencia (%) al anterior</t>
  </si>
  <si>
    <t>Diferencia neta al anterior [kg]</t>
  </si>
  <si>
    <t>Producción anual FV [GWh]</t>
  </si>
  <si>
    <t>Diferencia neta respecto al anterior</t>
  </si>
  <si>
    <t>Diferencia (%) respecto al anterior</t>
  </si>
  <si>
    <t>1 agua</t>
  </si>
  <si>
    <t>2 aguas</t>
  </si>
  <si>
    <t>Mejor solución para cada caso</t>
  </si>
  <si>
    <t>Máx producción FV</t>
  </si>
  <si>
    <t>Orientación</t>
  </si>
  <si>
    <t>C al S</t>
  </si>
  <si>
    <t>PH al SO</t>
  </si>
  <si>
    <t>Mín peso estructura
Máx eficiencia</t>
  </si>
  <si>
    <t>Correas hastiales</t>
  </si>
  <si>
    <t xml:space="preserve">Anejo E </t>
  </si>
  <si>
    <t>Documenot Básico SE-AE</t>
  </si>
  <si>
    <t>Tabla E.2 Sobrecarga de nieve en un terreno horizontal (kN/m2)</t>
  </si>
  <si>
    <t>0,4</t>
  </si>
  <si>
    <t>0,2</t>
  </si>
  <si>
    <t>0,5</t>
  </si>
  <si>
    <t>0,3</t>
  </si>
  <si>
    <t>0,6</t>
  </si>
  <si>
    <t>0,9</t>
  </si>
  <si>
    <t>1,0</t>
  </si>
  <si>
    <t>1,1</t>
  </si>
  <si>
    <t>0,8</t>
  </si>
  <si>
    <t>0,7</t>
  </si>
  <si>
    <t>1,4</t>
  </si>
  <si>
    <t>1,3</t>
  </si>
  <si>
    <t>1,7</t>
  </si>
  <si>
    <t>1,5</t>
  </si>
  <si>
    <t>1,2</t>
  </si>
  <si>
    <t>2,3</t>
  </si>
  <si>
    <t>3,0</t>
  </si>
  <si>
    <t>4,3</t>
  </si>
  <si>
    <t>3,5</t>
  </si>
  <si>
    <t>2,6</t>
  </si>
  <si>
    <t>4,6</t>
  </si>
  <si>
    <t>2,5</t>
  </si>
  <si>
    <t>5,5</t>
  </si>
  <si>
    <t>4,0</t>
  </si>
  <si>
    <t>9,3</t>
  </si>
  <si>
    <t>8,0</t>
  </si>
  <si>
    <t>3,2</t>
  </si>
  <si>
    <t>2,0</t>
  </si>
  <si>
    <t>1,9</t>
  </si>
  <si>
    <t>3,3</t>
  </si>
  <si>
    <t>Zona de clima invernal. (según figura E.2)</t>
  </si>
  <si>
    <r>
      <rPr>
        <b/>
        <sz val="11"/>
        <color theme="1"/>
        <rFont val="Calibri"/>
        <family val="2"/>
        <scheme val="minor"/>
      </rPr>
      <t>Zona de clima invernal</t>
    </r>
    <r>
      <rPr>
        <sz val="11"/>
        <color theme="1"/>
        <rFont val="Calibri"/>
        <family val="2"/>
        <scheme val="minor"/>
      </rPr>
      <t>. (según figura E.2)</t>
    </r>
  </si>
  <si>
    <t>Grado constructivo</t>
  </si>
  <si>
    <t>Pendiente cubierta [º]</t>
  </si>
  <si>
    <t>PH al O y PH al S</t>
  </si>
  <si>
    <t>Grupo</t>
  </si>
  <si>
    <t>Tarea</t>
  </si>
  <si>
    <t>D/I</t>
  </si>
  <si>
    <t>Horas</t>
  </si>
  <si>
    <t>Planteamiento</t>
  </si>
  <si>
    <t>Diseño en Robot</t>
  </si>
  <si>
    <t>Acciones sobre la edificación</t>
  </si>
  <si>
    <t>Consulta de normas</t>
  </si>
  <si>
    <t>Familiarización con el programa</t>
  </si>
  <si>
    <t>Introducción de cargas y combinaciones</t>
  </si>
  <si>
    <t>Diseño común de la nave</t>
  </si>
  <si>
    <t>Estudio de diagramas de esfuerzos</t>
  </si>
  <si>
    <t>Dimensionamiento y verificación de barras</t>
  </si>
  <si>
    <t>Peso de la cubierta y las placas</t>
  </si>
  <si>
    <t>Búsqueda de proyecctos similares</t>
  </si>
  <si>
    <t>Consultas bibliográficas</t>
  </si>
  <si>
    <t>Estructuración del proyecto</t>
  </si>
  <si>
    <t>PVGIS</t>
  </si>
  <si>
    <t>Familiarización con la web</t>
  </si>
  <si>
    <t>Modificaciones para cada caso particular</t>
  </si>
  <si>
    <t>Introducción de datos</t>
  </si>
  <si>
    <t>Recopilación de resultados</t>
  </si>
  <si>
    <t>Licencia de Office</t>
  </si>
  <si>
    <t>Licencia de Robot Structural Analysis</t>
  </si>
  <si>
    <t>Licencia de Windows</t>
  </si>
  <si>
    <t>Portátil</t>
  </si>
  <si>
    <t>Acceso a internet</t>
  </si>
  <si>
    <t>Periféricos</t>
  </si>
  <si>
    <t>Impresión de los documentos</t>
  </si>
  <si>
    <t>Encuadernación</t>
  </si>
  <si>
    <t>Creación de tablas dinámicas en Excel</t>
  </si>
  <si>
    <t>Análisis de sensibilidad</t>
  </si>
  <si>
    <t>Fijación de objetivos</t>
  </si>
  <si>
    <t>Redacción</t>
  </si>
  <si>
    <t>Contraste de conclusiiones y objetivos</t>
  </si>
  <si>
    <t>Peso de la estructura [t]</t>
  </si>
  <si>
    <t>Total</t>
  </si>
  <si>
    <t>Datos meteorológicos históricos de viento en AEMET</t>
  </si>
  <si>
    <t>Redacción del documento</t>
  </si>
  <si>
    <t>Subtotal</t>
  </si>
  <si>
    <t>Robot</t>
  </si>
  <si>
    <t>Análisis de resultados</t>
  </si>
  <si>
    <t>Apartado de trabajo</t>
  </si>
  <si>
    <t>Herramientas de coste directo</t>
  </si>
  <si>
    <t>Licencia de Microsoft Office</t>
  </si>
  <si>
    <t>Licencia de Robot</t>
  </si>
  <si>
    <t>Portátil + licencia de Windows</t>
  </si>
  <si>
    <t>Coste/hora</t>
  </si>
  <si>
    <t>Coste amortizable</t>
  </si>
  <si>
    <t>Coste anual</t>
  </si>
  <si>
    <t>Costes directos</t>
  </si>
  <si>
    <t>Costes indirectos</t>
  </si>
  <si>
    <t>Costes totales</t>
  </si>
  <si>
    <t>Costes totales + IVA</t>
  </si>
  <si>
    <t>Costes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</si>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</sst>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rgb="FF000000"/>
      <name val="Arial Unicode MS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trike/>
      <sz val="11"/>
      <color theme="1"/>
      <name val="Calibri"/>
      <family val="2"/>
      <scheme val="minor"/>
    </font>
    <font>
      <sz val="5"/>
      <color rgb="FF00000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8" xfId="0" applyBorder="1" applyAlignment="1">
      <alignment horizontal="center" vertical="center" wrapText="1"/>
    </xf>
    <xf numFmtId="0" fontId="3" fillId="0" borderId="0" xfId="0" applyFont="1"/>
    <xf numFmtId="0" fontId="0" fillId="0" borderId="19" xfId="0" applyBorder="1"/>
    <xf numFmtId="0" fontId="0" fillId="0" borderId="21" xfId="0" applyBorder="1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20" xfId="0" applyBorder="1"/>
    <xf numFmtId="0" fontId="0" fillId="0" borderId="22" xfId="0" applyBorder="1"/>
    <xf numFmtId="0" fontId="0" fillId="0" borderId="23" xfId="0" applyBorder="1"/>
    <xf numFmtId="0" fontId="0" fillId="2" borderId="14" xfId="0" applyFill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0" borderId="7" xfId="0" applyFont="1" applyBorder="1"/>
    <xf numFmtId="0" fontId="4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6" fillId="0" borderId="0" xfId="0" applyFont="1"/>
    <xf numFmtId="0" fontId="2" fillId="0" borderId="8" xfId="0" applyFont="1" applyBorder="1"/>
    <xf numFmtId="0" fontId="2" fillId="0" borderId="0" xfId="0" applyFont="1" applyAlignment="1">
      <alignment horizontal="left" vertical="center"/>
    </xf>
    <xf numFmtId="0" fontId="0" fillId="0" borderId="0" xfId="0" quotePrefix="1"/>
    <xf numFmtId="0" fontId="0" fillId="0" borderId="31" xfId="0" applyBorder="1"/>
    <xf numFmtId="0" fontId="2" fillId="0" borderId="30" xfId="0" applyFont="1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7" fillId="0" borderId="0" xfId="0" applyFont="1"/>
    <xf numFmtId="0" fontId="2" fillId="0" borderId="31" xfId="0" applyFont="1" applyBorder="1"/>
    <xf numFmtId="0" fontId="0" fillId="0" borderId="36" xfId="0" applyBorder="1"/>
    <xf numFmtId="0" fontId="2" fillId="0" borderId="36" xfId="0" applyFont="1" applyBorder="1"/>
    <xf numFmtId="0" fontId="0" fillId="0" borderId="37" xfId="0" applyBorder="1"/>
    <xf numFmtId="0" fontId="0" fillId="6" borderId="7" xfId="0" applyFill="1" applyBorder="1"/>
    <xf numFmtId="0" fontId="0" fillId="6" borderId="11" xfId="0" applyFill="1" applyBorder="1"/>
    <xf numFmtId="0" fontId="0" fillId="0" borderId="39" xfId="0" applyBorder="1"/>
    <xf numFmtId="0" fontId="2" fillId="0" borderId="4" xfId="0" applyFont="1" applyBorder="1"/>
    <xf numFmtId="0" fontId="2" fillId="0" borderId="38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10" xfId="0" applyFont="1" applyBorder="1"/>
    <xf numFmtId="0" fontId="2" fillId="0" borderId="6" xfId="0" applyFont="1" applyBorder="1"/>
    <xf numFmtId="0" fontId="10" fillId="0" borderId="26" xfId="0" applyFont="1" applyBorder="1"/>
    <xf numFmtId="0" fontId="2" fillId="0" borderId="14" xfId="0" applyFont="1" applyBorder="1"/>
    <xf numFmtId="0" fontId="10" fillId="0" borderId="1" xfId="0" applyFont="1" applyBorder="1"/>
    <xf numFmtId="0" fontId="0" fillId="0" borderId="50" xfId="0" applyBorder="1"/>
    <xf numFmtId="0" fontId="0" fillId="0" borderId="51" xfId="0" applyBorder="1"/>
    <xf numFmtId="0" fontId="0" fillId="0" borderId="43" xfId="0" applyBorder="1"/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2" borderId="4" xfId="0" applyFill="1" applyBorder="1"/>
    <xf numFmtId="0" fontId="0" fillId="0" borderId="52" xfId="0" applyBorder="1"/>
    <xf numFmtId="0" fontId="2" fillId="0" borderId="5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 wrapText="1"/>
    </xf>
    <xf numFmtId="0" fontId="0" fillId="7" borderId="14" xfId="0" applyFill="1" applyBorder="1"/>
    <xf numFmtId="0" fontId="0" fillId="4" borderId="14" xfId="0" applyFill="1" applyBorder="1"/>
    <xf numFmtId="0" fontId="0" fillId="0" borderId="7" xfId="0" quotePrefix="1" applyBorder="1"/>
    <xf numFmtId="0" fontId="0" fillId="0" borderId="39" xfId="0" quotePrefix="1" applyBorder="1"/>
    <xf numFmtId="0" fontId="0" fillId="0" borderId="10" xfId="0" quotePrefix="1" applyBorder="1"/>
    <xf numFmtId="0" fontId="9" fillId="0" borderId="8" xfId="0" applyFont="1" applyBorder="1"/>
    <xf numFmtId="0" fontId="0" fillId="8" borderId="7" xfId="0" applyFill="1" applyBorder="1"/>
    <xf numFmtId="0" fontId="0" fillId="3" borderId="7" xfId="0" applyFill="1" applyBorder="1"/>
    <xf numFmtId="0" fontId="0" fillId="9" borderId="7" xfId="0" applyFill="1" applyBorder="1"/>
    <xf numFmtId="0" fontId="0" fillId="4" borderId="7" xfId="0" applyFill="1" applyBorder="1"/>
    <xf numFmtId="0" fontId="0" fillId="8" borderId="39" xfId="0" applyFill="1" applyBorder="1"/>
    <xf numFmtId="0" fontId="0" fillId="3" borderId="10" xfId="0" applyFill="1" applyBorder="1"/>
    <xf numFmtId="0" fontId="9" fillId="0" borderId="31" xfId="0" applyFont="1" applyBorder="1"/>
    <xf numFmtId="0" fontId="0" fillId="10" borderId="2" xfId="0" applyFill="1" applyBorder="1"/>
    <xf numFmtId="0" fontId="0" fillId="11" borderId="4" xfId="0" applyFill="1" applyBorder="1"/>
    <xf numFmtId="0" fontId="0" fillId="10" borderId="4" xfId="0" applyFill="1" applyBorder="1"/>
    <xf numFmtId="0" fontId="0" fillId="2" borderId="6" xfId="0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6" xfId="0" applyFont="1" applyBorder="1"/>
    <xf numFmtId="0" fontId="2" fillId="0" borderId="5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0" fillId="0" borderId="44" xfId="0" applyFont="1" applyBorder="1"/>
    <xf numFmtId="0" fontId="0" fillId="0" borderId="45" xfId="0" applyBorder="1"/>
    <xf numFmtId="0" fontId="2" fillId="0" borderId="45" xfId="0" applyFont="1" applyBorder="1"/>
    <xf numFmtId="0" fontId="0" fillId="0" borderId="45" xfId="0" applyBorder="1" applyAlignment="1">
      <alignment vertical="center"/>
    </xf>
    <xf numFmtId="0" fontId="0" fillId="0" borderId="59" xfId="0" applyBorder="1"/>
    <xf numFmtId="0" fontId="0" fillId="0" borderId="7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10" fillId="0" borderId="7" xfId="0" applyFont="1" applyBorder="1"/>
    <xf numFmtId="0" fontId="0" fillId="12" borderId="7" xfId="0" applyFill="1" applyBorder="1"/>
    <xf numFmtId="0" fontId="0" fillId="13" borderId="7" xfId="0" applyFill="1" applyBorder="1"/>
    <xf numFmtId="2" fontId="0" fillId="12" borderId="7" xfId="0" applyNumberFormat="1" applyFill="1" applyBorder="1" applyAlignment="1">
      <alignment horizontal="center"/>
    </xf>
    <xf numFmtId="2" fontId="0" fillId="13" borderId="7" xfId="0" applyNumberFormat="1" applyFill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14" borderId="7" xfId="0" applyFill="1" applyBorder="1"/>
    <xf numFmtId="2" fontId="0" fillId="14" borderId="7" xfId="0" applyNumberFormat="1" applyFill="1" applyBorder="1" applyAlignment="1">
      <alignment horizontal="center"/>
    </xf>
    <xf numFmtId="2" fontId="0" fillId="0" borderId="7" xfId="0" applyNumberFormat="1" applyBorder="1"/>
    <xf numFmtId="0" fontId="9" fillId="0" borderId="7" xfId="0" applyFont="1" applyBorder="1"/>
    <xf numFmtId="0" fontId="9" fillId="0" borderId="7" xfId="0" applyFont="1" applyBorder="1" applyAlignment="1">
      <alignment horizontal="right"/>
    </xf>
    <xf numFmtId="2" fontId="2" fillId="0" borderId="7" xfId="0" applyNumberFormat="1" applyFont="1" applyBorder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0" fillId="0" borderId="19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center"/>
    </xf>
    <xf numFmtId="0" fontId="2" fillId="5" borderId="7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2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8" borderId="7" xfId="0" applyFill="1" applyBorder="1" applyAlignment="1">
      <alignment horizontal="left"/>
    </xf>
    <xf numFmtId="0" fontId="0" fillId="4" borderId="7" xfId="0" applyFill="1" applyBorder="1" applyAlignment="1">
      <alignment horizontal="left"/>
    </xf>
    <xf numFmtId="0" fontId="0" fillId="0" borderId="56" xfId="0" applyBorder="1" applyAlignment="1">
      <alignment horizontal="left"/>
    </xf>
    <xf numFmtId="0" fontId="0" fillId="0" borderId="51" xfId="0" applyBorder="1" applyAlignment="1">
      <alignment horizontal="left"/>
    </xf>
    <xf numFmtId="0" fontId="0" fillId="8" borderId="39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0" fillId="9" borderId="7" xfId="0" applyFill="1" applyBorder="1" applyAlignment="1">
      <alignment horizontal="left"/>
    </xf>
    <xf numFmtId="0" fontId="0" fillId="6" borderId="7" xfId="0" applyFill="1" applyBorder="1" applyAlignment="1">
      <alignment horizontal="left"/>
    </xf>
    <xf numFmtId="0" fontId="2" fillId="0" borderId="5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32" xfId="0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Rachas máximas históricas</a:t>
            </a:r>
            <a:r>
              <a:rPr lang="en-US" baseline="0"/>
              <a:t> Villanubla</a:t>
            </a:r>
            <a:endParaRPr lang="en-US"/>
          </a:p>
        </c:rich>
      </c:tx>
      <c:layout>
        <c:manualLayout>
          <c:xMode val="edge"/>
          <c:yMode val="edge"/>
          <c:x val="0.17433808553971486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Velocidad en función de la direccion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 vall aerop AEMET Op'!$B$35:$L$35</c:f>
              <c:numCache>
                <c:formatCode>General</c:formatCode>
                <c:ptCount val="11"/>
                <c:pt idx="0">
                  <c:v>230</c:v>
                </c:pt>
                <c:pt idx="1">
                  <c:v>260</c:v>
                </c:pt>
                <c:pt idx="2">
                  <c:v>230</c:v>
                </c:pt>
                <c:pt idx="3">
                  <c:v>250</c:v>
                </c:pt>
                <c:pt idx="4">
                  <c:v>230</c:v>
                </c:pt>
                <c:pt idx="5">
                  <c:v>180</c:v>
                </c:pt>
                <c:pt idx="6">
                  <c:v>180</c:v>
                </c:pt>
                <c:pt idx="7">
                  <c:v>200</c:v>
                </c:pt>
                <c:pt idx="8">
                  <c:v>230</c:v>
                </c:pt>
                <c:pt idx="9">
                  <c:v>230</c:v>
                </c:pt>
                <c:pt idx="10">
                  <c:v>230</c:v>
                </c:pt>
              </c:numCache>
            </c:numRef>
          </c:xVal>
          <c:yVal>
            <c:numRef>
              <c:f>'V vall aerop AEMET Op'!$B$34:$L$34</c:f>
              <c:numCache>
                <c:formatCode>General</c:formatCode>
                <c:ptCount val="11"/>
                <c:pt idx="0">
                  <c:v>133</c:v>
                </c:pt>
                <c:pt idx="1">
                  <c:v>121</c:v>
                </c:pt>
                <c:pt idx="2">
                  <c:v>101</c:v>
                </c:pt>
                <c:pt idx="3">
                  <c:v>103</c:v>
                </c:pt>
                <c:pt idx="4">
                  <c:v>95</c:v>
                </c:pt>
                <c:pt idx="5">
                  <c:v>108</c:v>
                </c:pt>
                <c:pt idx="6">
                  <c:v>97</c:v>
                </c:pt>
                <c:pt idx="7">
                  <c:v>121</c:v>
                </c:pt>
                <c:pt idx="8">
                  <c:v>121</c:v>
                </c:pt>
                <c:pt idx="9">
                  <c:v>121</c:v>
                </c:pt>
                <c:pt idx="10">
                  <c:v>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40-44E1-AF33-3D11EAEAE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1744"/>
        <c:axId val="6902224"/>
      </c:scatterChart>
      <c:valAx>
        <c:axId val="6901744"/>
        <c:scaling>
          <c:orientation val="minMax"/>
          <c:max val="3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Orientación (ángulo)</a:t>
                </a:r>
              </a:p>
              <a:p>
                <a:pPr>
                  <a:defRPr/>
                </a:pPr>
                <a:r>
                  <a:rPr lang="es-ES"/>
                  <a:t>NORTE</a:t>
                </a:r>
                <a:r>
                  <a:rPr lang="es-ES" baseline="0"/>
                  <a:t> = 0 , ESTE = 90, SUR = 180 y OESTE = 270</a:t>
                </a:r>
              </a:p>
            </c:rich>
          </c:tx>
          <c:layout>
            <c:manualLayout>
              <c:xMode val="edge"/>
              <c:yMode val="edge"/>
              <c:x val="0.46627173639954883"/>
              <c:y val="0.878588442340661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2224"/>
        <c:crosses val="autoZero"/>
        <c:crossBetween val="midCat"/>
        <c:majorUnit val="60"/>
      </c:valAx>
      <c:valAx>
        <c:axId val="69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  <a:r>
                  <a:rPr lang="es-ES" baseline="0"/>
                  <a:t> viento (km/h)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2.9871011541072641E-2"/>
              <c:y val="0.311528454174442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sensibilidad'!$B$7</c:f>
              <c:strCache>
                <c:ptCount val="1"/>
                <c:pt idx="0">
                  <c:v>Producción anual FV [kWh]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sensibilidad'!$C$7:$E$7</c:f>
              <c:numCache>
                <c:formatCode>General</c:formatCode>
                <c:ptCount val="3"/>
                <c:pt idx="0">
                  <c:v>226758.32</c:v>
                </c:pt>
                <c:pt idx="1">
                  <c:v>237772.58</c:v>
                </c:pt>
                <c:pt idx="2">
                  <c:v>249591.63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56-48D2-A38B-B0C6649B36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78176"/>
        <c:axId val="108064256"/>
      </c:scatterChart>
      <c:valAx>
        <c:axId val="108078176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064256"/>
        <c:crosses val="autoZero"/>
        <c:crossBetween val="midCat"/>
        <c:majorUnit val="5"/>
        <c:minorUnit val="1"/>
      </c:valAx>
      <c:valAx>
        <c:axId val="108064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[kWh]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08078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sensibilidad'!$B$13</c:f>
              <c:strCache>
                <c:ptCount val="1"/>
                <c:pt idx="0">
                  <c:v>Peso [kg]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sensibilidad'!$C$13:$E$13</c:f>
              <c:numCache>
                <c:formatCode>General</c:formatCode>
                <c:ptCount val="3"/>
                <c:pt idx="0">
                  <c:v>28125</c:v>
                </c:pt>
                <c:pt idx="1">
                  <c:v>31643</c:v>
                </c:pt>
                <c:pt idx="2">
                  <c:v>34129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87C-44F4-9A4D-DC8B42E434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7943648"/>
        <c:axId val="150077600"/>
      </c:scatterChart>
      <c:valAx>
        <c:axId val="1837943648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077600"/>
        <c:crosses val="autoZero"/>
        <c:crossBetween val="midCat"/>
        <c:majorUnit val="5"/>
        <c:minorUnit val="1"/>
      </c:valAx>
      <c:valAx>
        <c:axId val="150077600"/>
        <c:scaling>
          <c:orientation val="minMax"/>
          <c:min val="27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[kg]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83794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sensibilidad'!$B$19</c:f>
              <c:strCache>
                <c:ptCount val="1"/>
                <c:pt idx="0">
                  <c:v>Eficiencia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sensibilidad'!$C$19:$E$19</c:f>
              <c:numCache>
                <c:formatCode>General</c:formatCode>
                <c:ptCount val="3"/>
                <c:pt idx="0">
                  <c:v>8.06</c:v>
                </c:pt>
                <c:pt idx="1">
                  <c:v>7.51</c:v>
                </c:pt>
                <c:pt idx="2">
                  <c:v>7.31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933-4BFD-A2B2-59480FDCB3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8640736"/>
        <c:axId val="1138631136"/>
      </c:scatterChart>
      <c:valAx>
        <c:axId val="1138640736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layout>
            <c:manualLayout>
              <c:xMode val="edge"/>
              <c:yMode val="edge"/>
              <c:x val="0.29675348011738639"/>
              <c:y val="0.8160236854818466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8631136"/>
        <c:crosses val="autoZero"/>
        <c:crossBetween val="midCat"/>
        <c:majorUnit val="5"/>
        <c:minorUnit val="1"/>
      </c:valAx>
      <c:valAx>
        <c:axId val="1138631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Eficiencia </a:t>
                </a: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Cambria Math" panose="02040503050406030204" pitchFamily="18" charset="0"/>
                  </a:rPr>
                  <a:t>[𝑘𝑊ℎ/𝑘𝑔]</a:t>
                </a:r>
                <a:endParaRPr lang="es-ES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138640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Cubierta a 1 agua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sensibilidad'!$B$7</c:f>
              <c:strCache>
                <c:ptCount val="1"/>
                <c:pt idx="0">
                  <c:v>Producción anual FV [kWh]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sensibilidad'!$C$7:$E$7</c:f>
              <c:numCache>
                <c:formatCode>General</c:formatCode>
                <c:ptCount val="3"/>
                <c:pt idx="0">
                  <c:v>226758.32</c:v>
                </c:pt>
                <c:pt idx="1">
                  <c:v>237772.58</c:v>
                </c:pt>
                <c:pt idx="2">
                  <c:v>249591.63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29-4975-B30B-7FE4C4A2F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0080000"/>
        <c:axId val="150108320"/>
      </c:scatterChart>
      <c:scatterChart>
        <c:scatterStyle val="smoothMarker"/>
        <c:varyColors val="0"/>
        <c:ser>
          <c:idx val="1"/>
          <c:order val="1"/>
          <c:tx>
            <c:strRef>
              <c:f>'Analisis de  sensibilidad'!$B$13</c:f>
              <c:strCache>
                <c:ptCount val="1"/>
                <c:pt idx="0">
                  <c:v>Peso [kg]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sensibilidad'!$C$13:$E$13</c:f>
              <c:numCache>
                <c:formatCode>General</c:formatCode>
                <c:ptCount val="3"/>
                <c:pt idx="0">
                  <c:v>28125</c:v>
                </c:pt>
                <c:pt idx="1">
                  <c:v>31643</c:v>
                </c:pt>
                <c:pt idx="2">
                  <c:v>34129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129-4975-B30B-7FE4C4A2F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859072"/>
        <c:axId val="159850432"/>
      </c:scatterChart>
      <c:valAx>
        <c:axId val="150080000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108320"/>
        <c:crosses val="autoZero"/>
        <c:crossBetween val="midCat"/>
        <c:majorUnit val="5"/>
        <c:minorUnit val="1"/>
      </c:valAx>
      <c:valAx>
        <c:axId val="150108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[kWh]</a:t>
                </a:r>
              </a:p>
            </c:rich>
          </c:tx>
          <c:layout>
            <c:manualLayout>
              <c:xMode val="edge"/>
              <c:yMode val="edge"/>
              <c:x val="3.1217481789802288E-2"/>
              <c:y val="0.115911014712017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0080000"/>
        <c:crosses val="autoZero"/>
        <c:crossBetween val="midCat"/>
      </c:valAx>
      <c:valAx>
        <c:axId val="159850432"/>
        <c:scaling>
          <c:orientation val="minMax"/>
          <c:min val="250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[kg]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9859072"/>
        <c:crosses val="max"/>
        <c:crossBetween val="midCat"/>
      </c:valAx>
      <c:valAx>
        <c:axId val="159859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9850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Peso * Solicitació</a:t>
            </a:r>
            <a:r>
              <a:rPr lang="es-ES" baseline="0"/>
              <a:t>n media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PH al O y PH al 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sensibilidad'!$C$41:$E$41</c:f>
              <c:numCache>
                <c:formatCode>General</c:formatCode>
                <c:ptCount val="3"/>
                <c:pt idx="0">
                  <c:v>16.2</c:v>
                </c:pt>
                <c:pt idx="1">
                  <c:v>16</c:v>
                </c:pt>
                <c:pt idx="2">
                  <c:v>16.600000000000001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9B6-4ECD-BA73-BFD7C3383F05}"/>
            </c:ext>
          </c:extLst>
        </c:ser>
        <c:ser>
          <c:idx val="2"/>
          <c:order val="1"/>
          <c:tx>
            <c:strRef>
              <c:f>'Analisis de  sensibilidad'!$I$25:$K$25</c:f>
              <c:strCache>
                <c:ptCount val="3"/>
                <c:pt idx="0">
                  <c:v>PH al S-O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sensibilidad'!$I$41:$K$41</c:f>
              <c:numCache>
                <c:formatCode>General</c:formatCode>
                <c:ptCount val="3"/>
                <c:pt idx="0">
                  <c:v>16.3</c:v>
                </c:pt>
                <c:pt idx="1">
                  <c:v>15.9</c:v>
                </c:pt>
                <c:pt idx="2">
                  <c:v>16.100000000000001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9B6-4ECD-BA73-BFD7C3383F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543344"/>
        <c:axId val="275543824"/>
      </c:scatterChart>
      <c:valAx>
        <c:axId val="275543344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layout>
            <c:manualLayout>
              <c:xMode val="edge"/>
              <c:yMode val="edge"/>
              <c:x val="0.39281552434811629"/>
              <c:y val="0.772144242839210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543824"/>
        <c:crosses val="autoZero"/>
        <c:crossBetween val="midCat"/>
        <c:majorUnit val="5"/>
        <c:minorUnit val="1"/>
      </c:valAx>
      <c:valAx>
        <c:axId val="275543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* Solicitación media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75543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sensibilidad'!$B$21</c:f>
              <c:strCache>
                <c:ptCount val="1"/>
                <c:pt idx="0">
                  <c:v>Peso * Solicitación media [t]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sensibilidad'!$C$21:$E$21</c:f>
              <c:numCache>
                <c:formatCode>General</c:formatCode>
                <c:ptCount val="3"/>
                <c:pt idx="0">
                  <c:v>21.3</c:v>
                </c:pt>
                <c:pt idx="1">
                  <c:v>23.3</c:v>
                </c:pt>
                <c:pt idx="2">
                  <c:v>25.9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94-4254-978D-EFB7237809B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598980831"/>
        <c:axId val="1598960671"/>
      </c:scatterChart>
      <c:valAx>
        <c:axId val="1598980831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98960671"/>
        <c:crosses val="autoZero"/>
        <c:crossBetween val="midCat"/>
        <c:majorUnit val="5"/>
      </c:valAx>
      <c:valAx>
        <c:axId val="1598960671"/>
        <c:scaling>
          <c:orientation val="minMax"/>
          <c:min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</a:t>
                </a:r>
                <a:r>
                  <a:rPr lang="es-ES" baseline="0"/>
                  <a:t> * Solicitación media [t]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3.635537377868666E-2"/>
              <c:y val="0.176397163120567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989808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Cubierta a 1 agua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'Analisis de  sensibilidad'!$B$8</c:f>
              <c:strCache>
                <c:ptCount val="1"/>
                <c:pt idx="0">
                  <c:v>Producción anual FV [GWh]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sensibilidad'!$C$8:$E$8</c:f>
              <c:numCache>
                <c:formatCode>General</c:formatCode>
                <c:ptCount val="3"/>
                <c:pt idx="0">
                  <c:v>0.22700000000000001</c:v>
                </c:pt>
                <c:pt idx="1">
                  <c:v>0.23799999999999999</c:v>
                </c:pt>
                <c:pt idx="2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F49-43A1-8936-688262B1A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671440"/>
        <c:axId val="253670000"/>
      </c:scatterChart>
      <c:scatterChart>
        <c:scatterStyle val="smoothMarker"/>
        <c:varyColors val="0"/>
        <c:ser>
          <c:idx val="0"/>
          <c:order val="0"/>
          <c:tx>
            <c:strRef>
              <c:f>'Analisis de  sensibilidad'!$B$14</c:f>
              <c:strCache>
                <c:ptCount val="1"/>
                <c:pt idx="0">
                  <c:v>Peso [t]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sensibilidad'!$C$14:$E$14</c:f>
              <c:numCache>
                <c:formatCode>General</c:formatCode>
                <c:ptCount val="3"/>
                <c:pt idx="0">
                  <c:v>28.125</c:v>
                </c:pt>
                <c:pt idx="1">
                  <c:v>31.643000000000001</c:v>
                </c:pt>
                <c:pt idx="2">
                  <c:v>34.128999999999998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49-43A1-8936-688262B1A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48463"/>
        <c:axId val="2138849423"/>
      </c:scatterChart>
      <c:valAx>
        <c:axId val="253671440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670000"/>
        <c:crosses val="autoZero"/>
        <c:crossBetween val="midCat"/>
      </c:valAx>
      <c:valAx>
        <c:axId val="25367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[GWh]</a:t>
                </a:r>
              </a:p>
            </c:rich>
          </c:tx>
          <c:layout>
            <c:manualLayout>
              <c:xMode val="edge"/>
              <c:yMode val="edge"/>
              <c:x val="2.225003476567932E-2"/>
              <c:y val="0.15815356065877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671440"/>
        <c:crosses val="autoZero"/>
        <c:crossBetween val="midCat"/>
      </c:valAx>
      <c:valAx>
        <c:axId val="2138849423"/>
        <c:scaling>
          <c:orientation val="minMax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[t]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848463"/>
        <c:crosses val="max"/>
        <c:crossBetween val="midCat"/>
      </c:valAx>
      <c:valAx>
        <c:axId val="213884846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38849423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Solicitación</a:t>
            </a:r>
            <a:r>
              <a:rPr lang="es-ES" baseline="0"/>
              <a:t> media</a:t>
            </a:r>
            <a:endParaRPr lang="es-ES"/>
          </a:p>
        </c:rich>
      </c:tx>
      <c:layout>
        <c:manualLayout>
          <c:xMode val="edge"/>
          <c:yMode val="edge"/>
          <c:x val="0.38145270613685905"/>
          <c:y val="2.956393200295639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PH al O y PH al 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sensibilidad'!$C$40:$E$40</c:f>
              <c:numCache>
                <c:formatCode>General</c:formatCode>
                <c:ptCount val="3"/>
                <c:pt idx="0">
                  <c:v>0.73</c:v>
                </c:pt>
                <c:pt idx="1">
                  <c:v>0.72499999999999998</c:v>
                </c:pt>
                <c:pt idx="2">
                  <c:v>0.73399999999999999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4C-4434-80BE-343AE2C471C4}"/>
            </c:ext>
          </c:extLst>
        </c:ser>
        <c:ser>
          <c:idx val="2"/>
          <c:order val="1"/>
          <c:tx>
            <c:strRef>
              <c:f>'Analisis de  sensibilidad'!$I$25:$K$25</c:f>
              <c:strCache>
                <c:ptCount val="3"/>
                <c:pt idx="0">
                  <c:v>PH al S-O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sensibilidad'!$I$40:$K$40</c:f>
              <c:numCache>
                <c:formatCode>General</c:formatCode>
                <c:ptCount val="3"/>
                <c:pt idx="0">
                  <c:v>0.77</c:v>
                </c:pt>
                <c:pt idx="1">
                  <c:v>0.72</c:v>
                </c:pt>
                <c:pt idx="2">
                  <c:v>0.74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A4C-4434-80BE-343AE2C47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3291295"/>
        <c:axId val="1373299455"/>
      </c:scatterChart>
      <c:valAx>
        <c:axId val="1373291295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299455"/>
        <c:crosses val="autoZero"/>
        <c:crossBetween val="midCat"/>
        <c:majorUnit val="5"/>
      </c:valAx>
      <c:valAx>
        <c:axId val="1373299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Solicitación</a:t>
                </a:r>
                <a:r>
                  <a:rPr lang="es-ES" baseline="0"/>
                  <a:t> media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373291295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Cubierta a 1 agua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strRef>
              <c:f>'Analisis de  sensibilidad'!$B$8</c:f>
              <c:strCache>
                <c:ptCount val="1"/>
                <c:pt idx="0">
                  <c:v>Producción anual FV [GWh]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sensibilidad'!$C$8:$E$8</c:f>
              <c:numCache>
                <c:formatCode>General</c:formatCode>
                <c:ptCount val="3"/>
                <c:pt idx="0">
                  <c:v>0.22700000000000001</c:v>
                </c:pt>
                <c:pt idx="1">
                  <c:v>0.23799999999999999</c:v>
                </c:pt>
                <c:pt idx="2">
                  <c:v>0.25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66C-448A-B832-A238883CB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3671440"/>
        <c:axId val="253670000"/>
      </c:scatterChart>
      <c:scatterChart>
        <c:scatterStyle val="smoothMarker"/>
        <c:varyColors val="0"/>
        <c:ser>
          <c:idx val="0"/>
          <c:order val="0"/>
          <c:tx>
            <c:strRef>
              <c:f>'Analisis de  sensibilidad'!$B$14</c:f>
              <c:strCache>
                <c:ptCount val="1"/>
                <c:pt idx="0">
                  <c:v>Peso [t]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'Analisis de  sensibilidad'!$C$6:$E$6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sensibilidad'!$C$14:$E$14</c:f>
              <c:numCache>
                <c:formatCode>General</c:formatCode>
                <c:ptCount val="3"/>
                <c:pt idx="0">
                  <c:v>28.125</c:v>
                </c:pt>
                <c:pt idx="1">
                  <c:v>31.643000000000001</c:v>
                </c:pt>
                <c:pt idx="2">
                  <c:v>34.128999999999998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66C-448A-B832-A238883CB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8848463"/>
        <c:axId val="2138849423"/>
      </c:scatterChart>
      <c:valAx>
        <c:axId val="253671440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670000"/>
        <c:crosses val="autoZero"/>
        <c:crossBetween val="midCat"/>
      </c:valAx>
      <c:valAx>
        <c:axId val="253670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[GWh]</a:t>
                </a:r>
              </a:p>
            </c:rich>
          </c:tx>
          <c:layout>
            <c:manualLayout>
              <c:xMode val="edge"/>
              <c:yMode val="edge"/>
              <c:x val="2.225003476567932E-2"/>
              <c:y val="0.158153560658779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53671440"/>
        <c:crosses val="autoZero"/>
        <c:crossBetween val="midCat"/>
      </c:valAx>
      <c:valAx>
        <c:axId val="2138849423"/>
        <c:scaling>
          <c:orientation val="minMax"/>
          <c:min val="25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[t]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8848463"/>
        <c:crosses val="max"/>
        <c:crossBetween val="midCat"/>
      </c:valAx>
      <c:valAx>
        <c:axId val="2138848463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2138849423"/>
        <c:crosses val="max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RESUMEN!$G$57:$G$58</c:f>
              <c:numCache>
                <c:formatCode>General</c:formatCode>
                <c:ptCount val="2"/>
                <c:pt idx="0">
                  <c:v>30</c:v>
                </c:pt>
                <c:pt idx="1">
                  <c:v>10</c:v>
                </c:pt>
              </c:numCache>
            </c:numRef>
          </c:xVal>
          <c:yVal>
            <c:numRef>
              <c:f>RESUMEN!$C$57:$C$58</c:f>
              <c:numCache>
                <c:formatCode>General</c:formatCode>
                <c:ptCount val="2"/>
                <c:pt idx="0">
                  <c:v>0</c:v>
                </c:pt>
                <c:pt idx="1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52-4827-8ACE-0143AF523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740992"/>
        <c:axId val="442719872"/>
      </c:scatterChart>
      <c:valAx>
        <c:axId val="442740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Peso * solicitación media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2719872"/>
        <c:crosses val="autoZero"/>
        <c:crossBetween val="midCat"/>
      </c:valAx>
      <c:valAx>
        <c:axId val="442719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Grado constructivo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427409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Velocidad en</a:t>
            </a:r>
            <a:r>
              <a:rPr lang="en-US" baseline="0"/>
              <a:t> función de la dirección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Velocidad en función de la direccion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 vall aerop AEMET Op'!$B$11:$N$11</c:f>
              <c:numCache>
                <c:formatCode>General</c:formatCode>
                <c:ptCount val="13"/>
                <c:pt idx="0">
                  <c:v>230</c:v>
                </c:pt>
                <c:pt idx="1">
                  <c:v>260</c:v>
                </c:pt>
                <c:pt idx="2">
                  <c:v>230</c:v>
                </c:pt>
                <c:pt idx="3">
                  <c:v>250</c:v>
                </c:pt>
                <c:pt idx="4">
                  <c:v>230</c:v>
                </c:pt>
                <c:pt idx="5">
                  <c:v>180</c:v>
                </c:pt>
                <c:pt idx="6">
                  <c:v>110</c:v>
                </c:pt>
                <c:pt idx="7">
                  <c:v>180</c:v>
                </c:pt>
                <c:pt idx="8">
                  <c:v>140</c:v>
                </c:pt>
                <c:pt idx="9">
                  <c:v>200</c:v>
                </c:pt>
                <c:pt idx="10">
                  <c:v>230</c:v>
                </c:pt>
                <c:pt idx="11">
                  <c:v>230</c:v>
                </c:pt>
                <c:pt idx="12">
                  <c:v>230</c:v>
                </c:pt>
              </c:numCache>
            </c:numRef>
          </c:xVal>
          <c:yVal>
            <c:numRef>
              <c:f>'V vall aerop AEMET Op'!$B$10:$N$10</c:f>
              <c:numCache>
                <c:formatCode>General</c:formatCode>
                <c:ptCount val="13"/>
                <c:pt idx="0">
                  <c:v>133</c:v>
                </c:pt>
                <c:pt idx="1">
                  <c:v>121</c:v>
                </c:pt>
                <c:pt idx="2">
                  <c:v>101</c:v>
                </c:pt>
                <c:pt idx="3">
                  <c:v>103</c:v>
                </c:pt>
                <c:pt idx="4">
                  <c:v>95</c:v>
                </c:pt>
                <c:pt idx="5">
                  <c:v>108</c:v>
                </c:pt>
                <c:pt idx="6">
                  <c:v>95</c:v>
                </c:pt>
                <c:pt idx="7">
                  <c:v>97</c:v>
                </c:pt>
                <c:pt idx="8">
                  <c:v>90</c:v>
                </c:pt>
                <c:pt idx="9">
                  <c:v>121</c:v>
                </c:pt>
                <c:pt idx="10">
                  <c:v>121</c:v>
                </c:pt>
                <c:pt idx="11">
                  <c:v>121</c:v>
                </c:pt>
                <c:pt idx="12">
                  <c:v>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B3-40FF-ABBC-4E8B0AD1D4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1744"/>
        <c:axId val="6902224"/>
      </c:scatterChart>
      <c:valAx>
        <c:axId val="6901744"/>
        <c:scaling>
          <c:orientation val="minMax"/>
          <c:max val="3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Dirección del viento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2224"/>
        <c:crosses val="autoZero"/>
        <c:crossBetween val="midCat"/>
        <c:majorUnit val="60"/>
      </c:valAx>
      <c:valAx>
        <c:axId val="69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 del</a:t>
                </a:r>
                <a:r>
                  <a:rPr lang="es-ES" baseline="0"/>
                  <a:t> vienot [km/h]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Rachas máximas históricas</a:t>
            </a:r>
            <a:r>
              <a:rPr lang="en-US" baseline="0"/>
              <a:t> Villanubla</a:t>
            </a:r>
            <a:endParaRPr lang="en-US"/>
          </a:p>
        </c:rich>
      </c:tx>
      <c:layout>
        <c:manualLayout>
          <c:xMode val="edge"/>
          <c:yMode val="edge"/>
          <c:x val="0.2395112016293279"/>
          <c:y val="2.40847784200385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Velocidad en función de la direccion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'V vall aerop AEMET Op'!$B$35:$L$35</c:f>
              <c:numCache>
                <c:formatCode>General</c:formatCode>
                <c:ptCount val="11"/>
                <c:pt idx="0">
                  <c:v>230</c:v>
                </c:pt>
                <c:pt idx="1">
                  <c:v>260</c:v>
                </c:pt>
                <c:pt idx="2">
                  <c:v>230</c:v>
                </c:pt>
                <c:pt idx="3">
                  <c:v>250</c:v>
                </c:pt>
                <c:pt idx="4">
                  <c:v>230</c:v>
                </c:pt>
                <c:pt idx="5">
                  <c:v>180</c:v>
                </c:pt>
                <c:pt idx="6">
                  <c:v>180</c:v>
                </c:pt>
                <c:pt idx="7">
                  <c:v>200</c:v>
                </c:pt>
                <c:pt idx="8">
                  <c:v>230</c:v>
                </c:pt>
                <c:pt idx="9">
                  <c:v>230</c:v>
                </c:pt>
                <c:pt idx="10">
                  <c:v>230</c:v>
                </c:pt>
              </c:numCache>
            </c:numRef>
          </c:xVal>
          <c:yVal>
            <c:numRef>
              <c:f>'V vall aerop AEMET Op'!$B$34:$L$34</c:f>
              <c:numCache>
                <c:formatCode>General</c:formatCode>
                <c:ptCount val="11"/>
                <c:pt idx="0">
                  <c:v>133</c:v>
                </c:pt>
                <c:pt idx="1">
                  <c:v>121</c:v>
                </c:pt>
                <c:pt idx="2">
                  <c:v>101</c:v>
                </c:pt>
                <c:pt idx="3">
                  <c:v>103</c:v>
                </c:pt>
                <c:pt idx="4">
                  <c:v>95</c:v>
                </c:pt>
                <c:pt idx="5">
                  <c:v>108</c:v>
                </c:pt>
                <c:pt idx="6">
                  <c:v>97</c:v>
                </c:pt>
                <c:pt idx="7">
                  <c:v>121</c:v>
                </c:pt>
                <c:pt idx="8">
                  <c:v>121</c:v>
                </c:pt>
                <c:pt idx="9">
                  <c:v>121</c:v>
                </c:pt>
                <c:pt idx="10">
                  <c:v>133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42-433E-9627-3D1D70B442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01744"/>
        <c:axId val="6902224"/>
      </c:scatterChart>
      <c:valAx>
        <c:axId val="6901744"/>
        <c:scaling>
          <c:orientation val="minMax"/>
          <c:max val="36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Dirección del viento [º]</a:t>
                </a:r>
              </a:p>
              <a:p>
                <a:pPr>
                  <a:defRPr/>
                </a:pPr>
                <a:r>
                  <a:rPr lang="es-ES"/>
                  <a:t>NORTE</a:t>
                </a:r>
                <a:r>
                  <a:rPr lang="es-ES" baseline="0"/>
                  <a:t> = 0 , ESTE = 90, SUR = 180 y OESTE = 270</a:t>
                </a:r>
              </a:p>
            </c:rich>
          </c:tx>
          <c:layout>
            <c:manualLayout>
              <c:xMode val="edge"/>
              <c:yMode val="edge"/>
              <c:x val="0.27970128988458925"/>
              <c:y val="0.8342485549132947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2224"/>
        <c:crosses val="autoZero"/>
        <c:crossBetween val="midCat"/>
        <c:majorUnit val="60"/>
      </c:valAx>
      <c:valAx>
        <c:axId val="6902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Velocidad</a:t>
                </a:r>
                <a:r>
                  <a:rPr lang="es-ES" baseline="0"/>
                  <a:t> viento [km/h]</a:t>
                </a:r>
                <a:endParaRPr lang="es-ES"/>
              </a:p>
            </c:rich>
          </c:tx>
          <c:layout>
            <c:manualLayout>
              <c:xMode val="edge"/>
              <c:yMode val="edge"/>
              <c:x val="2.9871011541072641E-2"/>
              <c:y val="0.2007384734422648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69017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PVGIS!$B$19</c:f>
              <c:strCache>
                <c:ptCount val="1"/>
                <c:pt idx="0">
                  <c:v>Producción anual FV [kWh]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PVGIS!$C$15:$E$15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PVGIS!$C$19:$E$19</c:f>
              <c:numCache>
                <c:formatCode>General</c:formatCode>
                <c:ptCount val="3"/>
                <c:pt idx="0">
                  <c:v>226758.32</c:v>
                </c:pt>
                <c:pt idx="1">
                  <c:v>237772.58</c:v>
                </c:pt>
                <c:pt idx="2">
                  <c:v>249591.63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0E-4D57-8F69-F1632EC6D5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347936"/>
        <c:axId val="1558332096"/>
      </c:scatterChart>
      <c:valAx>
        <c:axId val="15583479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Pendiente cubierta (º)</a:t>
                </a:r>
              </a:p>
            </c:rich>
          </c:tx>
          <c:layout>
            <c:manualLayout>
              <c:xMode val="edge"/>
              <c:yMode val="edge"/>
              <c:x val="0.42933202099737533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8332096"/>
        <c:crosses val="autoZero"/>
        <c:crossBetween val="midCat"/>
      </c:valAx>
      <c:valAx>
        <c:axId val="1558332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[kWh]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834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PVGIS!$B$19</c:f>
              <c:strCache>
                <c:ptCount val="1"/>
                <c:pt idx="0">
                  <c:v>Producción anual FV [kWh]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</c:trendlineLbl>
          </c:trendline>
          <c:xVal>
            <c:numRef>
              <c:f>PVGIS!$C$15:$E$15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PVGIS!$C$19:$E$19</c:f>
              <c:numCache>
                <c:formatCode>General</c:formatCode>
                <c:ptCount val="3"/>
                <c:pt idx="0">
                  <c:v>226758.32</c:v>
                </c:pt>
                <c:pt idx="1">
                  <c:v>237772.58</c:v>
                </c:pt>
                <c:pt idx="2">
                  <c:v>249591.63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776-490F-9060-080FC9ABAB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8347936"/>
        <c:axId val="1558332096"/>
      </c:scatterChart>
      <c:valAx>
        <c:axId val="1558347936"/>
        <c:scaling>
          <c:orientation val="minMax"/>
          <c:max val="2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Pendiente cubierta (º)</a:t>
                </a:r>
              </a:p>
            </c:rich>
          </c:tx>
          <c:layout>
            <c:manualLayout>
              <c:xMode val="edge"/>
              <c:yMode val="edge"/>
              <c:x val="0.42933202099737533"/>
              <c:y val="0.897198891805190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8332096"/>
        <c:crosses val="autoZero"/>
        <c:crossBetween val="midCat"/>
        <c:majorUnit val="5"/>
      </c:valAx>
      <c:valAx>
        <c:axId val="15583320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[kWh]</a:t>
                </a:r>
              </a:p>
            </c:rich>
          </c:tx>
          <c:layout>
            <c:manualLayout>
              <c:xMode val="edge"/>
              <c:yMode val="edge"/>
              <c:x val="2.5000000000000001E-2"/>
              <c:y val="0.249888086905803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58347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Dif Prod anual FV en %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PVGIS!$C$15:$E$15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PVGIS!$C$21:$E$21</c:f>
              <c:numCache>
                <c:formatCode>General</c:formatCode>
                <c:ptCount val="3"/>
                <c:pt idx="0">
                  <c:v>0</c:v>
                </c:pt>
                <c:pt idx="1">
                  <c:v>4.8600000000000003</c:v>
                </c:pt>
                <c:pt idx="2">
                  <c:v>10.07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13-4FB6-9472-87B65FC6D4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337503"/>
        <c:axId val="213313983"/>
      </c:scatterChart>
      <c:valAx>
        <c:axId val="2133375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Pendiente</a:t>
                </a:r>
                <a:r>
                  <a:rPr lang="es-ES" baseline="0"/>
                  <a:t> cubierta [º]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313983"/>
        <c:crosses val="autoZero"/>
        <c:crossBetween val="midCat"/>
        <c:majorUnit val="5"/>
      </c:valAx>
      <c:valAx>
        <c:axId val="213313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33375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Eficiencia según la orientación de la nave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PH al 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cat>
          <c:val>
            <c:numRef>
              <c:f>'Analisis de  sensibilidad'!$C$39:$E$39</c:f>
              <c:numCache>
                <c:formatCode>General</c:formatCode>
                <c:ptCount val="3"/>
                <c:pt idx="0">
                  <c:v>9.7799999999999994</c:v>
                </c:pt>
                <c:pt idx="1">
                  <c:v>9.81</c:v>
                </c:pt>
                <c:pt idx="2">
                  <c:v>9.64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3-4AB2-8B91-EB20D8CC1251}"/>
            </c:ext>
          </c:extLst>
        </c:ser>
        <c:ser>
          <c:idx val="1"/>
          <c:order val="1"/>
          <c:tx>
            <c:v>PH al S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'Analisis de  sensibilidad'!$F$26:$H$26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cat>
          <c:val>
            <c:numRef>
              <c:f>'Analisis de  sensibilidad'!$F$39:$H$39</c:f>
              <c:numCache>
                <c:formatCode>General</c:formatCode>
                <c:ptCount val="3"/>
                <c:pt idx="0">
                  <c:v>9.7899999999999991</c:v>
                </c:pt>
                <c:pt idx="1">
                  <c:v>9.86</c:v>
                </c:pt>
                <c:pt idx="2">
                  <c:v>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D3-4AB2-8B91-EB20D8CC1251}"/>
            </c:ext>
          </c:extLst>
        </c:ser>
        <c:ser>
          <c:idx val="2"/>
          <c:order val="2"/>
          <c:tx>
            <c:v>PH al S-O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cat>
          <c:val>
            <c:numRef>
              <c:f>'Analisis de  sensibilidad'!$I$39:$K$39</c:f>
              <c:numCache>
                <c:formatCode>General</c:formatCode>
                <c:ptCount val="3"/>
                <c:pt idx="0">
                  <c:v>10.210000000000001</c:v>
                </c:pt>
                <c:pt idx="1">
                  <c:v>9.8699999999999992</c:v>
                </c:pt>
                <c:pt idx="2">
                  <c:v>10.039999999999999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D3-4AB2-8B91-EB20D8CC1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42064159"/>
        <c:axId val="342062239"/>
      </c:barChart>
      <c:catAx>
        <c:axId val="342064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2062239"/>
        <c:crosses val="autoZero"/>
        <c:auto val="1"/>
        <c:lblAlgn val="ctr"/>
        <c:lblOffset val="100"/>
        <c:noMultiLvlLbl val="1"/>
      </c:catAx>
      <c:valAx>
        <c:axId val="342062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Eficiencia [𝑘𝑊ℎ/𝑘𝑔]</a:t>
                </a:r>
              </a:p>
            </c:rich>
          </c:tx>
          <c:layout>
            <c:manualLayout>
              <c:xMode val="edge"/>
              <c:yMode val="edge"/>
              <c:x val="2.7777777777777776E-2"/>
              <c:y val="0.328591790609507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42064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Producción anual FV según orientación de la</a:t>
            </a:r>
            <a:r>
              <a:rPr lang="es-ES" baseline="0"/>
              <a:t> nave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'Analisis de  sensibilidad'!$C$25:$E$25</c:f>
              <c:strCache>
                <c:ptCount val="3"/>
                <c:pt idx="0">
                  <c:v>PH al O</c:v>
                </c:pt>
              </c:strCache>
            </c:strRef>
          </c:tx>
          <c:spPr>
            <a:ln w="19050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sensibilidad'!$C$28:$E$28</c:f>
              <c:numCache>
                <c:formatCode>General</c:formatCode>
                <c:ptCount val="3"/>
                <c:pt idx="0">
                  <c:v>0.21640000000000001</c:v>
                </c:pt>
                <c:pt idx="1">
                  <c:v>0.21690000000000001</c:v>
                </c:pt>
                <c:pt idx="2">
                  <c:v>0.21779999999999999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EC-4324-91F3-9D33430043D2}"/>
            </c:ext>
          </c:extLst>
        </c:ser>
        <c:ser>
          <c:idx val="1"/>
          <c:order val="1"/>
          <c:tx>
            <c:strRef>
              <c:f>'Analisis de  sensibilidad'!$F$25:$H$25</c:f>
              <c:strCache>
                <c:ptCount val="3"/>
                <c:pt idx="0">
                  <c:v>PH al 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sensibilidad'!$F$28:$H$28</c:f>
              <c:numCache>
                <c:formatCode>General</c:formatCode>
                <c:ptCount val="3"/>
                <c:pt idx="0">
                  <c:v>0.2167</c:v>
                </c:pt>
                <c:pt idx="1">
                  <c:v>0.218</c:v>
                </c:pt>
                <c:pt idx="2">
                  <c:v>0.22040000000000001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48EC-4324-91F3-9D33430043D2}"/>
            </c:ext>
          </c:extLst>
        </c:ser>
        <c:ser>
          <c:idx val="2"/>
          <c:order val="2"/>
          <c:tx>
            <c:strRef>
              <c:f>'Analisis de  sensibilidad'!$I$25:$K$25</c:f>
              <c:strCache>
                <c:ptCount val="3"/>
                <c:pt idx="0">
                  <c:v>PH al S-O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sensibilidad'!$I$28:$K$28</c:f>
              <c:numCache>
                <c:formatCode>General</c:formatCode>
                <c:ptCount val="3"/>
                <c:pt idx="0">
                  <c:v>0.21659999999999999</c:v>
                </c:pt>
                <c:pt idx="1">
                  <c:v>0.21740000000000001</c:v>
                </c:pt>
                <c:pt idx="2">
                  <c:v>0.219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48EC-4324-91F3-9D3343004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63247"/>
        <c:axId val="2122919119"/>
      </c:scatterChart>
      <c:valAx>
        <c:axId val="38063247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122919119"/>
        <c:crosses val="autoZero"/>
        <c:crossBetween val="midCat"/>
        <c:majorUnit val="5"/>
        <c:minorUnit val="1"/>
      </c:valAx>
      <c:valAx>
        <c:axId val="212291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Producción anual FV [GWh]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806324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Peso [kg]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PH al O y PH al S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sensibilidad'!$C$34:$E$34</c:f>
              <c:numCache>
                <c:formatCode>General</c:formatCode>
                <c:ptCount val="3"/>
                <c:pt idx="0">
                  <c:v>22.132000000000001</c:v>
                </c:pt>
                <c:pt idx="1">
                  <c:v>22.111000000000001</c:v>
                </c:pt>
                <c:pt idx="2">
                  <c:v>22.6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A8E-4A04-B54B-97F5D0FB27B2}"/>
            </c:ext>
          </c:extLst>
        </c:ser>
        <c:ser>
          <c:idx val="1"/>
          <c:order val="1"/>
          <c:tx>
            <c:strRef>
              <c:f>'Analisis de  sensibilidad'!$I$25:$K$25</c:f>
              <c:strCache>
                <c:ptCount val="3"/>
                <c:pt idx="0">
                  <c:v>PH al S-O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'Analisis de  sensibilidad'!$C$26:$E$26</c:f>
              <c:numCache>
                <c:formatCode>General</c:formatCode>
                <c:ptCount val="3"/>
                <c:pt idx="0">
                  <c:v>5</c:v>
                </c:pt>
                <c:pt idx="1">
                  <c:v>10</c:v>
                </c:pt>
                <c:pt idx="2">
                  <c:v>15</c:v>
                </c:pt>
              </c:numCache>
            </c:numRef>
          </c:xVal>
          <c:yVal>
            <c:numRef>
              <c:f>'Analisis de  sensibilidad'!$I$34:$K$34</c:f>
              <c:numCache>
                <c:formatCode>General</c:formatCode>
                <c:ptCount val="3"/>
                <c:pt idx="0">
                  <c:v>21.209</c:v>
                </c:pt>
                <c:pt idx="1">
                  <c:v>22.021999999999998</c:v>
                </c:pt>
                <c:pt idx="2">
                  <c:v>21.815000000000001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1A9-406C-AD6A-6E1E3BDC6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44223"/>
        <c:axId val="96344703"/>
      </c:scatterChart>
      <c:valAx>
        <c:axId val="96344223"/>
        <c:scaling>
          <c:orientation val="minMax"/>
          <c:max val="15"/>
          <c:min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Pendiente de la cubierta [º]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6344703"/>
        <c:crosses val="autoZero"/>
        <c:crossBetween val="midCat"/>
        <c:majorUnit val="5"/>
        <c:minorUnit val="1.1000000000000001"/>
      </c:valAx>
      <c:valAx>
        <c:axId val="96344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u="none" strike="noStrike" baseline="0">
                    <a:effectLst/>
                  </a:rPr>
                  <a:t>Peso [kg]</a:t>
                </a:r>
                <a:r>
                  <a:rPr lang="es-ES" sz="1000" b="0" i="0" u="none" strike="noStrike" baseline="0"/>
                  <a:t> </a:t>
                </a:r>
                <a:endParaRPr lang="es-ES" b="0"/>
              </a:p>
            </c:rich>
          </c:tx>
          <c:layout>
            <c:manualLayout>
              <c:xMode val="edge"/>
              <c:yMode val="edge"/>
              <c:x val="1.9444444444444445E-2"/>
              <c:y val="0.383615121026538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63442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7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3.png"/><Relationship Id="rId3" Type="http://schemas.openxmlformats.org/officeDocument/2006/relationships/chart" Target="../charts/chart5.xml"/><Relationship Id="rId7" Type="http://schemas.openxmlformats.org/officeDocument/2006/relationships/image" Target="../media/image12.png"/><Relationship Id="rId2" Type="http://schemas.openxmlformats.org/officeDocument/2006/relationships/chart" Target="../charts/chart4.xml"/><Relationship Id="rId1" Type="http://schemas.openxmlformats.org/officeDocument/2006/relationships/image" Target="../media/image8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Relationship Id="rId9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6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5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image" Target="../media/image16.png"/><Relationship Id="rId5" Type="http://schemas.openxmlformats.org/officeDocument/2006/relationships/chart" Target="../charts/chart11.xml"/><Relationship Id="rId15" Type="http://schemas.openxmlformats.org/officeDocument/2006/relationships/chart" Target="../charts/chart18.xml"/><Relationship Id="rId10" Type="http://schemas.openxmlformats.org/officeDocument/2006/relationships/image" Target="../media/image15.png"/><Relationship Id="rId4" Type="http://schemas.openxmlformats.org/officeDocument/2006/relationships/chart" Target="../charts/chart10.xml"/><Relationship Id="rId9" Type="http://schemas.openxmlformats.org/officeDocument/2006/relationships/image" Target="../media/image14.png"/><Relationship Id="rId14" Type="http://schemas.openxmlformats.org/officeDocument/2006/relationships/chart" Target="../charts/chart1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37</xdr:row>
      <xdr:rowOff>0</xdr:rowOff>
    </xdr:from>
    <xdr:to>
      <xdr:col>8</xdr:col>
      <xdr:colOff>570648</xdr:colOff>
      <xdr:row>52</xdr:row>
      <xdr:rowOff>132976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160EBE-D5B7-4FB2-049A-381DDE7BA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5476875"/>
          <a:ext cx="6819048" cy="299047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7</xdr:col>
      <xdr:colOff>212647</xdr:colOff>
      <xdr:row>115</xdr:row>
      <xdr:rowOff>58263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95D4BBD-52FA-1DD4-DBF5-1FBEB3D5E2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2000" y="13944600"/>
          <a:ext cx="5704762" cy="6333333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8</xdr:col>
      <xdr:colOff>361950</xdr:colOff>
      <xdr:row>168</xdr:row>
      <xdr:rowOff>97816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507F458F-810D-8D29-41F1-EF293B1B7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62000" y="20802600"/>
          <a:ext cx="6610350" cy="9622816"/>
        </a:xfrm>
        <a:prstGeom prst="rect">
          <a:avLst/>
        </a:prstGeom>
      </xdr:spPr>
    </xdr:pic>
    <xdr:clientData/>
  </xdr:twoCellAnchor>
  <xdr:twoCellAnchor editAs="oneCell">
    <xdr:from>
      <xdr:col>9</xdr:col>
      <xdr:colOff>695325</xdr:colOff>
      <xdr:row>117</xdr:row>
      <xdr:rowOff>85725</xdr:rowOff>
    </xdr:from>
    <xdr:to>
      <xdr:col>18</xdr:col>
      <xdr:colOff>401100</xdr:colOff>
      <xdr:row>160</xdr:row>
      <xdr:rowOff>174224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AEE48CF7-1D6B-7803-5D0C-0CAD7E69E6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162925" y="20697825"/>
          <a:ext cx="6838095" cy="8285714"/>
        </a:xfrm>
        <a:prstGeom prst="rect">
          <a:avLst/>
        </a:prstGeom>
      </xdr:spPr>
    </xdr:pic>
    <xdr:clientData/>
  </xdr:twoCellAnchor>
  <xdr:twoCellAnchor editAs="oneCell">
    <xdr:from>
      <xdr:col>10</xdr:col>
      <xdr:colOff>752475</xdr:colOff>
      <xdr:row>22</xdr:row>
      <xdr:rowOff>276225</xdr:rowOff>
    </xdr:from>
    <xdr:to>
      <xdr:col>18</xdr:col>
      <xdr:colOff>58261</xdr:colOff>
      <xdr:row>28</xdr:row>
      <xdr:rowOff>189620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B69629AF-8792-592E-2BFD-9E6D23D13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9077325" y="3562350"/>
          <a:ext cx="5676106" cy="1284995"/>
        </a:xfrm>
        <a:prstGeom prst="rect">
          <a:avLst/>
        </a:prstGeom>
      </xdr:spPr>
    </xdr:pic>
    <xdr:clientData/>
  </xdr:twoCellAnchor>
  <xdr:twoCellAnchor editAs="oneCell">
    <xdr:from>
      <xdr:col>11</xdr:col>
      <xdr:colOff>0</xdr:colOff>
      <xdr:row>38</xdr:row>
      <xdr:rowOff>0</xdr:rowOff>
    </xdr:from>
    <xdr:to>
      <xdr:col>19</xdr:col>
      <xdr:colOff>820181</xdr:colOff>
      <xdr:row>42</xdr:row>
      <xdr:rowOff>133238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F3E69F98-5BA6-B817-3297-9DD4A9EE90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9248775" y="7267575"/>
          <a:ext cx="6990476" cy="895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159631</xdr:colOff>
      <xdr:row>6</xdr:row>
      <xdr:rowOff>116205</xdr:rowOff>
    </xdr:from>
    <xdr:to>
      <xdr:col>16</xdr:col>
      <xdr:colOff>159063</xdr:colOff>
      <xdr:row>26</xdr:row>
      <xdr:rowOff>106680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97EFD0F-13D8-E3F6-23AC-E0180815B3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08606" y="1230630"/>
          <a:ext cx="3952307" cy="3676650"/>
        </a:xfrm>
        <a:prstGeom prst="rect">
          <a:avLst/>
        </a:prstGeom>
      </xdr:spPr>
    </xdr:pic>
    <xdr:clientData/>
  </xdr:twoCellAnchor>
  <xdr:twoCellAnchor>
    <xdr:from>
      <xdr:col>5</xdr:col>
      <xdr:colOff>93345</xdr:colOff>
      <xdr:row>7</xdr:row>
      <xdr:rowOff>78105</xdr:rowOff>
    </xdr:from>
    <xdr:to>
      <xdr:col>11</xdr:col>
      <xdr:colOff>15240</xdr:colOff>
      <xdr:row>22</xdr:row>
      <xdr:rowOff>142875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32A5EF00-DB3B-44D4-B68A-2760CB5280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14</xdr:row>
      <xdr:rowOff>142875</xdr:rowOff>
    </xdr:from>
    <xdr:to>
      <xdr:col>9</xdr:col>
      <xdr:colOff>333375</xdr:colOff>
      <xdr:row>29</xdr:row>
      <xdr:rowOff>28575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7B5ADFA-3387-492F-88CB-D373D00346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39</xdr:row>
      <xdr:rowOff>0</xdr:rowOff>
    </xdr:from>
    <xdr:to>
      <xdr:col>10</xdr:col>
      <xdr:colOff>333375</xdr:colOff>
      <xdr:row>53</xdr:row>
      <xdr:rowOff>76200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CAA6153-F42F-484A-9ACD-9F69AA8C8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670560</xdr:colOff>
      <xdr:row>1</xdr:row>
      <xdr:rowOff>91440</xdr:rowOff>
    </xdr:from>
    <xdr:to>
      <xdr:col>6</xdr:col>
      <xdr:colOff>205906</xdr:colOff>
      <xdr:row>6</xdr:row>
      <xdr:rowOff>91520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8FAB8F1-05B9-988E-17A0-D48DE7C83A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20540" y="274320"/>
          <a:ext cx="1920406" cy="922100"/>
        </a:xfrm>
        <a:prstGeom prst="rect">
          <a:avLst/>
        </a:prstGeom>
      </xdr:spPr>
    </xdr:pic>
    <xdr:clientData/>
  </xdr:twoCellAnchor>
  <xdr:twoCellAnchor>
    <xdr:from>
      <xdr:col>5</xdr:col>
      <xdr:colOff>606336</xdr:colOff>
      <xdr:row>8</xdr:row>
      <xdr:rowOff>83548</xdr:rowOff>
    </xdr:from>
    <xdr:to>
      <xdr:col>12</xdr:col>
      <xdr:colOff>106953</xdr:colOff>
      <xdr:row>26</xdr:row>
      <xdr:rowOff>200025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D259D4-936A-72A9-0606-B99E094003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95250</xdr:colOff>
      <xdr:row>6</xdr:row>
      <xdr:rowOff>161925</xdr:rowOff>
    </xdr:from>
    <xdr:to>
      <xdr:col>19</xdr:col>
      <xdr:colOff>352425</xdr:colOff>
      <xdr:row>26</xdr:row>
      <xdr:rowOff>209550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D150F87-F511-418E-92B0-3FD389545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7</xdr:col>
      <xdr:colOff>7621</xdr:colOff>
      <xdr:row>2</xdr:row>
      <xdr:rowOff>15240</xdr:rowOff>
    </xdr:from>
    <xdr:to>
      <xdr:col>12</xdr:col>
      <xdr:colOff>113681</xdr:colOff>
      <xdr:row>6</xdr:row>
      <xdr:rowOff>79870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6F0543B-C029-115F-2C21-96B7EED178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903721" y="381000"/>
          <a:ext cx="4068460" cy="796150"/>
        </a:xfrm>
        <a:prstGeom prst="rect">
          <a:avLst/>
        </a:prstGeom>
      </xdr:spPr>
    </xdr:pic>
    <xdr:clientData/>
  </xdr:twoCellAnchor>
  <xdr:twoCellAnchor editAs="oneCell">
    <xdr:from>
      <xdr:col>14</xdr:col>
      <xdr:colOff>272145</xdr:colOff>
      <xdr:row>31</xdr:row>
      <xdr:rowOff>164373</xdr:rowOff>
    </xdr:from>
    <xdr:to>
      <xdr:col>23</xdr:col>
      <xdr:colOff>668025</xdr:colOff>
      <xdr:row>44</xdr:row>
      <xdr:rowOff>18356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4E36A411-1A28-9BA1-24D4-682240AF9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3106402" y="6042659"/>
          <a:ext cx="7532554" cy="1889611"/>
        </a:xfrm>
        <a:prstGeom prst="rect">
          <a:avLst/>
        </a:prstGeom>
      </xdr:spPr>
    </xdr:pic>
    <xdr:clientData/>
  </xdr:twoCellAnchor>
  <xdr:twoCellAnchor editAs="oneCell">
    <xdr:from>
      <xdr:col>1</xdr:col>
      <xdr:colOff>1857104</xdr:colOff>
      <xdr:row>50</xdr:row>
      <xdr:rowOff>6532</xdr:rowOff>
    </xdr:from>
    <xdr:to>
      <xdr:col>5</xdr:col>
      <xdr:colOff>36588</xdr:colOff>
      <xdr:row>64</xdr:row>
      <xdr:rowOff>40822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730C254D-CE9F-0ABD-0138-6038C84DF2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647679" y="8845732"/>
          <a:ext cx="3046759" cy="2567940"/>
        </a:xfrm>
        <a:prstGeom prst="rect">
          <a:avLst/>
        </a:prstGeom>
      </xdr:spPr>
    </xdr:pic>
    <xdr:clientData/>
  </xdr:twoCellAnchor>
  <xdr:twoCellAnchor editAs="oneCell">
    <xdr:from>
      <xdr:col>4</xdr:col>
      <xdr:colOff>705669</xdr:colOff>
      <xdr:row>49</xdr:row>
      <xdr:rowOff>155121</xdr:rowOff>
    </xdr:from>
    <xdr:to>
      <xdr:col>8</xdr:col>
      <xdr:colOff>486682</xdr:colOff>
      <xdr:row>64</xdr:row>
      <xdr:rowOff>28236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D3C9C453-3A79-23F5-410E-39EF20757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572944" y="8813346"/>
          <a:ext cx="2943313" cy="2587740"/>
        </a:xfrm>
        <a:prstGeom prst="rect">
          <a:avLst/>
        </a:prstGeom>
      </xdr:spPr>
    </xdr:pic>
    <xdr:clientData/>
  </xdr:twoCellAnchor>
  <xdr:twoCellAnchor editAs="oneCell">
    <xdr:from>
      <xdr:col>8</xdr:col>
      <xdr:colOff>389437</xdr:colOff>
      <xdr:row>49</xdr:row>
      <xdr:rowOff>51419</xdr:rowOff>
    </xdr:from>
    <xdr:to>
      <xdr:col>12</xdr:col>
      <xdr:colOff>227783</xdr:colOff>
      <xdr:row>63</xdr:row>
      <xdr:rowOff>171390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2451421D-F6EA-79D9-1689-C3F798972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8419012" y="8709644"/>
          <a:ext cx="3000646" cy="2653621"/>
        </a:xfrm>
        <a:prstGeom prst="rect">
          <a:avLst/>
        </a:prstGeom>
      </xdr:spPr>
    </xdr:pic>
    <xdr:clientData/>
  </xdr:twoCellAnchor>
  <xdr:twoCellAnchor>
    <xdr:from>
      <xdr:col>19</xdr:col>
      <xdr:colOff>563880</xdr:colOff>
      <xdr:row>9</xdr:row>
      <xdr:rowOff>93345</xdr:rowOff>
    </xdr:from>
    <xdr:to>
      <xdr:col>25</xdr:col>
      <xdr:colOff>386715</xdr:colOff>
      <xdr:row>24</xdr:row>
      <xdr:rowOff>57150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66A4D64C-C47B-3DA5-FF1B-5D24CC145F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876300</xdr:colOff>
      <xdr:row>1</xdr:row>
      <xdr:rowOff>0</xdr:rowOff>
    </xdr:from>
    <xdr:ext cx="2698559" cy="37670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0BE35B6-3BA3-3D4C-236A-C97113ABDB0C}"/>
                </a:ext>
              </a:extLst>
            </xdr:cNvPr>
            <xdr:cNvSpPr txBox="1"/>
          </xdr:nvSpPr>
          <xdr:spPr>
            <a:xfrm>
              <a:off x="1666875" y="180975"/>
              <a:ext cx="2698559" cy="376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ES" sz="1100" b="0" i="1">
                        <a:latin typeface="Cambria Math" panose="02040503050406030204" pitchFamily="18" charset="0"/>
                      </a:rPr>
                      <m:t>𝐸𝑓𝑖𝑐𝑖𝑒𝑛𝑐𝑖𝑎</m:t>
                    </m:r>
                    <m:r>
                      <a:rPr lang="es-ES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𝑃𝑟𝑜𝑑𝑢𝑐𝑐𝑖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ó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𝑛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𝑎𝑛𝑢𝑎𝑙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𝐹𝑉</m:t>
                        </m:r>
                      </m:num>
                      <m:den>
                        <m:r>
                          <a:rPr lang="es-ES" sz="1100" b="0" i="1">
                            <a:latin typeface="Cambria Math" panose="02040503050406030204" pitchFamily="18" charset="0"/>
                          </a:rPr>
                          <m:t>𝑃𝑒𝑠𝑜</m:t>
                        </m:r>
                      </m:den>
                    </m:f>
                    <m:r>
                      <a:rPr lang="es-ES" sz="1100" b="0" i="1">
                        <a:latin typeface="Cambria Math" panose="02040503050406030204" pitchFamily="18" charset="0"/>
                      </a:rPr>
                      <m:t> </m:t>
                    </m:r>
                    <m:d>
                      <m:dPr>
                        <m:begChr m:val="["/>
                        <m:endChr m:val="]"/>
                        <m:ctrlPr>
                          <a:rPr lang="es-E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f>
                          <m:fPr>
                            <m:ctrlPr>
                              <a:rPr lang="es-ES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𝑘𝑊h</m:t>
                            </m:r>
                          </m:num>
                          <m:den>
                            <m:r>
                              <a:rPr lang="es-ES" sz="1100" b="0" i="1">
                                <a:latin typeface="Cambria Math" panose="02040503050406030204" pitchFamily="18" charset="0"/>
                              </a:rPr>
                              <m:t>𝑘𝑔</m:t>
                            </m:r>
                          </m:den>
                        </m:f>
                      </m:e>
                    </m:d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2" name="CuadroTexto 1">
              <a:extLst>
                <a:ext uri="{FF2B5EF4-FFF2-40B4-BE49-F238E27FC236}">
                  <a16:creationId xmlns:a16="http://schemas.microsoft.com/office/drawing/2014/main" id="{B0BE35B6-3BA3-3D4C-236A-C97113ABDB0C}"/>
                </a:ext>
              </a:extLst>
            </xdr:cNvPr>
            <xdr:cNvSpPr txBox="1"/>
          </xdr:nvSpPr>
          <xdr:spPr>
            <a:xfrm>
              <a:off x="1666875" y="180975"/>
              <a:ext cx="2698559" cy="37670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b="0" i="0">
                  <a:latin typeface="Cambria Math" panose="02040503050406030204" pitchFamily="18" charset="0"/>
                </a:rPr>
                <a:t>𝐸𝑓𝑖𝑐𝑖𝑒𝑛𝑐𝑖𝑎=  (𝑃𝑟𝑜𝑑𝑢𝑐𝑐𝑖ó𝑛 𝑎𝑛𝑢𝑎𝑙 𝐹𝑉)/𝑃𝑒𝑠𝑜  [𝑘𝑊ℎ/𝑘𝑔]</a:t>
              </a:r>
              <a:endParaRPr lang="es-ES" sz="1100"/>
            </a:p>
          </xdr:txBody>
        </xdr:sp>
      </mc:Fallback>
    </mc:AlternateContent>
    <xdr:clientData/>
  </xdr:oneCellAnchor>
  <xdr:twoCellAnchor>
    <xdr:from>
      <xdr:col>10</xdr:col>
      <xdr:colOff>238125</xdr:colOff>
      <xdr:row>45</xdr:row>
      <xdr:rowOff>0</xdr:rowOff>
    </xdr:from>
    <xdr:to>
      <xdr:col>15</xdr:col>
      <xdr:colOff>371474</xdr:colOff>
      <xdr:row>61</xdr:row>
      <xdr:rowOff>38100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91E5791-7735-8915-4AC3-328765B3C5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611506</xdr:colOff>
      <xdr:row>45</xdr:row>
      <xdr:rowOff>131445</xdr:rowOff>
    </xdr:from>
    <xdr:to>
      <xdr:col>4</xdr:col>
      <xdr:colOff>243840</xdr:colOff>
      <xdr:row>61</xdr:row>
      <xdr:rowOff>93345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52EA3E6-9E9C-90C8-4EFF-36D0F5D293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369570</xdr:colOff>
      <xdr:row>45</xdr:row>
      <xdr:rowOff>30481</xdr:rowOff>
    </xdr:from>
    <xdr:to>
      <xdr:col>10</xdr:col>
      <xdr:colOff>102870</xdr:colOff>
      <xdr:row>61</xdr:row>
      <xdr:rowOff>68581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9B40013B-40CC-AF52-8958-51376308F8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306707</xdr:colOff>
      <xdr:row>0</xdr:row>
      <xdr:rowOff>110491</xdr:rowOff>
    </xdr:from>
    <xdr:to>
      <xdr:col>9</xdr:col>
      <xdr:colOff>255270</xdr:colOff>
      <xdr:row>11</xdr:row>
      <xdr:rowOff>30481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A8DD4482-B5BD-A34E-09B0-2AD88E2BA1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296227</xdr:colOff>
      <xdr:row>11</xdr:row>
      <xdr:rowOff>64770</xdr:rowOff>
    </xdr:from>
    <xdr:to>
      <xdr:col>9</xdr:col>
      <xdr:colOff>238125</xdr:colOff>
      <xdr:row>22</xdr:row>
      <xdr:rowOff>171450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D8FF70BD-440E-2DA6-10F3-365FBF54BA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379097</xdr:colOff>
      <xdr:row>0</xdr:row>
      <xdr:rowOff>76200</xdr:rowOff>
    </xdr:from>
    <xdr:to>
      <xdr:col>13</xdr:col>
      <xdr:colOff>171451</xdr:colOff>
      <xdr:row>9</xdr:row>
      <xdr:rowOff>161925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32E5907-E7CB-C382-3814-6B3B86F555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371475</xdr:colOff>
      <xdr:row>10</xdr:row>
      <xdr:rowOff>57150</xdr:rowOff>
    </xdr:from>
    <xdr:to>
      <xdr:col>13</xdr:col>
      <xdr:colOff>363855</xdr:colOff>
      <xdr:row>23</xdr:row>
      <xdr:rowOff>11430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97FE7DD5-945C-2A9C-3349-0DD3FE61C8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</xdr:col>
      <xdr:colOff>283845</xdr:colOff>
      <xdr:row>62</xdr:row>
      <xdr:rowOff>19050</xdr:rowOff>
    </xdr:from>
    <xdr:to>
      <xdr:col>10</xdr:col>
      <xdr:colOff>140970</xdr:colOff>
      <xdr:row>76</xdr:row>
      <xdr:rowOff>161925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E88B0162-F56F-E7C8-800F-90564AD6AF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 editAs="oneCell">
    <xdr:from>
      <xdr:col>13</xdr:col>
      <xdr:colOff>704774</xdr:colOff>
      <xdr:row>23</xdr:row>
      <xdr:rowOff>95251</xdr:rowOff>
    </xdr:from>
    <xdr:to>
      <xdr:col>17</xdr:col>
      <xdr:colOff>573047</xdr:colOff>
      <xdr:row>38</xdr:row>
      <xdr:rowOff>55245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905C9B94-5EDD-C623-F341-66BB2F75B8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620424" y="2705101"/>
          <a:ext cx="3030573" cy="2733674"/>
        </a:xfrm>
        <a:prstGeom prst="rect">
          <a:avLst/>
        </a:prstGeom>
      </xdr:spPr>
    </xdr:pic>
    <xdr:clientData/>
  </xdr:twoCellAnchor>
  <xdr:twoCellAnchor editAs="oneCell">
    <xdr:from>
      <xdr:col>17</xdr:col>
      <xdr:colOff>695325</xdr:colOff>
      <xdr:row>23</xdr:row>
      <xdr:rowOff>144029</xdr:rowOff>
    </xdr:from>
    <xdr:to>
      <xdr:col>21</xdr:col>
      <xdr:colOff>497263</xdr:colOff>
      <xdr:row>38</xdr:row>
      <xdr:rowOff>15240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D58730C6-E43D-6A0D-3523-57EBE3BD67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773275" y="2753879"/>
          <a:ext cx="2964238" cy="2656321"/>
        </a:xfrm>
        <a:prstGeom prst="rect">
          <a:avLst/>
        </a:prstGeom>
      </xdr:spPr>
    </xdr:pic>
    <xdr:clientData/>
  </xdr:twoCellAnchor>
  <xdr:twoCellAnchor editAs="oneCell">
    <xdr:from>
      <xdr:col>21</xdr:col>
      <xdr:colOff>520623</xdr:colOff>
      <xdr:row>23</xdr:row>
      <xdr:rowOff>121920</xdr:rowOff>
    </xdr:from>
    <xdr:to>
      <xdr:col>25</xdr:col>
      <xdr:colOff>205740</xdr:colOff>
      <xdr:row>37</xdr:row>
      <xdr:rowOff>88982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080A3699-D8CB-BA53-BE7C-E83F158EB8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7760873" y="2731770"/>
          <a:ext cx="2837892" cy="2552147"/>
        </a:xfrm>
        <a:prstGeom prst="rect">
          <a:avLst/>
        </a:prstGeom>
      </xdr:spPr>
    </xdr:pic>
    <xdr:clientData/>
  </xdr:twoCellAnchor>
  <xdr:twoCellAnchor>
    <xdr:from>
      <xdr:col>13</xdr:col>
      <xdr:colOff>542924</xdr:colOff>
      <xdr:row>0</xdr:row>
      <xdr:rowOff>0</xdr:rowOff>
    </xdr:from>
    <xdr:to>
      <xdr:col>17</xdr:col>
      <xdr:colOff>57149</xdr:colOff>
      <xdr:row>10</xdr:row>
      <xdr:rowOff>161925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0EC6E14D-D5FF-1BA7-C033-60815AFB69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170497</xdr:colOff>
      <xdr:row>1</xdr:row>
      <xdr:rowOff>93345</xdr:rowOff>
    </xdr:from>
    <xdr:to>
      <xdr:col>22</xdr:col>
      <xdr:colOff>789622</xdr:colOff>
      <xdr:row>16</xdr:row>
      <xdr:rowOff>64770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F2E0A892-2956-3E4D-1167-95CC4484A5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543877</xdr:colOff>
      <xdr:row>62</xdr:row>
      <xdr:rowOff>123825</xdr:rowOff>
    </xdr:from>
    <xdr:to>
      <xdr:col>4</xdr:col>
      <xdr:colOff>220980</xdr:colOff>
      <xdr:row>76</xdr:row>
      <xdr:rowOff>173355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DDD201E9-5032-ECD3-3C42-FA293566DA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0</xdr:colOff>
      <xdr:row>2</xdr:row>
      <xdr:rowOff>0</xdr:rowOff>
    </xdr:from>
    <xdr:to>
      <xdr:col>29</xdr:col>
      <xdr:colOff>613410</xdr:colOff>
      <xdr:row>16</xdr:row>
      <xdr:rowOff>146685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43BAFCB8-6D1F-4924-938E-D14661EC95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720090</xdr:colOff>
      <xdr:row>54</xdr:row>
      <xdr:rowOff>158115</xdr:rowOff>
    </xdr:from>
    <xdr:to>
      <xdr:col>13</xdr:col>
      <xdr:colOff>552450</xdr:colOff>
      <xdr:row>70</xdr:row>
      <xdr:rowOff>11430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8315204B-2120-5801-F00E-1B73EC63D4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10</xdr:row>
      <xdr:rowOff>0</xdr:rowOff>
    </xdr:from>
    <xdr:to>
      <xdr:col>6</xdr:col>
      <xdr:colOff>599375</xdr:colOff>
      <xdr:row>21</xdr:row>
      <xdr:rowOff>171167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EC7426E-0062-7970-F8FD-2B783C45C7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895475"/>
          <a:ext cx="5600000" cy="2266667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tosExternos_2" connectionId="3" xr16:uid="{3E1D0C01-8382-41D7-A47F-A3BA26CAE7A5}" autoFormatId="16" applyNumberFormats="0" applyBorderFormats="0" applyFontFormats="0" applyPatternFormats="0" applyAlignmentFormats="0" applyWidthHeightFormats="0">
  <queryTableRefresh nextId="15">
    <queryTableFields count="14">
      <queryTableField id="1" name="Column1.3" tableColumnId="1"/>
      <queryTableField id="2" name="Column2.1.3" tableColumnId="2"/>
      <queryTableField id="3" name="Column2.2" tableColumnId="3"/>
      <queryTableField id="4" name="Column2.3" tableColumnId="4"/>
      <queryTableField id="5" name="Column2.4" tableColumnId="5"/>
      <queryTableField id="6" name="Column2.5" tableColumnId="6"/>
      <queryTableField id="7" name="Column2.6" tableColumnId="7"/>
      <queryTableField id="8" name="Column2.7" tableColumnId="8"/>
      <queryTableField id="9" name="Column2.8" tableColumnId="9"/>
      <queryTableField id="10" name="Column2.9" tableColumnId="10"/>
      <queryTableField id="11" name="Column2.10" tableColumnId="11"/>
      <queryTableField id="12" name="Column2.11" tableColumnId="12"/>
      <queryTableField id="13" name="Column2.12" tableColumnId="13"/>
      <queryTableField id="14" name="Column2.13.2" tableColumnId="1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E8C42A9-7C00-4242-99E6-DA1151F700ED}" name="Tabla_viento_vall_aeropuerto_AEMET_OpenData" displayName="Tabla_viento_vall_aeropuerto_AEMET_OpenData" ref="A1:N5" tableType="queryTable" totalsRowShown="0">
  <autoFilter ref="A1:N5" xr:uid="{CE8C42A9-7C00-4242-99E6-DA1151F700ED}"/>
  <tableColumns count="14">
    <tableColumn id="1" xr3:uid="{B169F33F-9641-476A-9F2F-2ABFE0F1BF7B}" uniqueName="1" name="Column1.3" queryTableFieldId="1" dataDxfId="0"/>
    <tableColumn id="2" xr3:uid="{62675CEC-9D37-47D2-94D8-D9AB9230320A}" uniqueName="2" name="Column2.1.3" queryTableFieldId="2"/>
    <tableColumn id="3" xr3:uid="{A2D9C2B7-86F1-47F5-A0C6-12ECE2126DD4}" uniqueName="3" name="Column2.2" queryTableFieldId="3"/>
    <tableColumn id="4" xr3:uid="{A73829FE-4B24-442B-81BC-F375626F901E}" uniqueName="4" name="Column2.3" queryTableFieldId="4"/>
    <tableColumn id="5" xr3:uid="{1E351B3B-DB1D-4793-BF85-0B210BCF0A04}" uniqueName="5" name="Column2.4" queryTableFieldId="5"/>
    <tableColumn id="6" xr3:uid="{7981B536-255D-411D-B8CE-77C28755F2A8}" uniqueName="6" name="Column2.5" queryTableFieldId="6"/>
    <tableColumn id="7" xr3:uid="{EA694C5E-88E0-43EC-9187-152E40460DA1}" uniqueName="7" name="Column2.6" queryTableFieldId="7"/>
    <tableColumn id="8" xr3:uid="{2A08317C-F837-4D46-8A27-12A6A7743EDE}" uniqueName="8" name="Column2.7" queryTableFieldId="8"/>
    <tableColumn id="9" xr3:uid="{6F080F4D-46E4-4865-BB76-1C4AAC27FDC3}" uniqueName="9" name="Column2.8" queryTableFieldId="9"/>
    <tableColumn id="10" xr3:uid="{900C8DC6-44E1-4E05-A105-E45A0652C334}" uniqueName="10" name="Column2.9" queryTableFieldId="10"/>
    <tableColumn id="11" xr3:uid="{42D3EA58-B9C9-42A1-9CB3-BB24BA31D136}" uniqueName="11" name="Column2.10" queryTableFieldId="11"/>
    <tableColumn id="12" xr3:uid="{43BA39AA-126E-4B9E-B235-ABB09F92544A}" uniqueName="12" name="Column2.11" queryTableFieldId="12"/>
    <tableColumn id="13" xr3:uid="{EDCB254A-9481-48C3-AAB8-4B2BB89433A9}" uniqueName="13" name="Column2.12" queryTableFieldId="13"/>
    <tableColumn id="14" xr3:uid="{799D63E0-3CAA-44A6-96C0-B59B0DE34E26}" uniqueName="14" name="Column2.13.2" queryTableFieldId="14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4F187-C3EF-4412-85C7-386AEB7D07D4}">
  <sheetPr codeName="Hoja8"/>
  <dimension ref="B2:X81"/>
  <sheetViews>
    <sheetView workbookViewId="0">
      <selection activeCell="H7" sqref="H7"/>
    </sheetView>
  </sheetViews>
  <sheetFormatPr baseColWidth="10" defaultRowHeight="14.4" x14ac:dyDescent="0.3"/>
  <cols>
    <col min="2" max="2" width="22.33203125" customWidth="1"/>
    <col min="3" max="3" width="12.88671875" customWidth="1"/>
    <col min="4" max="4" width="12.44140625" customWidth="1"/>
    <col min="5" max="5" width="11.88671875" customWidth="1"/>
    <col min="11" max="11" width="13.88671875" customWidth="1"/>
    <col min="12" max="12" width="13.33203125" customWidth="1"/>
    <col min="20" max="20" width="12.21875" customWidth="1"/>
    <col min="22" max="22" width="2.33203125" customWidth="1"/>
  </cols>
  <sheetData>
    <row r="2" spans="2:24" ht="23.4" x14ac:dyDescent="0.45">
      <c r="B2" s="26" t="s">
        <v>4</v>
      </c>
    </row>
    <row r="3" spans="2:24" ht="23.4" x14ac:dyDescent="0.45">
      <c r="B3" s="26"/>
    </row>
    <row r="4" spans="2:24" ht="26.25" customHeight="1" thickBot="1" x14ac:dyDescent="0.5">
      <c r="B4" s="26"/>
      <c r="C4" s="161" t="s">
        <v>39</v>
      </c>
      <c r="D4" s="161"/>
      <c r="E4" s="161"/>
      <c r="F4" s="161" t="s">
        <v>42</v>
      </c>
      <c r="G4" s="161"/>
    </row>
    <row r="5" spans="2:24" s="40" customFormat="1" ht="32.25" customHeight="1" thickBot="1" x14ac:dyDescent="0.35">
      <c r="C5" s="41" t="s">
        <v>36</v>
      </c>
      <c r="D5" s="41" t="s">
        <v>40</v>
      </c>
      <c r="E5" s="41" t="s">
        <v>38</v>
      </c>
      <c r="F5" s="41" t="s">
        <v>43</v>
      </c>
      <c r="G5" s="41" t="s">
        <v>37</v>
      </c>
      <c r="K5" s="162" t="s">
        <v>48</v>
      </c>
      <c r="L5" s="163"/>
      <c r="O5" s="40" t="s">
        <v>65</v>
      </c>
      <c r="R5" s="40" t="s">
        <v>64</v>
      </c>
      <c r="T5" s="159" t="s">
        <v>115</v>
      </c>
      <c r="U5" s="160"/>
    </row>
    <row r="6" spans="2:24" ht="15" thickBot="1" x14ac:dyDescent="0.35">
      <c r="B6" s="27" t="s">
        <v>52</v>
      </c>
      <c r="C6" s="28">
        <f>ROUND(($C$9*C10*$C$13),3)</f>
        <v>0.39</v>
      </c>
      <c r="D6" s="28">
        <f t="shared" ref="D6:G6" si="0">ROUND(($C$9*D10*$C$13),3)</f>
        <v>0.39300000000000002</v>
      </c>
      <c r="E6" s="28">
        <f t="shared" si="0"/>
        <v>0.39300000000000002</v>
      </c>
      <c r="F6" s="28">
        <f t="shared" si="0"/>
        <v>0.39</v>
      </c>
      <c r="G6" s="28">
        <f t="shared" si="0"/>
        <v>0.45800000000000002</v>
      </c>
      <c r="K6" s="2" t="s">
        <v>44</v>
      </c>
      <c r="L6" s="3">
        <v>35</v>
      </c>
      <c r="N6" s="9" t="s">
        <v>55</v>
      </c>
      <c r="O6" s="9">
        <f>L6</f>
        <v>35</v>
      </c>
      <c r="Q6" s="9" t="s">
        <v>61</v>
      </c>
      <c r="R6" s="9">
        <f>ROUND(O10*L8+0.5*O10*O10*TAN(RADIANS(L11)),3)</f>
        <v>11.382999999999999</v>
      </c>
      <c r="T6" s="4" t="s">
        <v>44</v>
      </c>
      <c r="U6" s="5">
        <v>35</v>
      </c>
    </row>
    <row r="7" spans="2:24" ht="15" thickBot="1" x14ac:dyDescent="0.35">
      <c r="B7" s="27" t="s">
        <v>53</v>
      </c>
      <c r="C7" s="28">
        <f>ROUND($C$9*C11*$C$13,3)</f>
        <v>0.39600000000000002</v>
      </c>
      <c r="D7" s="28">
        <f t="shared" ref="D7:G7" si="1">ROUND($C$9*D11*$C$13,3)</f>
        <v>0.39600000000000002</v>
      </c>
      <c r="E7" s="28">
        <f t="shared" si="1"/>
        <v>0.39600000000000002</v>
      </c>
      <c r="F7" s="28">
        <f t="shared" si="1"/>
        <v>0.39600000000000002</v>
      </c>
      <c r="G7" s="28">
        <f t="shared" si="1"/>
        <v>0.47299999999999998</v>
      </c>
      <c r="K7" s="4" t="s">
        <v>45</v>
      </c>
      <c r="L7" s="5">
        <v>24</v>
      </c>
      <c r="N7" s="9" t="s">
        <v>56</v>
      </c>
      <c r="O7" s="9">
        <f>L7</f>
        <v>24</v>
      </c>
      <c r="Q7" s="9" t="s">
        <v>62</v>
      </c>
      <c r="R7" s="9">
        <f>ROUND((L7*L8+0.5*L7*(L9-L8))-(R6+R8),3)</f>
        <v>111.187</v>
      </c>
      <c r="T7" s="4" t="s">
        <v>45</v>
      </c>
      <c r="U7" s="5">
        <v>24</v>
      </c>
    </row>
    <row r="8" spans="2:24" ht="15" thickBot="1" x14ac:dyDescent="0.35">
      <c r="B8" s="27" t="s">
        <v>84</v>
      </c>
      <c r="C8">
        <f>ROUND($C$9*($C$12*C15-C10*$C$13),3)</f>
        <v>-0.39</v>
      </c>
      <c r="D8">
        <f t="shared" ref="D8:E8" si="2">ROUND($C$9*($C$12*D15-D10*$C$13),3)</f>
        <v>-0.39300000000000002</v>
      </c>
      <c r="E8">
        <f t="shared" si="2"/>
        <v>-0.39300000000000002</v>
      </c>
      <c r="F8">
        <f>ROUND($C$9*($F$12*F15-F10*$C$13),3)</f>
        <v>-0.39</v>
      </c>
      <c r="G8">
        <f>ROUND($C$9*($F$12*G15-G10*$C$13),3)</f>
        <v>-0.45800000000000002</v>
      </c>
      <c r="K8" s="4" t="s">
        <v>46</v>
      </c>
      <c r="L8" s="5">
        <v>7</v>
      </c>
      <c r="N8" s="9" t="s">
        <v>57</v>
      </c>
      <c r="O8" s="9">
        <f>L9</f>
        <v>8.0500000000000007</v>
      </c>
      <c r="Q8" s="9" t="s">
        <v>63</v>
      </c>
      <c r="R8" s="9">
        <f>ROUND(O12*L8+0.5*O12*O12*TAN(RADIANS(L11)),3)</f>
        <v>58.03</v>
      </c>
      <c r="T8" s="4" t="s">
        <v>113</v>
      </c>
      <c r="U8" s="5">
        <v>7</v>
      </c>
    </row>
    <row r="9" spans="2:24" x14ac:dyDescent="0.3">
      <c r="B9" s="2" t="s">
        <v>35</v>
      </c>
      <c r="C9" s="3">
        <f>0.5*$C$56*$C$57*$C$57*0.001</f>
        <v>0.42249999999999999</v>
      </c>
      <c r="K9" s="43" t="s">
        <v>47</v>
      </c>
      <c r="L9" s="44">
        <v>8.0500000000000007</v>
      </c>
      <c r="N9" s="9" t="s">
        <v>58</v>
      </c>
      <c r="O9" s="9">
        <f>MIN(O6,2*O8)</f>
        <v>16.100000000000001</v>
      </c>
      <c r="Q9" s="9" t="s">
        <v>68</v>
      </c>
      <c r="R9" s="9">
        <f>L6*L7</f>
        <v>840</v>
      </c>
      <c r="T9" s="4" t="s">
        <v>67</v>
      </c>
      <c r="U9" s="5">
        <v>5</v>
      </c>
      <c r="W9" s="4" t="s">
        <v>67</v>
      </c>
      <c r="X9" s="5">
        <v>35</v>
      </c>
    </row>
    <row r="10" spans="2:24" ht="15" thickBot="1" x14ac:dyDescent="0.35">
      <c r="B10" s="4" t="s">
        <v>49</v>
      </c>
      <c r="C10" s="9">
        <f>ROUND(FORECAST(C20,$C$28:$D$28,$C$24:$D$24),2)</f>
        <v>1.32</v>
      </c>
      <c r="D10" s="9">
        <f t="shared" ref="D10:F10" si="3">ROUND(FORECAST(D20,$C$28:$D$28,$C$24:$D$24),2)</f>
        <v>1.33</v>
      </c>
      <c r="E10" s="9">
        <f t="shared" si="3"/>
        <v>1.33</v>
      </c>
      <c r="F10" s="9">
        <f t="shared" si="3"/>
        <v>1.32</v>
      </c>
      <c r="G10" s="9">
        <f>ROUND(FORECAST(G20,$D$28:$E$28,$D$24:$E$24),2)</f>
        <v>1.55</v>
      </c>
      <c r="K10" s="4" t="s">
        <v>54</v>
      </c>
      <c r="L10" s="5">
        <v>5</v>
      </c>
      <c r="N10" s="9" t="s">
        <v>59</v>
      </c>
      <c r="O10" s="9">
        <f>O9/10</f>
        <v>1.61</v>
      </c>
      <c r="Q10" s="9" t="s">
        <v>69</v>
      </c>
      <c r="R10" s="9">
        <f>R9</f>
        <v>840</v>
      </c>
      <c r="T10" s="6" t="s">
        <v>114</v>
      </c>
      <c r="U10" s="7">
        <f>ROUND($U$8+$U$7*SIN(RADIANS(U$9)),1)</f>
        <v>9.1</v>
      </c>
      <c r="W10" s="6" t="s">
        <v>114</v>
      </c>
      <c r="X10" s="7">
        <f>ROUND($U$8+$U$7*SIN(RADIANS(X$9)),1)</f>
        <v>20.8</v>
      </c>
    </row>
    <row r="11" spans="2:24" ht="15" thickBot="1" x14ac:dyDescent="0.35">
      <c r="B11" s="4" t="s">
        <v>50</v>
      </c>
      <c r="C11" s="49">
        <f>ROUND(C72*(C72+7*$C$73),2)</f>
        <v>1.34</v>
      </c>
      <c r="D11" s="49">
        <f t="shared" ref="D11:G11" si="4">ROUND(D72*(D72+7*$C$73),2)</f>
        <v>1.34</v>
      </c>
      <c r="E11" s="49">
        <f t="shared" si="4"/>
        <v>1.34</v>
      </c>
      <c r="F11" s="49">
        <f t="shared" si="4"/>
        <v>1.34</v>
      </c>
      <c r="G11" s="49">
        <f t="shared" si="4"/>
        <v>1.6</v>
      </c>
      <c r="K11" s="46" t="s">
        <v>67</v>
      </c>
      <c r="L11" s="47">
        <f>ROUND(DEGREES(ATAN((L9-L8)/(L7/2))),2)</f>
        <v>5</v>
      </c>
      <c r="N11" s="9" t="s">
        <v>66</v>
      </c>
      <c r="O11" s="9">
        <f>O9-O10</f>
        <v>14.490000000000002</v>
      </c>
    </row>
    <row r="12" spans="2:24" x14ac:dyDescent="0.3">
      <c r="B12" s="48" t="s">
        <v>51</v>
      </c>
      <c r="C12" s="172">
        <f>ROUND(FORECAST((L10/2),C28:D28,C24:D24),2)</f>
        <v>1.28</v>
      </c>
      <c r="D12" s="172"/>
      <c r="E12" s="172"/>
      <c r="F12" s="172">
        <v>0</v>
      </c>
      <c r="G12" s="172"/>
      <c r="H12" s="11"/>
      <c r="N12" s="9" t="s">
        <v>60</v>
      </c>
      <c r="O12" s="9">
        <f>O7-O9</f>
        <v>7.8999999999999986</v>
      </c>
    </row>
    <row r="13" spans="2:24" x14ac:dyDescent="0.3">
      <c r="B13" s="9" t="s">
        <v>85</v>
      </c>
      <c r="C13" s="17">
        <v>0.7</v>
      </c>
      <c r="N13" s="9" t="s">
        <v>70</v>
      </c>
      <c r="O13" s="9">
        <f>ROUND(O8/O7,2)</f>
        <v>0.34</v>
      </c>
    </row>
    <row r="14" spans="2:24" x14ac:dyDescent="0.3">
      <c r="B14" s="9" t="s">
        <v>87</v>
      </c>
      <c r="C14" s="9">
        <v>-0.5</v>
      </c>
    </row>
    <row r="15" spans="2:24" x14ac:dyDescent="0.3">
      <c r="B15" s="9" t="s">
        <v>86</v>
      </c>
    </row>
    <row r="16" spans="2:24" x14ac:dyDescent="0.3">
      <c r="B16" s="9" t="s">
        <v>88</v>
      </c>
    </row>
    <row r="19" spans="2:13" ht="15" thickBot="1" x14ac:dyDescent="0.35"/>
    <row r="20" spans="2:13" ht="15" thickBot="1" x14ac:dyDescent="0.35">
      <c r="B20" s="27" t="s">
        <v>41</v>
      </c>
      <c r="C20" s="42">
        <f>$L$8/2</f>
        <v>3.5</v>
      </c>
      <c r="D20" s="42">
        <f>(C20+E20)/2</f>
        <v>3.7625000000000002</v>
      </c>
      <c r="E20" s="42">
        <f>$L$9/2</f>
        <v>4.0250000000000004</v>
      </c>
      <c r="F20" s="42">
        <f>$L$8/2</f>
        <v>3.5</v>
      </c>
      <c r="G20" s="28">
        <f>($L$8+$L$9)/2</f>
        <v>7.5250000000000004</v>
      </c>
    </row>
    <row r="21" spans="2:13" ht="15" thickBot="1" x14ac:dyDescent="0.35"/>
    <row r="22" spans="2:13" ht="15" thickBot="1" x14ac:dyDescent="0.35">
      <c r="B22" s="167" t="s">
        <v>6</v>
      </c>
      <c r="C22" s="168"/>
      <c r="D22" s="168"/>
      <c r="E22" s="168"/>
      <c r="F22" s="168"/>
      <c r="G22" s="168"/>
      <c r="H22" s="168"/>
      <c r="I22" s="168"/>
      <c r="J22" s="169"/>
    </row>
    <row r="23" spans="2:13" ht="32.25" customHeight="1" thickBot="1" x14ac:dyDescent="0.35">
      <c r="B23" s="25" t="s">
        <v>5</v>
      </c>
      <c r="C23" s="164" t="s">
        <v>7</v>
      </c>
      <c r="D23" s="165"/>
      <c r="E23" s="165"/>
      <c r="F23" s="165"/>
      <c r="G23" s="165"/>
      <c r="H23" s="165"/>
      <c r="I23" s="165"/>
      <c r="J23" s="166"/>
    </row>
    <row r="24" spans="2:13" ht="15" thickBot="1" x14ac:dyDescent="0.35">
      <c r="B24" s="8"/>
      <c r="C24" s="19">
        <v>3</v>
      </c>
      <c r="D24" s="20">
        <v>6</v>
      </c>
      <c r="E24" s="20">
        <v>9</v>
      </c>
      <c r="F24" s="20">
        <v>12</v>
      </c>
      <c r="G24" s="20">
        <v>15</v>
      </c>
      <c r="H24" s="20">
        <v>18</v>
      </c>
      <c r="I24" s="20">
        <v>24</v>
      </c>
      <c r="J24" s="21">
        <v>30</v>
      </c>
    </row>
    <row r="25" spans="2:13" x14ac:dyDescent="0.3">
      <c r="B25" s="13">
        <v>1</v>
      </c>
      <c r="C25" s="16">
        <v>2.4</v>
      </c>
      <c r="D25" s="17">
        <v>2.7</v>
      </c>
      <c r="E25" s="17">
        <v>3</v>
      </c>
      <c r="F25" s="17">
        <v>3.1</v>
      </c>
      <c r="G25" s="17">
        <v>3.3</v>
      </c>
      <c r="H25" s="17">
        <v>3.4</v>
      </c>
      <c r="I25" s="17">
        <v>3.5</v>
      </c>
      <c r="J25" s="18">
        <v>3.7</v>
      </c>
    </row>
    <row r="26" spans="2:13" x14ac:dyDescent="0.3">
      <c r="B26" s="14">
        <v>2</v>
      </c>
      <c r="C26" s="11">
        <v>2.1</v>
      </c>
      <c r="D26" s="9">
        <v>2.5</v>
      </c>
      <c r="E26" s="9">
        <v>2.7</v>
      </c>
      <c r="F26" s="9">
        <v>2.9</v>
      </c>
      <c r="G26" s="9">
        <v>3</v>
      </c>
      <c r="H26" s="9">
        <v>3.1</v>
      </c>
      <c r="I26" s="9">
        <v>3.3</v>
      </c>
      <c r="J26" s="5">
        <v>3.5</v>
      </c>
    </row>
    <row r="27" spans="2:13" x14ac:dyDescent="0.3">
      <c r="B27" s="14">
        <v>3</v>
      </c>
      <c r="C27" s="11">
        <v>1.6</v>
      </c>
      <c r="D27" s="9">
        <v>2</v>
      </c>
      <c r="E27" s="9">
        <v>2.2999999999999998</v>
      </c>
      <c r="F27" s="9">
        <v>2.5</v>
      </c>
      <c r="G27" s="9">
        <v>2.6</v>
      </c>
      <c r="H27" s="9">
        <v>2.7</v>
      </c>
      <c r="I27" s="9">
        <v>2.9</v>
      </c>
      <c r="J27" s="5">
        <v>3.1</v>
      </c>
    </row>
    <row r="28" spans="2:13" x14ac:dyDescent="0.3">
      <c r="B28" s="45">
        <v>4</v>
      </c>
      <c r="C28" s="11">
        <v>1.3</v>
      </c>
      <c r="D28" s="9">
        <v>1.4</v>
      </c>
      <c r="E28" s="9">
        <v>1.7</v>
      </c>
      <c r="F28" s="9">
        <v>1.9</v>
      </c>
      <c r="G28" s="9">
        <v>2.1</v>
      </c>
      <c r="H28" s="9">
        <v>2.2000000000000002</v>
      </c>
      <c r="I28" s="9">
        <v>2.4</v>
      </c>
      <c r="J28" s="5">
        <v>2.6</v>
      </c>
    </row>
    <row r="29" spans="2:13" ht="15" thickBot="1" x14ac:dyDescent="0.35">
      <c r="B29" s="15">
        <v>5</v>
      </c>
      <c r="C29" s="12">
        <v>1.2</v>
      </c>
      <c r="D29" s="10">
        <v>1.2</v>
      </c>
      <c r="E29" s="10">
        <v>1.2</v>
      </c>
      <c r="F29" s="10">
        <v>1.4</v>
      </c>
      <c r="G29" s="10">
        <v>1.5</v>
      </c>
      <c r="H29" s="10">
        <v>1.6</v>
      </c>
      <c r="I29" s="10">
        <v>1.9</v>
      </c>
      <c r="J29" s="7">
        <v>2</v>
      </c>
    </row>
    <row r="31" spans="2:13" ht="15" thickBot="1" x14ac:dyDescent="0.35"/>
    <row r="32" spans="2:13" ht="15" thickBot="1" x14ac:dyDescent="0.35">
      <c r="B32" s="167" t="s">
        <v>8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9"/>
    </row>
    <row r="33" spans="2:13" ht="33.75" customHeight="1" thickBot="1" x14ac:dyDescent="0.35">
      <c r="B33" s="25" t="s">
        <v>9</v>
      </c>
      <c r="C33" s="164" t="s">
        <v>10</v>
      </c>
      <c r="D33" s="165"/>
      <c r="E33" s="165"/>
      <c r="F33" s="165"/>
      <c r="G33" s="165"/>
      <c r="H33" s="165"/>
      <c r="I33" s="165"/>
      <c r="J33" s="165"/>
      <c r="K33" s="165"/>
      <c r="L33" s="165"/>
      <c r="M33" s="166"/>
    </row>
    <row r="34" spans="2:13" x14ac:dyDescent="0.3">
      <c r="B34" s="22"/>
      <c r="C34" s="16">
        <v>0</v>
      </c>
      <c r="D34" s="17">
        <v>0.1</v>
      </c>
      <c r="E34" s="17">
        <v>0.2</v>
      </c>
      <c r="F34" s="17">
        <v>0.3</v>
      </c>
      <c r="G34" s="17">
        <v>0.4</v>
      </c>
      <c r="H34" s="17">
        <v>0.5</v>
      </c>
      <c r="I34" s="17">
        <v>0.6</v>
      </c>
      <c r="J34" s="17">
        <v>0.7</v>
      </c>
      <c r="K34" s="17">
        <v>0.8</v>
      </c>
      <c r="L34" s="17">
        <v>0.9</v>
      </c>
      <c r="M34" s="18">
        <v>1</v>
      </c>
    </row>
    <row r="35" spans="2:13" x14ac:dyDescent="0.3">
      <c r="B35" s="23" t="s">
        <v>11</v>
      </c>
      <c r="C35" s="11">
        <v>0.7</v>
      </c>
      <c r="D35" s="9">
        <v>0.7</v>
      </c>
      <c r="E35" s="9">
        <v>0.6</v>
      </c>
      <c r="F35" s="9">
        <v>0.4</v>
      </c>
      <c r="G35" s="9">
        <v>0.3</v>
      </c>
      <c r="H35" s="9">
        <v>0.1</v>
      </c>
      <c r="I35" s="9">
        <v>0</v>
      </c>
      <c r="J35" s="9">
        <v>-0.1</v>
      </c>
      <c r="K35" s="9">
        <v>-0.3</v>
      </c>
      <c r="L35" s="9">
        <v>-0.4</v>
      </c>
      <c r="M35" s="5">
        <v>-0.5</v>
      </c>
    </row>
    <row r="36" spans="2:13" ht="15" thickBot="1" x14ac:dyDescent="0.35">
      <c r="B36" s="24" t="s">
        <v>12</v>
      </c>
      <c r="C36" s="12">
        <v>0.5</v>
      </c>
      <c r="D36" s="10">
        <v>0.5</v>
      </c>
      <c r="E36" s="10">
        <v>0.4</v>
      </c>
      <c r="F36" s="10">
        <v>0.3</v>
      </c>
      <c r="G36" s="10">
        <v>0.2</v>
      </c>
      <c r="H36" s="10">
        <v>0.1</v>
      </c>
      <c r="I36" s="10">
        <v>0</v>
      </c>
      <c r="J36" s="10">
        <v>-0.1</v>
      </c>
      <c r="K36" s="10">
        <v>-0.2</v>
      </c>
      <c r="L36" s="10">
        <v>-0.3</v>
      </c>
      <c r="M36" s="7">
        <v>-0.3</v>
      </c>
    </row>
    <row r="55" spans="2:11" ht="15" thickBot="1" x14ac:dyDescent="0.35"/>
    <row r="56" spans="2:11" x14ac:dyDescent="0.3">
      <c r="B56" s="2" t="s">
        <v>34</v>
      </c>
      <c r="C56" s="3">
        <v>1.25</v>
      </c>
      <c r="E56" s="150" t="s">
        <v>13</v>
      </c>
      <c r="F56" s="151"/>
      <c r="H56" s="2" t="s">
        <v>17</v>
      </c>
      <c r="I56" s="3"/>
      <c r="K56" t="s">
        <v>20</v>
      </c>
    </row>
    <row r="57" spans="2:11" ht="15" thickBot="1" x14ac:dyDescent="0.35">
      <c r="B57" s="6" t="s">
        <v>76</v>
      </c>
      <c r="C57" s="7">
        <v>26</v>
      </c>
      <c r="E57" s="4" t="s">
        <v>14</v>
      </c>
      <c r="F57" s="5">
        <v>26</v>
      </c>
      <c r="H57" s="4" t="s">
        <v>0</v>
      </c>
      <c r="I57" s="5"/>
    </row>
    <row r="58" spans="2:11" x14ac:dyDescent="0.3">
      <c r="E58" s="4" t="s">
        <v>15</v>
      </c>
      <c r="F58" s="5">
        <v>27</v>
      </c>
      <c r="H58" s="4" t="s">
        <v>18</v>
      </c>
      <c r="I58" s="5"/>
    </row>
    <row r="59" spans="2:11" ht="15" thickBot="1" x14ac:dyDescent="0.35">
      <c r="E59" s="6" t="s">
        <v>16</v>
      </c>
      <c r="F59" s="7">
        <v>29</v>
      </c>
      <c r="H59" s="6" t="s">
        <v>19</v>
      </c>
      <c r="I59" s="7"/>
    </row>
    <row r="61" spans="2:11" ht="15" thickBot="1" x14ac:dyDescent="0.35"/>
    <row r="62" spans="2:11" ht="15" thickBot="1" x14ac:dyDescent="0.35">
      <c r="B62" s="167" t="s">
        <v>25</v>
      </c>
      <c r="C62" s="168"/>
      <c r="D62" s="168"/>
      <c r="E62" s="168"/>
      <c r="F62" s="168"/>
      <c r="G62" s="168"/>
      <c r="H62" s="168"/>
      <c r="I62" s="168"/>
      <c r="J62" s="169"/>
    </row>
    <row r="63" spans="2:11" ht="15" thickBot="1" x14ac:dyDescent="0.35">
      <c r="B63" s="170" t="s">
        <v>26</v>
      </c>
      <c r="C63" s="171"/>
      <c r="D63" s="16">
        <v>1</v>
      </c>
      <c r="E63" s="17">
        <v>2</v>
      </c>
      <c r="F63" s="17">
        <v>5</v>
      </c>
      <c r="G63" s="17">
        <v>10</v>
      </c>
      <c r="H63" s="17">
        <v>20</v>
      </c>
      <c r="I63" s="17">
        <v>50</v>
      </c>
      <c r="J63" s="18">
        <v>200</v>
      </c>
    </row>
    <row r="64" spans="2:11" ht="15" thickBot="1" x14ac:dyDescent="0.35">
      <c r="B64" s="170" t="s">
        <v>27</v>
      </c>
      <c r="C64" s="171"/>
      <c r="D64" s="12">
        <v>0.41</v>
      </c>
      <c r="E64" s="10">
        <v>0.78</v>
      </c>
      <c r="F64" s="10">
        <v>0.85</v>
      </c>
      <c r="G64" s="10">
        <v>0.9</v>
      </c>
      <c r="H64" s="10">
        <v>0.95</v>
      </c>
      <c r="I64" s="10">
        <v>1</v>
      </c>
      <c r="J64" s="7">
        <v>1.08</v>
      </c>
    </row>
    <row r="68" spans="2:14" x14ac:dyDescent="0.3">
      <c r="B68" s="39" t="s">
        <v>32</v>
      </c>
    </row>
    <row r="69" spans="2:14" x14ac:dyDescent="0.3">
      <c r="B69" s="39"/>
    </row>
    <row r="70" spans="2:14" ht="15" thickBot="1" x14ac:dyDescent="0.35">
      <c r="B70" s="39"/>
      <c r="C70" s="161" t="s">
        <v>39</v>
      </c>
      <c r="D70" s="161"/>
      <c r="E70" s="161"/>
      <c r="F70" s="161" t="s">
        <v>42</v>
      </c>
      <c r="G70" s="161"/>
    </row>
    <row r="71" spans="2:14" ht="29.4" thickBot="1" x14ac:dyDescent="0.35">
      <c r="C71" s="41" t="s">
        <v>36</v>
      </c>
      <c r="D71" s="41" t="s">
        <v>40</v>
      </c>
      <c r="E71" s="41" t="s">
        <v>38</v>
      </c>
      <c r="F71" s="41" t="s">
        <v>43</v>
      </c>
      <c r="G71" s="40" t="s">
        <v>37</v>
      </c>
      <c r="J71" s="147" t="s">
        <v>28</v>
      </c>
      <c r="K71" s="148"/>
      <c r="L71" s="148"/>
      <c r="M71" s="148"/>
      <c r="N71" s="149"/>
    </row>
    <row r="72" spans="2:14" ht="15" thickBot="1" x14ac:dyDescent="0.35">
      <c r="B72" s="2" t="s">
        <v>21</v>
      </c>
      <c r="C72" s="3">
        <f>ROUND($C$73*LN((MAX(C75:$C$76)/$C$77)),2)</f>
        <v>0.62</v>
      </c>
      <c r="D72" s="3">
        <f>ROUND($C$73*LN((MAX($C75:D$76)/$C$77)),2)</f>
        <v>0.62</v>
      </c>
      <c r="E72" s="3">
        <f>ROUND($C$73*LN((MAX($C75:E$76)/$C$77)),2)</f>
        <v>0.62</v>
      </c>
      <c r="F72" s="3">
        <f>ROUND($C$73*LN((MAX($C75:F$76)/$C$77)),2)</f>
        <v>0.62</v>
      </c>
      <c r="G72" s="3">
        <f>ROUND($C$73*LN((MAX($C75:G$76)/$C$77)),2)</f>
        <v>0.71</v>
      </c>
      <c r="J72" s="143" t="s">
        <v>5</v>
      </c>
      <c r="K72" s="144"/>
      <c r="L72" s="154" t="s">
        <v>29</v>
      </c>
      <c r="M72" s="155"/>
      <c r="N72" s="156"/>
    </row>
    <row r="73" spans="2:14" ht="15" thickBot="1" x14ac:dyDescent="0.35">
      <c r="B73" s="6" t="s">
        <v>22</v>
      </c>
      <c r="C73" s="7">
        <f>$L$77</f>
        <v>0.22</v>
      </c>
      <c r="J73" s="145"/>
      <c r="K73" s="146"/>
      <c r="L73" s="37" t="s">
        <v>22</v>
      </c>
      <c r="M73" s="37" t="s">
        <v>30</v>
      </c>
      <c r="N73" s="37" t="s">
        <v>31</v>
      </c>
    </row>
    <row r="74" spans="2:14" ht="15" thickBot="1" x14ac:dyDescent="0.35">
      <c r="J74" s="150">
        <v>1</v>
      </c>
      <c r="K74" s="151"/>
      <c r="L74" s="34">
        <v>0.156</v>
      </c>
      <c r="M74" s="35">
        <v>3.0000000000000001E-3</v>
      </c>
      <c r="N74" s="36">
        <v>1</v>
      </c>
    </row>
    <row r="75" spans="2:14" ht="15" thickBot="1" x14ac:dyDescent="0.35">
      <c r="B75" s="27" t="s">
        <v>41</v>
      </c>
      <c r="C75" s="42">
        <f>$L$8/2</f>
        <v>3.5</v>
      </c>
      <c r="D75" s="42">
        <f>(C75+E75)/2</f>
        <v>3.7625000000000002</v>
      </c>
      <c r="E75" s="42">
        <f>$L$9/2</f>
        <v>4.0250000000000004</v>
      </c>
      <c r="F75" s="42">
        <f>$L$8/2</f>
        <v>3.5</v>
      </c>
      <c r="G75" s="28">
        <f>($L$8+$L$9)/2</f>
        <v>7.5250000000000004</v>
      </c>
      <c r="J75" s="152">
        <v>2</v>
      </c>
      <c r="K75" s="153"/>
      <c r="L75" s="33">
        <v>0.17</v>
      </c>
      <c r="M75" s="29">
        <v>0.01</v>
      </c>
      <c r="N75" s="30">
        <v>1</v>
      </c>
    </row>
    <row r="76" spans="2:14" x14ac:dyDescent="0.3">
      <c r="B76" s="4" t="s">
        <v>23</v>
      </c>
      <c r="C76" s="5">
        <f>$N$77</f>
        <v>5</v>
      </c>
      <c r="J76" s="152">
        <v>3</v>
      </c>
      <c r="K76" s="153"/>
      <c r="L76" s="33">
        <v>0.19</v>
      </c>
      <c r="M76" s="29">
        <v>0.05</v>
      </c>
      <c r="N76" s="30">
        <v>2</v>
      </c>
    </row>
    <row r="77" spans="2:14" ht="15" thickBot="1" x14ac:dyDescent="0.35">
      <c r="B77" s="6" t="s">
        <v>24</v>
      </c>
      <c r="C77" s="7">
        <f>$M$77</f>
        <v>0.3</v>
      </c>
      <c r="J77" s="157">
        <v>4</v>
      </c>
      <c r="K77" s="158"/>
      <c r="L77" s="33">
        <v>0.22</v>
      </c>
      <c r="M77" s="29">
        <v>0.3</v>
      </c>
      <c r="N77" s="30">
        <v>5</v>
      </c>
    </row>
    <row r="78" spans="2:14" ht="15" thickBot="1" x14ac:dyDescent="0.35">
      <c r="J78" s="141">
        <v>5</v>
      </c>
      <c r="K78" s="142"/>
      <c r="L78" s="38">
        <v>0.24</v>
      </c>
      <c r="M78" s="31">
        <v>1</v>
      </c>
      <c r="N78" s="32">
        <v>10</v>
      </c>
    </row>
    <row r="81" spans="2:2" x14ac:dyDescent="0.3">
      <c r="B81" t="s">
        <v>33</v>
      </c>
    </row>
  </sheetData>
  <mergeCells count="24">
    <mergeCell ref="T5:U5"/>
    <mergeCell ref="C4:E4"/>
    <mergeCell ref="F4:G4"/>
    <mergeCell ref="K5:L5"/>
    <mergeCell ref="C70:E70"/>
    <mergeCell ref="F70:G70"/>
    <mergeCell ref="C23:J23"/>
    <mergeCell ref="B22:J22"/>
    <mergeCell ref="C33:M33"/>
    <mergeCell ref="B32:M32"/>
    <mergeCell ref="E56:F56"/>
    <mergeCell ref="B63:C63"/>
    <mergeCell ref="B64:C64"/>
    <mergeCell ref="B62:J62"/>
    <mergeCell ref="C12:E12"/>
    <mergeCell ref="F12:G12"/>
    <mergeCell ref="J78:K78"/>
    <mergeCell ref="J72:K73"/>
    <mergeCell ref="J71:N71"/>
    <mergeCell ref="J74:K74"/>
    <mergeCell ref="J75:K75"/>
    <mergeCell ref="L72:N72"/>
    <mergeCell ref="J76:K76"/>
    <mergeCell ref="J77:K77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4C9E5-8A36-4039-92E3-63900CB04DDB}">
  <dimension ref="B3:K58"/>
  <sheetViews>
    <sheetView workbookViewId="0">
      <selection activeCell="M30" sqref="M30"/>
    </sheetView>
  </sheetViews>
  <sheetFormatPr baseColWidth="10" defaultRowHeight="14.4" x14ac:dyDescent="0.3"/>
  <cols>
    <col min="2" max="2" width="28.21875" customWidth="1"/>
  </cols>
  <sheetData>
    <row r="3" spans="2:5" ht="18" x14ac:dyDescent="0.35">
      <c r="B3" s="129" t="s">
        <v>181</v>
      </c>
      <c r="C3" s="219" t="s">
        <v>235</v>
      </c>
      <c r="D3" s="219"/>
      <c r="E3" s="219"/>
    </row>
    <row r="4" spans="2:5" x14ac:dyDescent="0.3">
      <c r="B4" s="9" t="s">
        <v>321</v>
      </c>
      <c r="C4" s="126">
        <v>5</v>
      </c>
      <c r="D4" s="126">
        <v>10</v>
      </c>
      <c r="E4" s="126">
        <v>15</v>
      </c>
    </row>
    <row r="5" spans="2:5" x14ac:dyDescent="0.3">
      <c r="B5" s="130" t="s">
        <v>273</v>
      </c>
      <c r="C5" s="132">
        <v>0.22700000000000001</v>
      </c>
      <c r="D5" s="132">
        <v>0.23799999999999999</v>
      </c>
      <c r="E5" s="132">
        <v>0.25</v>
      </c>
    </row>
    <row r="6" spans="2:5" x14ac:dyDescent="0.3">
      <c r="B6" s="131" t="s">
        <v>267</v>
      </c>
      <c r="C6" s="133">
        <v>28.125</v>
      </c>
      <c r="D6" s="133">
        <v>31.643000000000001</v>
      </c>
      <c r="E6" s="133">
        <v>34.128999999999998</v>
      </c>
    </row>
    <row r="9" spans="2:5" ht="18" x14ac:dyDescent="0.35">
      <c r="B9" s="129" t="s">
        <v>181</v>
      </c>
      <c r="C9" s="219" t="s">
        <v>235</v>
      </c>
      <c r="D9" s="219"/>
      <c r="E9" s="219"/>
    </row>
    <row r="10" spans="2:5" x14ac:dyDescent="0.3">
      <c r="B10" s="9" t="s">
        <v>321</v>
      </c>
      <c r="C10" s="126">
        <v>5</v>
      </c>
      <c r="D10" s="126">
        <v>10</v>
      </c>
      <c r="E10" s="126">
        <v>15</v>
      </c>
    </row>
    <row r="11" spans="2:5" x14ac:dyDescent="0.3">
      <c r="B11" s="9" t="s">
        <v>247</v>
      </c>
      <c r="C11" s="134">
        <v>8.06</v>
      </c>
      <c r="D11" s="134">
        <v>7.51</v>
      </c>
      <c r="E11" s="134">
        <v>7.31</v>
      </c>
    </row>
    <row r="12" spans="2:5" x14ac:dyDescent="0.3">
      <c r="B12" s="9" t="s">
        <v>265</v>
      </c>
      <c r="C12" s="134">
        <v>0.75600000000000001</v>
      </c>
      <c r="D12" s="134">
        <v>0.73499999999999999</v>
      </c>
      <c r="E12" s="134">
        <v>0.75900000000000001</v>
      </c>
    </row>
    <row r="13" spans="2:5" x14ac:dyDescent="0.3">
      <c r="B13" s="9" t="s">
        <v>320</v>
      </c>
      <c r="C13" s="134">
        <v>4.3499999999999996</v>
      </c>
      <c r="D13" s="134">
        <v>3.3499999999999996</v>
      </c>
      <c r="E13" s="134">
        <v>2.0500000000000007</v>
      </c>
    </row>
    <row r="17" spans="2:11" ht="18" x14ac:dyDescent="0.35">
      <c r="B17" s="129" t="s">
        <v>143</v>
      </c>
      <c r="C17" s="219" t="s">
        <v>219</v>
      </c>
      <c r="D17" s="219"/>
      <c r="E17" s="219"/>
      <c r="F17" s="219" t="s">
        <v>220</v>
      </c>
      <c r="G17" s="219"/>
      <c r="H17" s="219"/>
      <c r="I17" s="219" t="s">
        <v>221</v>
      </c>
      <c r="J17" s="219"/>
      <c r="K17" s="219"/>
    </row>
    <row r="18" spans="2:11" x14ac:dyDescent="0.3">
      <c r="B18" s="9" t="s">
        <v>212</v>
      </c>
      <c r="C18" s="9">
        <v>5</v>
      </c>
      <c r="D18" s="9">
        <v>10</v>
      </c>
      <c r="E18" s="9">
        <v>15</v>
      </c>
      <c r="F18" s="9">
        <v>5</v>
      </c>
      <c r="G18" s="9">
        <v>10</v>
      </c>
      <c r="H18" s="9">
        <v>15</v>
      </c>
      <c r="I18" s="9">
        <v>5</v>
      </c>
      <c r="J18" s="9">
        <v>10</v>
      </c>
      <c r="K18" s="9">
        <v>15</v>
      </c>
    </row>
    <row r="19" spans="2:11" x14ac:dyDescent="0.3">
      <c r="B19" s="9" t="s">
        <v>210</v>
      </c>
      <c r="C19" s="9">
        <v>216447.5</v>
      </c>
      <c r="D19" s="9">
        <v>216945.59999999998</v>
      </c>
      <c r="E19" s="9">
        <v>217795.56</v>
      </c>
      <c r="F19" s="9">
        <v>216683.38</v>
      </c>
      <c r="G19" s="9">
        <v>218012.26</v>
      </c>
      <c r="H19" s="9">
        <v>220371.96</v>
      </c>
      <c r="I19" s="9">
        <v>216564.96</v>
      </c>
      <c r="J19" s="9">
        <v>217435.97</v>
      </c>
      <c r="K19" s="9">
        <v>218987.69</v>
      </c>
    </row>
    <row r="20" spans="2:11" x14ac:dyDescent="0.3">
      <c r="B20" s="9" t="s">
        <v>273</v>
      </c>
      <c r="C20" s="9">
        <v>0.21640000000000001</v>
      </c>
      <c r="D20" s="9">
        <v>0.21690000000000001</v>
      </c>
      <c r="E20" s="9">
        <v>0.21779999999999999</v>
      </c>
      <c r="F20" s="9">
        <v>0.2167</v>
      </c>
      <c r="G20" s="9">
        <v>0.218</v>
      </c>
      <c r="H20" s="9">
        <v>0.22040000000000001</v>
      </c>
      <c r="I20" s="9">
        <v>0.21659999999999999</v>
      </c>
      <c r="J20" s="9">
        <v>0.21740000000000001</v>
      </c>
      <c r="K20" s="9">
        <v>0.219</v>
      </c>
    </row>
    <row r="21" spans="2:11" x14ac:dyDescent="0.3">
      <c r="B21" s="9" t="s">
        <v>213</v>
      </c>
      <c r="C21" s="9">
        <v>0</v>
      </c>
      <c r="D21" s="9">
        <v>498.09999999997672</v>
      </c>
      <c r="E21" s="9">
        <v>1348.0599999999977</v>
      </c>
      <c r="F21" s="9">
        <v>0</v>
      </c>
      <c r="G21" s="9">
        <v>1328.8800000000047</v>
      </c>
      <c r="H21" s="9">
        <v>3688.5799999999872</v>
      </c>
      <c r="I21" s="9">
        <v>0</v>
      </c>
      <c r="J21" s="9">
        <v>871.01000000000931</v>
      </c>
      <c r="K21" s="9">
        <v>2422.7300000000105</v>
      </c>
    </row>
    <row r="22" spans="2:11" x14ac:dyDescent="0.3">
      <c r="B22" s="9" t="s">
        <v>216</v>
      </c>
      <c r="C22" s="9">
        <v>0</v>
      </c>
      <c r="D22" s="9">
        <v>0.23</v>
      </c>
      <c r="E22" s="9">
        <v>0.62</v>
      </c>
      <c r="F22" s="9">
        <v>0</v>
      </c>
      <c r="G22" s="9">
        <v>0.61</v>
      </c>
      <c r="H22" s="9">
        <v>1.7</v>
      </c>
      <c r="I22" s="9">
        <v>0</v>
      </c>
      <c r="J22" s="9">
        <v>0.4</v>
      </c>
      <c r="K22" s="9">
        <v>1.1200000000000001</v>
      </c>
    </row>
    <row r="23" spans="2:11" x14ac:dyDescent="0.3">
      <c r="B23" s="9" t="s">
        <v>270</v>
      </c>
      <c r="C23" s="9">
        <v>0</v>
      </c>
      <c r="D23" s="9">
        <v>498.09999999997672</v>
      </c>
      <c r="E23" s="9">
        <v>849.96000000002095</v>
      </c>
      <c r="F23" s="9">
        <v>0</v>
      </c>
      <c r="G23" s="9">
        <v>1328.8800000000047</v>
      </c>
      <c r="H23" s="9">
        <v>2359.6999999999825</v>
      </c>
      <c r="I23" s="9">
        <v>0</v>
      </c>
      <c r="J23" s="9">
        <v>871.01000000000931</v>
      </c>
      <c r="K23" s="9">
        <v>1551.7200000000012</v>
      </c>
    </row>
    <row r="24" spans="2:11" x14ac:dyDescent="0.3">
      <c r="B24" s="9" t="s">
        <v>271</v>
      </c>
      <c r="C24" s="9">
        <v>0</v>
      </c>
      <c r="D24" s="9">
        <v>0.23</v>
      </c>
      <c r="E24" s="9">
        <v>0.39</v>
      </c>
      <c r="F24" s="9">
        <v>0</v>
      </c>
      <c r="G24" s="9">
        <v>0.61</v>
      </c>
      <c r="H24" s="9">
        <v>1.08</v>
      </c>
      <c r="I24" s="9">
        <v>0</v>
      </c>
      <c r="J24" s="9">
        <v>0.4</v>
      </c>
      <c r="K24" s="9">
        <v>0.71</v>
      </c>
    </row>
    <row r="25" spans="2:11" x14ac:dyDescent="0.3">
      <c r="B25" s="9" t="s">
        <v>245</v>
      </c>
      <c r="C25" s="9">
        <v>22132</v>
      </c>
      <c r="D25" s="9">
        <v>22111</v>
      </c>
      <c r="E25" s="9">
        <v>22600</v>
      </c>
      <c r="F25" s="9">
        <v>22132</v>
      </c>
      <c r="G25" s="9">
        <v>22111</v>
      </c>
      <c r="H25" s="9">
        <v>22600</v>
      </c>
      <c r="I25" s="9">
        <v>21209</v>
      </c>
      <c r="J25" s="9">
        <v>22022</v>
      </c>
      <c r="K25" s="9">
        <v>21815</v>
      </c>
    </row>
    <row r="26" spans="2:11" x14ac:dyDescent="0.3">
      <c r="B26" s="9" t="s">
        <v>267</v>
      </c>
      <c r="C26" s="9">
        <v>22.132000000000001</v>
      </c>
      <c r="D26" s="9">
        <v>22.111000000000001</v>
      </c>
      <c r="E26" s="9">
        <v>22.6</v>
      </c>
      <c r="F26" s="9">
        <v>22.132000000000001</v>
      </c>
      <c r="G26" s="9">
        <v>22.111000000000001</v>
      </c>
      <c r="H26" s="9">
        <v>22.6</v>
      </c>
      <c r="I26" s="9">
        <v>21.209</v>
      </c>
      <c r="J26" s="9">
        <v>22.021999999999998</v>
      </c>
      <c r="K26" s="9">
        <v>21.815000000000001</v>
      </c>
    </row>
    <row r="27" spans="2:11" x14ac:dyDescent="0.3">
      <c r="B27" s="9" t="s">
        <v>246</v>
      </c>
      <c r="C27" s="9">
        <v>0</v>
      </c>
      <c r="D27" s="9">
        <v>-21</v>
      </c>
      <c r="E27" s="9">
        <v>468</v>
      </c>
      <c r="F27" s="9">
        <v>0</v>
      </c>
      <c r="G27" s="9">
        <v>-21</v>
      </c>
      <c r="H27" s="9">
        <v>468</v>
      </c>
      <c r="I27" s="9">
        <v>0</v>
      </c>
      <c r="J27" s="9">
        <v>813</v>
      </c>
      <c r="K27" s="9">
        <v>606</v>
      </c>
    </row>
    <row r="28" spans="2:11" x14ac:dyDescent="0.3">
      <c r="B28" s="9" t="s">
        <v>216</v>
      </c>
      <c r="C28" s="9">
        <v>0</v>
      </c>
      <c r="D28" s="9">
        <v>-0.09</v>
      </c>
      <c r="E28" s="9">
        <v>2.11</v>
      </c>
      <c r="F28" s="9">
        <v>0</v>
      </c>
      <c r="G28" s="9">
        <v>-0.09</v>
      </c>
      <c r="H28" s="9">
        <v>2.11</v>
      </c>
      <c r="I28" s="9">
        <v>0</v>
      </c>
      <c r="J28" s="9">
        <v>3.83</v>
      </c>
      <c r="K28" s="9">
        <v>2.86</v>
      </c>
    </row>
    <row r="29" spans="2:11" x14ac:dyDescent="0.3">
      <c r="B29" s="9" t="s">
        <v>272</v>
      </c>
      <c r="C29" s="9">
        <v>0</v>
      </c>
      <c r="D29" s="9">
        <v>-21</v>
      </c>
      <c r="E29" s="9">
        <v>489</v>
      </c>
      <c r="F29" s="9">
        <v>0</v>
      </c>
      <c r="G29" s="9">
        <v>-21</v>
      </c>
      <c r="H29" s="9">
        <v>489</v>
      </c>
      <c r="I29" s="9">
        <v>0</v>
      </c>
      <c r="J29" s="9">
        <v>813</v>
      </c>
      <c r="K29" s="9">
        <v>-207</v>
      </c>
    </row>
    <row r="30" spans="2:11" x14ac:dyDescent="0.3">
      <c r="B30" s="9" t="s">
        <v>271</v>
      </c>
      <c r="C30" s="9">
        <v>0</v>
      </c>
      <c r="D30" s="9">
        <v>-0.09</v>
      </c>
      <c r="E30" s="9">
        <v>2.21</v>
      </c>
      <c r="F30" s="9">
        <v>0</v>
      </c>
      <c r="G30" s="9">
        <v>-0.09</v>
      </c>
      <c r="H30" s="9">
        <v>2.21</v>
      </c>
      <c r="I30" s="9">
        <v>0</v>
      </c>
      <c r="J30" s="9">
        <v>3.83</v>
      </c>
      <c r="K30" s="9">
        <v>-0.94</v>
      </c>
    </row>
    <row r="31" spans="2:11" x14ac:dyDescent="0.3">
      <c r="B31" s="9" t="s">
        <v>247</v>
      </c>
      <c r="C31" s="9">
        <v>9.7799999999999994</v>
      </c>
      <c r="D31" s="9">
        <v>9.81</v>
      </c>
      <c r="E31" s="9">
        <v>9.64</v>
      </c>
      <c r="F31" s="9">
        <v>9.7899999999999991</v>
      </c>
      <c r="G31" s="9">
        <v>9.86</v>
      </c>
      <c r="H31" s="9">
        <v>9.75</v>
      </c>
      <c r="I31" s="9">
        <v>10.210000000000001</v>
      </c>
      <c r="J31" s="9">
        <v>9.8699999999999992</v>
      </c>
      <c r="K31" s="9">
        <v>10.039999999999999</v>
      </c>
    </row>
    <row r="32" spans="2:11" x14ac:dyDescent="0.3">
      <c r="B32" s="9" t="s">
        <v>265</v>
      </c>
      <c r="C32" s="9">
        <v>0.73</v>
      </c>
      <c r="D32" s="9">
        <v>0.72499999999999998</v>
      </c>
      <c r="E32" s="9">
        <v>0.73399999999999999</v>
      </c>
      <c r="F32" s="9">
        <v>0.73</v>
      </c>
      <c r="G32" s="9">
        <v>0.72499999999999998</v>
      </c>
      <c r="H32" s="9">
        <v>0.73399999999999999</v>
      </c>
      <c r="I32" s="9">
        <v>0.77</v>
      </c>
      <c r="J32" s="9">
        <v>0.72</v>
      </c>
      <c r="K32" s="9">
        <v>0.74</v>
      </c>
    </row>
    <row r="33" spans="2:11" x14ac:dyDescent="0.3">
      <c r="B33" s="9" t="s">
        <v>266</v>
      </c>
      <c r="C33" s="9">
        <v>16.2</v>
      </c>
      <c r="D33" s="9">
        <v>16</v>
      </c>
      <c r="E33" s="9">
        <v>16.600000000000001</v>
      </c>
      <c r="F33" s="9">
        <v>16.2</v>
      </c>
      <c r="G33" s="9">
        <v>16</v>
      </c>
      <c r="H33" s="9">
        <v>16.600000000000001</v>
      </c>
      <c r="I33" s="9">
        <v>16.3</v>
      </c>
      <c r="J33" s="9">
        <v>15.9</v>
      </c>
      <c r="K33" s="9">
        <v>16.100000000000001</v>
      </c>
    </row>
    <row r="34" spans="2:11" x14ac:dyDescent="0.3">
      <c r="B34" s="9" t="s">
        <v>320</v>
      </c>
      <c r="C34" s="9">
        <v>6.9</v>
      </c>
      <c r="D34" s="9">
        <v>7</v>
      </c>
      <c r="E34" s="9">
        <v>6.6999999999999993</v>
      </c>
      <c r="F34" s="9">
        <v>6.9</v>
      </c>
      <c r="G34" s="9">
        <v>7</v>
      </c>
      <c r="H34" s="9">
        <v>6.6999999999999993</v>
      </c>
      <c r="I34" s="9">
        <v>6.85</v>
      </c>
      <c r="J34" s="9">
        <v>7.05</v>
      </c>
      <c r="K34" s="9">
        <v>6.9499999999999993</v>
      </c>
    </row>
    <row r="38" spans="2:11" ht="18" x14ac:dyDescent="0.35">
      <c r="B38" s="129" t="s">
        <v>143</v>
      </c>
      <c r="C38" s="219" t="s">
        <v>322</v>
      </c>
      <c r="D38" s="219"/>
      <c r="E38" s="219"/>
      <c r="F38" s="219" t="s">
        <v>221</v>
      </c>
      <c r="G38" s="219"/>
      <c r="H38" s="219"/>
      <c r="I38" s="39"/>
      <c r="J38" s="39"/>
      <c r="K38" s="39"/>
    </row>
    <row r="39" spans="2:11" x14ac:dyDescent="0.3">
      <c r="B39" s="9" t="s">
        <v>212</v>
      </c>
      <c r="C39" s="126">
        <v>5</v>
      </c>
      <c r="D39" s="126">
        <v>10</v>
      </c>
      <c r="E39" s="126">
        <v>15</v>
      </c>
      <c r="F39" s="126">
        <v>5</v>
      </c>
      <c r="G39" s="126">
        <v>10</v>
      </c>
      <c r="H39" s="126">
        <v>15</v>
      </c>
    </row>
    <row r="40" spans="2:11" x14ac:dyDescent="0.3">
      <c r="B40" s="135" t="s">
        <v>265</v>
      </c>
      <c r="C40" s="136">
        <v>0.73</v>
      </c>
      <c r="D40" s="136">
        <v>0.72499999999999998</v>
      </c>
      <c r="E40" s="136">
        <v>0.73399999999999999</v>
      </c>
      <c r="F40" s="136">
        <v>0.77</v>
      </c>
      <c r="G40" s="136">
        <v>0.72</v>
      </c>
      <c r="H40" s="136">
        <v>0.74</v>
      </c>
    </row>
    <row r="41" spans="2:11" x14ac:dyDescent="0.3">
      <c r="B41" s="9" t="s">
        <v>320</v>
      </c>
      <c r="C41" s="134">
        <v>6.9</v>
      </c>
      <c r="D41" s="134">
        <v>7</v>
      </c>
      <c r="E41" s="134">
        <v>6.6999999999999993</v>
      </c>
      <c r="F41" s="134">
        <v>6.85</v>
      </c>
      <c r="G41" s="134">
        <v>7.05</v>
      </c>
      <c r="H41" s="134">
        <v>6.9499999999999993</v>
      </c>
    </row>
    <row r="45" spans="2:11" ht="18" x14ac:dyDescent="0.35">
      <c r="B45" s="129" t="s">
        <v>143</v>
      </c>
      <c r="C45" s="219" t="s">
        <v>358</v>
      </c>
      <c r="D45" s="219"/>
      <c r="E45" s="219"/>
    </row>
    <row r="46" spans="2:11" x14ac:dyDescent="0.3">
      <c r="B46" s="9" t="s">
        <v>212</v>
      </c>
      <c r="C46" s="9">
        <v>5</v>
      </c>
      <c r="D46" s="9">
        <v>10</v>
      </c>
      <c r="E46" s="9">
        <v>15</v>
      </c>
    </row>
    <row r="47" spans="2:11" x14ac:dyDescent="0.3">
      <c r="B47" s="9" t="s">
        <v>322</v>
      </c>
      <c r="C47" s="137">
        <v>22.13</v>
      </c>
      <c r="D47" s="137">
        <v>22.11</v>
      </c>
      <c r="E47" s="137">
        <v>22.6</v>
      </c>
    </row>
    <row r="48" spans="2:11" x14ac:dyDescent="0.3">
      <c r="B48" s="9" t="s">
        <v>221</v>
      </c>
      <c r="C48" s="137">
        <v>21.21</v>
      </c>
      <c r="D48" s="137">
        <v>22.02</v>
      </c>
      <c r="E48" s="137">
        <v>21.86</v>
      </c>
    </row>
    <row r="57" spans="3:7" x14ac:dyDescent="0.3">
      <c r="C57">
        <v>0</v>
      </c>
      <c r="D57">
        <v>0.85</v>
      </c>
      <c r="E57">
        <v>35</v>
      </c>
      <c r="F57">
        <f>D57*E57</f>
        <v>29.75</v>
      </c>
      <c r="G57">
        <v>30</v>
      </c>
    </row>
    <row r="58" spans="3:7" x14ac:dyDescent="0.3">
      <c r="C58">
        <v>10</v>
      </c>
      <c r="D58">
        <v>0.5</v>
      </c>
      <c r="E58">
        <v>20</v>
      </c>
      <c r="F58">
        <f>D58*E58</f>
        <v>10</v>
      </c>
      <c r="G58">
        <v>10</v>
      </c>
    </row>
  </sheetData>
  <mergeCells count="8">
    <mergeCell ref="C45:E45"/>
    <mergeCell ref="I17:K17"/>
    <mergeCell ref="C38:E38"/>
    <mergeCell ref="F38:H38"/>
    <mergeCell ref="C3:E3"/>
    <mergeCell ref="C9:E9"/>
    <mergeCell ref="C17:E17"/>
    <mergeCell ref="F17:H1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43EB9-ADE0-4321-9F87-6B326CD9DA40}">
  <dimension ref="B2:N54"/>
  <sheetViews>
    <sheetView workbookViewId="0">
      <selection activeCell="H28" sqref="H28:H29"/>
    </sheetView>
  </sheetViews>
  <sheetFormatPr baseColWidth="10" defaultRowHeight="14.4" x14ac:dyDescent="0.3"/>
  <cols>
    <col min="2" max="2" width="28.6640625" customWidth="1"/>
    <col min="3" max="3" width="48.77734375" customWidth="1"/>
    <col min="4" max="4" width="8.21875" customWidth="1"/>
    <col min="8" max="8" width="28.6640625" customWidth="1"/>
    <col min="10" max="10" width="11.44140625" customWidth="1"/>
    <col min="11" max="11" width="8.88671875" customWidth="1"/>
    <col min="12" max="12" width="11.77734375" customWidth="1"/>
  </cols>
  <sheetData>
    <row r="2" spans="2:12" ht="15.6" x14ac:dyDescent="0.3">
      <c r="B2" s="39" t="s">
        <v>323</v>
      </c>
      <c r="C2" s="39" t="s">
        <v>324</v>
      </c>
      <c r="D2" s="39" t="s">
        <v>325</v>
      </c>
      <c r="E2" s="39" t="s">
        <v>326</v>
      </c>
      <c r="F2" s="39" t="s">
        <v>326</v>
      </c>
      <c r="H2" s="138" t="s">
        <v>365</v>
      </c>
      <c r="I2" s="139" t="s">
        <v>326</v>
      </c>
    </row>
    <row r="3" spans="2:12" x14ac:dyDescent="0.3">
      <c r="B3" t="s">
        <v>327</v>
      </c>
      <c r="C3" t="s">
        <v>337</v>
      </c>
      <c r="D3" t="s">
        <v>68</v>
      </c>
      <c r="E3">
        <v>4</v>
      </c>
      <c r="H3" s="9" t="s">
        <v>327</v>
      </c>
      <c r="I3" s="9">
        <v>28</v>
      </c>
    </row>
    <row r="4" spans="2:12" x14ac:dyDescent="0.3">
      <c r="B4" t="s">
        <v>327</v>
      </c>
      <c r="C4" t="s">
        <v>338</v>
      </c>
      <c r="D4" t="s">
        <v>68</v>
      </c>
      <c r="E4">
        <v>14</v>
      </c>
      <c r="H4" s="9" t="s">
        <v>340</v>
      </c>
      <c r="I4" s="9">
        <v>27</v>
      </c>
    </row>
    <row r="5" spans="2:12" x14ac:dyDescent="0.3">
      <c r="C5" t="s">
        <v>339</v>
      </c>
      <c r="D5" t="s">
        <v>68</v>
      </c>
      <c r="E5">
        <v>5</v>
      </c>
      <c r="H5" s="9" t="s">
        <v>329</v>
      </c>
      <c r="I5" s="9">
        <v>42</v>
      </c>
    </row>
    <row r="6" spans="2:12" x14ac:dyDescent="0.3">
      <c r="C6" t="s">
        <v>355</v>
      </c>
      <c r="D6" t="s">
        <v>68</v>
      </c>
      <c r="E6">
        <v>3</v>
      </c>
      <c r="H6" s="9" t="s">
        <v>363</v>
      </c>
      <c r="I6" s="9">
        <v>105</v>
      </c>
    </row>
    <row r="7" spans="2:12" x14ac:dyDescent="0.3">
      <c r="C7" s="39" t="s">
        <v>362</v>
      </c>
      <c r="E7">
        <f>SUM(E3:E6)</f>
        <v>26</v>
      </c>
      <c r="F7">
        <v>28</v>
      </c>
      <c r="H7" s="9" t="s">
        <v>364</v>
      </c>
      <c r="I7" s="9">
        <v>70</v>
      </c>
    </row>
    <row r="8" spans="2:12" x14ac:dyDescent="0.3">
      <c r="C8" s="39"/>
      <c r="H8" s="9" t="s">
        <v>356</v>
      </c>
      <c r="I8" s="9">
        <v>90</v>
      </c>
    </row>
    <row r="9" spans="2:12" x14ac:dyDescent="0.3">
      <c r="B9" t="s">
        <v>340</v>
      </c>
      <c r="C9" t="s">
        <v>341</v>
      </c>
      <c r="D9" t="s">
        <v>68</v>
      </c>
      <c r="E9">
        <v>2</v>
      </c>
      <c r="H9" s="9" t="s">
        <v>359</v>
      </c>
      <c r="I9" s="50">
        <f>SUM(I3:I8)</f>
        <v>362</v>
      </c>
      <c r="K9">
        <v>1792</v>
      </c>
    </row>
    <row r="10" spans="2:12" x14ac:dyDescent="0.3">
      <c r="C10" t="s">
        <v>343</v>
      </c>
      <c r="D10" t="s">
        <v>68</v>
      </c>
      <c r="E10">
        <v>15</v>
      </c>
    </row>
    <row r="11" spans="2:12" x14ac:dyDescent="0.3">
      <c r="C11" t="s">
        <v>342</v>
      </c>
      <c r="D11" t="s">
        <v>68</v>
      </c>
      <c r="E11">
        <v>10</v>
      </c>
    </row>
    <row r="12" spans="2:12" x14ac:dyDescent="0.3">
      <c r="C12" s="39" t="s">
        <v>362</v>
      </c>
      <c r="E12">
        <f>SUM(E9:E11)</f>
        <v>27</v>
      </c>
      <c r="F12">
        <v>27</v>
      </c>
      <c r="H12" s="50" t="s">
        <v>366</v>
      </c>
      <c r="I12" s="50" t="s">
        <v>372</v>
      </c>
      <c r="J12" s="50" t="s">
        <v>370</v>
      </c>
      <c r="K12" s="50" t="s">
        <v>326</v>
      </c>
      <c r="L12" s="50" t="s">
        <v>371</v>
      </c>
    </row>
    <row r="13" spans="2:12" x14ac:dyDescent="0.3">
      <c r="H13" s="9" t="s">
        <v>367</v>
      </c>
      <c r="I13" s="9">
        <v>69</v>
      </c>
      <c r="J13" s="137">
        <f>I13/$K$9</f>
        <v>3.8504464285714288E-2</v>
      </c>
      <c r="K13" s="9">
        <v>200</v>
      </c>
      <c r="L13" s="137">
        <f>J13*K13</f>
        <v>7.7008928571428577</v>
      </c>
    </row>
    <row r="14" spans="2:12" x14ac:dyDescent="0.3">
      <c r="H14" s="9" t="s">
        <v>368</v>
      </c>
      <c r="I14" s="9">
        <v>4102</v>
      </c>
      <c r="J14" s="137">
        <f t="shared" ref="J14:J15" si="0">I14/$K$9</f>
        <v>2.2890625</v>
      </c>
      <c r="K14" s="9">
        <v>160</v>
      </c>
      <c r="L14" s="137">
        <f>J14*K14</f>
        <v>366.25</v>
      </c>
    </row>
    <row r="15" spans="2:12" x14ac:dyDescent="0.3">
      <c r="B15" t="s">
        <v>328</v>
      </c>
      <c r="C15" t="s">
        <v>331</v>
      </c>
      <c r="D15" t="s">
        <v>68</v>
      </c>
      <c r="E15">
        <v>10</v>
      </c>
      <c r="H15" s="9" t="s">
        <v>369</v>
      </c>
      <c r="I15" s="9">
        <v>160</v>
      </c>
      <c r="J15" s="137">
        <f t="shared" si="0"/>
        <v>8.9285714285714288E-2</v>
      </c>
      <c r="K15" s="9">
        <v>362</v>
      </c>
      <c r="L15" s="137">
        <f t="shared" ref="L15" si="1">J15*K15</f>
        <v>32.321428571428569</v>
      </c>
    </row>
    <row r="16" spans="2:12" x14ac:dyDescent="0.3">
      <c r="C16" t="s">
        <v>333</v>
      </c>
      <c r="D16" t="s">
        <v>68</v>
      </c>
      <c r="E16">
        <v>15</v>
      </c>
      <c r="H16" s="9"/>
      <c r="I16" s="9"/>
      <c r="J16" s="9"/>
      <c r="K16" s="9" t="s">
        <v>359</v>
      </c>
      <c r="L16" s="140">
        <f>SUM(L13:L15)</f>
        <v>406.27232142857139</v>
      </c>
    </row>
    <row r="17" spans="2:14" x14ac:dyDescent="0.3">
      <c r="C17" t="s">
        <v>332</v>
      </c>
      <c r="D17" t="s">
        <v>68</v>
      </c>
      <c r="E17">
        <v>10</v>
      </c>
    </row>
    <row r="18" spans="2:14" x14ac:dyDescent="0.3">
      <c r="C18" t="s">
        <v>334</v>
      </c>
      <c r="D18" t="s">
        <v>68</v>
      </c>
      <c r="E18">
        <v>10</v>
      </c>
      <c r="H18" s="9" t="s">
        <v>377</v>
      </c>
      <c r="I18" s="9" t="s">
        <v>378</v>
      </c>
    </row>
    <row r="19" spans="2:14" x14ac:dyDescent="0.3">
      <c r="C19" t="s">
        <v>335</v>
      </c>
      <c r="D19" t="s">
        <v>68</v>
      </c>
      <c r="E19">
        <v>30</v>
      </c>
      <c r="H19" s="9" t="s">
        <v>373</v>
      </c>
      <c r="I19" s="137">
        <v>9496.09</v>
      </c>
    </row>
    <row r="20" spans="2:14" x14ac:dyDescent="0.3">
      <c r="C20" t="s">
        <v>342</v>
      </c>
      <c r="D20" t="s">
        <v>68</v>
      </c>
      <c r="E20">
        <v>30</v>
      </c>
      <c r="H20" s="9" t="s">
        <v>374</v>
      </c>
      <c r="I20" s="137">
        <v>500</v>
      </c>
    </row>
    <row r="21" spans="2:14" x14ac:dyDescent="0.3">
      <c r="C21" s="39" t="s">
        <v>362</v>
      </c>
      <c r="E21">
        <f>SUM(E15:E20)</f>
        <v>105</v>
      </c>
      <c r="F21">
        <v>105</v>
      </c>
      <c r="H21" s="9" t="s">
        <v>375</v>
      </c>
      <c r="I21" s="137">
        <f>SUM(I19:I20)</f>
        <v>9996.09</v>
      </c>
      <c r="N21" t="s">
        <v>118</v>
      </c>
    </row>
    <row r="22" spans="2:14" x14ac:dyDescent="0.3">
      <c r="H22" s="9" t="s">
        <v>376</v>
      </c>
      <c r="I22" s="137">
        <f>I21*1.21</f>
        <v>12095.268899999999</v>
      </c>
    </row>
    <row r="23" spans="2:14" x14ac:dyDescent="0.3">
      <c r="B23" t="s">
        <v>329</v>
      </c>
      <c r="C23" t="s">
        <v>330</v>
      </c>
      <c r="D23" t="s">
        <v>68</v>
      </c>
      <c r="E23">
        <v>10</v>
      </c>
    </row>
    <row r="24" spans="2:14" x14ac:dyDescent="0.3">
      <c r="C24" t="s">
        <v>139</v>
      </c>
      <c r="D24" t="s">
        <v>68</v>
      </c>
      <c r="E24">
        <v>3</v>
      </c>
    </row>
    <row r="25" spans="2:14" x14ac:dyDescent="0.3">
      <c r="C25" t="s">
        <v>360</v>
      </c>
      <c r="D25" t="s">
        <v>68</v>
      </c>
      <c r="E25">
        <v>25</v>
      </c>
    </row>
    <row r="26" spans="2:14" x14ac:dyDescent="0.3">
      <c r="C26" t="s">
        <v>336</v>
      </c>
      <c r="D26" t="s">
        <v>68</v>
      </c>
      <c r="E26">
        <v>4</v>
      </c>
    </row>
    <row r="27" spans="2:14" x14ac:dyDescent="0.3">
      <c r="C27" s="39" t="s">
        <v>362</v>
      </c>
      <c r="E27">
        <f>SUM(E23:E26)</f>
        <v>42</v>
      </c>
      <c r="F27">
        <v>42</v>
      </c>
    </row>
    <row r="29" spans="2:14" x14ac:dyDescent="0.3">
      <c r="B29" t="s">
        <v>344</v>
      </c>
      <c r="C29" t="s">
        <v>353</v>
      </c>
      <c r="D29" t="s">
        <v>68</v>
      </c>
      <c r="E29">
        <v>10</v>
      </c>
    </row>
    <row r="30" spans="2:14" x14ac:dyDescent="0.3">
      <c r="C30" t="s">
        <v>354</v>
      </c>
      <c r="D30" t="s">
        <v>68</v>
      </c>
      <c r="E30">
        <v>30</v>
      </c>
    </row>
    <row r="31" spans="2:14" x14ac:dyDescent="0.3">
      <c r="C31" t="s">
        <v>357</v>
      </c>
      <c r="D31" t="s">
        <v>68</v>
      </c>
      <c r="E31">
        <v>30</v>
      </c>
    </row>
    <row r="32" spans="2:14" x14ac:dyDescent="0.3">
      <c r="C32" s="39" t="s">
        <v>362</v>
      </c>
      <c r="E32">
        <f>SUM(E29:E31)</f>
        <v>70</v>
      </c>
      <c r="F32">
        <v>70</v>
      </c>
    </row>
    <row r="33" spans="2:6" x14ac:dyDescent="0.3">
      <c r="C33" s="39"/>
    </row>
    <row r="34" spans="2:6" x14ac:dyDescent="0.3">
      <c r="B34" t="s">
        <v>356</v>
      </c>
      <c r="C34" t="s">
        <v>361</v>
      </c>
      <c r="D34" t="s">
        <v>68</v>
      </c>
      <c r="E34">
        <v>80</v>
      </c>
      <c r="F34">
        <v>90</v>
      </c>
    </row>
    <row r="36" spans="2:6" x14ac:dyDescent="0.3">
      <c r="B36" t="s">
        <v>359</v>
      </c>
      <c r="E36">
        <f>SUM(E7,E12,E21,E27,E32,E34)</f>
        <v>350</v>
      </c>
      <c r="F36">
        <f>SUM(F7,F12,F21,F27,F34,F32)</f>
        <v>362</v>
      </c>
    </row>
    <row r="47" spans="2:6" x14ac:dyDescent="0.3">
      <c r="C47" t="s">
        <v>345</v>
      </c>
    </row>
    <row r="48" spans="2:6" x14ac:dyDescent="0.3">
      <c r="C48" t="s">
        <v>346</v>
      </c>
    </row>
    <row r="49" spans="3:3" x14ac:dyDescent="0.3">
      <c r="C49" t="s">
        <v>347</v>
      </c>
    </row>
    <row r="50" spans="3:3" x14ac:dyDescent="0.3">
      <c r="C50" t="s">
        <v>348</v>
      </c>
    </row>
    <row r="51" spans="3:3" x14ac:dyDescent="0.3">
      <c r="C51" t="s">
        <v>350</v>
      </c>
    </row>
    <row r="52" spans="3:3" x14ac:dyDescent="0.3">
      <c r="C52" t="s">
        <v>349</v>
      </c>
    </row>
    <row r="53" spans="3:3" x14ac:dyDescent="0.3">
      <c r="C53" t="s">
        <v>351</v>
      </c>
    </row>
    <row r="54" spans="3:3" x14ac:dyDescent="0.3">
      <c r="C54" t="s">
        <v>352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BB83E-EC6C-4B50-9BF5-412987D8A5BA}">
  <sheetPr codeName="Hoja15"/>
  <dimension ref="B2:G37"/>
  <sheetViews>
    <sheetView workbookViewId="0">
      <selection activeCell="L33" sqref="L33"/>
    </sheetView>
  </sheetViews>
  <sheetFormatPr baseColWidth="10" defaultRowHeight="14.4" x14ac:dyDescent="0.3"/>
  <cols>
    <col min="2" max="2" width="20" customWidth="1"/>
    <col min="6" max="6" width="20.6640625" customWidth="1"/>
  </cols>
  <sheetData>
    <row r="2" spans="2:7" x14ac:dyDescent="0.3">
      <c r="B2" t="s">
        <v>75</v>
      </c>
      <c r="F2" t="s">
        <v>82</v>
      </c>
    </row>
    <row r="4" spans="2:7" ht="14.25" customHeight="1" x14ac:dyDescent="0.3">
      <c r="B4" s="40" t="s">
        <v>78</v>
      </c>
      <c r="C4" t="s">
        <v>81</v>
      </c>
      <c r="F4" s="40" t="s">
        <v>78</v>
      </c>
      <c r="G4" t="s">
        <v>83</v>
      </c>
    </row>
    <row r="5" spans="2:7" x14ac:dyDescent="0.3">
      <c r="B5" t="s">
        <v>79</v>
      </c>
      <c r="C5">
        <v>128</v>
      </c>
      <c r="F5" t="s">
        <v>79</v>
      </c>
      <c r="G5">
        <v>133</v>
      </c>
    </row>
    <row r="6" spans="2:7" x14ac:dyDescent="0.3">
      <c r="B6" t="s">
        <v>80</v>
      </c>
      <c r="C6">
        <v>260</v>
      </c>
      <c r="F6" t="s">
        <v>80</v>
      </c>
      <c r="G6">
        <v>230</v>
      </c>
    </row>
    <row r="9" spans="2:7" x14ac:dyDescent="0.3">
      <c r="B9" t="s">
        <v>90</v>
      </c>
    </row>
    <row r="28" spans="2:2" ht="15" x14ac:dyDescent="0.3">
      <c r="B28" s="1"/>
    </row>
    <row r="29" spans="2:2" ht="15" x14ac:dyDescent="0.3">
      <c r="B29" s="1"/>
    </row>
    <row r="30" spans="2:2" ht="15" x14ac:dyDescent="0.3">
      <c r="B30" s="1"/>
    </row>
    <row r="31" spans="2:2" ht="15" x14ac:dyDescent="0.3">
      <c r="B31" s="1"/>
    </row>
    <row r="32" spans="2:2" ht="15" x14ac:dyDescent="0.3">
      <c r="B32" s="1"/>
    </row>
    <row r="33" spans="2:2" ht="15" x14ac:dyDescent="0.3">
      <c r="B33" s="1"/>
    </row>
    <row r="34" spans="2:2" ht="15" x14ac:dyDescent="0.3">
      <c r="B34" s="1"/>
    </row>
    <row r="35" spans="2:2" ht="15" x14ac:dyDescent="0.3">
      <c r="B35" s="1"/>
    </row>
    <row r="36" spans="2:2" ht="15" x14ac:dyDescent="0.3">
      <c r="B36" s="1"/>
    </row>
    <row r="37" spans="2:2" ht="15" x14ac:dyDescent="0.3">
      <c r="B37" s="1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101EC7-56DD-44CC-ADF0-648CA21EACB5}">
  <sheetPr codeName="Hoja9"/>
  <dimension ref="B2:P27"/>
  <sheetViews>
    <sheetView workbookViewId="0">
      <selection activeCell="J26" sqref="J26"/>
    </sheetView>
  </sheetViews>
  <sheetFormatPr baseColWidth="10" defaultRowHeight="14.4" x14ac:dyDescent="0.3"/>
  <cols>
    <col min="2" max="2" width="19.44140625" customWidth="1"/>
    <col min="5" max="5" width="27.6640625" customWidth="1"/>
  </cols>
  <sheetData>
    <row r="2" spans="2:16" ht="15" thickBot="1" x14ac:dyDescent="0.35">
      <c r="M2" t="s">
        <v>181</v>
      </c>
    </row>
    <row r="3" spans="2:16" ht="29.4" thickBot="1" x14ac:dyDescent="0.35">
      <c r="B3" s="162" t="s">
        <v>48</v>
      </c>
      <c r="C3" s="163"/>
      <c r="D3" s="40"/>
      <c r="E3" s="173" t="s">
        <v>144</v>
      </c>
      <c r="F3" s="173"/>
      <c r="G3" s="173"/>
      <c r="H3" s="173"/>
      <c r="I3" s="40" t="s">
        <v>237</v>
      </c>
      <c r="M3" t="s">
        <v>239</v>
      </c>
    </row>
    <row r="4" spans="2:16" x14ac:dyDescent="0.3">
      <c r="B4" s="2" t="s">
        <v>44</v>
      </c>
      <c r="C4" s="3">
        <v>35</v>
      </c>
      <c r="E4" s="9" t="s">
        <v>67</v>
      </c>
      <c r="F4" s="9">
        <v>5</v>
      </c>
      <c r="G4" s="9">
        <v>10</v>
      </c>
      <c r="H4" s="9">
        <v>15</v>
      </c>
      <c r="N4">
        <v>5</v>
      </c>
      <c r="O4">
        <v>10</v>
      </c>
      <c r="P4">
        <v>15</v>
      </c>
    </row>
    <row r="5" spans="2:16" x14ac:dyDescent="0.3">
      <c r="B5" s="4" t="s">
        <v>207</v>
      </c>
      <c r="C5" s="5">
        <v>24</v>
      </c>
      <c r="E5" s="9" t="s">
        <v>141</v>
      </c>
      <c r="F5" s="9">
        <f>ROUND($C$6+$C$5*SIN(RADIANS(F4)),3)</f>
        <v>9.0920000000000005</v>
      </c>
      <c r="G5" s="9">
        <f>ROUND($C$6+$C$5*SIN(RADIANS(G4)),3)</f>
        <v>11.167999999999999</v>
      </c>
      <c r="H5" s="9">
        <f>ROUND($C$6+$C$5*SIN(RADIANS(H4)),3)</f>
        <v>13.212</v>
      </c>
      <c r="I5">
        <f>ROUND($C$6+($C$5/2)*SIN(RADIANS(F4)),3)</f>
        <v>8.0459999999999994</v>
      </c>
      <c r="J5">
        <f>ROUND($C$6+($C$5/2)*SIN(RADIANS(G4)),3)</f>
        <v>9.0839999999999996</v>
      </c>
      <c r="K5">
        <f>ROUND($C$6+($C$5/2)*SIN(RADIANS(H4)),3)</f>
        <v>10.106</v>
      </c>
      <c r="M5" t="s">
        <v>240</v>
      </c>
      <c r="N5">
        <v>0</v>
      </c>
      <c r="O5">
        <v>0</v>
      </c>
      <c r="P5">
        <v>0</v>
      </c>
    </row>
    <row r="6" spans="2:16" ht="15" thickBot="1" x14ac:dyDescent="0.35">
      <c r="B6" s="6" t="s">
        <v>142</v>
      </c>
      <c r="C6" s="7">
        <v>7</v>
      </c>
      <c r="E6" s="9" t="s">
        <v>168</v>
      </c>
      <c r="F6" s="9">
        <f>ROUND($C$5/COS(RADIANS(F4)),2)</f>
        <v>24.09</v>
      </c>
      <c r="G6" s="9">
        <f>ROUND($C$5/COS(RADIANS(G4)),2)</f>
        <v>24.37</v>
      </c>
      <c r="H6" s="9">
        <f>ROUND($C$5/COS(RADIANS(H4)),2)</f>
        <v>24.85</v>
      </c>
      <c r="M6" t="s">
        <v>241</v>
      </c>
      <c r="N6">
        <v>7</v>
      </c>
      <c r="O6">
        <v>7</v>
      </c>
      <c r="P6">
        <v>7</v>
      </c>
    </row>
    <row r="7" spans="2:16" ht="15" thickBot="1" x14ac:dyDescent="0.35">
      <c r="E7" s="9" t="s">
        <v>169</v>
      </c>
      <c r="F7" s="9">
        <f>$C$4*F6</f>
        <v>843.15</v>
      </c>
      <c r="G7" s="9">
        <f t="shared" ref="G7:H7" si="0">$C$4*G6</f>
        <v>852.95</v>
      </c>
      <c r="H7" s="9">
        <f t="shared" si="0"/>
        <v>869.75</v>
      </c>
      <c r="M7">
        <v>3</v>
      </c>
      <c r="N7">
        <f>ROUND(N$6+$M7*SIN(RADIANS(N$4)),3)</f>
        <v>7.2610000000000001</v>
      </c>
      <c r="O7">
        <f t="shared" ref="O7:P14" si="1">ROUND(O$6+$M7*SIN(RADIANS(O$4)),3)</f>
        <v>7.5209999999999999</v>
      </c>
      <c r="P7">
        <f t="shared" si="1"/>
        <v>7.7759999999999998</v>
      </c>
    </row>
    <row r="8" spans="2:16" x14ac:dyDescent="0.3">
      <c r="B8" s="174" t="s">
        <v>174</v>
      </c>
      <c r="C8" s="176">
        <v>0.95</v>
      </c>
      <c r="E8" s="49" t="s">
        <v>170</v>
      </c>
      <c r="F8" s="49">
        <f>ROUND(F7*$C$8,2)</f>
        <v>800.99</v>
      </c>
      <c r="G8" s="49">
        <f t="shared" ref="G8:H8" si="2">ROUND(G7*$C$8,2)</f>
        <v>810.3</v>
      </c>
      <c r="H8" s="49">
        <f t="shared" si="2"/>
        <v>826.26</v>
      </c>
      <c r="M8">
        <v>6</v>
      </c>
      <c r="N8">
        <f t="shared" ref="N8:N14" si="3">ROUND(N$6+$M8*SIN(RADIANS(N$4)),3)</f>
        <v>7.5229999999999997</v>
      </c>
      <c r="O8">
        <f t="shared" si="1"/>
        <v>8.0419999999999998</v>
      </c>
      <c r="P8">
        <f t="shared" si="1"/>
        <v>8.5530000000000008</v>
      </c>
    </row>
    <row r="9" spans="2:16" ht="15" thickBot="1" x14ac:dyDescent="0.35">
      <c r="B9" s="175"/>
      <c r="C9" s="177"/>
      <c r="E9" s="9" t="s">
        <v>238</v>
      </c>
      <c r="F9" s="9">
        <f>I9+(I9-$C$6)</f>
        <v>9.1000000000000014</v>
      </c>
      <c r="G9" s="9">
        <f t="shared" ref="G9:H9" si="4">J9+(J9-$C$6)</f>
        <v>11.16</v>
      </c>
      <c r="H9" s="9">
        <f t="shared" si="4"/>
        <v>13.2</v>
      </c>
      <c r="I9" s="9">
        <v>8.0500000000000007</v>
      </c>
      <c r="J9" s="9">
        <v>9.08</v>
      </c>
      <c r="K9" s="9">
        <v>10.1</v>
      </c>
      <c r="M9">
        <v>9</v>
      </c>
      <c r="N9">
        <f t="shared" si="3"/>
        <v>7.7839999999999998</v>
      </c>
      <c r="O9">
        <f t="shared" si="1"/>
        <v>8.5630000000000006</v>
      </c>
      <c r="P9">
        <f t="shared" si="1"/>
        <v>9.3290000000000006</v>
      </c>
    </row>
    <row r="10" spans="2:16" x14ac:dyDescent="0.3">
      <c r="B10" s="84"/>
      <c r="C10" s="85"/>
      <c r="E10" s="83" t="s">
        <v>236</v>
      </c>
      <c r="G10">
        <f>G9-F9</f>
        <v>2.0599999999999987</v>
      </c>
      <c r="H10">
        <f>H9-G9</f>
        <v>2.0399999999999991</v>
      </c>
      <c r="J10">
        <f>J9-I9</f>
        <v>1.0299999999999994</v>
      </c>
      <c r="K10">
        <f>K9-J9</f>
        <v>1.0199999999999996</v>
      </c>
      <c r="M10">
        <v>12</v>
      </c>
      <c r="N10">
        <f t="shared" si="3"/>
        <v>8.0459999999999994</v>
      </c>
      <c r="O10">
        <f t="shared" si="1"/>
        <v>9.0839999999999996</v>
      </c>
      <c r="P10">
        <f t="shared" si="1"/>
        <v>10.106</v>
      </c>
    </row>
    <row r="11" spans="2:16" x14ac:dyDescent="0.3">
      <c r="M11">
        <v>15</v>
      </c>
      <c r="N11">
        <f t="shared" si="3"/>
        <v>8.3070000000000004</v>
      </c>
      <c r="O11">
        <f t="shared" si="1"/>
        <v>9.6050000000000004</v>
      </c>
      <c r="P11">
        <f t="shared" si="1"/>
        <v>10.882</v>
      </c>
    </row>
    <row r="12" spans="2:16" x14ac:dyDescent="0.3">
      <c r="E12" s="173" t="s">
        <v>143</v>
      </c>
      <c r="F12" s="173"/>
      <c r="G12" s="173"/>
      <c r="H12" s="173"/>
      <c r="M12">
        <v>18</v>
      </c>
      <c r="N12">
        <f t="shared" si="3"/>
        <v>8.5690000000000008</v>
      </c>
      <c r="O12">
        <f t="shared" si="1"/>
        <v>10.125999999999999</v>
      </c>
      <c r="P12">
        <f t="shared" si="1"/>
        <v>11.659000000000001</v>
      </c>
    </row>
    <row r="13" spans="2:16" x14ac:dyDescent="0.3">
      <c r="E13" s="9" t="s">
        <v>67</v>
      </c>
      <c r="F13" s="9">
        <v>5</v>
      </c>
      <c r="G13" s="9">
        <v>10</v>
      </c>
      <c r="H13" s="9">
        <v>15</v>
      </c>
      <c r="M13">
        <v>21</v>
      </c>
      <c r="N13">
        <f t="shared" si="3"/>
        <v>8.83</v>
      </c>
      <c r="O13">
        <f t="shared" si="1"/>
        <v>10.647</v>
      </c>
      <c r="P13">
        <f t="shared" si="1"/>
        <v>12.435</v>
      </c>
    </row>
    <row r="14" spans="2:16" x14ac:dyDescent="0.3">
      <c r="E14" s="9" t="s">
        <v>141</v>
      </c>
      <c r="F14" s="9">
        <f>ROUND($C$6+$C$5*0.5*SIN(RADIANS(F13)),2)</f>
        <v>8.0500000000000007</v>
      </c>
      <c r="G14" s="9">
        <f>ROUND($C$6+$C$5*0.5*SIN(RADIANS(G13)),2)</f>
        <v>9.08</v>
      </c>
      <c r="H14" s="9">
        <f>ROUND($C$6+$C$5*0.5*SIN(RADIANS(H13)),2)</f>
        <v>10.11</v>
      </c>
      <c r="M14">
        <v>24</v>
      </c>
      <c r="N14">
        <f t="shared" si="3"/>
        <v>9.0920000000000005</v>
      </c>
      <c r="O14">
        <f t="shared" si="1"/>
        <v>11.167999999999999</v>
      </c>
      <c r="P14">
        <f t="shared" si="1"/>
        <v>13.212</v>
      </c>
    </row>
    <row r="15" spans="2:16" x14ac:dyDescent="0.3">
      <c r="E15" s="9" t="s">
        <v>173</v>
      </c>
      <c r="F15" s="9">
        <f>ROUND(0.5*$C$5/COS(RADIANS(F13)),2)</f>
        <v>12.05</v>
      </c>
      <c r="G15" s="9">
        <f t="shared" ref="G15:H15" si="5">ROUND(0.5*$C$5/COS(RADIANS(G13)),2)</f>
        <v>12.19</v>
      </c>
      <c r="H15" s="9">
        <f t="shared" si="5"/>
        <v>12.42</v>
      </c>
    </row>
    <row r="16" spans="2:16" x14ac:dyDescent="0.3">
      <c r="E16" s="9" t="s">
        <v>171</v>
      </c>
      <c r="F16" s="9">
        <f>$C$4*F15</f>
        <v>421.75</v>
      </c>
      <c r="G16" s="9">
        <f t="shared" ref="G16:H16" si="6">$C$4*G15</f>
        <v>426.65</v>
      </c>
      <c r="H16" s="9">
        <f t="shared" si="6"/>
        <v>434.7</v>
      </c>
      <c r="M16" t="s">
        <v>242</v>
      </c>
    </row>
    <row r="17" spans="5:16" x14ac:dyDescent="0.3">
      <c r="E17" s="9" t="s">
        <v>172</v>
      </c>
      <c r="F17" s="9">
        <f>ROUND(F16*$C$8,2)</f>
        <v>400.66</v>
      </c>
      <c r="G17" s="9">
        <f t="shared" ref="G17:H17" si="7">ROUND(G16*$C$8,2)</f>
        <v>405.32</v>
      </c>
      <c r="H17" s="9">
        <f t="shared" si="7"/>
        <v>412.97</v>
      </c>
      <c r="N17">
        <v>5</v>
      </c>
      <c r="O17">
        <v>10</v>
      </c>
      <c r="P17">
        <v>15</v>
      </c>
    </row>
    <row r="18" spans="5:16" x14ac:dyDescent="0.3">
      <c r="E18" s="9" t="s">
        <v>238</v>
      </c>
      <c r="F18" s="9">
        <v>8.0500000000000007</v>
      </c>
      <c r="G18" s="9">
        <v>9.08</v>
      </c>
      <c r="H18" s="9">
        <v>10.1</v>
      </c>
      <c r="M18" t="s">
        <v>240</v>
      </c>
      <c r="N18">
        <v>0</v>
      </c>
      <c r="O18">
        <v>0</v>
      </c>
      <c r="P18">
        <v>0</v>
      </c>
    </row>
    <row r="19" spans="5:16" x14ac:dyDescent="0.3">
      <c r="E19" s="9" t="s">
        <v>236</v>
      </c>
      <c r="F19" s="9">
        <v>0</v>
      </c>
      <c r="G19" s="9">
        <f>G18-F18</f>
        <v>1.0299999999999994</v>
      </c>
      <c r="H19" s="9">
        <f>H18-G18</f>
        <v>1.0199999999999996</v>
      </c>
      <c r="M19" t="s">
        <v>241</v>
      </c>
      <c r="N19">
        <v>7</v>
      </c>
      <c r="O19">
        <v>7</v>
      </c>
      <c r="P19">
        <v>7</v>
      </c>
    </row>
    <row r="20" spans="5:16" x14ac:dyDescent="0.3">
      <c r="M20">
        <v>3</v>
      </c>
    </row>
    <row r="21" spans="5:16" x14ac:dyDescent="0.3">
      <c r="M21">
        <v>6</v>
      </c>
    </row>
    <row r="22" spans="5:16" x14ac:dyDescent="0.3">
      <c r="M22">
        <v>9</v>
      </c>
    </row>
    <row r="23" spans="5:16" x14ac:dyDescent="0.3">
      <c r="M23">
        <v>12</v>
      </c>
    </row>
    <row r="24" spans="5:16" x14ac:dyDescent="0.3">
      <c r="M24">
        <v>15</v>
      </c>
    </row>
    <row r="25" spans="5:16" x14ac:dyDescent="0.3">
      <c r="M25">
        <v>18</v>
      </c>
    </row>
    <row r="26" spans="5:16" x14ac:dyDescent="0.3">
      <c r="M26">
        <v>21</v>
      </c>
    </row>
    <row r="27" spans="5:16" x14ac:dyDescent="0.3">
      <c r="M27">
        <v>24</v>
      </c>
    </row>
  </sheetData>
  <mergeCells count="5">
    <mergeCell ref="B3:C3"/>
    <mergeCell ref="E3:H3"/>
    <mergeCell ref="E12:H12"/>
    <mergeCell ref="B8:B9"/>
    <mergeCell ref="C8:C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C44BB-C1A6-477B-A63E-BD7D3880933B}">
  <sheetPr codeName="Hoja5"/>
  <dimension ref="B2:R31"/>
  <sheetViews>
    <sheetView workbookViewId="0">
      <selection activeCell="F26" sqref="F26"/>
    </sheetView>
  </sheetViews>
  <sheetFormatPr baseColWidth="10" defaultRowHeight="14.4" x14ac:dyDescent="0.3"/>
  <cols>
    <col min="2" max="2" width="11" customWidth="1"/>
    <col min="3" max="9" width="8.77734375" customWidth="1"/>
    <col min="11" max="11" width="9.44140625" bestFit="1" customWidth="1"/>
    <col min="12" max="12" width="4.21875" customWidth="1"/>
    <col min="13" max="13" width="4" bestFit="1" customWidth="1"/>
    <col min="14" max="14" width="3.44140625" bestFit="1" customWidth="1"/>
    <col min="15" max="18" width="4" bestFit="1" customWidth="1"/>
  </cols>
  <sheetData>
    <row r="2" spans="2:12" x14ac:dyDescent="0.3">
      <c r="B2" t="s">
        <v>285</v>
      </c>
    </row>
    <row r="4" spans="2:12" x14ac:dyDescent="0.3">
      <c r="B4" t="s">
        <v>286</v>
      </c>
    </row>
    <row r="7" spans="2:12" x14ac:dyDescent="0.3">
      <c r="B7" s="9"/>
      <c r="C7" s="172" t="s">
        <v>319</v>
      </c>
      <c r="D7" s="172"/>
      <c r="E7" s="172"/>
      <c r="F7" s="172"/>
      <c r="G7" s="172"/>
      <c r="H7" s="172"/>
      <c r="I7" s="172"/>
    </row>
    <row r="8" spans="2:12" x14ac:dyDescent="0.3">
      <c r="B8" s="128" t="s">
        <v>120</v>
      </c>
      <c r="C8" s="127">
        <v>1</v>
      </c>
      <c r="D8" s="127">
        <v>2</v>
      </c>
      <c r="E8" s="127">
        <v>3</v>
      </c>
      <c r="F8" s="127">
        <v>4</v>
      </c>
      <c r="G8" s="127">
        <v>5</v>
      </c>
      <c r="H8" s="127">
        <v>6</v>
      </c>
      <c r="I8" s="127">
        <v>7</v>
      </c>
    </row>
    <row r="9" spans="2:12" x14ac:dyDescent="0.3">
      <c r="B9" s="29">
        <v>0</v>
      </c>
      <c r="C9" s="126" t="s">
        <v>291</v>
      </c>
      <c r="D9" s="126" t="s">
        <v>288</v>
      </c>
      <c r="E9" s="126" t="s">
        <v>289</v>
      </c>
      <c r="F9" s="126" t="s">
        <v>289</v>
      </c>
      <c r="G9" s="126" t="s">
        <v>289</v>
      </c>
      <c r="H9" s="126" t="s">
        <v>289</v>
      </c>
      <c r="I9" s="126" t="s">
        <v>289</v>
      </c>
    </row>
    <row r="10" spans="2:12" x14ac:dyDescent="0.3">
      <c r="B10" s="29">
        <v>200</v>
      </c>
      <c r="C10" s="126" t="s">
        <v>290</v>
      </c>
      <c r="D10" s="126" t="s">
        <v>290</v>
      </c>
      <c r="E10" s="126" t="s">
        <v>289</v>
      </c>
      <c r="F10" s="126" t="s">
        <v>289</v>
      </c>
      <c r="G10" s="126" t="s">
        <v>291</v>
      </c>
      <c r="H10" s="126" t="s">
        <v>289</v>
      </c>
      <c r="I10" s="126" t="s">
        <v>289</v>
      </c>
    </row>
    <row r="11" spans="2:12" x14ac:dyDescent="0.3">
      <c r="B11" s="29">
        <v>400</v>
      </c>
      <c r="C11" s="126" t="s">
        <v>292</v>
      </c>
      <c r="D11" s="126" t="s">
        <v>292</v>
      </c>
      <c r="E11" s="126" t="s">
        <v>289</v>
      </c>
      <c r="F11" s="126" t="s">
        <v>291</v>
      </c>
      <c r="G11" s="126" t="s">
        <v>288</v>
      </c>
      <c r="H11" s="126" t="s">
        <v>289</v>
      </c>
      <c r="I11" s="126" t="s">
        <v>289</v>
      </c>
    </row>
    <row r="12" spans="2:12" x14ac:dyDescent="0.3">
      <c r="B12" s="29">
        <v>500</v>
      </c>
      <c r="C12" s="126" t="s">
        <v>297</v>
      </c>
      <c r="D12" s="126" t="s">
        <v>297</v>
      </c>
      <c r="E12" s="126" t="s">
        <v>291</v>
      </c>
      <c r="F12" s="126" t="s">
        <v>288</v>
      </c>
      <c r="G12" s="126" t="s">
        <v>288</v>
      </c>
      <c r="H12" s="126" t="s">
        <v>291</v>
      </c>
      <c r="I12" s="126" t="s">
        <v>289</v>
      </c>
    </row>
    <row r="13" spans="2:12" x14ac:dyDescent="0.3">
      <c r="B13" s="29">
        <v>600</v>
      </c>
      <c r="C13" s="126" t="s">
        <v>293</v>
      </c>
      <c r="D13" s="126" t="s">
        <v>293</v>
      </c>
      <c r="E13" s="126" t="s">
        <v>291</v>
      </c>
      <c r="F13" s="126" t="s">
        <v>290</v>
      </c>
      <c r="G13" s="126" t="s">
        <v>291</v>
      </c>
      <c r="H13" s="126" t="s">
        <v>288</v>
      </c>
      <c r="I13" s="126" t="s">
        <v>289</v>
      </c>
    </row>
    <row r="14" spans="2:12" x14ac:dyDescent="0.3">
      <c r="B14" s="29">
        <v>700</v>
      </c>
      <c r="C14" s="126" t="s">
        <v>294</v>
      </c>
      <c r="D14" s="126" t="s">
        <v>294</v>
      </c>
      <c r="E14" s="126" t="s">
        <v>288</v>
      </c>
      <c r="F14" s="126" t="s">
        <v>292</v>
      </c>
      <c r="G14" s="126" t="s">
        <v>292</v>
      </c>
      <c r="H14" s="126" t="s">
        <v>290</v>
      </c>
      <c r="I14" s="126" t="s">
        <v>289</v>
      </c>
      <c r="L14" t="s">
        <v>287</v>
      </c>
    </row>
    <row r="15" spans="2:12" x14ac:dyDescent="0.3">
      <c r="B15" s="29">
        <v>800</v>
      </c>
      <c r="C15" s="126" t="s">
        <v>302</v>
      </c>
      <c r="D15" s="126" t="s">
        <v>295</v>
      </c>
      <c r="E15" s="126" t="s">
        <v>290</v>
      </c>
      <c r="F15" s="126" t="s">
        <v>296</v>
      </c>
      <c r="G15" s="126" t="s">
        <v>297</v>
      </c>
      <c r="H15" s="126" t="s">
        <v>297</v>
      </c>
      <c r="I15" s="126" t="s">
        <v>289</v>
      </c>
      <c r="K15" t="s">
        <v>120</v>
      </c>
      <c r="L15" t="s">
        <v>318</v>
      </c>
    </row>
    <row r="16" spans="2:12" x14ac:dyDescent="0.3">
      <c r="B16" s="29">
        <v>900</v>
      </c>
      <c r="C16" s="126" t="s">
        <v>298</v>
      </c>
      <c r="D16" s="126" t="s">
        <v>299</v>
      </c>
      <c r="E16" s="126" t="s">
        <v>292</v>
      </c>
      <c r="F16" s="126" t="s">
        <v>294</v>
      </c>
      <c r="G16" s="126" t="s">
        <v>296</v>
      </c>
      <c r="H16" s="126" t="s">
        <v>293</v>
      </c>
      <c r="I16" s="126" t="s">
        <v>289</v>
      </c>
    </row>
    <row r="17" spans="2:18" x14ac:dyDescent="0.3">
      <c r="B17" s="29">
        <v>1000</v>
      </c>
      <c r="C17" s="126" t="s">
        <v>300</v>
      </c>
      <c r="D17" s="126" t="s">
        <v>301</v>
      </c>
      <c r="E17" s="126" t="s">
        <v>297</v>
      </c>
      <c r="F17" s="126" t="s">
        <v>302</v>
      </c>
      <c r="G17" s="126" t="s">
        <v>293</v>
      </c>
      <c r="H17" s="126" t="s">
        <v>302</v>
      </c>
      <c r="I17" s="126" t="s">
        <v>289</v>
      </c>
      <c r="M17">
        <v>2</v>
      </c>
      <c r="N17">
        <v>3</v>
      </c>
      <c r="O17">
        <v>4</v>
      </c>
      <c r="P17">
        <v>5</v>
      </c>
      <c r="Q17">
        <v>6</v>
      </c>
      <c r="R17">
        <v>7</v>
      </c>
    </row>
    <row r="18" spans="2:18" x14ac:dyDescent="0.3">
      <c r="B18" s="29">
        <v>1200</v>
      </c>
      <c r="C18" s="126" t="s">
        <v>303</v>
      </c>
      <c r="D18" s="126" t="s">
        <v>315</v>
      </c>
      <c r="E18" s="126" t="s">
        <v>295</v>
      </c>
      <c r="F18" s="126" t="s">
        <v>316</v>
      </c>
      <c r="G18" s="126" t="s">
        <v>299</v>
      </c>
      <c r="H18" s="126" t="s">
        <v>315</v>
      </c>
      <c r="I18" s="126" t="s">
        <v>289</v>
      </c>
      <c r="K18">
        <v>0</v>
      </c>
      <c r="L18" t="s">
        <v>291</v>
      </c>
      <c r="M18" t="s">
        <v>288</v>
      </c>
      <c r="N18" t="s">
        <v>289</v>
      </c>
      <c r="O18" t="s">
        <v>289</v>
      </c>
      <c r="P18" t="s">
        <v>289</v>
      </c>
      <c r="Q18" t="s">
        <v>289</v>
      </c>
      <c r="R18" t="s">
        <v>289</v>
      </c>
    </row>
    <row r="19" spans="2:18" x14ac:dyDescent="0.3">
      <c r="B19" s="29">
        <v>1400</v>
      </c>
      <c r="C19" s="126" t="s">
        <v>314</v>
      </c>
      <c r="D19" s="126" t="s">
        <v>307</v>
      </c>
      <c r="E19" s="126" t="s">
        <v>300</v>
      </c>
      <c r="F19" s="126" t="s">
        <v>304</v>
      </c>
      <c r="G19" s="126" t="s">
        <v>299</v>
      </c>
      <c r="H19" s="126" t="s">
        <v>317</v>
      </c>
      <c r="I19" s="126" t="s">
        <v>289</v>
      </c>
      <c r="K19">
        <v>200</v>
      </c>
      <c r="L19" t="s">
        <v>290</v>
      </c>
      <c r="M19" t="s">
        <v>290</v>
      </c>
      <c r="N19" t="s">
        <v>289</v>
      </c>
      <c r="O19" t="s">
        <v>289</v>
      </c>
      <c r="P19" t="s">
        <v>291</v>
      </c>
      <c r="Q19" t="s">
        <v>289</v>
      </c>
      <c r="R19" t="s">
        <v>289</v>
      </c>
    </row>
    <row r="20" spans="2:18" x14ac:dyDescent="0.3">
      <c r="B20" s="29">
        <v>1600</v>
      </c>
      <c r="C20" s="126" t="s">
        <v>305</v>
      </c>
      <c r="D20" s="126" t="s">
        <v>306</v>
      </c>
      <c r="E20" s="126" t="s">
        <v>307</v>
      </c>
      <c r="F20" s="126" t="s">
        <v>308</v>
      </c>
      <c r="G20" s="126" t="s">
        <v>309</v>
      </c>
      <c r="H20" s="126" t="s">
        <v>310</v>
      </c>
      <c r="I20" s="126" t="s">
        <v>289</v>
      </c>
      <c r="K20">
        <v>400</v>
      </c>
      <c r="L20" t="s">
        <v>292</v>
      </c>
      <c r="M20" t="s">
        <v>292</v>
      </c>
      <c r="N20" t="s">
        <v>289</v>
      </c>
      <c r="O20" t="s">
        <v>291</v>
      </c>
      <c r="P20" t="s">
        <v>288</v>
      </c>
      <c r="Q20" t="s">
        <v>289</v>
      </c>
      <c r="R20" t="s">
        <v>289</v>
      </c>
    </row>
    <row r="21" spans="2:18" x14ac:dyDescent="0.3">
      <c r="B21" s="29">
        <v>1800</v>
      </c>
      <c r="C21" s="126" t="s">
        <v>1</v>
      </c>
      <c r="D21" s="126" t="s">
        <v>308</v>
      </c>
      <c r="E21" s="126" t="s">
        <v>311</v>
      </c>
      <c r="F21" s="126" t="s">
        <v>1</v>
      </c>
      <c r="G21" s="126" t="s">
        <v>1</v>
      </c>
      <c r="H21" s="126" t="s">
        <v>312</v>
      </c>
      <c r="I21" s="126" t="s">
        <v>289</v>
      </c>
      <c r="K21">
        <v>500</v>
      </c>
      <c r="L21" t="s">
        <v>297</v>
      </c>
      <c r="M21" t="s">
        <v>297</v>
      </c>
      <c r="N21" t="s">
        <v>291</v>
      </c>
      <c r="O21" t="s">
        <v>288</v>
      </c>
      <c r="P21" t="s">
        <v>288</v>
      </c>
      <c r="Q21" t="s">
        <v>291</v>
      </c>
      <c r="R21" t="s">
        <v>289</v>
      </c>
    </row>
    <row r="22" spans="2:18" x14ac:dyDescent="0.3">
      <c r="B22" s="29">
        <v>2200</v>
      </c>
      <c r="C22" s="126" t="s">
        <v>1</v>
      </c>
      <c r="D22" s="126" t="s">
        <v>313</v>
      </c>
      <c r="E22" s="126" t="s">
        <v>1</v>
      </c>
      <c r="F22" s="126" t="s">
        <v>1</v>
      </c>
      <c r="G22" s="126" t="s">
        <v>1</v>
      </c>
      <c r="H22" s="126" t="s">
        <v>1</v>
      </c>
      <c r="I22" s="126" t="s">
        <v>1</v>
      </c>
      <c r="K22">
        <v>600</v>
      </c>
      <c r="L22" t="s">
        <v>293</v>
      </c>
      <c r="M22" t="s">
        <v>293</v>
      </c>
      <c r="N22" t="s">
        <v>291</v>
      </c>
      <c r="O22" t="s">
        <v>290</v>
      </c>
      <c r="P22" t="s">
        <v>291</v>
      </c>
      <c r="Q22" t="s">
        <v>288</v>
      </c>
      <c r="R22" t="s">
        <v>289</v>
      </c>
    </row>
    <row r="23" spans="2:18" x14ac:dyDescent="0.3">
      <c r="K23">
        <v>700</v>
      </c>
      <c r="L23" t="s">
        <v>294</v>
      </c>
      <c r="M23" t="s">
        <v>294</v>
      </c>
      <c r="N23" t="s">
        <v>288</v>
      </c>
      <c r="O23" t="s">
        <v>292</v>
      </c>
      <c r="P23" t="s">
        <v>292</v>
      </c>
      <c r="Q23" t="s">
        <v>290</v>
      </c>
      <c r="R23" t="s">
        <v>289</v>
      </c>
    </row>
    <row r="24" spans="2:18" x14ac:dyDescent="0.3">
      <c r="K24">
        <v>800</v>
      </c>
      <c r="L24" t="s">
        <v>302</v>
      </c>
      <c r="M24" t="s">
        <v>295</v>
      </c>
      <c r="N24" t="s">
        <v>290</v>
      </c>
      <c r="O24" t="s">
        <v>296</v>
      </c>
      <c r="P24" t="s">
        <v>297</v>
      </c>
      <c r="Q24" t="s">
        <v>297</v>
      </c>
      <c r="R24" t="s">
        <v>289</v>
      </c>
    </row>
    <row r="25" spans="2:18" x14ac:dyDescent="0.3">
      <c r="K25">
        <v>900</v>
      </c>
      <c r="L25" t="s">
        <v>298</v>
      </c>
      <c r="M25" t="s">
        <v>299</v>
      </c>
      <c r="N25" t="s">
        <v>292</v>
      </c>
      <c r="O25" t="s">
        <v>294</v>
      </c>
      <c r="P25" t="s">
        <v>296</v>
      </c>
      <c r="Q25" t="s">
        <v>293</v>
      </c>
      <c r="R25" t="s">
        <v>289</v>
      </c>
    </row>
    <row r="26" spans="2:18" x14ac:dyDescent="0.3">
      <c r="K26">
        <v>1000</v>
      </c>
      <c r="L26" t="s">
        <v>300</v>
      </c>
      <c r="M26" t="s">
        <v>301</v>
      </c>
      <c r="N26" t="s">
        <v>297</v>
      </c>
      <c r="O26" t="s">
        <v>302</v>
      </c>
      <c r="P26" t="s">
        <v>293</v>
      </c>
      <c r="Q26" t="s">
        <v>302</v>
      </c>
      <c r="R26" t="s">
        <v>289</v>
      </c>
    </row>
    <row r="27" spans="2:18" x14ac:dyDescent="0.3">
      <c r="K27">
        <v>1200</v>
      </c>
      <c r="L27" t="s">
        <v>303</v>
      </c>
      <c r="M27" t="s">
        <v>315</v>
      </c>
      <c r="N27" t="s">
        <v>295</v>
      </c>
      <c r="O27" t="s">
        <v>316</v>
      </c>
      <c r="P27" t="s">
        <v>299</v>
      </c>
      <c r="Q27" t="s">
        <v>315</v>
      </c>
      <c r="R27" t="s">
        <v>289</v>
      </c>
    </row>
    <row r="28" spans="2:18" x14ac:dyDescent="0.3">
      <c r="K28">
        <v>1400</v>
      </c>
      <c r="L28" t="s">
        <v>314</v>
      </c>
      <c r="M28" t="s">
        <v>307</v>
      </c>
      <c r="N28" t="s">
        <v>300</v>
      </c>
      <c r="O28" t="s">
        <v>304</v>
      </c>
      <c r="P28" t="s">
        <v>299</v>
      </c>
      <c r="Q28" t="s">
        <v>317</v>
      </c>
      <c r="R28" t="s">
        <v>289</v>
      </c>
    </row>
    <row r="29" spans="2:18" x14ac:dyDescent="0.3">
      <c r="K29">
        <v>1600</v>
      </c>
      <c r="L29" t="s">
        <v>305</v>
      </c>
      <c r="M29" t="s">
        <v>306</v>
      </c>
      <c r="N29" t="s">
        <v>307</v>
      </c>
      <c r="O29" t="s">
        <v>308</v>
      </c>
      <c r="P29" t="s">
        <v>309</v>
      </c>
      <c r="Q29" t="s">
        <v>310</v>
      </c>
      <c r="R29" t="s">
        <v>289</v>
      </c>
    </row>
    <row r="30" spans="2:18" x14ac:dyDescent="0.3">
      <c r="K30">
        <v>1800</v>
      </c>
      <c r="L30" t="s">
        <v>1</v>
      </c>
      <c r="M30" t="s">
        <v>308</v>
      </c>
      <c r="N30" t="s">
        <v>311</v>
      </c>
      <c r="O30" t="s">
        <v>1</v>
      </c>
      <c r="P30" t="s">
        <v>1</v>
      </c>
      <c r="Q30" t="s">
        <v>312</v>
      </c>
      <c r="R30" t="s">
        <v>289</v>
      </c>
    </row>
    <row r="31" spans="2:18" x14ac:dyDescent="0.3">
      <c r="K31">
        <v>2200</v>
      </c>
      <c r="L31" t="s">
        <v>1</v>
      </c>
      <c r="M31" t="s">
        <v>313</v>
      </c>
      <c r="N31" t="s">
        <v>1</v>
      </c>
      <c r="O31" t="s">
        <v>1</v>
      </c>
      <c r="P31" t="s">
        <v>1</v>
      </c>
      <c r="Q31" t="s">
        <v>1</v>
      </c>
      <c r="R31" t="s">
        <v>1</v>
      </c>
    </row>
  </sheetData>
  <mergeCells count="1">
    <mergeCell ref="C7:I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DCC8-72EB-49AA-B550-758950F0C891}">
  <sheetPr codeName="Hoja6"/>
  <dimension ref="B2:L19"/>
  <sheetViews>
    <sheetView workbookViewId="0">
      <selection activeCell="C10" sqref="C10"/>
    </sheetView>
  </sheetViews>
  <sheetFormatPr baseColWidth="10" defaultRowHeight="14.4" x14ac:dyDescent="0.3"/>
  <cols>
    <col min="2" max="2" width="29.33203125" customWidth="1"/>
    <col min="5" max="5" width="28.44140625" customWidth="1"/>
    <col min="8" max="8" width="26.109375" customWidth="1"/>
  </cols>
  <sheetData>
    <row r="2" spans="2:12" ht="25.8" x14ac:dyDescent="0.5">
      <c r="B2" s="51" t="s">
        <v>71</v>
      </c>
    </row>
    <row r="3" spans="2:12" ht="25.8" x14ac:dyDescent="0.5">
      <c r="B3" s="51"/>
    </row>
    <row r="4" spans="2:12" x14ac:dyDescent="0.3">
      <c r="B4" s="39" t="s">
        <v>105</v>
      </c>
    </row>
    <row r="5" spans="2:12" x14ac:dyDescent="0.3">
      <c r="B5" s="9" t="s">
        <v>19</v>
      </c>
      <c r="C5" s="9"/>
      <c r="E5" s="9" t="s">
        <v>75</v>
      </c>
      <c r="F5" s="9"/>
      <c r="H5" s="9" t="s">
        <v>3</v>
      </c>
      <c r="I5" s="9"/>
    </row>
    <row r="6" spans="2:12" x14ac:dyDescent="0.3">
      <c r="B6" s="9" t="s">
        <v>72</v>
      </c>
      <c r="C6" s="9">
        <f>AVERAGE(F6,I6)</f>
        <v>130.5</v>
      </c>
      <c r="E6" s="9" t="s">
        <v>72</v>
      </c>
      <c r="F6" s="9">
        <f>'AEMET V'!C5</f>
        <v>128</v>
      </c>
      <c r="H6" s="9" t="s">
        <v>72</v>
      </c>
      <c r="I6" s="9">
        <f>'AEMET V'!G5</f>
        <v>133</v>
      </c>
      <c r="K6" s="9" t="s">
        <v>34</v>
      </c>
      <c r="L6" s="9">
        <v>1.25</v>
      </c>
    </row>
    <row r="7" spans="2:12" x14ac:dyDescent="0.3">
      <c r="B7" s="9" t="s">
        <v>73</v>
      </c>
      <c r="C7" s="9">
        <f>ROUND(C6*1000/3600,2)</f>
        <v>36.25</v>
      </c>
      <c r="E7" s="9" t="s">
        <v>73</v>
      </c>
      <c r="F7" s="9">
        <f>ROUND(F6*1000/3600,2)</f>
        <v>35.56</v>
      </c>
      <c r="H7" s="9" t="s">
        <v>73</v>
      </c>
      <c r="I7" s="9">
        <f>ROUND(I6*1000/3600,2)</f>
        <v>36.94</v>
      </c>
    </row>
    <row r="8" spans="2:12" x14ac:dyDescent="0.3">
      <c r="B8" s="9" t="s">
        <v>89</v>
      </c>
      <c r="C8" s="9">
        <f>AVERAGE(F8,I8)</f>
        <v>245</v>
      </c>
      <c r="E8" s="9" t="s">
        <v>89</v>
      </c>
      <c r="F8" s="9">
        <f>'AEMET V'!C6</f>
        <v>260</v>
      </c>
      <c r="H8" s="9" t="s">
        <v>89</v>
      </c>
      <c r="I8" s="9">
        <f>'AEMET V'!G6</f>
        <v>230</v>
      </c>
      <c r="K8" t="s">
        <v>77</v>
      </c>
    </row>
    <row r="10" spans="2:12" x14ac:dyDescent="0.3">
      <c r="B10" s="50" t="s">
        <v>74</v>
      </c>
      <c r="C10" s="50">
        <f>C7*C7*$L$6/1000</f>
        <v>1.642578125</v>
      </c>
      <c r="F10" s="9">
        <f t="shared" ref="F10:I10" si="0">F7*F7*$L$6/1000</f>
        <v>1.5806420000000003</v>
      </c>
      <c r="I10" s="9">
        <f t="shared" si="0"/>
        <v>1.7057044999999995</v>
      </c>
    </row>
    <row r="13" spans="2:12" x14ac:dyDescent="0.3">
      <c r="B13" s="39" t="s">
        <v>106</v>
      </c>
    </row>
    <row r="14" spans="2:12" x14ac:dyDescent="0.3">
      <c r="B14" s="9" t="s">
        <v>19</v>
      </c>
      <c r="C14" s="9"/>
      <c r="E14" s="9" t="s">
        <v>75</v>
      </c>
      <c r="F14" s="9"/>
      <c r="H14" s="9" t="s">
        <v>3</v>
      </c>
      <c r="I14" s="9"/>
    </row>
    <row r="15" spans="2:12" x14ac:dyDescent="0.3">
      <c r="B15" s="9" t="s">
        <v>72</v>
      </c>
      <c r="C15" s="9" t="e">
        <f>AVERAGE(F15,I15)</f>
        <v>#REF!</v>
      </c>
      <c r="E15" s="9" t="s">
        <v>72</v>
      </c>
      <c r="F15" s="9" t="e">
        <f>#REF!</f>
        <v>#REF!</v>
      </c>
      <c r="H15" s="9" t="s">
        <v>72</v>
      </c>
      <c r="I15" s="9">
        <f>'V vall aerop AEMET Op'!M34</f>
        <v>114</v>
      </c>
    </row>
    <row r="16" spans="2:12" x14ac:dyDescent="0.3">
      <c r="B16" s="9" t="s">
        <v>73</v>
      </c>
      <c r="C16" s="9" t="e">
        <f>ROUND(C15*1000/3600,2)</f>
        <v>#REF!</v>
      </c>
      <c r="E16" s="9" t="s">
        <v>73</v>
      </c>
      <c r="F16" s="9" t="e">
        <f>ROUND(F15*1000/3600,2)</f>
        <v>#REF!</v>
      </c>
      <c r="H16" s="9" t="s">
        <v>73</v>
      </c>
      <c r="I16" s="9">
        <f>ROUND(I15*1000/3600,2)</f>
        <v>31.67</v>
      </c>
    </row>
    <row r="17" spans="2:9" x14ac:dyDescent="0.3">
      <c r="B17" s="9" t="s">
        <v>89</v>
      </c>
      <c r="C17" s="9" t="e">
        <f>AVERAGE(F17,I17)</f>
        <v>#REF!</v>
      </c>
      <c r="E17" s="9" t="s">
        <v>89</v>
      </c>
      <c r="F17" s="9" t="e">
        <f>#REF!</f>
        <v>#REF!</v>
      </c>
      <c r="H17" s="9" t="s">
        <v>89</v>
      </c>
      <c r="I17" s="9">
        <f>'V vall aerop AEMET Op'!M35</f>
        <v>223.47</v>
      </c>
    </row>
    <row r="19" spans="2:9" x14ac:dyDescent="0.3">
      <c r="B19" s="50" t="s">
        <v>74</v>
      </c>
      <c r="C19" s="50" t="e">
        <f>C16*C16*$L$6/1000</f>
        <v>#REF!</v>
      </c>
      <c r="F19" s="9" t="e">
        <f t="shared" ref="F19" si="1">F16*F16*$L$6/1000</f>
        <v>#REF!</v>
      </c>
      <c r="I19" s="9">
        <f t="shared" ref="I19" si="2">I16*I16*$L$6/1000</f>
        <v>1.2537361250000001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B8D4-ECAE-42A1-8626-00E8E7F5BDFA}">
  <sheetPr codeName="Hoja11"/>
  <dimension ref="B1:L56"/>
  <sheetViews>
    <sheetView topLeftCell="A24" workbookViewId="0">
      <selection activeCell="I43" sqref="I43"/>
    </sheetView>
  </sheetViews>
  <sheetFormatPr baseColWidth="10" defaultRowHeight="14.4" x14ac:dyDescent="0.3"/>
  <cols>
    <col min="2" max="2" width="32.6640625" customWidth="1"/>
    <col min="4" max="4" width="14.88671875" customWidth="1"/>
    <col min="5" max="5" width="12.33203125" customWidth="1"/>
    <col min="9" max="9" width="17.6640625" customWidth="1"/>
  </cols>
  <sheetData>
    <row r="1" spans="2:5" ht="15" thickBot="1" x14ac:dyDescent="0.35"/>
    <row r="2" spans="2:5" ht="15" thickBot="1" x14ac:dyDescent="0.35">
      <c r="B2" s="55" t="s">
        <v>208</v>
      </c>
      <c r="C2" s="59" t="s">
        <v>140</v>
      </c>
      <c r="D2" s="58" t="s">
        <v>166</v>
      </c>
    </row>
    <row r="3" spans="2:5" x14ac:dyDescent="0.3">
      <c r="B3" s="63" t="s">
        <v>145</v>
      </c>
      <c r="C3" s="60">
        <v>1.2</v>
      </c>
      <c r="D3" s="22" t="s">
        <v>2</v>
      </c>
    </row>
    <row r="4" spans="2:5" x14ac:dyDescent="0.3">
      <c r="B4" s="23" t="s">
        <v>139</v>
      </c>
      <c r="C4" s="61">
        <v>1.5</v>
      </c>
      <c r="D4" s="23" t="s">
        <v>2</v>
      </c>
    </row>
    <row r="5" spans="2:5" x14ac:dyDescent="0.3">
      <c r="B5" s="23" t="s">
        <v>163</v>
      </c>
      <c r="C5" s="61">
        <v>1.35</v>
      </c>
      <c r="D5" s="23" t="s">
        <v>165</v>
      </c>
    </row>
    <row r="6" spans="2:5" ht="15" thickBot="1" x14ac:dyDescent="0.35">
      <c r="B6" s="24" t="s">
        <v>188</v>
      </c>
      <c r="C6" s="62">
        <v>1.35</v>
      </c>
      <c r="D6" s="24" t="s">
        <v>165</v>
      </c>
    </row>
    <row r="8" spans="2:5" x14ac:dyDescent="0.3">
      <c r="B8" s="39" t="s">
        <v>138</v>
      </c>
    </row>
    <row r="9" spans="2:5" x14ac:dyDescent="0.3">
      <c r="B9" t="s">
        <v>119</v>
      </c>
    </row>
    <row r="10" spans="2:5" x14ac:dyDescent="0.3">
      <c r="B10" t="s">
        <v>120</v>
      </c>
      <c r="C10">
        <v>843</v>
      </c>
    </row>
    <row r="11" spans="2:5" x14ac:dyDescent="0.3">
      <c r="B11" t="s">
        <v>121</v>
      </c>
      <c r="C11">
        <v>3</v>
      </c>
      <c r="D11" t="s">
        <v>124</v>
      </c>
      <c r="E11">
        <v>0.55000000000000004</v>
      </c>
    </row>
    <row r="12" spans="2:5" x14ac:dyDescent="0.3">
      <c r="B12" s="53" t="s">
        <v>122</v>
      </c>
      <c r="C12">
        <v>1</v>
      </c>
      <c r="D12" t="s">
        <v>125</v>
      </c>
    </row>
    <row r="13" spans="2:5" ht="15" thickBot="1" x14ac:dyDescent="0.35">
      <c r="B13" s="53" t="s">
        <v>123</v>
      </c>
      <c r="C13">
        <f>$E$11</f>
        <v>0.55000000000000004</v>
      </c>
    </row>
    <row r="14" spans="2:5" ht="15" thickBot="1" x14ac:dyDescent="0.35">
      <c r="B14" s="54" t="s">
        <v>126</v>
      </c>
      <c r="C14" s="55">
        <f>$C$12*$E$11</f>
        <v>0.55000000000000004</v>
      </c>
    </row>
    <row r="17" spans="2:9" x14ac:dyDescent="0.3">
      <c r="B17" s="39" t="s">
        <v>145</v>
      </c>
    </row>
    <row r="18" spans="2:9" x14ac:dyDescent="0.3">
      <c r="B18" t="s">
        <v>146</v>
      </c>
    </row>
    <row r="19" spans="2:9" x14ac:dyDescent="0.3">
      <c r="B19" s="178" t="s">
        <v>147</v>
      </c>
      <c r="C19" s="178"/>
      <c r="D19" s="39">
        <f>'V vall aerop AEMET Op'!N34</f>
        <v>31.67</v>
      </c>
    </row>
    <row r="20" spans="2:9" x14ac:dyDescent="0.3">
      <c r="B20" s="39" t="s">
        <v>148</v>
      </c>
      <c r="D20" s="39">
        <f>'V vall aerop AEMET Op'!M35</f>
        <v>223.47</v>
      </c>
    </row>
    <row r="21" spans="2:9" x14ac:dyDescent="0.3">
      <c r="B21" t="s">
        <v>149</v>
      </c>
    </row>
    <row r="22" spans="2:9" ht="15" thickBot="1" x14ac:dyDescent="0.35"/>
    <row r="23" spans="2:9" ht="16.2" thickBot="1" x14ac:dyDescent="0.35">
      <c r="B23" s="95" t="s">
        <v>150</v>
      </c>
    </row>
    <row r="24" spans="2:9" x14ac:dyDescent="0.3">
      <c r="B24" s="179" t="s">
        <v>200</v>
      </c>
      <c r="C24" s="93" t="s">
        <v>204</v>
      </c>
      <c r="D24" s="3" t="s">
        <v>203</v>
      </c>
    </row>
    <row r="25" spans="2:9" x14ac:dyDescent="0.3">
      <c r="B25" s="180"/>
      <c r="C25" s="92" t="s">
        <v>196</v>
      </c>
      <c r="D25" s="5" t="s">
        <v>201</v>
      </c>
    </row>
    <row r="26" spans="2:9" ht="15" thickBot="1" x14ac:dyDescent="0.35">
      <c r="B26" s="181"/>
      <c r="C26" s="94" t="s">
        <v>195</v>
      </c>
      <c r="D26" s="7" t="s">
        <v>202</v>
      </c>
    </row>
    <row r="27" spans="2:9" ht="15" thickBot="1" x14ac:dyDescent="0.35">
      <c r="C27" s="57"/>
    </row>
    <row r="28" spans="2:9" ht="16.2" thickBot="1" x14ac:dyDescent="0.35">
      <c r="B28" s="102" t="s">
        <v>151</v>
      </c>
      <c r="E28" s="184" t="s">
        <v>248</v>
      </c>
      <c r="F28" s="185"/>
      <c r="G28" s="184" t="s">
        <v>254</v>
      </c>
      <c r="H28" s="185"/>
      <c r="I28" s="58" t="s">
        <v>259</v>
      </c>
    </row>
    <row r="29" spans="2:9" x14ac:dyDescent="0.3">
      <c r="B29" s="179" t="s">
        <v>189</v>
      </c>
      <c r="C29" s="100" t="s">
        <v>192</v>
      </c>
      <c r="D29" s="100" t="s">
        <v>203</v>
      </c>
      <c r="E29" s="186" t="s">
        <v>251</v>
      </c>
      <c r="F29" s="186"/>
      <c r="G29" s="186" t="s">
        <v>251</v>
      </c>
      <c r="H29" s="186"/>
      <c r="I29" s="103" t="s">
        <v>260</v>
      </c>
    </row>
    <row r="30" spans="2:9" x14ac:dyDescent="0.3">
      <c r="B30" s="180"/>
      <c r="C30" s="97" t="s">
        <v>194</v>
      </c>
      <c r="D30" s="97" t="s">
        <v>201</v>
      </c>
      <c r="E30" s="187" t="s">
        <v>249</v>
      </c>
      <c r="F30" s="187"/>
      <c r="G30" s="187" t="s">
        <v>249</v>
      </c>
      <c r="H30" s="187"/>
      <c r="I30" s="86" t="s">
        <v>261</v>
      </c>
    </row>
    <row r="31" spans="2:9" x14ac:dyDescent="0.3">
      <c r="B31" s="180"/>
      <c r="C31" s="98" t="s">
        <v>193</v>
      </c>
      <c r="D31" s="98" t="s">
        <v>202</v>
      </c>
      <c r="E31" s="188" t="s">
        <v>252</v>
      </c>
      <c r="F31" s="188"/>
      <c r="G31" s="188" t="s">
        <v>252</v>
      </c>
      <c r="H31" s="188"/>
      <c r="I31" s="104" t="s">
        <v>262</v>
      </c>
    </row>
    <row r="32" spans="2:9" x14ac:dyDescent="0.3">
      <c r="B32" s="180" t="s">
        <v>190</v>
      </c>
      <c r="C32" s="69" t="s">
        <v>195</v>
      </c>
      <c r="D32" s="69" t="s">
        <v>203</v>
      </c>
      <c r="E32" s="189" t="s">
        <v>250</v>
      </c>
      <c r="F32" s="189"/>
      <c r="G32" s="189" t="s">
        <v>250</v>
      </c>
      <c r="H32" s="189"/>
      <c r="I32" s="104" t="s">
        <v>262</v>
      </c>
    </row>
    <row r="33" spans="2:12" x14ac:dyDescent="0.3">
      <c r="B33" s="180"/>
      <c r="C33" s="99" t="s">
        <v>197</v>
      </c>
      <c r="D33" s="99" t="s">
        <v>201</v>
      </c>
      <c r="E33" s="183" t="s">
        <v>253</v>
      </c>
      <c r="F33" s="183"/>
      <c r="G33" s="183" t="s">
        <v>253</v>
      </c>
      <c r="H33" s="183"/>
      <c r="I33" s="86" t="s">
        <v>261</v>
      </c>
    </row>
    <row r="34" spans="2:12" x14ac:dyDescent="0.3">
      <c r="B34" s="180"/>
      <c r="C34" s="96" t="s">
        <v>192</v>
      </c>
      <c r="D34" s="96" t="s">
        <v>202</v>
      </c>
      <c r="E34" s="182" t="s">
        <v>255</v>
      </c>
      <c r="F34" s="182"/>
      <c r="G34" s="182" t="s">
        <v>251</v>
      </c>
      <c r="H34" s="182"/>
      <c r="I34" s="105" t="s">
        <v>260</v>
      </c>
    </row>
    <row r="35" spans="2:12" x14ac:dyDescent="0.3">
      <c r="B35" s="180" t="s">
        <v>191</v>
      </c>
      <c r="C35" s="99" t="s">
        <v>198</v>
      </c>
      <c r="D35" s="99" t="s">
        <v>203</v>
      </c>
      <c r="E35" s="183" t="s">
        <v>256</v>
      </c>
      <c r="F35" s="183"/>
      <c r="G35" s="183" t="s">
        <v>253</v>
      </c>
      <c r="H35" s="183"/>
      <c r="I35" s="86" t="s">
        <v>261</v>
      </c>
    </row>
    <row r="36" spans="2:12" x14ac:dyDescent="0.3">
      <c r="B36" s="180"/>
      <c r="C36" s="96" t="s">
        <v>192</v>
      </c>
      <c r="D36" s="96" t="s">
        <v>201</v>
      </c>
      <c r="E36" s="96" t="s">
        <v>257</v>
      </c>
      <c r="F36" s="96"/>
      <c r="G36" s="182" t="s">
        <v>251</v>
      </c>
      <c r="H36" s="182"/>
      <c r="I36" s="105" t="s">
        <v>260</v>
      </c>
      <c r="K36" t="s">
        <v>263</v>
      </c>
    </row>
    <row r="37" spans="2:12" ht="15" thickBot="1" x14ac:dyDescent="0.35">
      <c r="B37" s="181"/>
      <c r="C37" s="101" t="s">
        <v>199</v>
      </c>
      <c r="D37" s="101" t="s">
        <v>202</v>
      </c>
      <c r="E37" s="101" t="s">
        <v>258</v>
      </c>
      <c r="F37" s="101"/>
      <c r="G37" s="101" t="s">
        <v>249</v>
      </c>
      <c r="H37" s="101"/>
      <c r="I37" s="106" t="s">
        <v>261</v>
      </c>
    </row>
    <row r="40" spans="2:12" ht="15" thickBot="1" x14ac:dyDescent="0.35">
      <c r="B40" s="39" t="s">
        <v>160</v>
      </c>
    </row>
    <row r="41" spans="2:12" x14ac:dyDescent="0.3">
      <c r="B41" t="s">
        <v>152</v>
      </c>
      <c r="C41" t="s">
        <v>157</v>
      </c>
      <c r="D41" t="s">
        <v>156</v>
      </c>
      <c r="E41" t="s">
        <v>158</v>
      </c>
      <c r="F41" s="65" t="s">
        <v>161</v>
      </c>
    </row>
    <row r="42" spans="2:12" x14ac:dyDescent="0.3">
      <c r="B42" t="s">
        <v>45</v>
      </c>
      <c r="C42">
        <v>1.016</v>
      </c>
      <c r="D42">
        <v>0.99199999999999999</v>
      </c>
      <c r="E42">
        <v>0.99199999999999999</v>
      </c>
      <c r="F42" s="66">
        <v>1.3029999999999999</v>
      </c>
    </row>
    <row r="43" spans="2:12" x14ac:dyDescent="0.3">
      <c r="B43" t="s">
        <v>44</v>
      </c>
      <c r="C43">
        <v>1.67</v>
      </c>
      <c r="D43">
        <v>1.64</v>
      </c>
      <c r="E43">
        <v>1.956</v>
      </c>
      <c r="F43" s="66">
        <v>2.3839999999999999</v>
      </c>
    </row>
    <row r="44" spans="2:12" x14ac:dyDescent="0.3">
      <c r="B44" t="s">
        <v>153</v>
      </c>
      <c r="C44">
        <f>C42*C43</f>
        <v>1.69672</v>
      </c>
      <c r="D44">
        <f t="shared" ref="D44:F44" si="0">D42*D43</f>
        <v>1.6268799999999999</v>
      </c>
      <c r="E44">
        <f t="shared" si="0"/>
        <v>1.9403519999999999</v>
      </c>
      <c r="F44" s="66">
        <f t="shared" si="0"/>
        <v>3.1063519999999998</v>
      </c>
    </row>
    <row r="45" spans="2:12" x14ac:dyDescent="0.3">
      <c r="B45" t="s">
        <v>154</v>
      </c>
      <c r="C45">
        <v>18</v>
      </c>
      <c r="D45">
        <v>18</v>
      </c>
      <c r="E45">
        <v>22.5</v>
      </c>
      <c r="F45" s="66">
        <v>35.799999999999997</v>
      </c>
    </row>
    <row r="46" spans="2:12" x14ac:dyDescent="0.3">
      <c r="B46" t="s">
        <v>159</v>
      </c>
      <c r="C46">
        <f>C45/C44</f>
        <v>10.608703852138243</v>
      </c>
      <c r="D46">
        <f t="shared" ref="D46:F46" si="1">D45/D44</f>
        <v>11.064122738001574</v>
      </c>
      <c r="E46">
        <f t="shared" si="1"/>
        <v>11.595834157925985</v>
      </c>
      <c r="F46" s="66">
        <f t="shared" si="1"/>
        <v>11.524772466224046</v>
      </c>
      <c r="K46">
        <v>10</v>
      </c>
      <c r="L46">
        <v>15</v>
      </c>
    </row>
    <row r="47" spans="2:12" x14ac:dyDescent="0.3">
      <c r="B47" t="s">
        <v>155</v>
      </c>
      <c r="C47">
        <f>C46*9.8/1000</f>
        <v>0.10396529775095478</v>
      </c>
      <c r="D47">
        <f t="shared" ref="D47:F47" si="2">D46*9.8/1000</f>
        <v>0.10842840283241544</v>
      </c>
      <c r="E47">
        <f t="shared" si="2"/>
        <v>0.11363917474767465</v>
      </c>
      <c r="F47" s="67">
        <f t="shared" si="2"/>
        <v>0.11294277016899566</v>
      </c>
      <c r="K47">
        <f t="shared" ref="K47" si="3">K46*9.8/1000</f>
        <v>9.8000000000000004E-2</v>
      </c>
      <c r="L47">
        <f t="shared" ref="L47" si="4">L46*9.8/1000</f>
        <v>0.14699999999999999</v>
      </c>
    </row>
    <row r="48" spans="2:12" ht="15" thickBot="1" x14ac:dyDescent="0.35">
      <c r="B48" s="64" t="s">
        <v>162</v>
      </c>
      <c r="C48">
        <f>C47*1.2</f>
        <v>0.12475835730114573</v>
      </c>
      <c r="D48">
        <f t="shared" ref="D48:F48" si="5">D47*1.2</f>
        <v>0.13011408339889852</v>
      </c>
      <c r="E48">
        <f t="shared" si="5"/>
        <v>0.13636700969720958</v>
      </c>
      <c r="F48" s="68">
        <f t="shared" si="5"/>
        <v>0.13553132420279479</v>
      </c>
    </row>
    <row r="50" spans="2:4" x14ac:dyDescent="0.3">
      <c r="B50" t="s">
        <v>167</v>
      </c>
      <c r="C50" s="39">
        <v>0.12</v>
      </c>
      <c r="D50" t="s">
        <v>176</v>
      </c>
    </row>
    <row r="52" spans="2:4" x14ac:dyDescent="0.3">
      <c r="B52" t="s">
        <v>164</v>
      </c>
    </row>
    <row r="53" spans="2:4" x14ac:dyDescent="0.3">
      <c r="B53" t="s">
        <v>175</v>
      </c>
      <c r="C53" s="39">
        <v>0.11</v>
      </c>
    </row>
    <row r="54" spans="2:4" x14ac:dyDescent="0.3">
      <c r="C54" s="39"/>
    </row>
    <row r="55" spans="2:4" x14ac:dyDescent="0.3">
      <c r="B55" t="s">
        <v>205</v>
      </c>
    </row>
    <row r="56" spans="2:4" x14ac:dyDescent="0.3">
      <c r="B56" s="9" t="s">
        <v>206</v>
      </c>
      <c r="C56" s="50">
        <f>SUM(C50,C53)</f>
        <v>0.22999999999999998</v>
      </c>
    </row>
  </sheetData>
  <mergeCells count="22">
    <mergeCell ref="G33:H33"/>
    <mergeCell ref="G34:H34"/>
    <mergeCell ref="G35:H35"/>
    <mergeCell ref="G36:H36"/>
    <mergeCell ref="G28:H28"/>
    <mergeCell ref="G29:H29"/>
    <mergeCell ref="G30:H30"/>
    <mergeCell ref="G31:H31"/>
    <mergeCell ref="G32:H32"/>
    <mergeCell ref="E34:F34"/>
    <mergeCell ref="E35:F35"/>
    <mergeCell ref="E28:F28"/>
    <mergeCell ref="E29:F29"/>
    <mergeCell ref="E30:F30"/>
    <mergeCell ref="E31:F31"/>
    <mergeCell ref="E32:F32"/>
    <mergeCell ref="E33:F33"/>
    <mergeCell ref="B19:C19"/>
    <mergeCell ref="B29:B31"/>
    <mergeCell ref="B32:B34"/>
    <mergeCell ref="B35:B37"/>
    <mergeCell ref="B24:B2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0A174-76FC-45F4-99BC-93062401839D}">
  <sheetPr codeName="Hoja12"/>
  <dimension ref="A1:R37"/>
  <sheetViews>
    <sheetView workbookViewId="0">
      <selection activeCell="D53" sqref="D53"/>
    </sheetView>
  </sheetViews>
  <sheetFormatPr baseColWidth="10" defaultRowHeight="14.4" x14ac:dyDescent="0.3"/>
  <cols>
    <col min="1" max="1" width="12.6640625" bestFit="1" customWidth="1"/>
    <col min="2" max="2" width="14.33203125" bestFit="1" customWidth="1"/>
    <col min="3" max="10" width="12.6640625" bestFit="1" customWidth="1"/>
    <col min="11" max="13" width="13.6640625" bestFit="1" customWidth="1"/>
    <col min="14" max="14" width="15.33203125" bestFit="1" customWidth="1"/>
  </cols>
  <sheetData>
    <row r="1" spans="1:17" x14ac:dyDescent="0.3">
      <c r="A1" t="s">
        <v>107</v>
      </c>
      <c r="B1" t="s">
        <v>102</v>
      </c>
      <c r="C1" t="s">
        <v>91</v>
      </c>
      <c r="D1" t="s">
        <v>92</v>
      </c>
      <c r="E1" t="s">
        <v>93</v>
      </c>
      <c r="F1" t="s">
        <v>94</v>
      </c>
      <c r="G1" t="s">
        <v>95</v>
      </c>
      <c r="H1" t="s">
        <v>96</v>
      </c>
      <c r="I1" t="s">
        <v>97</v>
      </c>
      <c r="J1" t="s">
        <v>98</v>
      </c>
      <c r="K1" t="s">
        <v>99</v>
      </c>
      <c r="L1" t="s">
        <v>100</v>
      </c>
      <c r="M1" t="s">
        <v>101</v>
      </c>
      <c r="N1" t="s">
        <v>103</v>
      </c>
    </row>
    <row r="2" spans="1:17" x14ac:dyDescent="0.3">
      <c r="A2" t="s">
        <v>108</v>
      </c>
      <c r="B2">
        <v>133</v>
      </c>
      <c r="C2">
        <v>121</v>
      </c>
      <c r="D2">
        <v>101</v>
      </c>
      <c r="E2">
        <v>103</v>
      </c>
      <c r="F2">
        <v>95</v>
      </c>
      <c r="G2">
        <v>108</v>
      </c>
      <c r="H2">
        <v>95</v>
      </c>
      <c r="I2">
        <v>97</v>
      </c>
      <c r="J2">
        <v>90</v>
      </c>
      <c r="K2">
        <v>121</v>
      </c>
      <c r="L2">
        <v>121</v>
      </c>
      <c r="M2">
        <v>121</v>
      </c>
      <c r="N2">
        <v>133</v>
      </c>
    </row>
    <row r="3" spans="1:17" x14ac:dyDescent="0.3">
      <c r="A3" t="s">
        <v>109</v>
      </c>
      <c r="B3">
        <v>230</v>
      </c>
      <c r="C3">
        <v>260</v>
      </c>
      <c r="D3">
        <v>230</v>
      </c>
      <c r="E3">
        <v>250</v>
      </c>
      <c r="F3">
        <v>230</v>
      </c>
      <c r="G3">
        <v>180</v>
      </c>
      <c r="H3">
        <v>110</v>
      </c>
      <c r="I3">
        <v>180</v>
      </c>
      <c r="J3">
        <v>140</v>
      </c>
      <c r="K3">
        <v>200</v>
      </c>
      <c r="L3">
        <v>230</v>
      </c>
      <c r="M3">
        <v>230</v>
      </c>
      <c r="N3">
        <v>230</v>
      </c>
    </row>
    <row r="4" spans="1:17" x14ac:dyDescent="0.3">
      <c r="A4" t="s">
        <v>110</v>
      </c>
      <c r="B4">
        <v>23</v>
      </c>
      <c r="C4">
        <v>25</v>
      </c>
      <c r="D4">
        <v>17</v>
      </c>
      <c r="E4">
        <v>25</v>
      </c>
      <c r="F4">
        <v>2</v>
      </c>
      <c r="G4">
        <v>16</v>
      </c>
      <c r="H4">
        <v>11</v>
      </c>
      <c r="I4">
        <v>5</v>
      </c>
      <c r="J4">
        <v>4</v>
      </c>
      <c r="K4">
        <v>30</v>
      </c>
      <c r="L4">
        <v>1</v>
      </c>
      <c r="M4">
        <v>30</v>
      </c>
      <c r="N4">
        <v>23</v>
      </c>
    </row>
    <row r="5" spans="1:17" x14ac:dyDescent="0.3">
      <c r="A5" t="s">
        <v>111</v>
      </c>
      <c r="B5">
        <v>1971</v>
      </c>
      <c r="C5">
        <v>1989</v>
      </c>
      <c r="D5">
        <v>1965</v>
      </c>
      <c r="E5">
        <v>1961</v>
      </c>
      <c r="F5">
        <v>1969</v>
      </c>
      <c r="G5">
        <v>1982</v>
      </c>
      <c r="H5">
        <v>1979</v>
      </c>
      <c r="I5">
        <v>1965</v>
      </c>
      <c r="J5">
        <v>2004</v>
      </c>
      <c r="K5">
        <v>1968</v>
      </c>
      <c r="L5">
        <v>1968</v>
      </c>
      <c r="M5">
        <v>1981</v>
      </c>
      <c r="N5">
        <v>1971</v>
      </c>
    </row>
    <row r="7" spans="1:17" ht="15.75" customHeight="1" x14ac:dyDescent="0.3"/>
    <row r="9" spans="1:17" x14ac:dyDescent="0.3">
      <c r="A9" s="39" t="s">
        <v>0</v>
      </c>
      <c r="B9" s="39" t="s">
        <v>18</v>
      </c>
      <c r="C9" s="39" t="s">
        <v>112</v>
      </c>
      <c r="O9" s="50" t="s">
        <v>19</v>
      </c>
      <c r="P9" s="50" t="s">
        <v>104</v>
      </c>
      <c r="Q9" t="s">
        <v>117</v>
      </c>
    </row>
    <row r="10" spans="1:17" x14ac:dyDescent="0.3">
      <c r="A10" s="50" t="s">
        <v>108</v>
      </c>
      <c r="B10" s="9">
        <v>133</v>
      </c>
      <c r="C10" s="9">
        <v>121</v>
      </c>
      <c r="D10" s="9">
        <v>101</v>
      </c>
      <c r="E10" s="9">
        <v>103</v>
      </c>
      <c r="F10" s="9">
        <v>95</v>
      </c>
      <c r="G10" s="9">
        <v>108</v>
      </c>
      <c r="H10" s="9">
        <v>95</v>
      </c>
      <c r="I10" s="9">
        <v>97</v>
      </c>
      <c r="J10" s="9">
        <v>90</v>
      </c>
      <c r="K10" s="9">
        <v>121</v>
      </c>
      <c r="L10" s="9">
        <v>121</v>
      </c>
      <c r="M10" s="9">
        <v>121</v>
      </c>
      <c r="N10" s="9">
        <v>133</v>
      </c>
      <c r="O10" s="9">
        <f>ROUND(AVERAGE(B10:N10),2)</f>
        <v>110.69</v>
      </c>
      <c r="P10" s="9"/>
      <c r="Q10">
        <f>O10/3.6</f>
        <v>30.74722222222222</v>
      </c>
    </row>
    <row r="11" spans="1:17" x14ac:dyDescent="0.3">
      <c r="A11" s="50" t="s">
        <v>109</v>
      </c>
      <c r="B11" s="9">
        <v>230</v>
      </c>
      <c r="C11" s="9">
        <v>260</v>
      </c>
      <c r="D11" s="9">
        <v>230</v>
      </c>
      <c r="E11" s="9">
        <v>250</v>
      </c>
      <c r="F11" s="9">
        <v>230</v>
      </c>
      <c r="G11" s="9">
        <v>180</v>
      </c>
      <c r="H11" s="9">
        <v>110</v>
      </c>
      <c r="I11" s="9">
        <v>180</v>
      </c>
      <c r="J11" s="9">
        <v>140</v>
      </c>
      <c r="K11" s="9">
        <v>200</v>
      </c>
      <c r="L11" s="9">
        <v>230</v>
      </c>
      <c r="M11" s="9">
        <v>230</v>
      </c>
      <c r="N11" s="9">
        <v>230</v>
      </c>
      <c r="O11" s="9">
        <f>ROUND(AVERAGE(B11:N11),2)</f>
        <v>207.69</v>
      </c>
      <c r="P11" s="9">
        <f>ROUND(SUMPRODUCT(B11:N11,B10:N10)/SUM(B10:N10),2)</f>
        <v>210.76</v>
      </c>
    </row>
    <row r="12" spans="1:17" x14ac:dyDescent="0.3">
      <c r="A12" s="50" t="s">
        <v>110</v>
      </c>
      <c r="B12" s="9">
        <v>23</v>
      </c>
      <c r="C12" s="9">
        <v>25</v>
      </c>
      <c r="D12" s="9">
        <v>17</v>
      </c>
      <c r="E12" s="9">
        <v>25</v>
      </c>
      <c r="F12" s="9">
        <v>2</v>
      </c>
      <c r="G12" s="9">
        <v>16</v>
      </c>
      <c r="H12" s="9">
        <v>11</v>
      </c>
      <c r="I12" s="9">
        <v>5</v>
      </c>
      <c r="J12" s="9">
        <v>4</v>
      </c>
      <c r="K12" s="9">
        <v>30</v>
      </c>
      <c r="L12" s="9">
        <v>1</v>
      </c>
      <c r="M12" s="9">
        <v>30</v>
      </c>
      <c r="N12" s="9">
        <v>23</v>
      </c>
    </row>
    <row r="13" spans="1:17" x14ac:dyDescent="0.3">
      <c r="A13" s="50" t="s">
        <v>111</v>
      </c>
      <c r="B13" s="9">
        <v>1971</v>
      </c>
      <c r="C13" s="9">
        <v>1989</v>
      </c>
      <c r="D13" s="9">
        <v>1965</v>
      </c>
      <c r="E13" s="9">
        <v>1961</v>
      </c>
      <c r="F13" s="9">
        <v>1969</v>
      </c>
      <c r="G13" s="9">
        <v>1982</v>
      </c>
      <c r="H13" s="9">
        <v>1979</v>
      </c>
      <c r="I13" s="9">
        <v>1965</v>
      </c>
      <c r="J13" s="9">
        <v>2004</v>
      </c>
      <c r="K13" s="9">
        <v>1968</v>
      </c>
      <c r="L13" s="9">
        <v>1968</v>
      </c>
      <c r="M13" s="9">
        <v>1981</v>
      </c>
      <c r="N13" s="9">
        <v>1971</v>
      </c>
    </row>
    <row r="20" spans="13:18" x14ac:dyDescent="0.3">
      <c r="R20" t="s">
        <v>118</v>
      </c>
    </row>
    <row r="32" spans="13:18" x14ac:dyDescent="0.3">
      <c r="M32" s="52" t="s">
        <v>116</v>
      </c>
      <c r="N32" s="52" t="s">
        <v>117</v>
      </c>
    </row>
    <row r="33" spans="1:14" x14ac:dyDescent="0.3">
      <c r="A33" s="39" t="s">
        <v>0</v>
      </c>
      <c r="B33" s="39" t="s">
        <v>18</v>
      </c>
      <c r="C33" s="39" t="s">
        <v>112</v>
      </c>
      <c r="M33" s="50" t="s">
        <v>104</v>
      </c>
    </row>
    <row r="34" spans="1:14" x14ac:dyDescent="0.3">
      <c r="A34" s="50" t="s">
        <v>108</v>
      </c>
      <c r="B34" s="9">
        <v>133</v>
      </c>
      <c r="C34" s="9">
        <v>121</v>
      </c>
      <c r="D34" s="9">
        <v>101</v>
      </c>
      <c r="E34" s="9">
        <v>103</v>
      </c>
      <c r="F34" s="9">
        <v>95</v>
      </c>
      <c r="G34" s="9">
        <v>108</v>
      </c>
      <c r="H34" s="9">
        <v>97</v>
      </c>
      <c r="I34" s="9">
        <v>121</v>
      </c>
      <c r="J34" s="9">
        <v>121</v>
      </c>
      <c r="K34" s="9">
        <v>121</v>
      </c>
      <c r="L34" s="9">
        <v>133</v>
      </c>
      <c r="M34" s="9">
        <f>ROUND(AVERAGE(B34:L34),2)</f>
        <v>114</v>
      </c>
      <c r="N34">
        <f>ROUND(M34/3.6,2)</f>
        <v>31.67</v>
      </c>
    </row>
    <row r="35" spans="1:14" x14ac:dyDescent="0.3">
      <c r="A35" s="50" t="s">
        <v>109</v>
      </c>
      <c r="B35" s="9">
        <v>230</v>
      </c>
      <c r="C35" s="9">
        <v>260</v>
      </c>
      <c r="D35" s="9">
        <v>230</v>
      </c>
      <c r="E35" s="9">
        <v>250</v>
      </c>
      <c r="F35" s="9">
        <v>230</v>
      </c>
      <c r="G35" s="9">
        <v>180</v>
      </c>
      <c r="H35" s="9">
        <v>180</v>
      </c>
      <c r="I35" s="9">
        <v>200</v>
      </c>
      <c r="J35" s="9">
        <v>230</v>
      </c>
      <c r="K35" s="9">
        <v>230</v>
      </c>
      <c r="L35" s="9">
        <v>230</v>
      </c>
      <c r="M35" s="9">
        <f>ROUND(SUMPRODUCT(B35:L35,B34:L34)/SUM(B34:L34),2)</f>
        <v>223.47</v>
      </c>
    </row>
    <row r="36" spans="1:14" x14ac:dyDescent="0.3">
      <c r="A36" s="50" t="s">
        <v>110</v>
      </c>
      <c r="B36" s="9">
        <v>23</v>
      </c>
      <c r="C36" s="9">
        <v>25</v>
      </c>
      <c r="D36" s="9">
        <v>17</v>
      </c>
      <c r="E36" s="9">
        <v>25</v>
      </c>
      <c r="F36" s="9">
        <v>2</v>
      </c>
      <c r="G36" s="9">
        <v>16</v>
      </c>
      <c r="H36" s="9">
        <v>5</v>
      </c>
      <c r="I36" s="9">
        <v>30</v>
      </c>
      <c r="J36" s="9">
        <v>1</v>
      </c>
      <c r="K36" s="9">
        <v>30</v>
      </c>
      <c r="L36" s="9">
        <v>23</v>
      </c>
      <c r="M36" s="9"/>
    </row>
    <row r="37" spans="1:14" x14ac:dyDescent="0.3">
      <c r="A37" s="50" t="s">
        <v>111</v>
      </c>
      <c r="B37" s="9">
        <v>1971</v>
      </c>
      <c r="C37" s="9">
        <v>1989</v>
      </c>
      <c r="D37" s="9">
        <v>1965</v>
      </c>
      <c r="E37" s="9">
        <v>1961</v>
      </c>
      <c r="F37" s="9">
        <v>1969</v>
      </c>
      <c r="G37" s="9">
        <v>1982</v>
      </c>
      <c r="H37" s="9">
        <v>1965</v>
      </c>
      <c r="I37" s="9">
        <v>1968</v>
      </c>
      <c r="J37" s="9">
        <v>1968</v>
      </c>
      <c r="K37" s="9">
        <v>1981</v>
      </c>
      <c r="L37" s="9">
        <v>1971</v>
      </c>
      <c r="M37" s="9"/>
    </row>
  </sheetData>
  <pageMargins left="0.7" right="0.7" top="0.75" bottom="0.75" header="0.3" footer="0.3"/>
  <drawing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33097-73FE-4849-8836-58CBE9141DB1}">
  <sheetPr codeName="Hoja14"/>
  <dimension ref="B1:H18"/>
  <sheetViews>
    <sheetView workbookViewId="0">
      <selection activeCell="H16" sqref="H16"/>
    </sheetView>
  </sheetViews>
  <sheetFormatPr baseColWidth="10" defaultRowHeight="14.4" x14ac:dyDescent="0.3"/>
  <cols>
    <col min="3" max="3" width="20.109375" customWidth="1"/>
    <col min="4" max="4" width="9.5546875" customWidth="1"/>
    <col min="6" max="6" width="10.5546875" customWidth="1"/>
    <col min="8" max="8" width="15.6640625" customWidth="1"/>
  </cols>
  <sheetData>
    <row r="1" spans="2:8" ht="15" thickBot="1" x14ac:dyDescent="0.35"/>
    <row r="2" spans="2:8" ht="29.4" customHeight="1" thickBot="1" x14ac:dyDescent="0.35">
      <c r="B2" s="87"/>
      <c r="C2" s="88" t="s">
        <v>127</v>
      </c>
      <c r="D2" s="88" t="s">
        <v>243</v>
      </c>
      <c r="E2" s="88" t="s">
        <v>135</v>
      </c>
      <c r="F2" s="89" t="s">
        <v>244</v>
      </c>
      <c r="G2" s="56"/>
      <c r="H2" s="56"/>
    </row>
    <row r="3" spans="2:8" ht="14.4" customHeight="1" x14ac:dyDescent="0.3">
      <c r="B3" s="193" t="s">
        <v>181</v>
      </c>
      <c r="C3" s="71" t="s">
        <v>128</v>
      </c>
      <c r="D3" s="71">
        <v>12</v>
      </c>
      <c r="E3" s="71" t="s">
        <v>136</v>
      </c>
      <c r="F3" s="3">
        <v>320</v>
      </c>
    </row>
    <row r="4" spans="2:8" x14ac:dyDescent="0.3">
      <c r="B4" s="194"/>
      <c r="C4" s="9" t="s">
        <v>129</v>
      </c>
      <c r="D4" s="9">
        <v>6</v>
      </c>
      <c r="E4" s="9" t="s">
        <v>136</v>
      </c>
      <c r="F4" s="5">
        <v>320</v>
      </c>
    </row>
    <row r="5" spans="2:8" x14ac:dyDescent="0.3">
      <c r="B5" s="194"/>
      <c r="C5" s="9" t="s">
        <v>130</v>
      </c>
      <c r="D5" s="9">
        <v>4</v>
      </c>
      <c r="E5" s="9" t="s">
        <v>136</v>
      </c>
      <c r="F5" s="5">
        <v>320</v>
      </c>
    </row>
    <row r="6" spans="2:8" x14ac:dyDescent="0.3">
      <c r="B6" s="194"/>
      <c r="C6" s="9" t="s">
        <v>131</v>
      </c>
      <c r="D6" s="9">
        <v>14</v>
      </c>
      <c r="E6" s="9" t="s">
        <v>136</v>
      </c>
      <c r="F6" s="5">
        <v>200</v>
      </c>
    </row>
    <row r="7" spans="2:8" x14ac:dyDescent="0.3">
      <c r="B7" s="194"/>
      <c r="C7" s="9" t="s">
        <v>132</v>
      </c>
      <c r="D7" s="9">
        <v>4</v>
      </c>
      <c r="E7" s="9" t="s">
        <v>137</v>
      </c>
      <c r="F7" s="5">
        <v>270</v>
      </c>
    </row>
    <row r="8" spans="2:8" x14ac:dyDescent="0.3">
      <c r="B8" s="194"/>
      <c r="C8" s="9" t="s">
        <v>133</v>
      </c>
      <c r="D8" s="9">
        <v>12</v>
      </c>
      <c r="E8" s="9" t="s">
        <v>137</v>
      </c>
      <c r="F8" s="5">
        <v>270</v>
      </c>
    </row>
    <row r="9" spans="2:8" x14ac:dyDescent="0.3">
      <c r="B9" s="194"/>
      <c r="C9" s="9" t="s">
        <v>134</v>
      </c>
      <c r="D9" s="9">
        <v>35</v>
      </c>
      <c r="E9" s="9" t="s">
        <v>137</v>
      </c>
      <c r="F9" s="5">
        <v>100</v>
      </c>
    </row>
    <row r="10" spans="2:8" ht="15" thickBot="1" x14ac:dyDescent="0.35">
      <c r="B10" s="195"/>
      <c r="C10" s="10" t="s">
        <v>284</v>
      </c>
      <c r="D10" s="10">
        <v>14</v>
      </c>
      <c r="E10" s="10" t="s">
        <v>137</v>
      </c>
      <c r="F10" s="7">
        <v>100</v>
      </c>
    </row>
    <row r="11" spans="2:8" x14ac:dyDescent="0.3">
      <c r="B11" s="190" t="s">
        <v>143</v>
      </c>
      <c r="C11" s="17" t="s">
        <v>128</v>
      </c>
      <c r="D11" s="17">
        <v>12</v>
      </c>
      <c r="E11" s="17" t="s">
        <v>136</v>
      </c>
      <c r="F11" s="18">
        <v>320</v>
      </c>
    </row>
    <row r="12" spans="2:8" x14ac:dyDescent="0.3">
      <c r="B12" s="191"/>
      <c r="C12" s="9" t="s">
        <v>129</v>
      </c>
      <c r="D12" s="9">
        <v>6</v>
      </c>
      <c r="E12" s="9" t="s">
        <v>136</v>
      </c>
      <c r="F12" s="5">
        <v>320</v>
      </c>
    </row>
    <row r="13" spans="2:8" x14ac:dyDescent="0.3">
      <c r="B13" s="191"/>
      <c r="C13" s="9" t="s">
        <v>130</v>
      </c>
      <c r="D13" s="9">
        <v>4</v>
      </c>
      <c r="E13" s="9" t="s">
        <v>136</v>
      </c>
      <c r="F13" s="5">
        <v>320</v>
      </c>
    </row>
    <row r="14" spans="2:8" x14ac:dyDescent="0.3">
      <c r="B14" s="191"/>
      <c r="C14" s="9" t="s">
        <v>131</v>
      </c>
      <c r="D14" s="9">
        <v>14</v>
      </c>
      <c r="E14" s="9" t="s">
        <v>136</v>
      </c>
      <c r="F14" s="5">
        <v>200</v>
      </c>
    </row>
    <row r="15" spans="2:8" x14ac:dyDescent="0.3">
      <c r="B15" s="191"/>
      <c r="C15" s="9" t="s">
        <v>132</v>
      </c>
      <c r="D15" s="9">
        <v>4</v>
      </c>
      <c r="E15" s="9" t="s">
        <v>137</v>
      </c>
      <c r="F15" s="5">
        <v>270</v>
      </c>
    </row>
    <row r="16" spans="2:8" x14ac:dyDescent="0.3">
      <c r="B16" s="191"/>
      <c r="C16" s="9" t="s">
        <v>133</v>
      </c>
      <c r="D16" s="9">
        <v>12</v>
      </c>
      <c r="E16" s="9" t="s">
        <v>137</v>
      </c>
      <c r="F16" s="5">
        <v>270</v>
      </c>
    </row>
    <row r="17" spans="2:6" x14ac:dyDescent="0.3">
      <c r="B17" s="191"/>
      <c r="C17" s="9" t="s">
        <v>134</v>
      </c>
      <c r="D17" s="9"/>
      <c r="E17" s="9" t="s">
        <v>137</v>
      </c>
      <c r="F17" s="5">
        <v>100</v>
      </c>
    </row>
    <row r="18" spans="2:6" ht="15" thickBot="1" x14ac:dyDescent="0.35">
      <c r="B18" s="192"/>
      <c r="C18" s="10" t="s">
        <v>284</v>
      </c>
      <c r="D18" s="10"/>
      <c r="E18" s="10" t="s">
        <v>137</v>
      </c>
      <c r="F18" s="7">
        <v>100</v>
      </c>
    </row>
  </sheetData>
  <mergeCells count="2">
    <mergeCell ref="B11:B18"/>
    <mergeCell ref="B3:B1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E756D-CA09-43FC-BF47-42C5F194B65F}">
  <sheetPr codeName="Hoja16"/>
  <dimension ref="B2:Y48"/>
  <sheetViews>
    <sheetView zoomScaleNormal="100" workbookViewId="0">
      <selection activeCell="H38" sqref="H38"/>
    </sheetView>
  </sheetViews>
  <sheetFormatPr baseColWidth="10" defaultRowHeight="14.4" x14ac:dyDescent="0.3"/>
  <cols>
    <col min="2" max="2" width="36.44140625" customWidth="1"/>
  </cols>
  <sheetData>
    <row r="2" spans="2:5" x14ac:dyDescent="0.3">
      <c r="B2" s="39" t="s">
        <v>177</v>
      </c>
    </row>
    <row r="3" spans="2:5" x14ac:dyDescent="0.3">
      <c r="B3" t="s">
        <v>178</v>
      </c>
    </row>
    <row r="4" spans="2:5" x14ac:dyDescent="0.3">
      <c r="B4" t="s">
        <v>179</v>
      </c>
      <c r="C4">
        <v>41.709000000000003</v>
      </c>
    </row>
    <row r="5" spans="2:5" x14ac:dyDescent="0.3">
      <c r="B5" t="s">
        <v>180</v>
      </c>
      <c r="C5">
        <v>-4.8360000000000003</v>
      </c>
    </row>
    <row r="6" spans="2:5" x14ac:dyDescent="0.3">
      <c r="B6" t="s">
        <v>214</v>
      </c>
      <c r="C6">
        <v>-2</v>
      </c>
    </row>
    <row r="8" spans="2:5" x14ac:dyDescent="0.3">
      <c r="B8" s="39" t="s">
        <v>184</v>
      </c>
    </row>
    <row r="9" spans="2:5" x14ac:dyDescent="0.3">
      <c r="B9" t="s">
        <v>185</v>
      </c>
      <c r="C9">
        <v>650</v>
      </c>
    </row>
    <row r="10" spans="2:5" x14ac:dyDescent="0.3">
      <c r="B10" t="s">
        <v>186</v>
      </c>
      <c r="C10">
        <v>20.92</v>
      </c>
    </row>
    <row r="11" spans="2:5" x14ac:dyDescent="0.3">
      <c r="B11" t="s">
        <v>187</v>
      </c>
      <c r="C11">
        <v>1</v>
      </c>
    </row>
    <row r="13" spans="2:5" ht="15" thickBot="1" x14ac:dyDescent="0.35"/>
    <row r="14" spans="2:5" ht="18.600000000000001" thickBot="1" x14ac:dyDescent="0.4">
      <c r="B14" s="78" t="s">
        <v>181</v>
      </c>
      <c r="C14" s="209" t="s">
        <v>235</v>
      </c>
      <c r="D14" s="210"/>
      <c r="E14" s="211"/>
    </row>
    <row r="15" spans="2:5" x14ac:dyDescent="0.3">
      <c r="B15" s="9" t="s">
        <v>212</v>
      </c>
      <c r="C15" s="17">
        <v>5</v>
      </c>
      <c r="D15" s="17">
        <v>10</v>
      </c>
      <c r="E15" s="17">
        <v>15</v>
      </c>
    </row>
    <row r="16" spans="2:5" x14ac:dyDescent="0.3">
      <c r="B16" s="9" t="s">
        <v>182</v>
      </c>
      <c r="C16" s="9">
        <f>Dimensiones!F8</f>
        <v>800.99</v>
      </c>
      <c r="D16" s="9">
        <f>Dimensiones!G8</f>
        <v>810.3</v>
      </c>
      <c r="E16" s="9">
        <f>Dimensiones!H8</f>
        <v>826.26</v>
      </c>
    </row>
    <row r="17" spans="2:11" x14ac:dyDescent="0.3">
      <c r="B17" s="9" t="s">
        <v>183</v>
      </c>
      <c r="C17" s="9">
        <f>ROUND($C$11*C16*$C$10/100,2)</f>
        <v>167.57</v>
      </c>
      <c r="D17" s="9">
        <f t="shared" ref="D17:E17" si="0">ROUND($C$11*D16*$C$10/100,2)</f>
        <v>169.51</v>
      </c>
      <c r="E17" s="9">
        <f t="shared" si="0"/>
        <v>172.85</v>
      </c>
    </row>
    <row r="18" spans="2:11" x14ac:dyDescent="0.3">
      <c r="B18" s="9" t="s">
        <v>211</v>
      </c>
      <c r="C18" s="9">
        <v>1790.31</v>
      </c>
      <c r="D18" s="9">
        <v>1853.55</v>
      </c>
      <c r="E18" s="9">
        <v>1906.96</v>
      </c>
    </row>
    <row r="19" spans="2:11" x14ac:dyDescent="0.3">
      <c r="B19" s="9" t="s">
        <v>210</v>
      </c>
      <c r="C19" s="50">
        <v>226758.32</v>
      </c>
      <c r="D19" s="50">
        <v>237772.58</v>
      </c>
      <c r="E19" s="50">
        <v>249591.63</v>
      </c>
    </row>
    <row r="20" spans="2:11" x14ac:dyDescent="0.3">
      <c r="B20" s="9" t="s">
        <v>213</v>
      </c>
      <c r="C20" s="9">
        <f>C19-$C$19</f>
        <v>0</v>
      </c>
      <c r="D20" s="9">
        <f t="shared" ref="D20:E20" si="1">D19-$C$19</f>
        <v>11014.25999999998</v>
      </c>
      <c r="E20" s="9">
        <f t="shared" si="1"/>
        <v>22833.309999999998</v>
      </c>
    </row>
    <row r="21" spans="2:11" x14ac:dyDescent="0.3">
      <c r="B21" s="9" t="s">
        <v>216</v>
      </c>
      <c r="C21" s="50">
        <f>ROUND((C20/$C$19)*100,2)</f>
        <v>0</v>
      </c>
      <c r="D21" s="50">
        <f t="shared" ref="D21:E21" si="2">ROUND((D20/$C$19)*100,2)</f>
        <v>4.8600000000000003</v>
      </c>
      <c r="E21" s="50">
        <f t="shared" si="2"/>
        <v>10.07</v>
      </c>
    </row>
    <row r="22" spans="2:11" x14ac:dyDescent="0.3">
      <c r="B22" s="9" t="s">
        <v>215</v>
      </c>
      <c r="C22" s="50">
        <v>1.323</v>
      </c>
      <c r="D22" s="50">
        <v>1.262</v>
      </c>
      <c r="E22" s="50">
        <v>1.202</v>
      </c>
    </row>
    <row r="23" spans="2:11" x14ac:dyDescent="0.3">
      <c r="B23" s="9" t="s">
        <v>213</v>
      </c>
      <c r="C23" s="9">
        <f>C22-$C$22</f>
        <v>0</v>
      </c>
      <c r="D23" s="9">
        <f t="shared" ref="D23:E23" si="3">D22-$C$22</f>
        <v>-6.0999999999999943E-2</v>
      </c>
      <c r="E23" s="9">
        <f t="shared" si="3"/>
        <v>-0.121</v>
      </c>
    </row>
    <row r="24" spans="2:11" x14ac:dyDescent="0.3">
      <c r="B24" s="9" t="s">
        <v>216</v>
      </c>
      <c r="C24" s="50">
        <f>ROUND((C23/$C$22)*100,2)</f>
        <v>0</v>
      </c>
      <c r="D24" s="50">
        <f t="shared" ref="D24:E24" si="4">ROUND((D23/$C$22)*100,2)</f>
        <v>-4.6100000000000003</v>
      </c>
      <c r="E24" s="50">
        <f t="shared" si="4"/>
        <v>-9.15</v>
      </c>
    </row>
    <row r="26" spans="2:11" ht="15" thickBot="1" x14ac:dyDescent="0.35"/>
    <row r="27" spans="2:11" ht="18" x14ac:dyDescent="0.35">
      <c r="B27" s="80" t="s">
        <v>143</v>
      </c>
      <c r="C27" s="81"/>
      <c r="D27" s="81"/>
      <c r="E27" s="82"/>
    </row>
    <row r="28" spans="2:11" x14ac:dyDescent="0.3">
      <c r="B28" s="4" t="s">
        <v>209</v>
      </c>
      <c r="C28" s="9">
        <v>5</v>
      </c>
      <c r="D28" s="9">
        <v>10</v>
      </c>
      <c r="E28" s="5">
        <v>15</v>
      </c>
    </row>
    <row r="29" spans="2:11" x14ac:dyDescent="0.3">
      <c r="B29" s="4" t="s">
        <v>217</v>
      </c>
      <c r="C29" s="9">
        <f>Dimensiones!F17</f>
        <v>400.66</v>
      </c>
      <c r="D29" s="9">
        <f>Dimensiones!G17</f>
        <v>405.32</v>
      </c>
      <c r="E29" s="5">
        <f>Dimensiones!H17</f>
        <v>412.97</v>
      </c>
    </row>
    <row r="30" spans="2:11" ht="15" thickBot="1" x14ac:dyDescent="0.35">
      <c r="B30" s="75" t="s">
        <v>218</v>
      </c>
      <c r="C30" s="76">
        <f>ROUND($C$11*C29*$C$10/100,2)</f>
        <v>83.82</v>
      </c>
      <c r="D30" s="76">
        <f t="shared" ref="D30:E30" si="5">ROUND($C$11*D29*$C$10/100,2)</f>
        <v>84.79</v>
      </c>
      <c r="E30" s="77">
        <f t="shared" si="5"/>
        <v>86.39</v>
      </c>
    </row>
    <row r="31" spans="2:11" ht="15" thickBot="1" x14ac:dyDescent="0.35">
      <c r="B31" s="73"/>
      <c r="C31" s="206" t="s">
        <v>219</v>
      </c>
      <c r="D31" s="207"/>
      <c r="E31" s="208"/>
      <c r="F31" s="212" t="s">
        <v>220</v>
      </c>
      <c r="G31" s="196"/>
      <c r="H31" s="196"/>
      <c r="I31" s="196" t="s">
        <v>221</v>
      </c>
      <c r="J31" s="196"/>
      <c r="K31" s="197"/>
    </row>
    <row r="32" spans="2:11" x14ac:dyDescent="0.3">
      <c r="B32" s="22" t="s">
        <v>231</v>
      </c>
      <c r="C32" s="204">
        <v>180</v>
      </c>
      <c r="D32" s="205"/>
      <c r="E32" s="205"/>
      <c r="F32" s="198">
        <v>90</v>
      </c>
      <c r="G32" s="199"/>
      <c r="H32" s="200"/>
      <c r="I32" s="199">
        <v>135</v>
      </c>
      <c r="J32" s="199"/>
      <c r="K32" s="200"/>
    </row>
    <row r="33" spans="2:25" x14ac:dyDescent="0.3">
      <c r="B33" s="63" t="s">
        <v>232</v>
      </c>
      <c r="C33" s="201">
        <v>0</v>
      </c>
      <c r="D33" s="202"/>
      <c r="E33" s="202"/>
      <c r="F33" s="201">
        <v>-90</v>
      </c>
      <c r="G33" s="202"/>
      <c r="H33" s="203"/>
      <c r="I33" s="202">
        <v>-45</v>
      </c>
      <c r="J33" s="202"/>
      <c r="K33" s="203"/>
    </row>
    <row r="34" spans="2:25" hidden="1" x14ac:dyDescent="0.3">
      <c r="B34" s="63" t="s">
        <v>222</v>
      </c>
      <c r="C34" s="4">
        <v>1635.48</v>
      </c>
      <c r="D34" s="9">
        <v>1545.85</v>
      </c>
      <c r="E34" s="48">
        <v>1449.31</v>
      </c>
      <c r="F34" s="4">
        <v>1713.03</v>
      </c>
      <c r="G34" s="9">
        <v>1702.4</v>
      </c>
      <c r="H34" s="5">
        <v>1688.14</v>
      </c>
      <c r="I34" s="11">
        <v>1658.28</v>
      </c>
      <c r="J34" s="9">
        <v>1592.34</v>
      </c>
      <c r="K34" s="5">
        <v>1522.2</v>
      </c>
    </row>
    <row r="35" spans="2:25" x14ac:dyDescent="0.3">
      <c r="B35" s="91" t="s">
        <v>223</v>
      </c>
      <c r="C35" s="4">
        <v>103022.63</v>
      </c>
      <c r="D35" s="9">
        <v>98015.31</v>
      </c>
      <c r="E35" s="48">
        <v>93068.91</v>
      </c>
      <c r="F35" s="4">
        <v>108206.17</v>
      </c>
      <c r="G35" s="9">
        <v>108702.6</v>
      </c>
      <c r="H35" s="5">
        <v>109762.26</v>
      </c>
      <c r="I35" s="11">
        <v>104515.9</v>
      </c>
      <c r="J35" s="9">
        <v>101150.72</v>
      </c>
      <c r="K35" s="5">
        <v>98136.37</v>
      </c>
    </row>
    <row r="36" spans="2:25" hidden="1" x14ac:dyDescent="0.3">
      <c r="B36" s="23" t="s">
        <v>224</v>
      </c>
      <c r="C36" s="4">
        <v>1790.35</v>
      </c>
      <c r="D36" s="9">
        <v>1853.61</v>
      </c>
      <c r="E36" s="48">
        <v>1906.8</v>
      </c>
      <c r="F36" s="4">
        <v>1713.75</v>
      </c>
      <c r="G36" s="9">
        <v>1705.24</v>
      </c>
      <c r="H36" s="5">
        <v>1692.07</v>
      </c>
      <c r="I36" s="11">
        <v>1768.13</v>
      </c>
      <c r="J36" s="9">
        <v>1811.14</v>
      </c>
      <c r="K36" s="5">
        <v>1845.37</v>
      </c>
    </row>
    <row r="37" spans="2:25" x14ac:dyDescent="0.3">
      <c r="B37" s="90" t="s">
        <v>225</v>
      </c>
      <c r="C37" s="4">
        <v>113424.87</v>
      </c>
      <c r="D37" s="9">
        <v>118930.29</v>
      </c>
      <c r="E37" s="48">
        <v>124726.65</v>
      </c>
      <c r="F37" s="4">
        <v>108477.21</v>
      </c>
      <c r="G37" s="9">
        <v>109309.66</v>
      </c>
      <c r="H37" s="5">
        <v>110609.7</v>
      </c>
      <c r="I37" s="11">
        <v>112049.06</v>
      </c>
      <c r="J37" s="9">
        <v>116285.25</v>
      </c>
      <c r="K37" s="5">
        <v>120851.32</v>
      </c>
    </row>
    <row r="38" spans="2:25" x14ac:dyDescent="0.3">
      <c r="B38" s="23" t="s">
        <v>226</v>
      </c>
      <c r="C38" s="4">
        <f>SUM(C34,C36)</f>
        <v>3425.83</v>
      </c>
      <c r="D38" s="9">
        <f t="shared" ref="D38:K38" si="6">SUM(D34,D36)</f>
        <v>3399.46</v>
      </c>
      <c r="E38" s="48">
        <f t="shared" si="6"/>
        <v>3356.1099999999997</v>
      </c>
      <c r="F38" s="4">
        <f t="shared" si="6"/>
        <v>3426.7799999999997</v>
      </c>
      <c r="G38" s="9">
        <f t="shared" si="6"/>
        <v>3407.6400000000003</v>
      </c>
      <c r="H38" s="5">
        <f t="shared" si="6"/>
        <v>3380.21</v>
      </c>
      <c r="I38" s="11">
        <f t="shared" si="6"/>
        <v>3426.41</v>
      </c>
      <c r="J38" s="9">
        <f t="shared" si="6"/>
        <v>3403.48</v>
      </c>
      <c r="K38" s="5">
        <f t="shared" si="6"/>
        <v>3367.5699999999997</v>
      </c>
    </row>
    <row r="39" spans="2:25" x14ac:dyDescent="0.3">
      <c r="B39" s="79" t="s">
        <v>227</v>
      </c>
      <c r="C39" s="74">
        <f>SUM(C35,C37)</f>
        <v>216447.5</v>
      </c>
      <c r="D39" s="50">
        <f>SUM(D35,D37)</f>
        <v>216945.59999999998</v>
      </c>
      <c r="E39" s="114">
        <f t="shared" ref="E39:K39" si="7">SUM(E35,E37)</f>
        <v>217795.56</v>
      </c>
      <c r="F39" s="74">
        <f t="shared" si="7"/>
        <v>216683.38</v>
      </c>
      <c r="G39" s="50">
        <f t="shared" si="7"/>
        <v>218012.26</v>
      </c>
      <c r="H39" s="72">
        <f t="shared" si="7"/>
        <v>220371.96</v>
      </c>
      <c r="I39" s="116">
        <f t="shared" si="7"/>
        <v>216564.96</v>
      </c>
      <c r="J39" s="50">
        <f t="shared" si="7"/>
        <v>217435.97</v>
      </c>
      <c r="K39" s="72">
        <f t="shared" si="7"/>
        <v>218987.69</v>
      </c>
    </row>
    <row r="40" spans="2:25" x14ac:dyDescent="0.3">
      <c r="B40" s="23" t="s">
        <v>268</v>
      </c>
      <c r="C40" s="4">
        <f>C39-$C$39</f>
        <v>0</v>
      </c>
      <c r="D40" s="9">
        <f>D39-$C$39</f>
        <v>498.09999999997672</v>
      </c>
      <c r="E40" s="48">
        <f>E39-$C$39</f>
        <v>1348.0599999999977</v>
      </c>
      <c r="F40" s="4">
        <f>F39-$F$39</f>
        <v>0</v>
      </c>
      <c r="G40" s="9">
        <f t="shared" ref="G40:H40" si="8">G39-$F$39</f>
        <v>1328.8800000000047</v>
      </c>
      <c r="H40" s="5">
        <f t="shared" si="8"/>
        <v>3688.5799999999872</v>
      </c>
      <c r="I40" s="11">
        <f>I39-$I$39</f>
        <v>0</v>
      </c>
      <c r="J40" s="9">
        <f t="shared" ref="J40:K40" si="9">J39-$I$39</f>
        <v>871.01000000000931</v>
      </c>
      <c r="K40" s="5">
        <f t="shared" si="9"/>
        <v>2422.7300000000105</v>
      </c>
    </row>
    <row r="41" spans="2:25" x14ac:dyDescent="0.3">
      <c r="B41" s="79" t="s">
        <v>269</v>
      </c>
      <c r="C41" s="74">
        <f>ROUND((C40/C39)*100,2)</f>
        <v>0</v>
      </c>
      <c r="D41" s="50">
        <f t="shared" ref="D41:K41" si="10">ROUND((D40/D39)*100,2)</f>
        <v>0.23</v>
      </c>
      <c r="E41" s="114">
        <f t="shared" si="10"/>
        <v>0.62</v>
      </c>
      <c r="F41" s="74">
        <f t="shared" si="10"/>
        <v>0</v>
      </c>
      <c r="G41" s="50">
        <f t="shared" si="10"/>
        <v>0.61</v>
      </c>
      <c r="H41" s="72">
        <f t="shared" si="10"/>
        <v>1.67</v>
      </c>
      <c r="I41" s="116">
        <f t="shared" si="10"/>
        <v>0</v>
      </c>
      <c r="J41" s="50">
        <f t="shared" si="10"/>
        <v>0.4</v>
      </c>
      <c r="K41" s="72">
        <f t="shared" si="10"/>
        <v>1.1100000000000001</v>
      </c>
    </row>
    <row r="42" spans="2:25" x14ac:dyDescent="0.3">
      <c r="B42" s="23" t="s">
        <v>274</v>
      </c>
      <c r="C42" s="4">
        <v>0</v>
      </c>
      <c r="D42" s="9">
        <f>D39-C39</f>
        <v>498.09999999997672</v>
      </c>
      <c r="E42" s="48">
        <f t="shared" ref="E42:K42" si="11">E39-D39</f>
        <v>849.96000000002095</v>
      </c>
      <c r="F42" s="4">
        <v>0</v>
      </c>
      <c r="G42" s="9">
        <f t="shared" si="11"/>
        <v>1328.8800000000047</v>
      </c>
      <c r="H42" s="5">
        <f>H39-G39</f>
        <v>2359.6999999999825</v>
      </c>
      <c r="I42" s="11">
        <v>0</v>
      </c>
      <c r="J42" s="9">
        <f>J39-I39</f>
        <v>871.01000000000931</v>
      </c>
      <c r="K42" s="9">
        <f t="shared" si="11"/>
        <v>1551.7200000000012</v>
      </c>
    </row>
    <row r="43" spans="2:25" x14ac:dyDescent="0.3">
      <c r="B43" s="79" t="s">
        <v>275</v>
      </c>
      <c r="C43" s="4">
        <v>0</v>
      </c>
      <c r="D43" s="9">
        <f>ROUND((D42/C39)*100,2)</f>
        <v>0.23</v>
      </c>
      <c r="E43" s="48">
        <f t="shared" ref="E43:K43" si="12">ROUND((E42/D39)*100,2)</f>
        <v>0.39</v>
      </c>
      <c r="F43" s="4">
        <v>0</v>
      </c>
      <c r="G43" s="9">
        <f>ROUND((G42/F39)*100,2)</f>
        <v>0.61</v>
      </c>
      <c r="H43" s="5">
        <f t="shared" si="12"/>
        <v>1.08</v>
      </c>
      <c r="I43" s="11">
        <v>0</v>
      </c>
      <c r="J43" s="9">
        <f t="shared" si="12"/>
        <v>0.4</v>
      </c>
      <c r="K43" s="9">
        <f t="shared" si="12"/>
        <v>0.71</v>
      </c>
    </row>
    <row r="44" spans="2:25" x14ac:dyDescent="0.3">
      <c r="B44" s="23" t="s">
        <v>228</v>
      </c>
      <c r="C44" s="4">
        <v>1.456</v>
      </c>
      <c r="D44" s="9">
        <v>1.53</v>
      </c>
      <c r="E44" s="48">
        <v>1.6120000000000001</v>
      </c>
      <c r="F44" s="4">
        <v>1.3859999999999999</v>
      </c>
      <c r="G44" s="9">
        <v>1.38</v>
      </c>
      <c r="H44" s="5">
        <v>1.367</v>
      </c>
      <c r="I44" s="11">
        <v>1.4350000000000001</v>
      </c>
      <c r="J44" s="9">
        <v>1.4830000000000001</v>
      </c>
      <c r="K44" s="5">
        <v>1.528</v>
      </c>
      <c r="V44" s="70">
        <v>2.9119999999999999</v>
      </c>
      <c r="W44" s="69">
        <v>3.0609999999999999</v>
      </c>
      <c r="X44" s="69">
        <v>3.2229999999999999</v>
      </c>
      <c r="Y44" t="s">
        <v>233</v>
      </c>
    </row>
    <row r="45" spans="2:25" x14ac:dyDescent="0.3">
      <c r="B45" s="23" t="s">
        <v>229</v>
      </c>
      <c r="C45" s="4">
        <v>1.3220000000000001</v>
      </c>
      <c r="D45" s="9">
        <v>1.2609999999999999</v>
      </c>
      <c r="E45" s="48">
        <v>1.2030000000000001</v>
      </c>
      <c r="F45" s="4">
        <v>1.383</v>
      </c>
      <c r="G45" s="9">
        <v>1.3720000000000001</v>
      </c>
      <c r="H45" s="5">
        <v>1.3560000000000001</v>
      </c>
      <c r="I45" s="11">
        <v>1.339</v>
      </c>
      <c r="J45" s="9">
        <v>1.29</v>
      </c>
      <c r="K45" s="5">
        <v>1.2410000000000001</v>
      </c>
      <c r="V45" s="70">
        <v>2.645</v>
      </c>
      <c r="W45" s="69">
        <v>2.5219999999999998</v>
      </c>
      <c r="X45" s="69">
        <v>2.4049999999999998</v>
      </c>
      <c r="Y45" t="s">
        <v>234</v>
      </c>
    </row>
    <row r="46" spans="2:25" x14ac:dyDescent="0.3">
      <c r="B46" s="79" t="s">
        <v>230</v>
      </c>
      <c r="C46" s="74">
        <f>ROUND((C44*C35+C45*C37)/(C35+C37),3)</f>
        <v>1.3859999999999999</v>
      </c>
      <c r="D46" s="50">
        <f t="shared" ref="D46:K46" si="13">ROUND((D44*D35+D45*D37)/(D35+D37),3)</f>
        <v>1.383</v>
      </c>
      <c r="E46" s="114">
        <f t="shared" si="13"/>
        <v>1.3779999999999999</v>
      </c>
      <c r="F46" s="74">
        <f t="shared" si="13"/>
        <v>1.3839999999999999</v>
      </c>
      <c r="G46" s="50">
        <f t="shared" si="13"/>
        <v>1.3759999999999999</v>
      </c>
      <c r="H46" s="72">
        <f t="shared" si="13"/>
        <v>1.361</v>
      </c>
      <c r="I46" s="116">
        <f t="shared" si="13"/>
        <v>1.385</v>
      </c>
      <c r="J46" s="50">
        <f t="shared" si="13"/>
        <v>1.38</v>
      </c>
      <c r="K46" s="72">
        <f t="shared" si="13"/>
        <v>1.37</v>
      </c>
    </row>
    <row r="47" spans="2:25" x14ac:dyDescent="0.3">
      <c r="B47" s="23" t="s">
        <v>213</v>
      </c>
      <c r="C47" s="4">
        <f>C46-$C$46</f>
        <v>0</v>
      </c>
      <c r="D47" s="9">
        <f>D46-$C$46</f>
        <v>-2.9999999999998916E-3</v>
      </c>
      <c r="E47" s="48">
        <f>E46-$C$46</f>
        <v>-8.0000000000000071E-3</v>
      </c>
      <c r="F47" s="4">
        <f>F46-$F$46</f>
        <v>0</v>
      </c>
      <c r="G47" s="9">
        <f t="shared" ref="G47:H47" si="14">G46-$F$46</f>
        <v>-8.0000000000000071E-3</v>
      </c>
      <c r="H47" s="5">
        <f t="shared" si="14"/>
        <v>-2.2999999999999909E-2</v>
      </c>
      <c r="I47" s="11">
        <f>I46-$I$46</f>
        <v>0</v>
      </c>
      <c r="J47" s="9">
        <f t="shared" ref="J47:K47" si="15">J46-$I$46</f>
        <v>-5.0000000000001155E-3</v>
      </c>
      <c r="K47" s="5">
        <f t="shared" si="15"/>
        <v>-1.4999999999999902E-2</v>
      </c>
    </row>
    <row r="48" spans="2:25" ht="15" thickBot="1" x14ac:dyDescent="0.35">
      <c r="B48" s="24" t="s">
        <v>216</v>
      </c>
      <c r="C48" s="75">
        <f>ROUND((C47/C46)*100,2)</f>
        <v>0</v>
      </c>
      <c r="D48" s="76">
        <f t="shared" ref="D48:K48" si="16">ROUND((D47/D46)*100,2)</f>
        <v>-0.22</v>
      </c>
      <c r="E48" s="115">
        <f t="shared" si="16"/>
        <v>-0.57999999999999996</v>
      </c>
      <c r="F48" s="75">
        <f t="shared" si="16"/>
        <v>0</v>
      </c>
      <c r="G48" s="76">
        <f t="shared" si="16"/>
        <v>-0.57999999999999996</v>
      </c>
      <c r="H48" s="77">
        <f t="shared" si="16"/>
        <v>-1.69</v>
      </c>
      <c r="I48" s="117">
        <f t="shared" si="16"/>
        <v>0</v>
      </c>
      <c r="J48" s="76">
        <f t="shared" si="16"/>
        <v>-0.36</v>
      </c>
      <c r="K48" s="77">
        <f t="shared" si="16"/>
        <v>-1.0900000000000001</v>
      </c>
    </row>
  </sheetData>
  <mergeCells count="10">
    <mergeCell ref="C32:E32"/>
    <mergeCell ref="C33:E33"/>
    <mergeCell ref="C31:E31"/>
    <mergeCell ref="C14:E14"/>
    <mergeCell ref="F31:H31"/>
    <mergeCell ref="I31:K31"/>
    <mergeCell ref="F32:H32"/>
    <mergeCell ref="F33:H33"/>
    <mergeCell ref="I32:K32"/>
    <mergeCell ref="I33:K33"/>
  </mergeCells>
  <pageMargins left="0.7" right="0.7" top="0.75" bottom="0.75" header="0.3" footer="0.3"/>
  <ignoredErrors>
    <ignoredError sqref="C30:E30" formula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CA441-28F6-49F2-ADD4-0EE743CC1CA0}">
  <dimension ref="B4:M113"/>
  <sheetViews>
    <sheetView tabSelected="1" workbookViewId="0">
      <selection activeCell="O41" sqref="O41"/>
    </sheetView>
  </sheetViews>
  <sheetFormatPr baseColWidth="10" defaultRowHeight="14.4" x14ac:dyDescent="0.3"/>
  <cols>
    <col min="2" max="2" width="27.109375" customWidth="1"/>
    <col min="3" max="11" width="10.77734375" customWidth="1"/>
  </cols>
  <sheetData>
    <row r="4" spans="2:5" ht="15" thickBot="1" x14ac:dyDescent="0.35"/>
    <row r="5" spans="2:5" ht="18" x14ac:dyDescent="0.35">
      <c r="B5" s="80" t="s">
        <v>181</v>
      </c>
      <c r="C5" s="213" t="s">
        <v>235</v>
      </c>
      <c r="D5" s="213"/>
      <c r="E5" s="214"/>
    </row>
    <row r="6" spans="2:5" x14ac:dyDescent="0.3">
      <c r="B6" s="111" t="s">
        <v>212</v>
      </c>
      <c r="C6" s="112">
        <v>5</v>
      </c>
      <c r="D6" s="112">
        <v>10</v>
      </c>
      <c r="E6" s="113">
        <v>15</v>
      </c>
    </row>
    <row r="7" spans="2:5" x14ac:dyDescent="0.3">
      <c r="B7" s="108" t="s">
        <v>210</v>
      </c>
      <c r="C7" s="109">
        <v>226758.32</v>
      </c>
      <c r="D7" s="109">
        <v>237772.58</v>
      </c>
      <c r="E7" s="110">
        <v>249591.63</v>
      </c>
    </row>
    <row r="8" spans="2:5" x14ac:dyDescent="0.3">
      <c r="B8" s="111" t="s">
        <v>273</v>
      </c>
      <c r="C8" s="112">
        <f>ROUND(C7/1000000,3)</f>
        <v>0.22700000000000001</v>
      </c>
      <c r="D8" s="112">
        <f t="shared" ref="D8:E8" si="0">ROUND(D7/1000000,3)</f>
        <v>0.23799999999999999</v>
      </c>
      <c r="E8" s="113">
        <f t="shared" si="0"/>
        <v>0.25</v>
      </c>
    </row>
    <row r="9" spans="2:5" x14ac:dyDescent="0.3">
      <c r="B9" s="111" t="s">
        <v>268</v>
      </c>
      <c r="C9" s="112">
        <f>C7-$C$7</f>
        <v>0</v>
      </c>
      <c r="D9" s="112">
        <f>D7-$C$7</f>
        <v>11014.25999999998</v>
      </c>
      <c r="E9" s="113">
        <f>E7-$C$7</f>
        <v>22833.309999999998</v>
      </c>
    </row>
    <row r="10" spans="2:5" x14ac:dyDescent="0.3">
      <c r="B10" s="111" t="s">
        <v>269</v>
      </c>
      <c r="C10" s="112">
        <f>ROUND((C9/$C$7)*100,2)</f>
        <v>0</v>
      </c>
      <c r="D10" s="112">
        <f t="shared" ref="D10:E10" si="1">ROUND((D9/$C$7)*100,2)</f>
        <v>4.8600000000000003</v>
      </c>
      <c r="E10" s="113">
        <f t="shared" si="1"/>
        <v>10.07</v>
      </c>
    </row>
    <row r="11" spans="2:5" x14ac:dyDescent="0.3">
      <c r="B11" s="111" t="s">
        <v>270</v>
      </c>
      <c r="C11" s="112">
        <v>0</v>
      </c>
      <c r="D11" s="112">
        <f>D7-C7</f>
        <v>11014.25999999998</v>
      </c>
      <c r="E11" s="113">
        <f>E7-D7</f>
        <v>11819.050000000017</v>
      </c>
    </row>
    <row r="12" spans="2:5" x14ac:dyDescent="0.3">
      <c r="B12" s="111" t="s">
        <v>271</v>
      </c>
      <c r="C12" s="112">
        <v>0</v>
      </c>
      <c r="D12" s="112">
        <f>ROUND((D11/C7)*100,2)</f>
        <v>4.8600000000000003</v>
      </c>
      <c r="E12" s="113">
        <f>ROUND((E11/D7)*100,2)</f>
        <v>4.97</v>
      </c>
    </row>
    <row r="13" spans="2:5" x14ac:dyDescent="0.3">
      <c r="B13" s="74" t="s">
        <v>245</v>
      </c>
      <c r="C13" s="109">
        <v>28125</v>
      </c>
      <c r="D13" s="109">
        <v>31643</v>
      </c>
      <c r="E13" s="110">
        <v>34129</v>
      </c>
    </row>
    <row r="14" spans="2:5" x14ac:dyDescent="0.3">
      <c r="B14" s="111" t="s">
        <v>267</v>
      </c>
      <c r="C14" s="112">
        <f>C13/1000</f>
        <v>28.125</v>
      </c>
      <c r="D14" s="112">
        <f t="shared" ref="D14:E14" si="2">D13/1000</f>
        <v>31.643000000000001</v>
      </c>
      <c r="E14" s="113">
        <f t="shared" si="2"/>
        <v>34.128999999999998</v>
      </c>
    </row>
    <row r="15" spans="2:5" x14ac:dyDescent="0.3">
      <c r="B15" s="111" t="s">
        <v>246</v>
      </c>
      <c r="C15" s="112">
        <f>C13-$C$13</f>
        <v>0</v>
      </c>
      <c r="D15" s="112">
        <f t="shared" ref="D15:E15" si="3">D13-$C$13</f>
        <v>3518</v>
      </c>
      <c r="E15" s="113">
        <f t="shared" si="3"/>
        <v>6004</v>
      </c>
    </row>
    <row r="16" spans="2:5" x14ac:dyDescent="0.3">
      <c r="B16" s="111" t="s">
        <v>216</v>
      </c>
      <c r="C16" s="112">
        <f>ROUND((C15/$C$13)*100,2)</f>
        <v>0</v>
      </c>
      <c r="D16" s="112">
        <f t="shared" ref="D16:E16" si="4">ROUND((D15/$C$13)*100,2)</f>
        <v>12.51</v>
      </c>
      <c r="E16" s="113">
        <f t="shared" si="4"/>
        <v>21.35</v>
      </c>
    </row>
    <row r="17" spans="2:11" x14ac:dyDescent="0.3">
      <c r="B17" s="111" t="s">
        <v>272</v>
      </c>
      <c r="C17" s="112">
        <v>0</v>
      </c>
      <c r="D17" s="112">
        <f>D13-C13</f>
        <v>3518</v>
      </c>
      <c r="E17" s="113">
        <f>E13-D13</f>
        <v>2486</v>
      </c>
    </row>
    <row r="18" spans="2:11" x14ac:dyDescent="0.3">
      <c r="B18" s="111" t="s">
        <v>271</v>
      </c>
      <c r="C18" s="112">
        <v>0</v>
      </c>
      <c r="D18" s="112">
        <f>ROUND((D17/C13)*100,2)</f>
        <v>12.51</v>
      </c>
      <c r="E18" s="113">
        <f>ROUND((E17/D13)*100,2)</f>
        <v>7.86</v>
      </c>
    </row>
    <row r="19" spans="2:11" x14ac:dyDescent="0.3">
      <c r="B19" s="108" t="s">
        <v>247</v>
      </c>
      <c r="C19" s="109">
        <f>ROUND(C7/C13,2)</f>
        <v>8.06</v>
      </c>
      <c r="D19" s="109">
        <f t="shared" ref="D19:E19" si="5">ROUND(D7/D13,2)</f>
        <v>7.51</v>
      </c>
      <c r="E19" s="110">
        <f t="shared" si="5"/>
        <v>7.31</v>
      </c>
    </row>
    <row r="20" spans="2:11" x14ac:dyDescent="0.3">
      <c r="B20" s="111" t="s">
        <v>265</v>
      </c>
      <c r="C20" s="112">
        <v>0.75600000000000001</v>
      </c>
      <c r="D20" s="112">
        <v>0.73499999999999999</v>
      </c>
      <c r="E20" s="113">
        <v>0.75900000000000001</v>
      </c>
    </row>
    <row r="21" spans="2:11" x14ac:dyDescent="0.3">
      <c r="B21" s="111" t="s">
        <v>266</v>
      </c>
      <c r="C21" s="112">
        <f>ROUND((C14*C20),1)</f>
        <v>21.3</v>
      </c>
      <c r="D21" s="112">
        <f t="shared" ref="D21:E21" si="6">ROUND((D14*D20),1)</f>
        <v>23.3</v>
      </c>
      <c r="E21" s="113">
        <f t="shared" si="6"/>
        <v>25.9</v>
      </c>
    </row>
    <row r="22" spans="2:11" ht="15" thickBot="1" x14ac:dyDescent="0.35">
      <c r="B22" s="6" t="s">
        <v>320</v>
      </c>
      <c r="C22" s="10">
        <f>(-0.5*C21)+15</f>
        <v>4.3499999999999996</v>
      </c>
      <c r="D22" s="10">
        <f t="shared" ref="D22:E22" si="7">(-0.5*D21)+15</f>
        <v>3.3499999999999996</v>
      </c>
      <c r="E22" s="7">
        <f t="shared" si="7"/>
        <v>2.0500000000000007</v>
      </c>
    </row>
    <row r="24" spans="2:11" ht="15" thickBot="1" x14ac:dyDescent="0.35"/>
    <row r="25" spans="2:11" ht="18" x14ac:dyDescent="0.35">
      <c r="B25" s="80" t="s">
        <v>143</v>
      </c>
      <c r="C25" s="213" t="s">
        <v>219</v>
      </c>
      <c r="D25" s="213"/>
      <c r="E25" s="213"/>
      <c r="F25" s="213" t="s">
        <v>220</v>
      </c>
      <c r="G25" s="213"/>
      <c r="H25" s="213"/>
      <c r="I25" s="213" t="s">
        <v>221</v>
      </c>
      <c r="J25" s="213"/>
      <c r="K25" s="214"/>
    </row>
    <row r="26" spans="2:11" x14ac:dyDescent="0.3">
      <c r="B26" s="4" t="s">
        <v>212</v>
      </c>
      <c r="C26" s="9">
        <v>5</v>
      </c>
      <c r="D26" s="9">
        <v>10</v>
      </c>
      <c r="E26" s="9">
        <v>15</v>
      </c>
      <c r="F26" s="9">
        <v>5</v>
      </c>
      <c r="G26" s="9">
        <v>10</v>
      </c>
      <c r="H26" s="9">
        <v>15</v>
      </c>
      <c r="I26" s="9">
        <v>5</v>
      </c>
      <c r="J26" s="9">
        <v>10</v>
      </c>
      <c r="K26" s="5">
        <v>15</v>
      </c>
    </row>
    <row r="27" spans="2:11" x14ac:dyDescent="0.3">
      <c r="B27" s="74" t="s">
        <v>210</v>
      </c>
      <c r="C27" s="50">
        <v>216447.5</v>
      </c>
      <c r="D27" s="50">
        <v>216945.59999999998</v>
      </c>
      <c r="E27" s="50">
        <v>217795.56</v>
      </c>
      <c r="F27" s="50">
        <v>216683.38</v>
      </c>
      <c r="G27" s="50">
        <v>218012.26</v>
      </c>
      <c r="H27" s="50">
        <v>220371.96</v>
      </c>
      <c r="I27" s="50">
        <v>216564.96</v>
      </c>
      <c r="J27" s="50">
        <v>217435.97</v>
      </c>
      <c r="K27" s="72">
        <v>218987.69</v>
      </c>
    </row>
    <row r="28" spans="2:11" x14ac:dyDescent="0.3">
      <c r="B28" s="111" t="s">
        <v>273</v>
      </c>
      <c r="C28" s="9">
        <f>ROUND(C27/1000000,4)</f>
        <v>0.21640000000000001</v>
      </c>
      <c r="D28" s="9">
        <f t="shared" ref="D28:K28" si="8">ROUND(D27/1000000,4)</f>
        <v>0.21690000000000001</v>
      </c>
      <c r="E28" s="9">
        <f t="shared" si="8"/>
        <v>0.21779999999999999</v>
      </c>
      <c r="F28" s="9">
        <f t="shared" si="8"/>
        <v>0.2167</v>
      </c>
      <c r="G28" s="9">
        <f t="shared" si="8"/>
        <v>0.218</v>
      </c>
      <c r="H28" s="9">
        <f t="shared" si="8"/>
        <v>0.22040000000000001</v>
      </c>
      <c r="I28" s="9">
        <f t="shared" si="8"/>
        <v>0.21659999999999999</v>
      </c>
      <c r="J28" s="9">
        <f t="shared" si="8"/>
        <v>0.21740000000000001</v>
      </c>
      <c r="K28" s="5">
        <f t="shared" si="8"/>
        <v>0.219</v>
      </c>
    </row>
    <row r="29" spans="2:11" x14ac:dyDescent="0.3">
      <c r="B29" s="4" t="s">
        <v>213</v>
      </c>
      <c r="C29" s="9">
        <f>C27-$C$27</f>
        <v>0</v>
      </c>
      <c r="D29" s="9">
        <f t="shared" ref="D29:E29" si="9">D27-$C$27</f>
        <v>498.09999999997672</v>
      </c>
      <c r="E29" s="9">
        <f t="shared" si="9"/>
        <v>1348.0599999999977</v>
      </c>
      <c r="F29" s="9">
        <f>F27-$F$27</f>
        <v>0</v>
      </c>
      <c r="G29" s="9">
        <f t="shared" ref="G29:H29" si="10">G27-$F$27</f>
        <v>1328.8800000000047</v>
      </c>
      <c r="H29" s="9">
        <f t="shared" si="10"/>
        <v>3688.5799999999872</v>
      </c>
      <c r="I29" s="9">
        <f>I27-$I$27</f>
        <v>0</v>
      </c>
      <c r="J29" s="9">
        <f t="shared" ref="J29:K29" si="11">J27-$I$27</f>
        <v>871.01000000000931</v>
      </c>
      <c r="K29" s="5">
        <f t="shared" si="11"/>
        <v>2422.7300000000105</v>
      </c>
    </row>
    <row r="30" spans="2:11" x14ac:dyDescent="0.3">
      <c r="B30" s="4" t="s">
        <v>216</v>
      </c>
      <c r="C30" s="9">
        <f>ROUND((C29/$C$27)*100,2)</f>
        <v>0</v>
      </c>
      <c r="D30" s="9">
        <f t="shared" ref="D30" si="12">ROUND((D29/$C$27)*100,2)</f>
        <v>0.23</v>
      </c>
      <c r="E30" s="9">
        <f>ROUND((E29/$C$27)*100,2)</f>
        <v>0.62</v>
      </c>
      <c r="F30" s="9">
        <f>ROUND((F29/$F$27)*100,2)</f>
        <v>0</v>
      </c>
      <c r="G30" s="9">
        <f t="shared" ref="G30" si="13">ROUND((G29/$F$27)*100,2)</f>
        <v>0.61</v>
      </c>
      <c r="H30" s="9">
        <f>ROUND((H29/$F$27)*100,2)</f>
        <v>1.7</v>
      </c>
      <c r="I30" s="9">
        <f>ROUND((I29/$I$27)*100,2)</f>
        <v>0</v>
      </c>
      <c r="J30" s="9">
        <f t="shared" ref="J30" si="14">ROUND((J29/$I$27)*100,2)</f>
        <v>0.4</v>
      </c>
      <c r="K30" s="5">
        <f>ROUND((K29/$I$27)*100,2)</f>
        <v>1.1200000000000001</v>
      </c>
    </row>
    <row r="31" spans="2:11" x14ac:dyDescent="0.3">
      <c r="B31" s="111" t="s">
        <v>270</v>
      </c>
      <c r="C31" s="9">
        <v>0</v>
      </c>
      <c r="D31" s="9">
        <f>D27-C27</f>
        <v>498.09999999997672</v>
      </c>
      <c r="E31" s="9">
        <f>E27-D27</f>
        <v>849.96000000002095</v>
      </c>
      <c r="F31" s="9">
        <v>0</v>
      </c>
      <c r="G31" s="9">
        <f>G27-F27</f>
        <v>1328.8800000000047</v>
      </c>
      <c r="H31" s="9">
        <f>H27-G27</f>
        <v>2359.6999999999825</v>
      </c>
      <c r="I31" s="9">
        <v>0</v>
      </c>
      <c r="J31" s="9">
        <f>J27-I27</f>
        <v>871.01000000000931</v>
      </c>
      <c r="K31" s="5">
        <f>K27-J27</f>
        <v>1551.7200000000012</v>
      </c>
    </row>
    <row r="32" spans="2:11" x14ac:dyDescent="0.3">
      <c r="B32" s="111" t="s">
        <v>271</v>
      </c>
      <c r="C32" s="9">
        <v>0</v>
      </c>
      <c r="D32" s="9">
        <f>ROUND((D31/C27)*100,2)</f>
        <v>0.23</v>
      </c>
      <c r="E32" s="9">
        <f>ROUND((E31/D27)*100,2)</f>
        <v>0.39</v>
      </c>
      <c r="F32" s="9">
        <v>0</v>
      </c>
      <c r="G32" s="9">
        <f>ROUND((G31/F27)*100,2)</f>
        <v>0.61</v>
      </c>
      <c r="H32" s="9">
        <f>ROUND((H31/G27)*100,2)</f>
        <v>1.08</v>
      </c>
      <c r="I32" s="9">
        <v>0</v>
      </c>
      <c r="J32" s="9">
        <f>ROUND((J31/I27)*100,2)</f>
        <v>0.4</v>
      </c>
      <c r="K32" s="5">
        <f>ROUND((K31/J27)*100,2)</f>
        <v>0.71</v>
      </c>
    </row>
    <row r="33" spans="2:13" x14ac:dyDescent="0.3">
      <c r="B33" s="74" t="s">
        <v>245</v>
      </c>
      <c r="C33" s="50">
        <v>22132</v>
      </c>
      <c r="D33" s="50">
        <v>22111</v>
      </c>
      <c r="E33" s="50">
        <v>22600</v>
      </c>
      <c r="F33" s="50">
        <v>22132</v>
      </c>
      <c r="G33" s="50">
        <v>22111</v>
      </c>
      <c r="H33" s="50">
        <v>22600</v>
      </c>
      <c r="I33" s="50">
        <v>21209</v>
      </c>
      <c r="J33" s="50">
        <v>22022</v>
      </c>
      <c r="K33" s="72">
        <v>21815</v>
      </c>
      <c r="M33" t="s">
        <v>264</v>
      </c>
    </row>
    <row r="34" spans="2:13" x14ac:dyDescent="0.3">
      <c r="B34" s="4" t="s">
        <v>267</v>
      </c>
      <c r="C34" s="9">
        <f>C33/1000</f>
        <v>22.132000000000001</v>
      </c>
      <c r="D34" s="9">
        <f t="shared" ref="D34:K34" si="15">D33/1000</f>
        <v>22.111000000000001</v>
      </c>
      <c r="E34" s="9">
        <f t="shared" si="15"/>
        <v>22.6</v>
      </c>
      <c r="F34" s="9">
        <f t="shared" si="15"/>
        <v>22.132000000000001</v>
      </c>
      <c r="G34" s="9">
        <f t="shared" si="15"/>
        <v>22.111000000000001</v>
      </c>
      <c r="H34" s="9">
        <f t="shared" si="15"/>
        <v>22.6</v>
      </c>
      <c r="I34" s="9">
        <f t="shared" si="15"/>
        <v>21.209</v>
      </c>
      <c r="J34" s="9">
        <f t="shared" si="15"/>
        <v>22.021999999999998</v>
      </c>
      <c r="K34" s="5">
        <f t="shared" si="15"/>
        <v>21.815000000000001</v>
      </c>
    </row>
    <row r="35" spans="2:13" x14ac:dyDescent="0.3">
      <c r="B35" s="4" t="s">
        <v>246</v>
      </c>
      <c r="C35" s="9">
        <f>C33-$C$33</f>
        <v>0</v>
      </c>
      <c r="D35" s="9">
        <f>D33-$C$33</f>
        <v>-21</v>
      </c>
      <c r="E35" s="9">
        <f>E33-$C$33</f>
        <v>468</v>
      </c>
      <c r="F35" s="9">
        <f>F33-$F$33</f>
        <v>0</v>
      </c>
      <c r="G35" s="9">
        <f>G33-$F$33</f>
        <v>-21</v>
      </c>
      <c r="H35" s="9">
        <f>H33-$F$33</f>
        <v>468</v>
      </c>
      <c r="I35" s="9">
        <f>I33-$I$33</f>
        <v>0</v>
      </c>
      <c r="J35" s="9">
        <f>J33-$I$33</f>
        <v>813</v>
      </c>
      <c r="K35" s="5">
        <f>K33-$I$33</f>
        <v>606</v>
      </c>
    </row>
    <row r="36" spans="2:13" x14ac:dyDescent="0.3">
      <c r="B36" s="4" t="s">
        <v>216</v>
      </c>
      <c r="C36" s="9">
        <f>ROUND((C35/$C$33)*100,2)</f>
        <v>0</v>
      </c>
      <c r="D36" s="9">
        <f t="shared" ref="D36" si="16">ROUND((D35/$C$33)*100,2)</f>
        <v>-0.09</v>
      </c>
      <c r="E36" s="9">
        <f>ROUND((E35/$C$33)*100,2)</f>
        <v>2.11</v>
      </c>
      <c r="F36" s="9">
        <f>ROUND((F35/$F$33)*100,2)</f>
        <v>0</v>
      </c>
      <c r="G36" s="9">
        <f>ROUND((G35/$F$33)*100,2)</f>
        <v>-0.09</v>
      </c>
      <c r="H36" s="9">
        <f>ROUND((H35/$F$33)*100,2)</f>
        <v>2.11</v>
      </c>
      <c r="I36" s="9">
        <f>ROUND((I35/$I$33)*100,2)</f>
        <v>0</v>
      </c>
      <c r="J36" s="9">
        <f>ROUND((J35/$I$33)*100,2)</f>
        <v>3.83</v>
      </c>
      <c r="K36" s="5">
        <f>ROUND((K35/$I$33)*100,2)</f>
        <v>2.86</v>
      </c>
    </row>
    <row r="37" spans="2:13" x14ac:dyDescent="0.3">
      <c r="B37" s="111" t="s">
        <v>272</v>
      </c>
      <c r="C37" s="9">
        <v>0</v>
      </c>
      <c r="D37" s="9">
        <f>D33-C33</f>
        <v>-21</v>
      </c>
      <c r="E37" s="9">
        <f>E33-D33</f>
        <v>489</v>
      </c>
      <c r="F37" s="9">
        <v>0</v>
      </c>
      <c r="G37" s="9">
        <f>G33-F33</f>
        <v>-21</v>
      </c>
      <c r="H37" s="9">
        <f>H33-G33</f>
        <v>489</v>
      </c>
      <c r="I37" s="9">
        <v>0</v>
      </c>
      <c r="J37" s="9">
        <f>J33-I33</f>
        <v>813</v>
      </c>
      <c r="K37" s="5">
        <f>K33-J33</f>
        <v>-207</v>
      </c>
    </row>
    <row r="38" spans="2:13" x14ac:dyDescent="0.3">
      <c r="B38" s="111" t="s">
        <v>271</v>
      </c>
      <c r="C38" s="9">
        <v>0</v>
      </c>
      <c r="D38" s="9">
        <f>ROUND((D37/C33)*100,2)</f>
        <v>-0.09</v>
      </c>
      <c r="E38" s="9">
        <f>ROUND((E37/D33)*100,2)</f>
        <v>2.21</v>
      </c>
      <c r="F38" s="9">
        <v>0</v>
      </c>
      <c r="G38" s="9">
        <f>ROUND((G37/F33)*100,2)</f>
        <v>-0.09</v>
      </c>
      <c r="H38" s="9">
        <f>ROUND((H37/G33)*100,2)</f>
        <v>2.21</v>
      </c>
      <c r="I38" s="9">
        <v>0</v>
      </c>
      <c r="J38" s="9">
        <f>ROUND((J37/I33)*100,2)</f>
        <v>3.83</v>
      </c>
      <c r="K38" s="5">
        <f>ROUND((K37/J33)*100,2)</f>
        <v>-0.94</v>
      </c>
    </row>
    <row r="39" spans="2:13" x14ac:dyDescent="0.3">
      <c r="B39" s="74" t="s">
        <v>247</v>
      </c>
      <c r="C39" s="50">
        <f t="shared" ref="C39:K39" si="17">ROUND(C27/C33,2)</f>
        <v>9.7799999999999994</v>
      </c>
      <c r="D39" s="50">
        <f t="shared" si="17"/>
        <v>9.81</v>
      </c>
      <c r="E39" s="50">
        <f t="shared" si="17"/>
        <v>9.64</v>
      </c>
      <c r="F39" s="50">
        <f t="shared" si="17"/>
        <v>9.7899999999999991</v>
      </c>
      <c r="G39" s="50">
        <f t="shared" si="17"/>
        <v>9.86</v>
      </c>
      <c r="H39" s="50">
        <f t="shared" si="17"/>
        <v>9.75</v>
      </c>
      <c r="I39" s="50">
        <f t="shared" si="17"/>
        <v>10.210000000000001</v>
      </c>
      <c r="J39" s="50">
        <f t="shared" si="17"/>
        <v>9.8699999999999992</v>
      </c>
      <c r="K39" s="72">
        <f t="shared" si="17"/>
        <v>10.039999999999999</v>
      </c>
    </row>
    <row r="40" spans="2:13" x14ac:dyDescent="0.3">
      <c r="B40" s="4" t="s">
        <v>265</v>
      </c>
      <c r="C40" s="9">
        <v>0.73</v>
      </c>
      <c r="D40" s="9">
        <v>0.72499999999999998</v>
      </c>
      <c r="E40" s="9">
        <v>0.73399999999999999</v>
      </c>
      <c r="F40" s="9">
        <v>0.73</v>
      </c>
      <c r="G40" s="9">
        <v>0.72499999999999998</v>
      </c>
      <c r="H40" s="9">
        <v>0.73399999999999999</v>
      </c>
      <c r="I40" s="9">
        <v>0.77</v>
      </c>
      <c r="J40" s="9">
        <v>0.72</v>
      </c>
      <c r="K40" s="5">
        <v>0.74</v>
      </c>
    </row>
    <row r="41" spans="2:13" x14ac:dyDescent="0.3">
      <c r="B41" s="4" t="s">
        <v>266</v>
      </c>
      <c r="C41" s="9">
        <f>ROUND((C34*C40),1)</f>
        <v>16.2</v>
      </c>
      <c r="D41" s="9">
        <f t="shared" ref="D41:K41" si="18">ROUND((D34*D40),1)</f>
        <v>16</v>
      </c>
      <c r="E41" s="9">
        <f t="shared" si="18"/>
        <v>16.600000000000001</v>
      </c>
      <c r="F41" s="9">
        <f t="shared" si="18"/>
        <v>16.2</v>
      </c>
      <c r="G41" s="9">
        <f t="shared" si="18"/>
        <v>16</v>
      </c>
      <c r="H41" s="9">
        <f t="shared" si="18"/>
        <v>16.600000000000001</v>
      </c>
      <c r="I41" s="9">
        <f t="shared" si="18"/>
        <v>16.3</v>
      </c>
      <c r="J41" s="9">
        <f t="shared" si="18"/>
        <v>15.9</v>
      </c>
      <c r="K41" s="5">
        <f t="shared" si="18"/>
        <v>16.100000000000001</v>
      </c>
    </row>
    <row r="42" spans="2:13" ht="15" thickBot="1" x14ac:dyDescent="0.35">
      <c r="B42" s="6" t="s">
        <v>320</v>
      </c>
      <c r="C42" s="10">
        <f>(-0.5*C41)+15</f>
        <v>6.9</v>
      </c>
      <c r="D42" s="10">
        <f t="shared" ref="D42:K42" si="19">(-0.5*D41)+15</f>
        <v>7</v>
      </c>
      <c r="E42" s="10">
        <f t="shared" si="19"/>
        <v>6.6999999999999993</v>
      </c>
      <c r="F42" s="10">
        <f t="shared" si="19"/>
        <v>6.9</v>
      </c>
      <c r="G42" s="10">
        <f t="shared" si="19"/>
        <v>7</v>
      </c>
      <c r="H42" s="10">
        <f t="shared" si="19"/>
        <v>6.6999999999999993</v>
      </c>
      <c r="I42" s="10">
        <f t="shared" si="19"/>
        <v>6.85</v>
      </c>
      <c r="J42" s="10">
        <f t="shared" si="19"/>
        <v>7.05</v>
      </c>
      <c r="K42" s="7">
        <f t="shared" si="19"/>
        <v>6.9499999999999993</v>
      </c>
    </row>
    <row r="97" spans="2:6" x14ac:dyDescent="0.3">
      <c r="B97" t="s">
        <v>278</v>
      </c>
    </row>
    <row r="98" spans="2:6" ht="15" thickBot="1" x14ac:dyDescent="0.35">
      <c r="E98" s="218"/>
      <c r="F98" s="218"/>
    </row>
    <row r="99" spans="2:6" ht="28.2" customHeight="1" thickBot="1" x14ac:dyDescent="0.35">
      <c r="C99" s="215" t="s">
        <v>279</v>
      </c>
      <c r="D99" s="216"/>
      <c r="E99" s="217" t="s">
        <v>283</v>
      </c>
      <c r="F99" s="216"/>
    </row>
    <row r="100" spans="2:6" ht="18" x14ac:dyDescent="0.35">
      <c r="B100" s="121" t="s">
        <v>164</v>
      </c>
      <c r="C100" s="119" t="s">
        <v>276</v>
      </c>
      <c r="D100" s="107" t="s">
        <v>277</v>
      </c>
      <c r="E100" s="119" t="s">
        <v>276</v>
      </c>
      <c r="F100" s="107" t="s">
        <v>277</v>
      </c>
    </row>
    <row r="101" spans="2:6" x14ac:dyDescent="0.3">
      <c r="B101" s="122" t="s">
        <v>280</v>
      </c>
      <c r="C101" s="120" t="s">
        <v>281</v>
      </c>
      <c r="D101" s="118" t="s">
        <v>220</v>
      </c>
      <c r="E101" s="120" t="s">
        <v>281</v>
      </c>
      <c r="F101" s="118" t="s">
        <v>282</v>
      </c>
    </row>
    <row r="102" spans="2:6" x14ac:dyDescent="0.3">
      <c r="B102" s="122" t="s">
        <v>212</v>
      </c>
      <c r="C102" s="4">
        <v>15</v>
      </c>
      <c r="D102" s="5">
        <v>15</v>
      </c>
      <c r="E102" s="4">
        <v>5</v>
      </c>
      <c r="F102" s="5">
        <v>5</v>
      </c>
    </row>
    <row r="103" spans="2:6" x14ac:dyDescent="0.3">
      <c r="B103" s="123" t="s">
        <v>210</v>
      </c>
      <c r="C103" s="4">
        <v>249591.63</v>
      </c>
      <c r="D103" s="5">
        <v>220371.96</v>
      </c>
      <c r="E103" s="4">
        <v>226758.32</v>
      </c>
      <c r="F103" s="5">
        <v>216564.96</v>
      </c>
    </row>
    <row r="104" spans="2:6" x14ac:dyDescent="0.3">
      <c r="B104" s="124" t="s">
        <v>273</v>
      </c>
      <c r="C104" s="4">
        <v>0.25</v>
      </c>
      <c r="D104" s="5">
        <v>0.22040000000000001</v>
      </c>
      <c r="E104" s="4">
        <v>0.22700000000000001</v>
      </c>
      <c r="F104" s="5">
        <v>0.21659999999999999</v>
      </c>
    </row>
    <row r="105" spans="2:6" x14ac:dyDescent="0.3">
      <c r="B105" s="122" t="s">
        <v>213</v>
      </c>
      <c r="C105" s="4">
        <f>C103-D103</f>
        <v>29219.670000000013</v>
      </c>
      <c r="D105" s="5">
        <v>0</v>
      </c>
      <c r="E105" s="4">
        <f>E103-F103</f>
        <v>10193.360000000015</v>
      </c>
      <c r="F105" s="5">
        <v>0</v>
      </c>
    </row>
    <row r="106" spans="2:6" x14ac:dyDescent="0.3">
      <c r="B106" s="122" t="s">
        <v>216</v>
      </c>
      <c r="C106" s="4">
        <f>ROUND((C105/D103)*100,2)</f>
        <v>13.26</v>
      </c>
      <c r="D106" s="5">
        <v>0</v>
      </c>
      <c r="E106" s="4">
        <f>ROUND((E105/F103)*100,2)</f>
        <v>4.71</v>
      </c>
      <c r="F106" s="5">
        <v>0</v>
      </c>
    </row>
    <row r="107" spans="2:6" x14ac:dyDescent="0.3">
      <c r="B107" s="123" t="s">
        <v>245</v>
      </c>
      <c r="C107" s="4">
        <v>34129</v>
      </c>
      <c r="D107" s="5">
        <v>22600</v>
      </c>
      <c r="E107" s="4">
        <v>28125</v>
      </c>
      <c r="F107" s="5">
        <v>21209</v>
      </c>
    </row>
    <row r="108" spans="2:6" x14ac:dyDescent="0.3">
      <c r="B108" s="122" t="s">
        <v>267</v>
      </c>
      <c r="C108" s="4">
        <v>34.128999999999998</v>
      </c>
      <c r="D108" s="5">
        <v>22.6</v>
      </c>
      <c r="E108" s="4">
        <v>28.125</v>
      </c>
      <c r="F108" s="5">
        <v>21.209</v>
      </c>
    </row>
    <row r="109" spans="2:6" x14ac:dyDescent="0.3">
      <c r="B109" s="122" t="s">
        <v>246</v>
      </c>
      <c r="C109" s="4">
        <f>C107-D107</f>
        <v>11529</v>
      </c>
      <c r="D109" s="5">
        <v>0</v>
      </c>
      <c r="E109" s="4">
        <f>E107-F107</f>
        <v>6916</v>
      </c>
      <c r="F109" s="5">
        <v>0</v>
      </c>
    </row>
    <row r="110" spans="2:6" x14ac:dyDescent="0.3">
      <c r="B110" s="122" t="s">
        <v>216</v>
      </c>
      <c r="C110" s="4">
        <f>ROUND((C109/D107)*100,2)</f>
        <v>51.01</v>
      </c>
      <c r="D110" s="5">
        <v>0</v>
      </c>
      <c r="E110" s="4">
        <f>ROUND((E109/F107)*100,2)</f>
        <v>32.61</v>
      </c>
      <c r="F110" s="5">
        <v>0</v>
      </c>
    </row>
    <row r="111" spans="2:6" x14ac:dyDescent="0.3">
      <c r="B111" s="123" t="s">
        <v>247</v>
      </c>
      <c r="C111" s="4">
        <v>7.31</v>
      </c>
      <c r="D111" s="5">
        <v>9.75</v>
      </c>
      <c r="E111" s="4">
        <v>8.06</v>
      </c>
      <c r="F111" s="5">
        <v>10.210000000000001</v>
      </c>
    </row>
    <row r="112" spans="2:6" x14ac:dyDescent="0.3">
      <c r="B112" s="122" t="s">
        <v>265</v>
      </c>
      <c r="C112" s="4">
        <v>0.75900000000000001</v>
      </c>
      <c r="D112" s="5">
        <v>0.73399999999999999</v>
      </c>
      <c r="E112" s="4">
        <v>0.75600000000000001</v>
      </c>
      <c r="F112" s="5">
        <v>0.77</v>
      </c>
    </row>
    <row r="113" spans="2:6" ht="15" thickBot="1" x14ac:dyDescent="0.35">
      <c r="B113" s="125" t="s">
        <v>266</v>
      </c>
      <c r="C113" s="6">
        <v>25.9</v>
      </c>
      <c r="D113" s="7">
        <v>16.600000000000001</v>
      </c>
      <c r="E113" s="6">
        <v>21.3</v>
      </c>
      <c r="F113" s="7">
        <v>16.3</v>
      </c>
    </row>
  </sheetData>
  <mergeCells count="7">
    <mergeCell ref="C5:E5"/>
    <mergeCell ref="C25:E25"/>
    <mergeCell ref="F25:H25"/>
    <mergeCell ref="I25:K25"/>
    <mergeCell ref="C99:D99"/>
    <mergeCell ref="E99:F99"/>
    <mergeCell ref="E98:F98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1D62D568ED00C4E869A06F5CEA61109" ma:contentTypeVersion="5" ma:contentTypeDescription="Crear nuevo documento." ma:contentTypeScope="" ma:versionID="011e43af2ca7f01a8138427562160df6">
  <xsd:schema xmlns:xsd="http://www.w3.org/2001/XMLSchema" xmlns:xs="http://www.w3.org/2001/XMLSchema" xmlns:p="http://schemas.microsoft.com/office/2006/metadata/properties" xmlns:ns3="f93d4d93-359f-4324-8ac9-2f9e9ea31aac" targetNamespace="http://schemas.microsoft.com/office/2006/metadata/properties" ma:root="true" ma:fieldsID="52a444dbb782bf6bd40de4937e39efc5" ns3:_="">
    <xsd:import namespace="f93d4d93-359f-4324-8ac9-2f9e9ea31aa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3d4d93-359f-4324-8ac9-2f9e9ea31a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  s t a n d a l o n e = " n o " ? > < D a t a M a s h u p   x m l n s = " h t t p : / / s c h e m a s . m i c r o s o f t . c o m / D a t a M a s h u p " > A A A A A N o I A A B Q S w M E F A A G A A g A A A A h A C r d q k D S A A A A N w E A A B M A C A J b Q 2 9 u d G V u d F 9 U e X B l c 1 0 u e G 1 s I K I E A i i g A A I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A G y P v U 7 E M B C E e y T e w d r + s o E C I Z T k C n 5 K u O J 4 g J W z y V n Y a 8 t e U O 7 t c S 5 U Q L k / M 9 9 M t 1 + C N 1 + c i 4 v S w 0 3 T g m G x c X Q y 9 / B + f N n d g y l K M p K P w j 2 c u c B + u L 7 q j u f E x V S 1 l B 5 O q u k B s d g T B y p N T C z 1 M s U c S O u Y Z 0 x k P 2 h m v G 3 b O 7 R R l E V 3 u n r A 0 D 3 x R J 9 e z f N S 1 1 u S A O Z x + 1 p B P S g v i s m T E 8 B / B Z X 3 S 0 I p e W d J a z N c r 1 X 3 V p t m N 7 I 5 U N Z X C t U Y K 2 Z y M x 6 2 g M 1 f n w v 6 x w A v t Y d v A A A A / / 8 D A F B L A w Q U A A I A C A A A A C E A b E J F i a 0 A A A D 3 A A A A E g A A A E N v b m Z p Z y 9 Q Y W N r Y W d l L n h t b H q / e 7 + N f U V u j k J Z a l F x Z n 6 e r Z K h n o G S Q n F J Y l 5 K Y k 5 + X q q t U l 6 + k r 0 d L 5 d N Q G J y d m J 6 q g J Q d V 6 x V U V x i q 1 S R k l J g Z W + f n l 5 u V 6 5 s V 5 + U b q + k Y G B o X 6 E r 0 9 w c k Z q b q I S X H E m Y c W 6 m X k g a 5 N T l e x s w i C u s T P S M z Q y 1 z M y N 9 c z s N G H C d r 4 Z u Y h F B g B H Q y S R R K 0 c S 7 N K S k t S r V L L d Z 1 D b b R h 3 F t 9 K F + s A M A A A D / / w M A U E s D B B Q A A g A I A A A A I Q B Y 1 T X U 6 Q M A A K c a A A A T A A A A R m 9 y b X V s Y X M v U 2 V j d G l v b j E u b e x Y 3 W / T O h R / n 8 T / Y I W X V I o i n K T d B u r D W D s 0 a W x i 6 7 1 X g i L k J W a z c O J g O 4 U J 9 X / H T X a p k / a k X c t H h b a X 7 p z j n s + f j 8 + p o r F m I k N X 1 S d + s b e n b o m k C Z o Q L i R V M W c p 0 Y K L G x Y L 9 c F w O U k E Z 0 n M i o Q k q I 8 4 1 U / 2 k P m 7 k O y G Z o Z z r C b + Q M R F S j P t n j B O / W O R a U M o 1 z l + P v 5 H U a n G r y 7 O 3 x 6 d X Y w H V H 3 S I h + P T l 6 h o d K y i H U h i R o P j F W F j o a v h 6 P x e r 7 4 s Z o 4 H e / d g J p z T F P Z d z z H Q 8 e C F 2 m m + j j y 0 D C L R c K y m z 4 O u o G H 3 h R C 0 y t 9 x 2 l / / q 9 / L j L 6 v u N V Q T 1 1 R i w X K C b p N T P G H B P e i F y b U y N J M v V R y L T S P 7 r L q X K r F H j f v j k V F x v 7 2 k i Q p l / 1 1 E P / 8 w O A H w L 8 C O B 3 A X 4 P 4 O 8 D / A O A f w j w 8 T N I A E W M o Z A x F D O u B z 3 t P N l j 2 f K i z F H 7 1 J k w A z Q x g y 9 H h K Z U O 7 8 J o 0 2 7 v v 6 q G 3 B 8 b s E x 2 F U 0 T u f G B m z C E i Z R X B 4 j K B c S J V U 4 x r q c m 7 / K O d O V M r f p o 4 c s M + V B k 4 v q G y N j 7 + X d j w S 5 5 X 2 1 Y j d F 6 l h u + t h S 5 g c 2 E d p E Z B N d m + j Z x L 5 N H N j E o U 2 U W J 9 T N R 9 w z Q l c 8 8 L g d w r U D a 8 o 3 O r M z 4 t a Z W V p W c s U n W a 6 F / k z v T V R C I s i W N S F R T 1 Y t A + L D m D R I S w q S w L J c I u s J S F g H y o r u d k F w W v d E L y A o R W 3 B K 2 4 J a H f U O k 3 Y G q q D 0 E z 2 B a a u I 7 N s A W e 9 4 6 B w h B K e 3 W G K P S 5 m B k l a u 7 0 J U 3 F h N 4 3 W X c h O K 8 1 T e v e 3 3 B l k h Y 9 b G S l g U T L k n m M z P d U k V P J Z l P P k i C v P r H c X f D J 6 6 0 N z A A C J m z c z s z 2 E G 2 k v g H Q F n x G 2 + I z q F e i D Z 5 t 6 H w A O P G a 6 I x q 6 F z M E J S S 7 s P R 2 L i k z d f A s j S U 0 s K B W L h p l + K L + o / p 2 / L c Q k h d p 4 l r M 3 x d c 2 I G H 1 S W J G s A m 3 K z i M x 0 u k t M e 4 i S + B Z l Q q M z p r R / q o Z p r u / c k q j c e U 1 0 f G t G q l N N U + V e 0 l j I x D 9 h l C f / E l 6 Y Z H w o c W h U Z Q X n 0 0 6 n 6 R / h B r / L W 8 t R J d L 0 3 r + W g L z I w 1 5 U m 1 g h 9 f D s K k V e U G n o c s B E F z n N z M B J / s g 8 C / j y F 8 y 4 G 7 b b W r e t d L D s I 6 y j g u c Z U f q 8 v c 3 i r R G 5 z A 8 v K A G 5 7 W Q P e f S j U 2 3 7 N N T a X u 1 Z w P b r j P 3 f M 1 z D z w P 8 O D S f B l s S / e y J B s / f j L b U 1 b K 1 6 d C 6 Z K Z 5 X O 1 + 9 f z 8 u N v t 6 G 4 X r L X b B b s y N 4 e 7 N D c v H z U 3 H p z D 9 Q f n F U G G a / e + n V r a t 1 6 K w g c v 7 e B N e 8 B i F G y 0 G G 2 + t m + w K A X t i 9 J j Q 9 6 0 I S / + A A L + v N 9 1 X n w H A A D / / w M A U E s B A i 0 A F A A G A A g A A A A h A C r d q k D S A A A A N w E A A B M A A A A A A A A A A A A A A A A A A A A A A F t D b 2 5 0 Z W 5 0 X 1 R 5 c G V z X S 5 4 b W x Q S w E C L Q A U A A I A C A A A A C E A b E J F i a 0 A A A D 3 A A A A E g A A A A A A A A A A A A A A A A A L A w A A Q 2 9 u Z m l n L 1 B h Y 2 t h Z 2 U u e G 1 s U E s B A i 0 A F A A C A A g A A A A h A F j V N d T p A w A A p x o A A B M A A A A A A A A A A A A A A A A A 6 A M A A E Z v c m 1 1 b G F z L 1 N l Y 3 R p b 2 4 x L m 1 Q S w U G A A A A A A M A A w D C A A A A A g g A A A A A E Q E A A O + 7 v z w / e G 1 s I H Z l c n N p b 2 4 9 I j E u M C I g c 3 R h b m R h b G 9 u Z T 0 i b m 8 i P z 4 N C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h F J A A A A A A A A 7 0 g A A O + 7 v z w / e G 1 s I H Z l c n N p b 2 4 9 I j E u M C I g c 3 R h b m R h b G 9 u Z T 0 i b m 8 i P z 4 N C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Z v c m 1 1 b G E 8 L 0 l 0 Z W 1 U e X B l P j x J d G V t U G F 0 a D 5 T Z W N 0 a W 9 u M S 9 2 Y W x v c m V z Y 2 x p b W F 0 b 2 x v Z 2 l j b 3 N f d m F s b G F k b 2 x p Z G N p d W R h Z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Q t M j N U M T A 6 M T I 6 M T I u N j g 5 N j k x N V o i L z 4 8 R W 5 0 c n k g V H l w Z T 0 i R m l s b E N v b H V t b l R 5 c G V z I i B W Y W x 1 Z T 0 i c 0 J n W U d C Z 1 l H Q m d Z R 0 J n W U d C Z 1 k 9 I i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t d I i 8 + P E V u d H J 5 I F R 5 c G U 9 I k Z p b G x l Z E N v b X B s Z X R l U m V z d W x 0 V G 9 X b 3 J r c 2 h l Z X Q i I F Z h b H V l P S J s M S I v P j x F b n R y e S B U e X B l P S J G a W x s U 3 R h d H V z I i B W Y W x 1 Z T 0 i c 1 d h a X R p b m d G b 3 J F e G N l b F J l Z n J l c 2 g i L z 4 8 R W 5 0 c n k g V H l w Z T 0 i R m l s b F R v R G F 0 Y U 1 v Z G V s R W 5 h Y m x l Z C I g V m F s d W U 9 I m w w I i 8 + P E V u d H J 5 I F R 5 c G U 9 I k l z U H J p d m F 0 Z S I g V m F s d W U 9 I m w w I i 8 + P E V u d H J 5 I F R 5 c G U 9 I l F 1 Z X J 5 S U Q i I F Z h b H V l P S J z Y j g y Y z Z j M z M t N m M 5 N i 0 0 O T R m L W F l Z j I t Y 2 I 5 O G Z m O G Q 2 Z m E 1 I i 8 + P E V u d H J 5 I F R 5 c G U 9 I l J l b G F 0 a W 9 u c 2 h p c E l u Z m 9 D b 2 5 0 Y W l u Z X I i I F Z h b H V l P S J z e y Z x d W 9 0 O 2 N v b H V t b k N v d W 5 0 J n F 1 b 3 Q 7 O j E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2 Y W x v c m V z Y 2 x p b W F 0 b 2 x v Z 2 l j b 3 N f d m F s b G F k b 2 x p Z G N p d W R h Z C 9 B d X R v U m V t b 3 Z l Z E N v b H V t b n M x L n t D b 2 x 1 b W 4 x L D B 9 J n F 1 b 3 Q 7 L C Z x d W 9 0 O 1 N l Y 3 R p b 2 4 x L 3 Z h b G 9 y Z X N j b G l t Y X R v b G 9 n a W N v c 1 9 2 Y W x s Y W R v b G l k Y 2 l 1 Z G F k L 0 F 1 d G 9 S Z W 1 v d m V k Q 2 9 s d W 1 u c z E u e 0 N v b H V t b j I s M X 0 m c X V v d D s s J n F 1 b 3 Q 7 U 2 V j d G l v b j E v d m F s b 3 J l c 2 N s a W 1 h d G 9 s b 2 d p Y 2 9 z X 3 Z h b G x h Z G 9 s a W R j a X V k Y W Q v Q X V 0 b 1 J l b W 9 2 Z W R D b 2 x 1 b W 5 z M S 5 7 Q 2 9 s d W 1 u M y w y f S Z x d W 9 0 O y w m c X V v d D t T Z W N 0 a W 9 u M S 9 2 Y W x v c m V z Y 2 x p b W F 0 b 2 x v Z 2 l j b 3 N f d m F s b G F k b 2 x p Z G N p d W R h Z C 9 B d X R v U m V t b 3 Z l Z E N v b H V t b n M x L n t D b 2 x 1 b W 4 0 L D N 9 J n F 1 b 3 Q 7 L C Z x d W 9 0 O 1 N l Y 3 R p b 2 4 x L 3 Z h b G 9 y Z X N j b G l t Y X R v b G 9 n a W N v c 1 9 2 Y W x s Y W R v b G l k Y 2 l 1 Z G F k L 0 F 1 d G 9 S Z W 1 v d m V k Q 2 9 s d W 1 u c z E u e 0 N v b H V t b j U s N H 0 m c X V v d D s s J n F 1 b 3 Q 7 U 2 V j d G l v b j E v d m F s b 3 J l c 2 N s a W 1 h d G 9 s b 2 d p Y 2 9 z X 3 Z h b G x h Z G 9 s a W R j a X V k Y W Q v Q X V 0 b 1 J l b W 9 2 Z W R D b 2 x 1 b W 5 z M S 5 7 Q 2 9 s d W 1 u N i w 1 f S Z x d W 9 0 O y w m c X V v d D t T Z W N 0 a W 9 u M S 9 2 Y W x v c m V z Y 2 x p b W F 0 b 2 x v Z 2 l j b 3 N f d m F s b G F k b 2 x p Z G N p d W R h Z C 9 B d X R v U m V t b 3 Z l Z E N v b H V t b n M x L n t D b 2 x 1 b W 4 3 L D Z 9 J n F 1 b 3 Q 7 L C Z x d W 9 0 O 1 N l Y 3 R p b 2 4 x L 3 Z h b G 9 y Z X N j b G l t Y X R v b G 9 n a W N v c 1 9 2 Y W x s Y W R v b G l k Y 2 l 1 Z G F k L 0 F 1 d G 9 S Z W 1 v d m V k Q 2 9 s d W 1 u c z E u e 0 N v b H V t b j g s N 3 0 m c X V v d D s s J n F 1 b 3 Q 7 U 2 V j d G l v b j E v d m F s b 3 J l c 2 N s a W 1 h d G 9 s b 2 d p Y 2 9 z X 3 Z h b G x h Z G 9 s a W R j a X V k Y W Q v Q X V 0 b 1 J l b W 9 2 Z W R D b 2 x 1 b W 5 z M S 5 7 Q 2 9 s d W 1 u O S w 4 f S Z x d W 9 0 O y w m c X V v d D t T Z W N 0 a W 9 u M S 9 2 Y W x v c m V z Y 2 x p b W F 0 b 2 x v Z 2 l j b 3 N f d m F s b G F k b 2 x p Z G N p d W R h Z C 9 B d X R v U m V t b 3 Z l Z E N v b H V t b n M x L n t D b 2 x 1 b W 4 x M C w 5 f S Z x d W 9 0 O y w m c X V v d D t T Z W N 0 a W 9 u M S 9 2 Y W x v c m V z Y 2 x p b W F 0 b 2 x v Z 2 l j b 3 N f d m F s b G F k b 2 x p Z G N p d W R h Z C 9 B d X R v U m V t b 3 Z l Z E N v b H V t b n M x L n t D b 2 x 1 b W 4 x M S w x M H 0 m c X V v d D s s J n F 1 b 3 Q 7 U 2 V j d G l v b j E v d m F s b 3 J l c 2 N s a W 1 h d G 9 s b 2 d p Y 2 9 z X 3 Z h b G x h Z G 9 s a W R j a X V k Y W Q v Q X V 0 b 1 J l b W 9 2 Z W R D b 2 x 1 b W 5 z M S 5 7 Q 2 9 s d W 1 u M T I s M T F 9 J n F 1 b 3 Q 7 L C Z x d W 9 0 O 1 N l Y 3 R p b 2 4 x L 3 Z h b G 9 y Z X N j b G l t Y X R v b G 9 n a W N v c 1 9 2 Y W x s Y W R v b G l k Y 2 l 1 Z G F k L 0 F 1 d G 9 S Z W 1 v d m V k Q 2 9 s d W 1 u c z E u e 0 N v b H V t b j E z L D E y f S Z x d W 9 0 O y w m c X V v d D t T Z W N 0 a W 9 u M S 9 2 Y W x v c m V z Y 2 x p b W F 0 b 2 x v Z 2 l j b 3 N f d m F s b G F k b 2 x p Z G N p d W R h Z C 9 B d X R v U m V t b 3 Z l Z E N v b H V t b n M x L n t D b 2 x 1 b W 4 x N C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3 Z h b G 9 y Z X N j b G l t Y X R v b G 9 n a W N v c 1 9 2 Y W x s Y W R v b G l k Y 2 l 1 Z G F k L 0 F 1 d G 9 S Z W 1 v d m V k Q 2 9 s d W 1 u c z E u e 0 N v b H V t b j E s M H 0 m c X V v d D s s J n F 1 b 3 Q 7 U 2 V j d G l v b j E v d m F s b 3 J l c 2 N s a W 1 h d G 9 s b 2 d p Y 2 9 z X 3 Z h b G x h Z G 9 s a W R j a X V k Y W Q v Q X V 0 b 1 J l b W 9 2 Z W R D b 2 x 1 b W 5 z M S 5 7 Q 2 9 s d W 1 u M i w x f S Z x d W 9 0 O y w m c X V v d D t T Z W N 0 a W 9 u M S 9 2 Y W x v c m V z Y 2 x p b W F 0 b 2 x v Z 2 l j b 3 N f d m F s b G F k b 2 x p Z G N p d W R h Z C 9 B d X R v U m V t b 3 Z l Z E N v b H V t b n M x L n t D b 2 x 1 b W 4 z L D J 9 J n F 1 b 3 Q 7 L C Z x d W 9 0 O 1 N l Y 3 R p b 2 4 x L 3 Z h b G 9 y Z X N j b G l t Y X R v b G 9 n a W N v c 1 9 2 Y W x s Y W R v b G l k Y 2 l 1 Z G F k L 0 F 1 d G 9 S Z W 1 v d m V k Q 2 9 s d W 1 u c z E u e 0 N v b H V t b j Q s M 3 0 m c X V v d D s s J n F 1 b 3 Q 7 U 2 V j d G l v b j E v d m F s b 3 J l c 2 N s a W 1 h d G 9 s b 2 d p Y 2 9 z X 3 Z h b G x h Z G 9 s a W R j a X V k Y W Q v Q X V 0 b 1 J l b W 9 2 Z W R D b 2 x 1 b W 5 z M S 5 7 Q 2 9 s d W 1 u N S w 0 f S Z x d W 9 0 O y w m c X V v d D t T Z W N 0 a W 9 u M S 9 2 Y W x v c m V z Y 2 x p b W F 0 b 2 x v Z 2 l j b 3 N f d m F s b G F k b 2 x p Z G N p d W R h Z C 9 B d X R v U m V t b 3 Z l Z E N v b H V t b n M x L n t D b 2 x 1 b W 4 2 L D V 9 J n F 1 b 3 Q 7 L C Z x d W 9 0 O 1 N l Y 3 R p b 2 4 x L 3 Z h b G 9 y Z X N j b G l t Y X R v b G 9 n a W N v c 1 9 2 Y W x s Y W R v b G l k Y 2 l 1 Z G F k L 0 F 1 d G 9 S Z W 1 v d m V k Q 2 9 s d W 1 u c z E u e 0 N v b H V t b j c s N n 0 m c X V v d D s s J n F 1 b 3 Q 7 U 2 V j d G l v b j E v d m F s b 3 J l c 2 N s a W 1 h d G 9 s b 2 d p Y 2 9 z X 3 Z h b G x h Z G 9 s a W R j a X V k Y W Q v Q X V 0 b 1 J l b W 9 2 Z W R D b 2 x 1 b W 5 z M S 5 7 Q 2 9 s d W 1 u O C w 3 f S Z x d W 9 0 O y w m c X V v d D t T Z W N 0 a W 9 u M S 9 2 Y W x v c m V z Y 2 x p b W F 0 b 2 x v Z 2 l j b 3 N f d m F s b G F k b 2 x p Z G N p d W R h Z C 9 B d X R v U m V t b 3 Z l Z E N v b H V t b n M x L n t D b 2 x 1 b W 4 5 L D h 9 J n F 1 b 3 Q 7 L C Z x d W 9 0 O 1 N l Y 3 R p b 2 4 x L 3 Z h b G 9 y Z X N j b G l t Y X R v b G 9 n a W N v c 1 9 2 Y W x s Y W R v b G l k Y 2 l 1 Z G F k L 0 F 1 d G 9 S Z W 1 v d m V k Q 2 9 s d W 1 u c z E u e 0 N v b H V t b j E w L D l 9 J n F 1 b 3 Q 7 L C Z x d W 9 0 O 1 N l Y 3 R p b 2 4 x L 3 Z h b G 9 y Z X N j b G l t Y X R v b G 9 n a W N v c 1 9 2 Y W x s Y W R v b G l k Y 2 l 1 Z G F k L 0 F 1 d G 9 S Z W 1 v d m V k Q 2 9 s d W 1 u c z E u e 0 N v b H V t b j E x L D E w f S Z x d W 9 0 O y w m c X V v d D t T Z W N 0 a W 9 u M S 9 2 Y W x v c m V z Y 2 x p b W F 0 b 2 x v Z 2 l j b 3 N f d m F s b G F k b 2 x p Z G N p d W R h Z C 9 B d X R v U m V t b 3 Z l Z E N v b H V t b n M x L n t D b 2 x 1 b W 4 x M i w x M X 0 m c X V v d D s s J n F 1 b 3 Q 7 U 2 V j d G l v b j E v d m F s b 3 J l c 2 N s a W 1 h d G 9 s b 2 d p Y 2 9 z X 3 Z h b G x h Z G 9 s a W R j a X V k Y W Q v Q X V 0 b 1 J l b W 9 2 Z W R D b 2 x 1 b W 5 z M S 5 7 Q 2 9 s d W 1 u M T M s M T J 9 J n F 1 b 3 Q 7 L C Z x d W 9 0 O 1 N l Y 3 R p b 2 4 x L 3 Z h b G 9 y Z X N j b G l t Y X R v b G 9 n a W N v c 1 9 2 Y W x s Y W R v b G l k Y 2 l 1 Z G F k L 0 F 1 d G 9 S Z W 1 v d m V k Q 2 9 s d W 1 u c z E u e 0 N v b H V t b j E 0 L D E z f S Z x d W 9 0 O 1 0 s J n F 1 b 3 Q 7 U m V s Y X R p b 2 5 z a G l w S W 5 m b y Z x d W 9 0 O z p b X X 0 i L z 4 8 R W 5 0 c n k g V H l w Z T 0 i U m V z d W x 0 V H l w Z S I g V m F s d W U 9 I n N F e G N l c H R p b 2 4 i L z 4 8 R W 5 0 c n k g V H l w Z T 0 i R m l s b E 9 i a m V j d F R 5 c G U i I F Z h b H V l P S J z Q 2 9 u b m V j d G l v b k 9 u b H k i L z 4 8 R W 5 0 c n k g V H l w Z T 0 i T m F t Z V V w Z G F 0 Z W R B Z n R l c k Z p b G w i I F Z h b H V l P S J s M C I v P j w v U 3 R h Y m x l R W 5 0 c m l l c z 4 8 L 0 l 0 Z W 0 + P E l 0 Z W 0 + P E l 0 Z W 1 M b 2 N h d G l v b j 4 8 S X R l b V R 5 c G U + R m 9 y b X V s Y T w v S X R l b V R 5 c G U + P E l 0 Z W 1 Q Y X R o P l N l Y 3 R p b 2 4 x L 3 Z p Z W 5 0 b y U y M H Z h b G w l M j B h Z W 1 l d D w v S X R l b V B h d G g + P C 9 J d G V t T G 9 j Y X R p b 2 4 + P F N 0 Y W J s Z U V u d H J p Z X M + P E V u d H J 5 I F R 5 c G U 9 I k F k Z G V k V G 9 E Y X R h T W 9 k Z W w i I F Z h b H V l P S J s M C I v P j x F b n R y e S B U e X B l P S J C d W Z m Z X J O Z X h 0 U m V m c m V z a C I g V m F s d W U 9 I m w x I i 8 + P E V u d H J 5 I F R 5 c G U 9 I k Z p b G x F b m F i b G V k I i B W Y W x 1 Z T 0 i b D A i L z 4 8 R W 5 0 c n k g V H l w Z T 0 i R m l s b E V y c m 9 y Q 2 9 k Z S I g V m F s d W U 9 I n N V b m t u b 3 d u I i 8 + P E V u d H J 5 I F R 5 c G U 9 I k Z p b G x F c n J v c k N v d W 5 0 I i B W Y W x 1 Z T 0 i b D A i L z 4 8 R W 5 0 c n k g V H l w Z T 0 i R m l s b E x h c 3 R V c G R h d G V k I i B W Y W x 1 Z T 0 i Z D I w M j Q t M D Q t M j N U M T A 6 M T I 6 M T I u O D c z M T Y z M V o i L z 4 8 R W 5 0 c n k g V H l w Z T 0 i R m l s b E N v b H V t b l R 5 c G V z I i B W Y W x 1 Z T 0 i c 0 J n T U R B d 0 1 E Q X d N R E F 3 T U R B d 0 0 9 I i 8 + P E V u d H J 5 I F R 5 c G U 9 I k Z p b G x D b 2 x 1 b W 5 O Y W 1 l c y I g V m F s d W U 9 I n N b J n F 1 b 3 Q 7 Q 2 9 s d W 1 u M S Z x d W 9 0 O y w m c X V v d D t D b 2 x 1 b W 4 y L j E u M y Z x d W 9 0 O y w m c X V v d D t D b 2 x 1 b W 4 y L j I m c X V v d D s s J n F 1 b 3 Q 7 Q 2 9 s d W 1 u M i 4 z J n F 1 b 3 Q 7 L C Z x d W 9 0 O 0 N v b H V t b j I u N C Z x d W 9 0 O y w m c X V v d D t D b 2 x 1 b W 4 y L j U m c X V v d D s s J n F 1 b 3 Q 7 Q 2 9 s d W 1 u M i 4 2 J n F 1 b 3 Q 7 L C Z x d W 9 0 O 0 N v b H V t b j I u N y Z x d W 9 0 O y w m c X V v d D t D b 2 x 1 b W 4 y L j g m c X V v d D s s J n F 1 b 3 Q 7 Q 2 9 s d W 1 u M i 4 5 J n F 1 b 3 Q 7 L C Z x d W 9 0 O 0 N v b H V t b j I u M T A m c X V v d D s s J n F 1 b 3 Q 7 Q 2 9 s d W 1 u M i 4 x M S Z x d W 9 0 O y w m c X V v d D t D b 2 x 1 b W 4 y L j E y J n F 1 b 3 Q 7 L C Z x d W 9 0 O 0 N v b H V t b j I u M T M u M i Z x d W 9 0 O 1 0 i L z 4 8 R W 5 0 c n k g V H l w Z T 0 i R m l s b G V k Q 2 9 t c G x l d G V S Z X N 1 b H R U b 1 d v c m t z a G V l d C I g V m F s d W U 9 I m w x I i 8 + P E V u d H J 5 I F R 5 c G U 9 I k Z p b G x T d G F 0 d X M i I F Z h b H V l P S J z V 2 F p d G l u Z 0 Z v c k V 4 Y 2 V s U m V m c m V z a C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N h N T I 0 Y m N j M y 1 l M D g 1 L T Q x O G Y t O T E 2 Y i 1 j O W Y 2 M z k 5 N z h h M j A i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Z p Z W 5 0 b y B 2 Y W x s I G F l b W V 0 L 0 F 1 d G 9 S Z W 1 v d m V k Q 2 9 s d W 1 u c z E u e 0 N v b H V t b j E s M H 0 m c X V v d D s s J n F 1 b 3 Q 7 U 2 V j d G l v b j E v d m l l b n R v I H Z h b G w g Y W V t Z X Q v Q X V 0 b 1 J l b W 9 2 Z W R D b 2 x 1 b W 5 z M S 5 7 Q 2 9 s d W 1 u M i 4 x L j M s M X 0 m c X V v d D s s J n F 1 b 3 Q 7 U 2 V j d G l v b j E v d m l l b n R v I H Z h b G w g Y W V t Z X Q v Q X V 0 b 1 J l b W 9 2 Z W R D b 2 x 1 b W 5 z M S 5 7 Q 2 9 s d W 1 u M i 4 y L D J 9 J n F 1 b 3 Q 7 L C Z x d W 9 0 O 1 N l Y 3 R p b 2 4 x L 3 Z p Z W 5 0 b y B 2 Y W x s I G F l b W V 0 L 0 F 1 d G 9 S Z W 1 v d m V k Q 2 9 s d W 1 u c z E u e 0 N v b H V t b j I u M y w z f S Z x d W 9 0 O y w m c X V v d D t T Z W N 0 a W 9 u M S 9 2 a W V u d G 8 g d m F s b C B h Z W 1 l d C 9 B d X R v U m V t b 3 Z l Z E N v b H V t b n M x L n t D b 2 x 1 b W 4 y L j Q s N H 0 m c X V v d D s s J n F 1 b 3 Q 7 U 2 V j d G l v b j E v d m l l b n R v I H Z h b G w g Y W V t Z X Q v Q X V 0 b 1 J l b W 9 2 Z W R D b 2 x 1 b W 5 z M S 5 7 Q 2 9 s d W 1 u M i 4 1 L D V 9 J n F 1 b 3 Q 7 L C Z x d W 9 0 O 1 N l Y 3 R p b 2 4 x L 3 Z p Z W 5 0 b y B 2 Y W x s I G F l b W V 0 L 0 F 1 d G 9 S Z W 1 v d m V k Q 2 9 s d W 1 u c z E u e 0 N v b H V t b j I u N i w 2 f S Z x d W 9 0 O y w m c X V v d D t T Z W N 0 a W 9 u M S 9 2 a W V u d G 8 g d m F s b C B h Z W 1 l d C 9 B d X R v U m V t b 3 Z l Z E N v b H V t b n M x L n t D b 2 x 1 b W 4 y L j c s N 3 0 m c X V v d D s s J n F 1 b 3 Q 7 U 2 V j d G l v b j E v d m l l b n R v I H Z h b G w g Y W V t Z X Q v Q X V 0 b 1 J l b W 9 2 Z W R D b 2 x 1 b W 5 z M S 5 7 Q 2 9 s d W 1 u M i 4 4 L D h 9 J n F 1 b 3 Q 7 L C Z x d W 9 0 O 1 N l Y 3 R p b 2 4 x L 3 Z p Z W 5 0 b y B 2 Y W x s I G F l b W V 0 L 0 F 1 d G 9 S Z W 1 v d m V k Q 2 9 s d W 1 u c z E u e 0 N v b H V t b j I u O S w 5 f S Z x d W 9 0 O y w m c X V v d D t T Z W N 0 a W 9 u M S 9 2 a W V u d G 8 g d m F s b C B h Z W 1 l d C 9 B d X R v U m V t b 3 Z l Z E N v b H V t b n M x L n t D b 2 x 1 b W 4 y L j E w L D E w f S Z x d W 9 0 O y w m c X V v d D t T Z W N 0 a W 9 u M S 9 2 a W V u d G 8 g d m F s b C B h Z W 1 l d C 9 B d X R v U m V t b 3 Z l Z E N v b H V t b n M x L n t D b 2 x 1 b W 4 y L j E x L D E x f S Z x d W 9 0 O y w m c X V v d D t T Z W N 0 a W 9 u M S 9 2 a W V u d G 8 g d m F s b C B h Z W 1 l d C 9 B d X R v U m V t b 3 Z l Z E N v b H V t b n M x L n t D b 2 x 1 b W 4 y L j E y L D E y f S Z x d W 9 0 O y w m c X V v d D t T Z W N 0 a W 9 u M S 9 2 a W V u d G 8 g d m F s b C B h Z W 1 l d C 9 B d X R v U m V t b 3 Z l Z E N v b H V t b n M x L n t D b 2 x 1 b W 4 y L j E z L j I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2 a W V u d G 8 g d m F s b C B h Z W 1 l d C 9 B d X R v U m V t b 3 Z l Z E N v b H V t b n M x L n t D b 2 x 1 b W 4 x L D B 9 J n F 1 b 3 Q 7 L C Z x d W 9 0 O 1 N l Y 3 R p b 2 4 x L 3 Z p Z W 5 0 b y B 2 Y W x s I G F l b W V 0 L 0 F 1 d G 9 S Z W 1 v d m V k Q 2 9 s d W 1 u c z E u e 0 N v b H V t b j I u M S 4 z L D F 9 J n F 1 b 3 Q 7 L C Z x d W 9 0 O 1 N l Y 3 R p b 2 4 x L 3 Z p Z W 5 0 b y B 2 Y W x s I G F l b W V 0 L 0 F 1 d G 9 S Z W 1 v d m V k Q 2 9 s d W 1 u c z E u e 0 N v b H V t b j I u M i w y f S Z x d W 9 0 O y w m c X V v d D t T Z W N 0 a W 9 u M S 9 2 a W V u d G 8 g d m F s b C B h Z W 1 l d C 9 B d X R v U m V t b 3 Z l Z E N v b H V t b n M x L n t D b 2 x 1 b W 4 y L j M s M 3 0 m c X V v d D s s J n F 1 b 3 Q 7 U 2 V j d G l v b j E v d m l l b n R v I H Z h b G w g Y W V t Z X Q v Q X V 0 b 1 J l b W 9 2 Z W R D b 2 x 1 b W 5 z M S 5 7 Q 2 9 s d W 1 u M i 4 0 L D R 9 J n F 1 b 3 Q 7 L C Z x d W 9 0 O 1 N l Y 3 R p b 2 4 x L 3 Z p Z W 5 0 b y B 2 Y W x s I G F l b W V 0 L 0 F 1 d G 9 S Z W 1 v d m V k Q 2 9 s d W 1 u c z E u e 0 N v b H V t b j I u N S w 1 f S Z x d W 9 0 O y w m c X V v d D t T Z W N 0 a W 9 u M S 9 2 a W V u d G 8 g d m F s b C B h Z W 1 l d C 9 B d X R v U m V t b 3 Z l Z E N v b H V t b n M x L n t D b 2 x 1 b W 4 y L j Y s N n 0 m c X V v d D s s J n F 1 b 3 Q 7 U 2 V j d G l v b j E v d m l l b n R v I H Z h b G w g Y W V t Z X Q v Q X V 0 b 1 J l b W 9 2 Z W R D b 2 x 1 b W 5 z M S 5 7 Q 2 9 s d W 1 u M i 4 3 L D d 9 J n F 1 b 3 Q 7 L C Z x d W 9 0 O 1 N l Y 3 R p b 2 4 x L 3 Z p Z W 5 0 b y B 2 Y W x s I G F l b W V 0 L 0 F 1 d G 9 S Z W 1 v d m V k Q 2 9 s d W 1 u c z E u e 0 N v b H V t b j I u O C w 4 f S Z x d W 9 0 O y w m c X V v d D t T Z W N 0 a W 9 u M S 9 2 a W V u d G 8 g d m F s b C B h Z W 1 l d C 9 B d X R v U m V t b 3 Z l Z E N v b H V t b n M x L n t D b 2 x 1 b W 4 y L j k s O X 0 m c X V v d D s s J n F 1 b 3 Q 7 U 2 V j d G l v b j E v d m l l b n R v I H Z h b G w g Y W V t Z X Q v Q X V 0 b 1 J l b W 9 2 Z W R D b 2 x 1 b W 5 z M S 5 7 Q 2 9 s d W 1 u M i 4 x M C w x M H 0 m c X V v d D s s J n F 1 b 3 Q 7 U 2 V j d G l v b j E v d m l l b n R v I H Z h b G w g Y W V t Z X Q v Q X V 0 b 1 J l b W 9 2 Z W R D b 2 x 1 b W 5 z M S 5 7 Q 2 9 s d W 1 u M i 4 x M S w x M X 0 m c X V v d D s s J n F 1 b 3 Q 7 U 2 V j d G l v b j E v d m l l b n R v I H Z h b G w g Y W V t Z X Q v Q X V 0 b 1 J l b W 9 2 Z W R D b 2 x 1 b W 5 z M S 5 7 Q 2 9 s d W 1 u M i 4 x M i w x M n 0 m c X V v d D s s J n F 1 b 3 Q 7 U 2 V j d G l v b j E v d m l l b n R v I H Z h b G w g Y W V t Z X Q v Q X V 0 b 1 J l b W 9 2 Z W R D b 2 x 1 b W 5 z M S 5 7 Q 2 9 s d W 1 u M i 4 x M y 4 y L D E z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m V n Y W N p w 7 N u I i 8 + P E V u d H J 5 I F R 5 c G U 9 I k Z p b G x P Y m p l Y 3 R U e X B l I i B W Y W x 1 Z T 0 i c 0 N v b m 5 l Y 3 R p b 2 5 P b m x 5 I i 8 + P E V u d H J 5 I F R 5 c G U 9 I k 5 h b W V V c G R h d G V k Q W Z 0 Z X J G a W x s I i B W Y W x 1 Z T 0 i b D A i L z 4 8 L 1 N 0 Y W J s Z U V u d H J p Z X M + P C 9 J d G V t P j x J d G V t P j x J d G V t T G 9 j Y X R p b 2 4 + P E l 0 Z W 1 U e X B l P k Z v c m 1 1 b G E 8 L 0 l 0 Z W 1 U e X B l P j x J d G V t U G F 0 a D 5 T Z W N 0 a W 9 u M S 9 2 a W V u d G 8 l M j B 2 Y W x s J T I w Y W V y b 3 B 1 Z X J 0 b y U y M E F F T U V U J T I w T 3 B l b k R h d G E 8 L 0 l 0 Z W 1 Q Y X R o P j w v S X R l b U x v Y 2 F 0 a W 9 u P j x T d G F i b G V F b n R y a W V z P j x F b n R y e S B U e X B l P S J B Z G R l Z F R v R G F 0 Y U 1 v Z G V s I i B W Y W x 1 Z T 0 i b D A i L z 4 8 R W 5 0 c n k g V H l w Z T 0 i Q n V m Z m V y T m V 4 d F J l Z n J l c 2 g i I F Z h b H V l P S J s M S I v P j x F b n R y e S B U e X B l P S J G a W x s Q 2 9 1 b n Q i I F Z h b H V l P S J s M C I v P j x F b n R y e S B U e X B l P S J G a W x s R W 5 h Y m x l Z C I g V m F s d W U 9 I m w x I i 8 + P E V u d H J 5 I F R 5 c G U 9 I k Z p b G x F c n J v c k N v Z G U i I F Z h b H V l P S J z V W 5 r b m 9 3 b i I v P j x F b n R y e S B U e X B l P S J G a W x s R X J y b 3 J D b 3 V u d C I g V m F s d W U 9 I m w w I i 8 + P E V u d H J 5 I F R 5 c G U 9 I k Z p b G x M Y X N 0 V X B k Y X R l Z C I g V m F s d W U 9 I m Q y M D I 0 L T A 0 L T I z V D E w O j E y O j E y L j k y O D Y z M T h a I i 8 + P E V u d H J 5 I F R 5 c G U 9 I k Z p b G x D b 2 x 1 b W 5 U e X B l c y I g V m F s d W U 9 I n N C Z 0 1 E Q X d N R E F 3 T U R B d 0 1 E Q X d N P S I v P j x F b n R y e S B U e X B l P S J G a W x s Q 2 9 s d W 1 u T m F t Z X M i I F Z h b H V l P S J z W y Z x d W 9 0 O 0 N v b H V t b j E u M y Z x d W 9 0 O y w m c X V v d D t D b 2 x 1 b W 4 y L j E u M y Z x d W 9 0 O y w m c X V v d D t D b 2 x 1 b W 4 y L j I m c X V v d D s s J n F 1 b 3 Q 7 Q 2 9 s d W 1 u M i 4 z J n F 1 b 3 Q 7 L C Z x d W 9 0 O 0 N v b H V t b j I u N C Z x d W 9 0 O y w m c X V v d D t D b 2 x 1 b W 4 y L j U m c X V v d D s s J n F 1 b 3 Q 7 Q 2 9 s d W 1 u M i 4 2 J n F 1 b 3 Q 7 L C Z x d W 9 0 O 0 N v b H V t b j I u N y Z x d W 9 0 O y w m c X V v d D t D b 2 x 1 b W 4 y L j g m c X V v d D s s J n F 1 b 3 Q 7 Q 2 9 s d W 1 u M i 4 5 J n F 1 b 3 Q 7 L C Z x d W 9 0 O 0 N v b H V t b j I u M T A m c X V v d D s s J n F 1 b 3 Q 7 Q 2 9 s d W 1 u M i 4 x M S Z x d W 9 0 O y w m c X V v d D t D b 2 x 1 b W 4 y L j E y J n F 1 b 3 Q 7 L C Z x d W 9 0 O 0 N v b H V t b j I u M T M u M i Z x d W 9 0 O 1 0 i L z 4 8 R W 5 0 c n k g V H l w Z T 0 i R m l s b G V k Q 2 9 t c G x l d G V S Z X N 1 b H R U b 1 d v c m t z a G V l d C I g V m F s d W U 9 I m w x I i 8 + P E V u d H J 5 I F R 5 c G U 9 I k Z p b G x T d G F 0 d X M i I F Z h b H V l P S J z V 2 F p d G l u Z 0 Z v c k V 4 Y 2 V s U m V m c m V z a C I v P j x F b n R y e S B U e X B l P S J G a W x s V G 9 E Y X R h T W 9 k Z W x F b m F i b G V k I i B W Y W x 1 Z T 0 i b D A i L z 4 8 R W 5 0 c n k g V H l w Z T 0 i S X N Q c m l 2 Y X R l I i B W Y W x 1 Z T 0 i b D A i L z 4 8 R W 5 0 c n k g V H l w Z T 0 i U X V l c n l J R C I g V m F s d W U 9 I n M z O T E 3 Y j I z N S 1 l N m N m L T Q y Y 2 Q t Y m Y 4 Z i 1 m Z D U 3 M z U x M m R i N z g i L z 4 8 R W 5 0 c n k g V H l w Z T 0 i U m V s Y X R p b 2 5 z a G l w S W 5 m b 0 N v b n R h a W 5 l c i I g V m F s d W U 9 I n N 7 J n F 1 b 3 Q 7 Y 2 9 s d W 1 u Q 2 9 1 b n Q m c X V v d D s 6 M T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Z p Z W 5 0 b y B 2 Y W x s I G F l c m 9 w d W V y d G 8 g Q U V N R V Q g T 3 B l b k R h d G E v Q X V 0 b 1 J l b W 9 2 Z W R D b 2 x 1 b W 5 z M S 5 7 Q 2 9 s d W 1 u M S 4 z L D B 9 J n F 1 b 3 Q 7 L C Z x d W 9 0 O 1 N l Y 3 R p b 2 4 x L 3 Z p Z W 5 0 b y B 2 Y W x s I G F l c m 9 w d W V y d G 8 g Q U V N R V Q g T 3 B l b k R h d G E v Q X V 0 b 1 J l b W 9 2 Z W R D b 2 x 1 b W 5 z M S 5 7 Q 2 9 s d W 1 u M i 4 x L j M s M X 0 m c X V v d D s s J n F 1 b 3 Q 7 U 2 V j d G l v b j E v d m l l b n R v I H Z h b G w g Y W V y b 3 B 1 Z X J 0 b y B B R U 1 F V C B P c G V u R G F 0 Y S 9 B d X R v U m V t b 3 Z l Z E N v b H V t b n M x L n t D b 2 x 1 b W 4 y L j I s M n 0 m c X V v d D s s J n F 1 b 3 Q 7 U 2 V j d G l v b j E v d m l l b n R v I H Z h b G w g Y W V y b 3 B 1 Z X J 0 b y B B R U 1 F V C B P c G V u R G F 0 Y S 9 B d X R v U m V t b 3 Z l Z E N v b H V t b n M x L n t D b 2 x 1 b W 4 y L j M s M 3 0 m c X V v d D s s J n F 1 b 3 Q 7 U 2 V j d G l v b j E v d m l l b n R v I H Z h b G w g Y W V y b 3 B 1 Z X J 0 b y B B R U 1 F V C B P c G V u R G F 0 Y S 9 B d X R v U m V t b 3 Z l Z E N v b H V t b n M x L n t D b 2 x 1 b W 4 y L j Q s N H 0 m c X V v d D s s J n F 1 b 3 Q 7 U 2 V j d G l v b j E v d m l l b n R v I H Z h b G w g Y W V y b 3 B 1 Z X J 0 b y B B R U 1 F V C B P c G V u R G F 0 Y S 9 B d X R v U m V t b 3 Z l Z E N v b H V t b n M x L n t D b 2 x 1 b W 4 y L j U s N X 0 m c X V v d D s s J n F 1 b 3 Q 7 U 2 V j d G l v b j E v d m l l b n R v I H Z h b G w g Y W V y b 3 B 1 Z X J 0 b y B B R U 1 F V C B P c G V u R G F 0 Y S 9 B d X R v U m V t b 3 Z l Z E N v b H V t b n M x L n t D b 2 x 1 b W 4 y L j Y s N n 0 m c X V v d D s s J n F 1 b 3 Q 7 U 2 V j d G l v b j E v d m l l b n R v I H Z h b G w g Y W V y b 3 B 1 Z X J 0 b y B B R U 1 F V C B P c G V u R G F 0 Y S 9 B d X R v U m V t b 3 Z l Z E N v b H V t b n M x L n t D b 2 x 1 b W 4 y L j c s N 3 0 m c X V v d D s s J n F 1 b 3 Q 7 U 2 V j d G l v b j E v d m l l b n R v I H Z h b G w g Y W V y b 3 B 1 Z X J 0 b y B B R U 1 F V C B P c G V u R G F 0 Y S 9 B d X R v U m V t b 3 Z l Z E N v b H V t b n M x L n t D b 2 x 1 b W 4 y L j g s O H 0 m c X V v d D s s J n F 1 b 3 Q 7 U 2 V j d G l v b j E v d m l l b n R v I H Z h b G w g Y W V y b 3 B 1 Z X J 0 b y B B R U 1 F V C B P c G V u R G F 0 Y S 9 B d X R v U m V t b 3 Z l Z E N v b H V t b n M x L n t D b 2 x 1 b W 4 y L j k s O X 0 m c X V v d D s s J n F 1 b 3 Q 7 U 2 V j d G l v b j E v d m l l b n R v I H Z h b G w g Y W V y b 3 B 1 Z X J 0 b y B B R U 1 F V C B P c G V u R G F 0 Y S 9 B d X R v U m V t b 3 Z l Z E N v b H V t b n M x L n t D b 2 x 1 b W 4 y L j E w L D E w f S Z x d W 9 0 O y w m c X V v d D t T Z W N 0 a W 9 u M S 9 2 a W V u d G 8 g d m F s b C B h Z X J v c H V l c n R v I E F F T U V U I E 9 w Z W 5 E Y X R h L 0 F 1 d G 9 S Z W 1 v d m V k Q 2 9 s d W 1 u c z E u e 0 N v b H V t b j I u M T E s M T F 9 J n F 1 b 3 Q 7 L C Z x d W 9 0 O 1 N l Y 3 R p b 2 4 x L 3 Z p Z W 5 0 b y B 2 Y W x s I G F l c m 9 w d W V y d G 8 g Q U V N R V Q g T 3 B l b k R h d G E v Q X V 0 b 1 J l b W 9 2 Z W R D b 2 x 1 b W 5 z M S 5 7 Q 2 9 s d W 1 u M i 4 x M i w x M n 0 m c X V v d D s s J n F 1 b 3 Q 7 U 2 V j d G l v b j E v d m l l b n R v I H Z h b G w g Y W V y b 3 B 1 Z X J 0 b y B B R U 1 F V C B P c G V u R G F 0 Y S 9 B d X R v U m V t b 3 Z l Z E N v b H V t b n M x L n t D b 2 x 1 b W 4 y L j E z L j I s M T N 9 J n F 1 b 3 Q 7 X S w m c X V v d D t D b 2 x 1 b W 5 D b 3 V u d C Z x d W 9 0 O z o x N C w m c X V v d D t L Z X l D b 2 x 1 b W 5 O Y W 1 l c y Z x d W 9 0 O z p b X S w m c X V v d D t D b 2 x 1 b W 5 J Z G V u d G l 0 a W V z J n F 1 b 3 Q 7 O l s m c X V v d D t T Z W N 0 a W 9 u M S 9 2 a W V u d G 8 g d m F s b C B h Z X J v c H V l c n R v I E F F T U V U I E 9 w Z W 5 E Y X R h L 0 F 1 d G 9 S Z W 1 v d m V k Q 2 9 s d W 1 u c z E u e 0 N v b H V t b j E u M y w w f S Z x d W 9 0 O y w m c X V v d D t T Z W N 0 a W 9 u M S 9 2 a W V u d G 8 g d m F s b C B h Z X J v c H V l c n R v I E F F T U V U I E 9 w Z W 5 E Y X R h L 0 F 1 d G 9 S Z W 1 v d m V k Q 2 9 s d W 1 u c z E u e 0 N v b H V t b j I u M S 4 z L D F 9 J n F 1 b 3 Q 7 L C Z x d W 9 0 O 1 N l Y 3 R p b 2 4 x L 3 Z p Z W 5 0 b y B 2 Y W x s I G F l c m 9 w d W V y d G 8 g Q U V N R V Q g T 3 B l b k R h d G E v Q X V 0 b 1 J l b W 9 2 Z W R D b 2 x 1 b W 5 z M S 5 7 Q 2 9 s d W 1 u M i 4 y L D J 9 J n F 1 b 3 Q 7 L C Z x d W 9 0 O 1 N l Y 3 R p b 2 4 x L 3 Z p Z W 5 0 b y B 2 Y W x s I G F l c m 9 w d W V y d G 8 g Q U V N R V Q g T 3 B l b k R h d G E v Q X V 0 b 1 J l b W 9 2 Z W R D b 2 x 1 b W 5 z M S 5 7 Q 2 9 s d W 1 u M i 4 z L D N 9 J n F 1 b 3 Q 7 L C Z x d W 9 0 O 1 N l Y 3 R p b 2 4 x L 3 Z p Z W 5 0 b y B 2 Y W x s I G F l c m 9 w d W V y d G 8 g Q U V N R V Q g T 3 B l b k R h d G E v Q X V 0 b 1 J l b W 9 2 Z W R D b 2 x 1 b W 5 z M S 5 7 Q 2 9 s d W 1 u M i 4 0 L D R 9 J n F 1 b 3 Q 7 L C Z x d W 9 0 O 1 N l Y 3 R p b 2 4 x L 3 Z p Z W 5 0 b y B 2 Y W x s I G F l c m 9 w d W V y d G 8 g Q U V N R V Q g T 3 B l b k R h d G E v Q X V 0 b 1 J l b W 9 2 Z W R D b 2 x 1 b W 5 z M S 5 7 Q 2 9 s d W 1 u M i 4 1 L D V 9 J n F 1 b 3 Q 7 L C Z x d W 9 0 O 1 N l Y 3 R p b 2 4 x L 3 Z p Z W 5 0 b y B 2 Y W x s I G F l c m 9 w d W V y d G 8 g Q U V N R V Q g T 3 B l b k R h d G E v Q X V 0 b 1 J l b W 9 2 Z W R D b 2 x 1 b W 5 z M S 5 7 Q 2 9 s d W 1 u M i 4 2 L D Z 9 J n F 1 b 3 Q 7 L C Z x d W 9 0 O 1 N l Y 3 R p b 2 4 x L 3 Z p Z W 5 0 b y B 2 Y W x s I G F l c m 9 w d W V y d G 8 g Q U V N R V Q g T 3 B l b k R h d G E v Q X V 0 b 1 J l b W 9 2 Z W R D b 2 x 1 b W 5 z M S 5 7 Q 2 9 s d W 1 u M i 4 3 L D d 9 J n F 1 b 3 Q 7 L C Z x d W 9 0 O 1 N l Y 3 R p b 2 4 x L 3 Z p Z W 5 0 b y B 2 Y W x s I G F l c m 9 w d W V y d G 8 g Q U V N R V Q g T 3 B l b k R h d G E v Q X V 0 b 1 J l b W 9 2 Z W R D b 2 x 1 b W 5 z M S 5 7 Q 2 9 s d W 1 u M i 4 4 L D h 9 J n F 1 b 3 Q 7 L C Z x d W 9 0 O 1 N l Y 3 R p b 2 4 x L 3 Z p Z W 5 0 b y B 2 Y W x s I G F l c m 9 w d W V y d G 8 g Q U V N R V Q g T 3 B l b k R h d G E v Q X V 0 b 1 J l b W 9 2 Z W R D b 2 x 1 b W 5 z M S 5 7 Q 2 9 s d W 1 u M i 4 5 L D l 9 J n F 1 b 3 Q 7 L C Z x d W 9 0 O 1 N l Y 3 R p b 2 4 x L 3 Z p Z W 5 0 b y B 2 Y W x s I G F l c m 9 w d W V y d G 8 g Q U V N R V Q g T 3 B l b k R h d G E v Q X V 0 b 1 J l b W 9 2 Z W R D b 2 x 1 b W 5 z M S 5 7 Q 2 9 s d W 1 u M i 4 x M C w x M H 0 m c X V v d D s s J n F 1 b 3 Q 7 U 2 V j d G l v b j E v d m l l b n R v I H Z h b G w g Y W V y b 3 B 1 Z X J 0 b y B B R U 1 F V C B P c G V u R G F 0 Y S 9 B d X R v U m V t b 3 Z l Z E N v b H V t b n M x L n t D b 2 x 1 b W 4 y L j E x L D E x f S Z x d W 9 0 O y w m c X V v d D t T Z W N 0 a W 9 u M S 9 2 a W V u d G 8 g d m F s b C B h Z X J v c H V l c n R v I E F F T U V U I E 9 w Z W 5 E Y X R h L 0 F 1 d G 9 S Z W 1 v d m V k Q 2 9 s d W 1 u c z E u e 0 N v b H V t b j I u M T I s M T J 9 J n F 1 b 3 Q 7 L C Z x d W 9 0 O 1 N l Y 3 R p b 2 4 x L 3 Z p Z W 5 0 b y B 2 Y W x s I G F l c m 9 w d W V y d G 8 g Q U V N R V Q g T 3 B l b k R h d G E v Q X V 0 b 1 J l b W 9 2 Z W R D b 2 x 1 b W 5 z M S 5 7 Q 2 9 s d W 1 u M i 4 x M y 4 y L D E z f S Z x d W 9 0 O 1 0 s J n F 1 b 3 Q 7 U m V s Y X R p b 2 5 z a G l w S W 5 m b y Z x d W 9 0 O z p b X X 0 i L z 4 8 R W 5 0 c n k g V H l w Z T 0 i U m V z d W x 0 V H l w Z S I g V m F s d W U 9 I n N F e G N l c H R p b 2 4 i L z 4 8 R W 5 0 c n k g V H l w Z T 0 i T m F 2 a W d h d G l v b l N 0 Z X B O Y W 1 l I i B W Y W x 1 Z T 0 i c 0 5 h d m V n Y W N p w 7 N u I i 8 + P E V u d H J 5 I F R 5 c G U 9 I k Z p b G x P Y m p l Y 3 R U e X B l I i B W Y W x 1 Z T 0 i c 1 R h Y m x l I i 8 + P E V u d H J 5 I F R 5 c G U 9 I k 5 h b W V V c G R h d G V k Q W Z 0 Z X J G a W x s I i B W Y W x 1 Z T 0 i b D A i L z 4 8 R W 5 0 c n k g V H l w Z T 0 i R m l s b F R h c m d l d C I g V m F s d W U 9 I n N U Y W J s Y V 9 2 a W V u d G 9 f d m F s b F 9 h Z X J v c H V l c n R v X 0 F F T U V U X 0 9 w Z W 5 E Y X R h I i 8 + P C 9 T d G F i b G V F b n R y a W V z P j w v S X R l b T 4 8 S X R l b T 4 8 S X R l b U x v Y 2 F 0 a W 9 u P j x J d G V t V H l w Z T 5 G b 3 J t d W x h P C 9 J d G V t V H l w Z T 4 8 S X R l b V B h d G g + U 2 V j d G l v b j E v d m F s b 3 J l c 2 N s a W 1 h d G 9 s b 2 d p Y 2 9 z X 3 Z h b G x h Z G 9 s a W R j a X V k Y W Q v T 3 J p Z 2 V u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Y W x v c m V z Y 2 x p b W F 0 b 2 x v Z 2 l j b 3 N f d m F s b G F k b 2 x p Z G N p d W R h Z C 9 U a X B v J T I w Y 2 F t Y m l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P c m l n Z W 4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U a X B v J T I w Y 2 F t Y m l h Z G 8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E a X Z p Z G l y J T I w Y 2 9 s d W 1 u Y S U y M H B v c i U y M G R l b G l t a X R h Z G 9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t Z X Q v V G l w b y U y M G N h b W J p Y W R v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b W V 0 L 0 R p d m l k a X I l M j B j b 2 x 1 b W 5 h J T I w c G 9 y J T I w Z G V s a W 1 p d G F k b 3 I x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t Z X Q v V G l w b y U y M G N h b W J p Y W R v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b W V 0 L 0 N v b H V t b m F z J T I w c X V p d G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U a X B v J T I w Y 2 F t Y m l h Z G 8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t Z X Q v R m l s Y X M l M j B z d X B l c m l v c m V z J T I w c X V p d G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E a X Z p Z G l y J T I w Y 2 9 s d W 1 u Y S U y M H B v c i U y M G R l b G l t a X R h Z G 9 y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b W V 0 L 1 R p c G 8 l M j B j Y W 1 i a W F k b z Q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D b 2 x 1 b W 5 h c y U y M H F 1 a X R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b W V 0 L 1 R p c G 8 l M j B j Y W 1 i a W F k b z U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F c n J v c m V z J T I w c X V p d G F k b 3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W 1 l d C 9 G a W x h c y U y M G V u J T I w Y m x h b m N v J T I w Z W x p b W l u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b W V 0 L 0 Z p b G F z J T I w Y W x 0 Z X J u Y X M l M j B x d W l 0 Y W R h c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0 9 y a W d l b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1 R p c G 8 l M j B j Y W 1 i a W F k b z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0 Z p b G F z J T I w c 3 V w Z X J p b 3 J l c y U y M H F 1 a X R h Z G F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y b 3 B 1 Z X J 0 b y U y M E F F T U V U J T I w T 3 B l b k R h d G E v R m l s Y X M l M j B p b m Z l c m l v c m V z J T I w c X V p d G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X J v c H V l c n R v J T I w Q U V N R V Q l M j B P c G V u R G F 0 Y S 9 G a W x h c y U y M G F s d G V y b m F z J T I w c X V p d G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X J v c H V l c n R v J T I w Q U V N R V Q l M j B P c G V u R G F 0 Y S 9 E a X Z p Z G l y J T I w Y 2 9 s d W 1 u Y S U y M H B v c i U y M G R l b G l t a X R h Z G 9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y b 3 B 1 Z X J 0 b y U y M E F F T U V U J T I w T 3 B l b k R h d G E v V G l w b y U y M G N h b W J p Y W R v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0 N v b H V t b m F z J T I w c X V p d G F k Y X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X J v c H V l c n R v J T I w Q U V N R V Q l M j B P c G V u R G F 0 Y S 9 E a X Z p Z G l y J T I w Y 2 9 s d W 1 u Y S U y M H B v c i U y M G R l b G l t a X R h Z G 9 y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1 R p c G 8 l M j B j Y W 1 i a W F k b z I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X J v c H V l c n R v J T I w Q U V N R V Q l M j B P c G V u R G F 0 Y S 9 E a X Z p Z G l y J T I w Y 2 9 s d W 1 u Y S U y M H B v c i U y M G R l b G l t a X R h Z G 9 y M j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1 R p c G 8 l M j B j Y W 1 i a W F k b z M 8 L 0 l 0 Z W 1 Q Y X R o P j w v S X R l b U x v Y 2 F 0 a W 9 u P j x T d G F i b G V F b n R y a W V z L z 4 8 L 0 l 0 Z W 0 + P E l 0 Z W 0 + P E l 0 Z W 1 M b 2 N h d G l v b j 4 8 S X R l b V R 5 c G U + R m 9 y b X V s Y T w v S X R l b V R 5 c G U + P E l 0 Z W 1 Q Y X R o P l N l Y 3 R p b 2 4 x L 3 Z p Z W 5 0 b y U y M H Z h b G w l M j B h Z X J v c H V l c n R v J T I w Q U V N R V Q l M j B P c G V u R G F 0 Y S 9 D b 2 x 1 b W 5 h c y U y M H F 1 a X R h Z G F z M T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0 R p d m l k a X I l M j B j b 2 x 1 b W 5 h J T I w c G 9 y J T I w Z G V s a W 1 p d G F k b 3 I z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y b 3 B 1 Z X J 0 b y U y M E F F T U V U J T I w T 3 B l b k R h d G E v V G l w b y U y M G N h b W J p Y W R v N D w v S X R l b V B h d G g + P C 9 J d G V t T G 9 j Y X R p b 2 4 + P F N 0 Y W J s Z U V u d H J p Z X M v P j w v S X R l b T 4 8 S X R l b T 4 8 S X R l b U x v Y 2 F 0 a W 9 u P j x J d G V t V H l w Z T 5 G b 3 J t d W x h P C 9 J d G V t V H l w Z T 4 8 S X R l b V B h d G g + U 2 V j d G l v b j E v d m l l b n R v J T I w d m F s b C U y M G F l c m 9 w d W V y d G 8 l M j B B R U 1 F V C U y M E 9 w Z W 5 E Y X R h L 0 N v b H V t b m F z J T I w c X V p d G F k Y X M y P C 9 J d G V t U G F 0 a D 4 8 L 0 l 0 Z W 1 M b 2 N h d G l v b j 4 8 U 3 R h Y m x l R W 5 0 c m l l c y 8 + P C 9 J d G V t P j x J d G V t P j x J d G V t T G 9 j Y X R p b 2 4 + P E l 0 Z W 1 U e X B l P k Z v c m 1 1 b G E 8 L 0 l 0 Z W 1 U e X B l P j x J d G V t U G F 0 a D 5 T Z W N 0 a W 9 u M S 9 2 a W V u d G 8 l M j B 2 Y W x s J T I w Y W V y b 3 B 1 Z X J 0 b y U y M E F F T U V U J T I w T 3 B l b k R h d G E v V G l w b y U y M G N h b W J p Y W R v N T w v S X R l b V B h d G g + P C 9 J d G V t T G 9 j Y X R p b 2 4 + P F N 0 Y W J s Z U V u d H J p Z X M v P j w v S X R l b T 4 8 S X R l b T 4 8 S X R l b U x v Y 2 F 0 a W 9 u P j x J d G V t V H l w Z T 5 B b G x G b 3 J t d W x h c z w v S X R l b V R 5 c G U + P E l 0 Z W 1 Q Y X R o P j w v S X R l b V B h d G g + P C 9 J d G V t T G 9 j Y X R p b 2 4 + P F N 0 Y W J s Z U V u d H J p Z X M + P E V u d H J 5 I F R 5 c G U 9 I l F 1 Z X J 5 R 3 J v d X B z I i B W Y W x 1 Z T 0 i c 0 F B Q U F B Q T 0 9 I i 8 + P E V u d H J 5 I F R 5 c G U 9 I l J l b G F 0 a W 9 u c 2 h p c H M i I F Z h b H V l P S J z Q U F B Q U F B P T 0 i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2 / v k w 3 2 7 u k m Y / E T p G R d U u w A A A A A C A A A A A A A Q Z g A A A A E A A C A A A A D G t Y S r k E 1 r u w Z Y A t p o v L x y P i g j g G Z U K e G c r d O s Y G X 2 h g A A A A A O g A A A A A I A A C A A A A B 9 s x M p n a w w 6 R S 6 v f 3 + v A 8 o A 2 m b d C X p U 5 S K W o 8 H r 4 w i y F A A A A D N B X A f L l A r j V p 8 v T n C y 5 z p X z e U 4 c 5 5 t G 9 + a h i e 8 Y Q N m G N z O 3 5 N H D q n R c F P K 6 3 m T H y 1 q 4 D L x c m m T 0 / D M k k T I v V X 1 + + H s J j w m Y 9 i O 4 O N + O m y + 0 A A A A A m U l M Q C w B k H a a J x Y J G q g B t J k D l 6 2 Y 6 S 1 l I s R T i z W 4 K f y r 3 R r 5 J f d / p B 4 c s o C 0 P T V 7 3 A S Z / t D b E y e U I M b c x G 8 u Y < / D a t a M a s h u p > 
</file>

<file path=customXml/itemProps1.xml><?xml version="1.0" encoding="utf-8"?>
<ds:datastoreItem xmlns:ds="http://schemas.openxmlformats.org/officeDocument/2006/customXml" ds:itemID="{45084CEB-1F2C-42E7-A7BB-1D8F765FE729}">
  <ds:schemaRefs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f93d4d93-359f-4324-8ac9-2f9e9ea31aac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FE539E1-062A-4A7C-8C02-5C7011953E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FCED715-20D2-4CA8-BD52-64FD565E4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93d4d93-359f-4324-8ac9-2f9e9ea31aa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041A5F8-618E-4158-803D-BA3F8662E04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CTE</vt:lpstr>
      <vt:lpstr>Dimensiones</vt:lpstr>
      <vt:lpstr>Nieve</vt:lpstr>
      <vt:lpstr>Cargas V</vt:lpstr>
      <vt:lpstr>Cargas</vt:lpstr>
      <vt:lpstr>V vall aerop AEMET Op</vt:lpstr>
      <vt:lpstr>Barras</vt:lpstr>
      <vt:lpstr>PVGIS</vt:lpstr>
      <vt:lpstr>Analisis de  sensibilidad</vt:lpstr>
      <vt:lpstr>RESUMEN</vt:lpstr>
      <vt:lpstr>Presupuesto</vt:lpstr>
      <vt:lpstr>AEMET 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</dc:creator>
  <cp:lastModifiedBy>PABLO GONZALO FAJARDO</cp:lastModifiedBy>
  <dcterms:created xsi:type="dcterms:W3CDTF">2023-03-23T18:50:52Z</dcterms:created>
  <dcterms:modified xsi:type="dcterms:W3CDTF">2024-06-02T18:00:52Z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0x01010001D62D568ED00C4E869A06F5CEA61109</vt:lpwstr>
  </property>
</Properties>
</file>