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Biotecnología\UVA\All-to-gas. Documentos\"/>
    </mc:Choice>
  </mc:AlternateContent>
  <xr:revisionPtr revIDLastSave="0" documentId="13_ncr:1_{D89F06B3-EA3C-457A-8924-12B26F2418E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Inoculum" sheetId="2" r:id="rId1"/>
    <sheet name="BCB1" sheetId="3" r:id="rId2"/>
    <sheet name="BCB2" sheetId="4" r:id="rId3"/>
    <sheet name="M. activity tests" sheetId="7" r:id="rId4"/>
    <sheet name="T. activity tests" sheetId="8" r:id="rId5"/>
    <sheet name="Activity tests summary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04" i="8" l="1"/>
  <c r="AH204" i="8"/>
  <c r="AF204" i="8"/>
  <c r="AD204" i="8"/>
  <c r="AB204" i="8"/>
  <c r="Z204" i="8"/>
  <c r="X204" i="8"/>
  <c r="W204" i="8"/>
  <c r="V204" i="8"/>
  <c r="U204" i="8"/>
  <c r="T204" i="8"/>
  <c r="S204" i="8"/>
  <c r="R204" i="8"/>
  <c r="Q204" i="8"/>
  <c r="P204" i="8"/>
  <c r="O204" i="8"/>
  <c r="N204" i="8"/>
  <c r="M204" i="8"/>
  <c r="I204" i="8"/>
  <c r="H204" i="8"/>
  <c r="G204" i="8"/>
  <c r="F204" i="8"/>
  <c r="E204" i="8"/>
  <c r="D204" i="8"/>
  <c r="BU203" i="8"/>
  <c r="BZ203" i="8" s="1"/>
  <c r="BS203" i="8"/>
  <c r="BY203" i="8" s="1"/>
  <c r="BQ203" i="8"/>
  <c r="BO203" i="8"/>
  <c r="BW203" i="8" s="1"/>
  <c r="AW203" i="8"/>
  <c r="I203" i="8"/>
  <c r="BU202" i="8"/>
  <c r="BZ202" i="8" s="1"/>
  <c r="BS202" i="8"/>
  <c r="BY202" i="8" s="1"/>
  <c r="BQ202" i="8"/>
  <c r="BX202" i="8" s="1"/>
  <c r="BO202" i="8"/>
  <c r="BW202" i="8" s="1"/>
  <c r="AW202" i="8"/>
  <c r="I202" i="8"/>
  <c r="BX201" i="8"/>
  <c r="BU201" i="8"/>
  <c r="BS201" i="8"/>
  <c r="BQ201" i="8"/>
  <c r="BO201" i="8"/>
  <c r="AW201" i="8"/>
  <c r="I201" i="8"/>
  <c r="AJ200" i="8"/>
  <c r="AH200" i="8"/>
  <c r="AF200" i="8"/>
  <c r="AD200" i="8"/>
  <c r="AB200" i="8"/>
  <c r="Z200" i="8"/>
  <c r="X200" i="8"/>
  <c r="W200" i="8"/>
  <c r="V200" i="8"/>
  <c r="U200" i="8"/>
  <c r="T200" i="8"/>
  <c r="S200" i="8"/>
  <c r="R200" i="8"/>
  <c r="Q200" i="8"/>
  <c r="P200" i="8"/>
  <c r="O200" i="8"/>
  <c r="N200" i="8"/>
  <c r="M200" i="8"/>
  <c r="H200" i="8"/>
  <c r="G200" i="8"/>
  <c r="F200" i="8"/>
  <c r="E200" i="8"/>
  <c r="D200" i="8"/>
  <c r="BU199" i="8"/>
  <c r="BZ199" i="8" s="1"/>
  <c r="BS199" i="8"/>
  <c r="BY199" i="8" s="1"/>
  <c r="BQ199" i="8"/>
  <c r="BX199" i="8" s="1"/>
  <c r="BO199" i="8"/>
  <c r="BW199" i="8" s="1"/>
  <c r="AM199" i="8"/>
  <c r="AK199" i="8"/>
  <c r="I199" i="8"/>
  <c r="BU198" i="8"/>
  <c r="BZ198" i="8" s="1"/>
  <c r="BS198" i="8"/>
  <c r="BY198" i="8" s="1"/>
  <c r="BQ198" i="8"/>
  <c r="BX198" i="8" s="1"/>
  <c r="BO198" i="8"/>
  <c r="BW198" i="8" s="1"/>
  <c r="AM198" i="8"/>
  <c r="AK198" i="8"/>
  <c r="I198" i="8"/>
  <c r="BU197" i="8"/>
  <c r="BS197" i="8"/>
  <c r="BQ197" i="8"/>
  <c r="BO197" i="8"/>
  <c r="AM197" i="8"/>
  <c r="AK197" i="8"/>
  <c r="I197" i="8"/>
  <c r="AJ196" i="8"/>
  <c r="AH196" i="8"/>
  <c r="AF196" i="8"/>
  <c r="AD196" i="8"/>
  <c r="AB196" i="8"/>
  <c r="Z196" i="8"/>
  <c r="X196" i="8"/>
  <c r="W196" i="8"/>
  <c r="V196" i="8"/>
  <c r="U196" i="8"/>
  <c r="T196" i="8"/>
  <c r="S196" i="8"/>
  <c r="R196" i="8"/>
  <c r="Q196" i="8"/>
  <c r="P196" i="8"/>
  <c r="O196" i="8"/>
  <c r="N196" i="8"/>
  <c r="M196" i="8"/>
  <c r="H196" i="8"/>
  <c r="G196" i="8"/>
  <c r="F196" i="8"/>
  <c r="D196" i="8"/>
  <c r="BU195" i="8"/>
  <c r="BZ195" i="8" s="1"/>
  <c r="BS195" i="8"/>
  <c r="BY195" i="8" s="1"/>
  <c r="BQ195" i="8"/>
  <c r="BX195" i="8" s="1"/>
  <c r="BO195" i="8"/>
  <c r="BW195" i="8" s="1"/>
  <c r="AW195" i="8"/>
  <c r="AQ195" i="8"/>
  <c r="AO195" i="8"/>
  <c r="I195" i="8"/>
  <c r="BX194" i="8"/>
  <c r="BW194" i="8"/>
  <c r="BU194" i="8"/>
  <c r="BZ194" i="8" s="1"/>
  <c r="BS194" i="8"/>
  <c r="BQ194" i="8"/>
  <c r="BO194" i="8"/>
  <c r="BP196" i="8" s="1"/>
  <c r="AW194" i="8"/>
  <c r="AX196" i="8" s="1"/>
  <c r="I194" i="8"/>
  <c r="BX193" i="8"/>
  <c r="BU193" i="8"/>
  <c r="BS193" i="8"/>
  <c r="BY193" i="8" s="1"/>
  <c r="BQ193" i="8"/>
  <c r="BR196" i="8" s="1"/>
  <c r="BO193" i="8"/>
  <c r="BW193" i="8" s="1"/>
  <c r="AW193" i="8"/>
  <c r="I193" i="8"/>
  <c r="BS192" i="8"/>
  <c r="BY192" i="8" s="1"/>
  <c r="BP192" i="8"/>
  <c r="AJ192" i="8"/>
  <c r="AH192" i="8"/>
  <c r="AF192" i="8"/>
  <c r="AD192" i="8"/>
  <c r="AB192" i="8"/>
  <c r="Z192" i="8"/>
  <c r="X192" i="8"/>
  <c r="W192" i="8"/>
  <c r="V192" i="8"/>
  <c r="U192" i="8"/>
  <c r="T192" i="8"/>
  <c r="S192" i="8"/>
  <c r="R192" i="8"/>
  <c r="Q192" i="8"/>
  <c r="P192" i="8"/>
  <c r="O192" i="8"/>
  <c r="N192" i="8"/>
  <c r="M192" i="8"/>
  <c r="H192" i="8"/>
  <c r="G192" i="8"/>
  <c r="F192" i="8"/>
  <c r="D192" i="8"/>
  <c r="BW191" i="8"/>
  <c r="BU191" i="8"/>
  <c r="BZ191" i="8" s="1"/>
  <c r="BS191" i="8"/>
  <c r="BQ191" i="8"/>
  <c r="BX191" i="8" s="1"/>
  <c r="BO191" i="8"/>
  <c r="AM191" i="8"/>
  <c r="AK191" i="8"/>
  <c r="I191" i="8"/>
  <c r="K191" i="8" s="1"/>
  <c r="BU190" i="8"/>
  <c r="BZ190" i="8" s="1"/>
  <c r="BS190" i="8"/>
  <c r="BY190" i="8" s="1"/>
  <c r="BQ190" i="8"/>
  <c r="BX190" i="8" s="1"/>
  <c r="BO190" i="8"/>
  <c r="BW190" i="8" s="1"/>
  <c r="AM190" i="8"/>
  <c r="AN192" i="8" s="1"/>
  <c r="AK190" i="8"/>
  <c r="AL192" i="8" s="1"/>
  <c r="I190" i="8"/>
  <c r="K190" i="8" s="1"/>
  <c r="BY189" i="8"/>
  <c r="BU189" i="8"/>
  <c r="BZ189" i="8" s="1"/>
  <c r="BS189" i="8"/>
  <c r="BQ189" i="8"/>
  <c r="BO189" i="8"/>
  <c r="BW189" i="8" s="1"/>
  <c r="AM189" i="8"/>
  <c r="AK189" i="8"/>
  <c r="I189" i="8"/>
  <c r="AJ188" i="8"/>
  <c r="AH188" i="8"/>
  <c r="AF188" i="8"/>
  <c r="AD188" i="8"/>
  <c r="AB188" i="8"/>
  <c r="Z188" i="8"/>
  <c r="X188" i="8"/>
  <c r="W188" i="8"/>
  <c r="V188" i="8"/>
  <c r="U188" i="8"/>
  <c r="T188" i="8"/>
  <c r="S188" i="8"/>
  <c r="R188" i="8"/>
  <c r="Q188" i="8"/>
  <c r="P188" i="8"/>
  <c r="O188" i="8"/>
  <c r="N188" i="8"/>
  <c r="M188" i="8"/>
  <c r="H188" i="8"/>
  <c r="G188" i="8"/>
  <c r="F188" i="8"/>
  <c r="D188" i="8"/>
  <c r="BU187" i="8"/>
  <c r="BZ187" i="8" s="1"/>
  <c r="BS187" i="8"/>
  <c r="BY187" i="8" s="1"/>
  <c r="BQ187" i="8"/>
  <c r="BX187" i="8" s="1"/>
  <c r="BO187" i="8"/>
  <c r="BW187" i="8" s="1"/>
  <c r="AW187" i="8"/>
  <c r="AX188" i="8" s="1"/>
  <c r="AQ187" i="8"/>
  <c r="AO187" i="8"/>
  <c r="I187" i="8"/>
  <c r="K187" i="8" s="1"/>
  <c r="BU186" i="8"/>
  <c r="BZ186" i="8" s="1"/>
  <c r="BS186" i="8"/>
  <c r="BY186" i="8" s="1"/>
  <c r="BQ186" i="8"/>
  <c r="BX186" i="8" s="1"/>
  <c r="BO186" i="8"/>
  <c r="BW186" i="8" s="1"/>
  <c r="AW186" i="8"/>
  <c r="I186" i="8"/>
  <c r="BU185" i="8"/>
  <c r="BZ185" i="8" s="1"/>
  <c r="BS185" i="8"/>
  <c r="BQ185" i="8"/>
  <c r="BO185" i="8"/>
  <c r="AW185" i="8"/>
  <c r="I185" i="8"/>
  <c r="BQ184" i="8"/>
  <c r="BX184" i="8" s="1"/>
  <c r="BP184" i="8"/>
  <c r="BO184" i="8"/>
  <c r="AJ184" i="8"/>
  <c r="AH184" i="8"/>
  <c r="AF184" i="8"/>
  <c r="AD184" i="8"/>
  <c r="AB184" i="8"/>
  <c r="Z184" i="8"/>
  <c r="X184" i="8"/>
  <c r="W184" i="8"/>
  <c r="V184" i="8"/>
  <c r="U184" i="8"/>
  <c r="T184" i="8"/>
  <c r="S184" i="8"/>
  <c r="R184" i="8"/>
  <c r="Q184" i="8"/>
  <c r="P184" i="8"/>
  <c r="O184" i="8"/>
  <c r="N184" i="8"/>
  <c r="M184" i="8"/>
  <c r="H184" i="8"/>
  <c r="G184" i="8"/>
  <c r="F184" i="8"/>
  <c r="D184" i="8"/>
  <c r="BW183" i="8"/>
  <c r="BU183" i="8"/>
  <c r="BZ183" i="8" s="1"/>
  <c r="BS183" i="8"/>
  <c r="BY183" i="8" s="1"/>
  <c r="BQ183" i="8"/>
  <c r="BX183" i="8" s="1"/>
  <c r="BO183" i="8"/>
  <c r="AM183" i="8"/>
  <c r="AK183" i="8"/>
  <c r="I183" i="8"/>
  <c r="K183" i="8" s="1"/>
  <c r="BU182" i="8"/>
  <c r="BS182" i="8"/>
  <c r="BY182" i="8" s="1"/>
  <c r="BQ182" i="8"/>
  <c r="BO182" i="8"/>
  <c r="BW182" i="8" s="1"/>
  <c r="AM182" i="8"/>
  <c r="AK182" i="8"/>
  <c r="I182" i="8"/>
  <c r="BY181" i="8"/>
  <c r="BX181" i="8"/>
  <c r="BW181" i="8"/>
  <c r="BU181" i="8"/>
  <c r="BZ181" i="8" s="1"/>
  <c r="BS181" i="8"/>
  <c r="BQ181" i="8"/>
  <c r="BO181" i="8"/>
  <c r="AM181" i="8"/>
  <c r="AK181" i="8"/>
  <c r="I181" i="8"/>
  <c r="AJ180" i="8"/>
  <c r="AH180" i="8"/>
  <c r="AF180" i="8"/>
  <c r="AD180" i="8"/>
  <c r="AB180" i="8"/>
  <c r="Z180" i="8"/>
  <c r="X180" i="8"/>
  <c r="W180" i="8"/>
  <c r="V180" i="8"/>
  <c r="U180" i="8"/>
  <c r="T180" i="8"/>
  <c r="S180" i="8"/>
  <c r="R180" i="8"/>
  <c r="Q180" i="8"/>
  <c r="P180" i="8"/>
  <c r="O180" i="8"/>
  <c r="N180" i="8"/>
  <c r="M180" i="8"/>
  <c r="H180" i="8"/>
  <c r="G180" i="8"/>
  <c r="F180" i="8"/>
  <c r="D180" i="8"/>
  <c r="BU179" i="8"/>
  <c r="BZ179" i="8" s="1"/>
  <c r="BS179" i="8"/>
  <c r="BY179" i="8" s="1"/>
  <c r="BQ179" i="8"/>
  <c r="BX179" i="8" s="1"/>
  <c r="BO179" i="8"/>
  <c r="BW179" i="8" s="1"/>
  <c r="AW179" i="8"/>
  <c r="I179" i="8"/>
  <c r="BU178" i="8"/>
  <c r="BV180" i="8" s="1"/>
  <c r="BS178" i="8"/>
  <c r="BQ178" i="8"/>
  <c r="BX178" i="8" s="1"/>
  <c r="BO178" i="8"/>
  <c r="AW178" i="8"/>
  <c r="I178" i="8"/>
  <c r="BZ177" i="8"/>
  <c r="BY177" i="8"/>
  <c r="BW177" i="8"/>
  <c r="BU177" i="8"/>
  <c r="BS177" i="8"/>
  <c r="BQ177" i="8"/>
  <c r="BX177" i="8" s="1"/>
  <c r="BO177" i="8"/>
  <c r="AW177" i="8"/>
  <c r="I177" i="8"/>
  <c r="AL176" i="8"/>
  <c r="AK176" i="8"/>
  <c r="AJ176" i="8"/>
  <c r="AH176" i="8"/>
  <c r="AF176" i="8"/>
  <c r="AD176" i="8"/>
  <c r="AB176" i="8"/>
  <c r="Z176" i="8"/>
  <c r="X176" i="8"/>
  <c r="W176" i="8"/>
  <c r="V176" i="8"/>
  <c r="U176" i="8"/>
  <c r="T176" i="8"/>
  <c r="S176" i="8"/>
  <c r="R176" i="8"/>
  <c r="Q176" i="8"/>
  <c r="P176" i="8"/>
  <c r="O176" i="8"/>
  <c r="N176" i="8"/>
  <c r="M176" i="8"/>
  <c r="J176" i="8"/>
  <c r="I176" i="8"/>
  <c r="H176" i="8"/>
  <c r="G176" i="8"/>
  <c r="F176" i="8"/>
  <c r="D176" i="8"/>
  <c r="BU175" i="8"/>
  <c r="BZ175" i="8" s="1"/>
  <c r="BS175" i="8"/>
  <c r="BY175" i="8" s="1"/>
  <c r="BQ175" i="8"/>
  <c r="BX175" i="8" s="1"/>
  <c r="BO175" i="8"/>
  <c r="BW175" i="8" s="1"/>
  <c r="AM175" i="8"/>
  <c r="AK175" i="8"/>
  <c r="I175" i="8"/>
  <c r="BY174" i="8"/>
  <c r="BX174" i="8"/>
  <c r="BW174" i="8"/>
  <c r="BU174" i="8"/>
  <c r="BZ174" i="8" s="1"/>
  <c r="BS174" i="8"/>
  <c r="BQ174" i="8"/>
  <c r="BO174" i="8"/>
  <c r="AM174" i="8"/>
  <c r="AN176" i="8" s="1"/>
  <c r="AK174" i="8"/>
  <c r="I174" i="8"/>
  <c r="BX173" i="8"/>
  <c r="BU173" i="8"/>
  <c r="BZ173" i="8" s="1"/>
  <c r="BS173" i="8"/>
  <c r="BY173" i="8" s="1"/>
  <c r="BQ173" i="8"/>
  <c r="BO173" i="8"/>
  <c r="AM173" i="8"/>
  <c r="AK173" i="8"/>
  <c r="I173" i="8"/>
  <c r="AJ172" i="8"/>
  <c r="AH172" i="8"/>
  <c r="AF172" i="8"/>
  <c r="AD172" i="8"/>
  <c r="AB172" i="8"/>
  <c r="Z172" i="8"/>
  <c r="X172" i="8"/>
  <c r="W172" i="8"/>
  <c r="V172" i="8"/>
  <c r="U172" i="8"/>
  <c r="T172" i="8"/>
  <c r="S172" i="8"/>
  <c r="R172" i="8"/>
  <c r="Q172" i="8"/>
  <c r="P172" i="8"/>
  <c r="O172" i="8"/>
  <c r="N172" i="8"/>
  <c r="M172" i="8"/>
  <c r="J172" i="8"/>
  <c r="I172" i="8"/>
  <c r="H172" i="8"/>
  <c r="G172" i="8"/>
  <c r="F172" i="8"/>
  <c r="D172" i="8"/>
  <c r="BU171" i="8"/>
  <c r="BZ171" i="8" s="1"/>
  <c r="BS171" i="8"/>
  <c r="BY171" i="8" s="1"/>
  <c r="BQ171" i="8"/>
  <c r="BX171" i="8" s="1"/>
  <c r="BO171" i="8"/>
  <c r="BW171" i="8" s="1"/>
  <c r="AW171" i="8"/>
  <c r="I171" i="8"/>
  <c r="BU170" i="8"/>
  <c r="BS170" i="8"/>
  <c r="BQ170" i="8"/>
  <c r="BX170" i="8" s="1"/>
  <c r="BO170" i="8"/>
  <c r="AW170" i="8"/>
  <c r="I170" i="8"/>
  <c r="BZ169" i="8"/>
  <c r="BY169" i="8"/>
  <c r="BX169" i="8"/>
  <c r="BU169" i="8"/>
  <c r="BS169" i="8"/>
  <c r="BQ169" i="8"/>
  <c r="BO169" i="8"/>
  <c r="BW169" i="8" s="1"/>
  <c r="AW169" i="8"/>
  <c r="I169" i="8"/>
  <c r="AJ168" i="8"/>
  <c r="AH168" i="8"/>
  <c r="AF168" i="8"/>
  <c r="AD168" i="8"/>
  <c r="AB168" i="8"/>
  <c r="Z168" i="8"/>
  <c r="X168" i="8"/>
  <c r="W168" i="8"/>
  <c r="V168" i="8"/>
  <c r="U168" i="8"/>
  <c r="T168" i="8"/>
  <c r="S168" i="8"/>
  <c r="R168" i="8"/>
  <c r="Q168" i="8"/>
  <c r="P168" i="8"/>
  <c r="O168" i="8"/>
  <c r="N168" i="8"/>
  <c r="M168" i="8"/>
  <c r="L168" i="8"/>
  <c r="H168" i="8"/>
  <c r="G168" i="8"/>
  <c r="F168" i="8"/>
  <c r="D168" i="8"/>
  <c r="BY167" i="8"/>
  <c r="BX167" i="8"/>
  <c r="BU167" i="8"/>
  <c r="BZ167" i="8" s="1"/>
  <c r="BS167" i="8"/>
  <c r="BQ167" i="8"/>
  <c r="BO167" i="8"/>
  <c r="BW167" i="8" s="1"/>
  <c r="AQ167" i="8"/>
  <c r="AM167" i="8"/>
  <c r="AK167" i="8"/>
  <c r="I167" i="8"/>
  <c r="BW166" i="8"/>
  <c r="BU166" i="8"/>
  <c r="BZ166" i="8" s="1"/>
  <c r="BS166" i="8"/>
  <c r="BY166" i="8" s="1"/>
  <c r="BQ166" i="8"/>
  <c r="BX166" i="8" s="1"/>
  <c r="BO166" i="8"/>
  <c r="AM166" i="8"/>
  <c r="AK166" i="8"/>
  <c r="I166" i="8"/>
  <c r="BU165" i="8"/>
  <c r="BS165" i="8"/>
  <c r="BQ165" i="8"/>
  <c r="BO165" i="8"/>
  <c r="AM165" i="8"/>
  <c r="AN168" i="8" s="1"/>
  <c r="AK165" i="8"/>
  <c r="I165" i="8"/>
  <c r="AJ164" i="8"/>
  <c r="AH164" i="8"/>
  <c r="AF164" i="8"/>
  <c r="AD164" i="8"/>
  <c r="AB164" i="8"/>
  <c r="Z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H164" i="8"/>
  <c r="G164" i="8"/>
  <c r="F164" i="8"/>
  <c r="D164" i="8"/>
  <c r="BU163" i="8"/>
  <c r="BZ163" i="8" s="1"/>
  <c r="BS163" i="8"/>
  <c r="BY163" i="8" s="1"/>
  <c r="BQ163" i="8"/>
  <c r="BX163" i="8" s="1"/>
  <c r="BO163" i="8"/>
  <c r="BW163" i="8" s="1"/>
  <c r="AQ163" i="8" s="1"/>
  <c r="AW163" i="8"/>
  <c r="I163" i="8"/>
  <c r="BU162" i="8"/>
  <c r="BZ162" i="8" s="1"/>
  <c r="BS162" i="8"/>
  <c r="BY162" i="8" s="1"/>
  <c r="BQ162" i="8"/>
  <c r="BX162" i="8" s="1"/>
  <c r="BO162" i="8"/>
  <c r="BW162" i="8" s="1"/>
  <c r="AW162" i="8"/>
  <c r="I162" i="8"/>
  <c r="K162" i="8" s="1"/>
  <c r="BU161" i="8"/>
  <c r="BS161" i="8"/>
  <c r="BQ161" i="8"/>
  <c r="BO161" i="8"/>
  <c r="AW161" i="8"/>
  <c r="I161" i="8"/>
  <c r="AJ160" i="8"/>
  <c r="AH160" i="8"/>
  <c r="AF160" i="8"/>
  <c r="AD160" i="8"/>
  <c r="AB160" i="8"/>
  <c r="Z160" i="8"/>
  <c r="X160" i="8"/>
  <c r="W160" i="8"/>
  <c r="V160" i="8"/>
  <c r="U160" i="8"/>
  <c r="T160" i="8"/>
  <c r="S160" i="8"/>
  <c r="R160" i="8"/>
  <c r="Q160" i="8"/>
  <c r="P160" i="8"/>
  <c r="O160" i="8"/>
  <c r="N160" i="8"/>
  <c r="M160" i="8"/>
  <c r="L160" i="8"/>
  <c r="H160" i="8"/>
  <c r="G160" i="8"/>
  <c r="F160" i="8"/>
  <c r="D160" i="8"/>
  <c r="BU159" i="8"/>
  <c r="BV160" i="8" s="1"/>
  <c r="BS159" i="8"/>
  <c r="BY159" i="8" s="1"/>
  <c r="BQ159" i="8"/>
  <c r="BX159" i="8" s="1"/>
  <c r="BO159" i="8"/>
  <c r="BW159" i="8" s="1"/>
  <c r="AM159" i="8"/>
  <c r="AK159" i="8"/>
  <c r="I159" i="8"/>
  <c r="BU158" i="8"/>
  <c r="BZ158" i="8" s="1"/>
  <c r="BS158" i="8"/>
  <c r="BQ158" i="8"/>
  <c r="BO158" i="8"/>
  <c r="BW158" i="8" s="1"/>
  <c r="AM158" i="8"/>
  <c r="AK158" i="8"/>
  <c r="I158" i="8"/>
  <c r="BX157" i="8"/>
  <c r="BU157" i="8"/>
  <c r="BS157" i="8"/>
  <c r="BY157" i="8" s="1"/>
  <c r="BQ157" i="8"/>
  <c r="BO157" i="8"/>
  <c r="AM157" i="8"/>
  <c r="AK157" i="8"/>
  <c r="I157" i="8"/>
  <c r="AJ156" i="8"/>
  <c r="AH156" i="8"/>
  <c r="AF156" i="8"/>
  <c r="AD156" i="8"/>
  <c r="AB156" i="8"/>
  <c r="Z156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H156" i="8"/>
  <c r="G156" i="8"/>
  <c r="F156" i="8"/>
  <c r="E156" i="8"/>
  <c r="D156" i="8"/>
  <c r="BU155" i="8"/>
  <c r="BZ155" i="8" s="1"/>
  <c r="BS155" i="8"/>
  <c r="BY155" i="8" s="1"/>
  <c r="BQ155" i="8"/>
  <c r="BO155" i="8"/>
  <c r="BW155" i="8" s="1"/>
  <c r="I155" i="8"/>
  <c r="BZ154" i="8"/>
  <c r="BU154" i="8"/>
  <c r="BS154" i="8"/>
  <c r="BY154" i="8" s="1"/>
  <c r="BQ154" i="8"/>
  <c r="BX154" i="8" s="1"/>
  <c r="BO154" i="8"/>
  <c r="BW154" i="8" s="1"/>
  <c r="I154" i="8"/>
  <c r="K170" i="8" s="1"/>
  <c r="BU153" i="8"/>
  <c r="BZ153" i="8" s="1"/>
  <c r="BS153" i="8"/>
  <c r="BY153" i="8" s="1"/>
  <c r="BQ153" i="8"/>
  <c r="BX153" i="8" s="1"/>
  <c r="AU177" i="8" s="1"/>
  <c r="BO153" i="8"/>
  <c r="I153" i="8"/>
  <c r="AJ152" i="8"/>
  <c r="AH152" i="8"/>
  <c r="AF152" i="8"/>
  <c r="AD152" i="8"/>
  <c r="AB152" i="8"/>
  <c r="Z152" i="8"/>
  <c r="X152" i="8"/>
  <c r="W152" i="8"/>
  <c r="V152" i="8"/>
  <c r="U152" i="8"/>
  <c r="T152" i="8"/>
  <c r="S152" i="8"/>
  <c r="R152" i="8"/>
  <c r="Q152" i="8"/>
  <c r="P152" i="8"/>
  <c r="O152" i="8"/>
  <c r="N152" i="8"/>
  <c r="M152" i="8"/>
  <c r="L152" i="8"/>
  <c r="H152" i="8"/>
  <c r="G152" i="8"/>
  <c r="F152" i="8"/>
  <c r="E152" i="8"/>
  <c r="D152" i="8"/>
  <c r="BU151" i="8"/>
  <c r="BS151" i="8"/>
  <c r="BY151" i="8" s="1"/>
  <c r="BQ151" i="8"/>
  <c r="BX151" i="8" s="1"/>
  <c r="BO151" i="8"/>
  <c r="BW151" i="8" s="1"/>
  <c r="AQ175" i="8" s="1"/>
  <c r="I151" i="8"/>
  <c r="BU150" i="8"/>
  <c r="BZ150" i="8" s="1"/>
  <c r="BS150" i="8"/>
  <c r="BY150" i="8" s="1"/>
  <c r="BQ150" i="8"/>
  <c r="BX150" i="8" s="1"/>
  <c r="BO150" i="8"/>
  <c r="BW150" i="8" s="1"/>
  <c r="AQ158" i="8" s="1"/>
  <c r="I150" i="8"/>
  <c r="K198" i="8" s="1"/>
  <c r="BZ149" i="8"/>
  <c r="BU149" i="8"/>
  <c r="BS149" i="8"/>
  <c r="BY149" i="8" s="1"/>
  <c r="BQ149" i="8"/>
  <c r="BO149" i="8"/>
  <c r="I149" i="8"/>
  <c r="BN137" i="8"/>
  <c r="BM137" i="8"/>
  <c r="BL137" i="8"/>
  <c r="BK137" i="8"/>
  <c r="BJ137" i="8"/>
  <c r="BI137" i="8"/>
  <c r="BH137" i="8"/>
  <c r="BG137" i="8"/>
  <c r="AJ137" i="8"/>
  <c r="AI137" i="8"/>
  <c r="AH137" i="8"/>
  <c r="AG137" i="8"/>
  <c r="AF137" i="8"/>
  <c r="AE137" i="8"/>
  <c r="AD137" i="8"/>
  <c r="AC137" i="8"/>
  <c r="AB137" i="8"/>
  <c r="AA137" i="8"/>
  <c r="Z137" i="8"/>
  <c r="Y137" i="8"/>
  <c r="X137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H137" i="8"/>
  <c r="G137" i="8"/>
  <c r="F137" i="8"/>
  <c r="E137" i="8"/>
  <c r="D137" i="8"/>
  <c r="BW136" i="8"/>
  <c r="BU136" i="8"/>
  <c r="BS136" i="8"/>
  <c r="BY136" i="8" s="1"/>
  <c r="BQ136" i="8"/>
  <c r="BX136" i="8" s="1"/>
  <c r="BO136" i="8"/>
  <c r="I136" i="8"/>
  <c r="BW135" i="8"/>
  <c r="BU135" i="8"/>
  <c r="BZ135" i="8" s="1"/>
  <c r="BS135" i="8"/>
  <c r="BY135" i="8" s="1"/>
  <c r="BQ135" i="8"/>
  <c r="BX135" i="8" s="1"/>
  <c r="BO135" i="8"/>
  <c r="I135" i="8"/>
  <c r="BU134" i="8"/>
  <c r="BZ134" i="8" s="1"/>
  <c r="BS134" i="8"/>
  <c r="BY134" i="8" s="1"/>
  <c r="BQ134" i="8"/>
  <c r="BR137" i="8" s="1"/>
  <c r="BO134" i="8"/>
  <c r="I134" i="8"/>
  <c r="BN133" i="8"/>
  <c r="BM133" i="8"/>
  <c r="BL133" i="8"/>
  <c r="BK133" i="8"/>
  <c r="BJ133" i="8"/>
  <c r="BI133" i="8"/>
  <c r="BH133" i="8"/>
  <c r="BG133" i="8"/>
  <c r="AJ133" i="8"/>
  <c r="AI133" i="8"/>
  <c r="AH133" i="8"/>
  <c r="AG133" i="8"/>
  <c r="AF133" i="8"/>
  <c r="AE133" i="8"/>
  <c r="AD133" i="8"/>
  <c r="AC133" i="8"/>
  <c r="AB133" i="8"/>
  <c r="AA133" i="8"/>
  <c r="Z133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H133" i="8"/>
  <c r="G133" i="8"/>
  <c r="F133" i="8"/>
  <c r="E133" i="8"/>
  <c r="D133" i="8"/>
  <c r="BZ132" i="8"/>
  <c r="BU132" i="8"/>
  <c r="BS132" i="8"/>
  <c r="BY132" i="8" s="1"/>
  <c r="BQ132" i="8"/>
  <c r="BX132" i="8" s="1"/>
  <c r="BO132" i="8"/>
  <c r="BW132" i="8" s="1"/>
  <c r="AM132" i="8"/>
  <c r="AK132" i="8"/>
  <c r="I132" i="8"/>
  <c r="BW131" i="8"/>
  <c r="BU131" i="8"/>
  <c r="BS131" i="8"/>
  <c r="BY131" i="8" s="1"/>
  <c r="BQ131" i="8"/>
  <c r="BO131" i="8"/>
  <c r="AM131" i="8"/>
  <c r="AK131" i="8"/>
  <c r="AL133" i="8" s="1"/>
  <c r="I131" i="8"/>
  <c r="BY130" i="8"/>
  <c r="BX130" i="8"/>
  <c r="BW130" i="8"/>
  <c r="BU130" i="8"/>
  <c r="BZ130" i="8" s="1"/>
  <c r="BS130" i="8"/>
  <c r="BQ130" i="8"/>
  <c r="BO130" i="8"/>
  <c r="AM130" i="8"/>
  <c r="AK130" i="8"/>
  <c r="I130" i="8"/>
  <c r="BN129" i="8"/>
  <c r="BM129" i="8"/>
  <c r="BL129" i="8"/>
  <c r="BK129" i="8"/>
  <c r="BJ129" i="8"/>
  <c r="BI129" i="8"/>
  <c r="BH129" i="8"/>
  <c r="BG129" i="8"/>
  <c r="AJ129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H129" i="8"/>
  <c r="G129" i="8"/>
  <c r="F129" i="8"/>
  <c r="D129" i="8"/>
  <c r="BU128" i="8"/>
  <c r="BZ128" i="8" s="1"/>
  <c r="BS128" i="8"/>
  <c r="BY128" i="8" s="1"/>
  <c r="BQ128" i="8"/>
  <c r="BX128" i="8" s="1"/>
  <c r="BO128" i="8"/>
  <c r="BW128" i="8" s="1"/>
  <c r="I128" i="8"/>
  <c r="BU127" i="8"/>
  <c r="BZ127" i="8" s="1"/>
  <c r="BS127" i="8"/>
  <c r="BY127" i="8" s="1"/>
  <c r="BQ127" i="8"/>
  <c r="BX127" i="8" s="1"/>
  <c r="BO127" i="8"/>
  <c r="BW127" i="8" s="1"/>
  <c r="I127" i="8"/>
  <c r="BU126" i="8"/>
  <c r="BS126" i="8"/>
  <c r="BY126" i="8" s="1"/>
  <c r="BQ126" i="8"/>
  <c r="BQ129" i="8" s="1"/>
  <c r="BX129" i="8" s="1"/>
  <c r="BO126" i="8"/>
  <c r="I126" i="8"/>
  <c r="BN125" i="8"/>
  <c r="BM125" i="8"/>
  <c r="BL125" i="8"/>
  <c r="BK125" i="8"/>
  <c r="BJ125" i="8"/>
  <c r="BI125" i="8"/>
  <c r="BH125" i="8"/>
  <c r="BG125" i="8"/>
  <c r="AJ125" i="8"/>
  <c r="AI125" i="8"/>
  <c r="AH125" i="8"/>
  <c r="AG125" i="8"/>
  <c r="AF125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H125" i="8"/>
  <c r="G125" i="8"/>
  <c r="F125" i="8"/>
  <c r="D125" i="8"/>
  <c r="BW124" i="8"/>
  <c r="BU124" i="8"/>
  <c r="BZ124" i="8" s="1"/>
  <c r="BS124" i="8"/>
  <c r="BY124" i="8" s="1"/>
  <c r="BQ124" i="8"/>
  <c r="BX124" i="8" s="1"/>
  <c r="BO124" i="8"/>
  <c r="AM124" i="8"/>
  <c r="AK124" i="8"/>
  <c r="I124" i="8"/>
  <c r="BU123" i="8"/>
  <c r="BS123" i="8"/>
  <c r="BQ123" i="8"/>
  <c r="BX123" i="8" s="1"/>
  <c r="BO123" i="8"/>
  <c r="BW123" i="8" s="1"/>
  <c r="AQ123" i="8"/>
  <c r="AO123" i="8"/>
  <c r="AM123" i="8"/>
  <c r="AK123" i="8"/>
  <c r="I123" i="8"/>
  <c r="BX122" i="8"/>
  <c r="BW122" i="8"/>
  <c r="BU122" i="8"/>
  <c r="BZ122" i="8" s="1"/>
  <c r="BS122" i="8"/>
  <c r="BY122" i="8" s="1"/>
  <c r="BQ122" i="8"/>
  <c r="BO122" i="8"/>
  <c r="AM122" i="8"/>
  <c r="AK122" i="8"/>
  <c r="I122" i="8"/>
  <c r="BN121" i="8"/>
  <c r="BM121" i="8"/>
  <c r="BL121" i="8"/>
  <c r="BK121" i="8"/>
  <c r="BJ121" i="8"/>
  <c r="BI121" i="8"/>
  <c r="BH121" i="8"/>
  <c r="BG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H121" i="8"/>
  <c r="G121" i="8"/>
  <c r="F121" i="8"/>
  <c r="D121" i="8"/>
  <c r="BZ120" i="8"/>
  <c r="BU120" i="8"/>
  <c r="BS120" i="8"/>
  <c r="BY120" i="8" s="1"/>
  <c r="BQ120" i="8"/>
  <c r="BX120" i="8" s="1"/>
  <c r="BO120" i="8"/>
  <c r="BW120" i="8" s="1"/>
  <c r="I120" i="8"/>
  <c r="BU119" i="8"/>
  <c r="BS119" i="8"/>
  <c r="BY119" i="8" s="1"/>
  <c r="BQ119" i="8"/>
  <c r="BX119" i="8" s="1"/>
  <c r="BO119" i="8"/>
  <c r="BW119" i="8" s="1"/>
  <c r="I119" i="8"/>
  <c r="BZ118" i="8"/>
  <c r="BU118" i="8"/>
  <c r="BS118" i="8"/>
  <c r="BY118" i="8" s="1"/>
  <c r="BQ118" i="8"/>
  <c r="BX118" i="8" s="1"/>
  <c r="BO118" i="8"/>
  <c r="I118" i="8"/>
  <c r="J121" i="8" s="1"/>
  <c r="BQ117" i="8"/>
  <c r="BX117" i="8" s="1"/>
  <c r="BN117" i="8"/>
  <c r="BM117" i="8"/>
  <c r="BL117" i="8"/>
  <c r="BK117" i="8"/>
  <c r="BJ117" i="8"/>
  <c r="BI117" i="8"/>
  <c r="BH117" i="8"/>
  <c r="BG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J117" i="8"/>
  <c r="H117" i="8"/>
  <c r="G117" i="8"/>
  <c r="F117" i="8"/>
  <c r="D117" i="8"/>
  <c r="BW116" i="8"/>
  <c r="BU116" i="8"/>
  <c r="BZ116" i="8" s="1"/>
  <c r="BS116" i="8"/>
  <c r="BY116" i="8" s="1"/>
  <c r="BQ116" i="8"/>
  <c r="BX116" i="8" s="1"/>
  <c r="BO116" i="8"/>
  <c r="AM116" i="8"/>
  <c r="AK116" i="8"/>
  <c r="AK117" i="8" s="1"/>
  <c r="I116" i="8"/>
  <c r="BU115" i="8"/>
  <c r="BZ115" i="8" s="1"/>
  <c r="BS115" i="8"/>
  <c r="BY115" i="8" s="1"/>
  <c r="BQ115" i="8"/>
  <c r="BX115" i="8" s="1"/>
  <c r="BO115" i="8"/>
  <c r="BW115" i="8" s="1"/>
  <c r="AM115" i="8"/>
  <c r="AK115" i="8"/>
  <c r="I115" i="8"/>
  <c r="I117" i="8" s="1"/>
  <c r="BU114" i="8"/>
  <c r="BS114" i="8"/>
  <c r="BQ114" i="8"/>
  <c r="BO114" i="8"/>
  <c r="BW114" i="8" s="1"/>
  <c r="AM114" i="8"/>
  <c r="AK114" i="8"/>
  <c r="I114" i="8"/>
  <c r="BN113" i="8"/>
  <c r="BM113" i="8"/>
  <c r="BL113" i="8"/>
  <c r="BK113" i="8"/>
  <c r="BJ113" i="8"/>
  <c r="BI113" i="8"/>
  <c r="BH113" i="8"/>
  <c r="BG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H113" i="8"/>
  <c r="G113" i="8"/>
  <c r="F113" i="8"/>
  <c r="D113" i="8"/>
  <c r="BU112" i="8"/>
  <c r="BZ112" i="8" s="1"/>
  <c r="BS112" i="8"/>
  <c r="BY112" i="8" s="1"/>
  <c r="BQ112" i="8"/>
  <c r="BX112" i="8" s="1"/>
  <c r="BO112" i="8"/>
  <c r="BW112" i="8" s="1"/>
  <c r="I112" i="8"/>
  <c r="BW111" i="8"/>
  <c r="BU111" i="8"/>
  <c r="BZ111" i="8" s="1"/>
  <c r="BS111" i="8"/>
  <c r="BY111" i="8" s="1"/>
  <c r="BQ111" i="8"/>
  <c r="BX111" i="8" s="1"/>
  <c r="BO111" i="8"/>
  <c r="I111" i="8"/>
  <c r="BU110" i="8"/>
  <c r="BS110" i="8"/>
  <c r="BQ110" i="8"/>
  <c r="BO110" i="8"/>
  <c r="I110" i="8"/>
  <c r="BN109" i="8"/>
  <c r="BM109" i="8"/>
  <c r="BL109" i="8"/>
  <c r="BK109" i="8"/>
  <c r="BJ109" i="8"/>
  <c r="BI109" i="8"/>
  <c r="BH109" i="8"/>
  <c r="BG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H109" i="8"/>
  <c r="G109" i="8"/>
  <c r="F109" i="8"/>
  <c r="D109" i="8"/>
  <c r="BX108" i="8"/>
  <c r="AS108" i="8" s="1"/>
  <c r="BU108" i="8"/>
  <c r="BZ108" i="8" s="1"/>
  <c r="BS108" i="8"/>
  <c r="BQ108" i="8"/>
  <c r="BO108" i="8"/>
  <c r="BW108" i="8" s="1"/>
  <c r="AM108" i="8"/>
  <c r="AK108" i="8"/>
  <c r="I108" i="8"/>
  <c r="BX107" i="8"/>
  <c r="BU107" i="8"/>
  <c r="BZ107" i="8" s="1"/>
  <c r="BS107" i="8"/>
  <c r="BY107" i="8" s="1"/>
  <c r="BQ107" i="8"/>
  <c r="BO107" i="8"/>
  <c r="BW107" i="8" s="1"/>
  <c r="AM107" i="8"/>
  <c r="AK107" i="8"/>
  <c r="AK109" i="8" s="1"/>
  <c r="I107" i="8"/>
  <c r="BU106" i="8"/>
  <c r="BS106" i="8"/>
  <c r="BQ106" i="8"/>
  <c r="BO106" i="8"/>
  <c r="AM106" i="8"/>
  <c r="AK106" i="8"/>
  <c r="I106" i="8"/>
  <c r="BN105" i="8"/>
  <c r="BM105" i="8"/>
  <c r="BL105" i="8"/>
  <c r="BK105" i="8"/>
  <c r="BJ105" i="8"/>
  <c r="BI105" i="8"/>
  <c r="BH105" i="8"/>
  <c r="BG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H105" i="8"/>
  <c r="G105" i="8"/>
  <c r="F105" i="8"/>
  <c r="D105" i="8"/>
  <c r="BU104" i="8"/>
  <c r="BZ104" i="8" s="1"/>
  <c r="BS104" i="8"/>
  <c r="BY104" i="8" s="1"/>
  <c r="BQ104" i="8"/>
  <c r="BX104" i="8" s="1"/>
  <c r="BO104" i="8"/>
  <c r="BW104" i="8" s="1"/>
  <c r="I104" i="8"/>
  <c r="BU103" i="8"/>
  <c r="BZ103" i="8" s="1"/>
  <c r="BS103" i="8"/>
  <c r="BY103" i="8" s="1"/>
  <c r="BQ103" i="8"/>
  <c r="BX103" i="8" s="1"/>
  <c r="BO103" i="8"/>
  <c r="BW103" i="8" s="1"/>
  <c r="I103" i="8"/>
  <c r="BU102" i="8"/>
  <c r="BZ102" i="8" s="1"/>
  <c r="BS102" i="8"/>
  <c r="BQ102" i="8"/>
  <c r="BO102" i="8"/>
  <c r="I102" i="8"/>
  <c r="J105" i="8" s="1"/>
  <c r="BR101" i="8"/>
  <c r="BQ101" i="8"/>
  <c r="BX101" i="8" s="1"/>
  <c r="BP101" i="8"/>
  <c r="BN101" i="8"/>
  <c r="BM101" i="8"/>
  <c r="BL101" i="8"/>
  <c r="BK101" i="8"/>
  <c r="BJ101" i="8"/>
  <c r="BI101" i="8"/>
  <c r="BH101" i="8"/>
  <c r="BG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H101" i="8"/>
  <c r="G101" i="8"/>
  <c r="F101" i="8"/>
  <c r="D101" i="8"/>
  <c r="BY100" i="8"/>
  <c r="BU100" i="8"/>
  <c r="BZ100" i="8" s="1"/>
  <c r="BS100" i="8"/>
  <c r="BQ100" i="8"/>
  <c r="BX100" i="8" s="1"/>
  <c r="BO100" i="8"/>
  <c r="BW100" i="8" s="1"/>
  <c r="AM100" i="8"/>
  <c r="AK100" i="8"/>
  <c r="I100" i="8"/>
  <c r="BU99" i="8"/>
  <c r="BZ99" i="8" s="1"/>
  <c r="BS99" i="8"/>
  <c r="BY99" i="8" s="1"/>
  <c r="BQ99" i="8"/>
  <c r="BX99" i="8" s="1"/>
  <c r="BO99" i="8"/>
  <c r="BW99" i="8" s="1"/>
  <c r="AM99" i="8"/>
  <c r="AK99" i="8"/>
  <c r="I99" i="8"/>
  <c r="BX98" i="8"/>
  <c r="BW98" i="8"/>
  <c r="BU98" i="8"/>
  <c r="BS98" i="8"/>
  <c r="BQ98" i="8"/>
  <c r="BO98" i="8"/>
  <c r="BO101" i="8" s="1"/>
  <c r="AS98" i="8"/>
  <c r="AM98" i="8"/>
  <c r="AK98" i="8"/>
  <c r="AK101" i="8" s="1"/>
  <c r="I98" i="8"/>
  <c r="BN97" i="8"/>
  <c r="BM97" i="8"/>
  <c r="BL97" i="8"/>
  <c r="BK97" i="8"/>
  <c r="BJ97" i="8"/>
  <c r="BI97" i="8"/>
  <c r="BH97" i="8"/>
  <c r="BG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H97" i="8"/>
  <c r="G97" i="8"/>
  <c r="F97" i="8"/>
  <c r="D97" i="8"/>
  <c r="BZ96" i="8"/>
  <c r="BY96" i="8"/>
  <c r="BU96" i="8"/>
  <c r="BS96" i="8"/>
  <c r="BQ96" i="8"/>
  <c r="BX96" i="8" s="1"/>
  <c r="BO96" i="8"/>
  <c r="BW96" i="8" s="1"/>
  <c r="I96" i="8"/>
  <c r="BU95" i="8"/>
  <c r="BZ95" i="8" s="1"/>
  <c r="BS95" i="8"/>
  <c r="BQ95" i="8"/>
  <c r="BO95" i="8"/>
  <c r="BW95" i="8" s="1"/>
  <c r="I95" i="8"/>
  <c r="BY94" i="8"/>
  <c r="BX94" i="8"/>
  <c r="BU94" i="8"/>
  <c r="BZ94" i="8" s="1"/>
  <c r="BS94" i="8"/>
  <c r="BQ94" i="8"/>
  <c r="BO94" i="8"/>
  <c r="BW94" i="8" s="1"/>
  <c r="I94" i="8"/>
  <c r="BN93" i="8"/>
  <c r="BM93" i="8"/>
  <c r="BL93" i="8"/>
  <c r="BK93" i="8"/>
  <c r="BJ93" i="8"/>
  <c r="BI93" i="8"/>
  <c r="BH93" i="8"/>
  <c r="BG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H93" i="8"/>
  <c r="G93" i="8"/>
  <c r="F93" i="8"/>
  <c r="D93" i="8"/>
  <c r="BU92" i="8"/>
  <c r="BZ92" i="8" s="1"/>
  <c r="BS92" i="8"/>
  <c r="BY92" i="8" s="1"/>
  <c r="BQ92" i="8"/>
  <c r="BO92" i="8"/>
  <c r="BW92" i="8" s="1"/>
  <c r="AM92" i="8"/>
  <c r="AK92" i="8"/>
  <c r="I92" i="8"/>
  <c r="BY91" i="8"/>
  <c r="BX91" i="8"/>
  <c r="BU91" i="8"/>
  <c r="BS91" i="8"/>
  <c r="BQ91" i="8"/>
  <c r="BO91" i="8"/>
  <c r="BW91" i="8" s="1"/>
  <c r="AM91" i="8"/>
  <c r="AK91" i="8"/>
  <c r="I91" i="8"/>
  <c r="BZ90" i="8"/>
  <c r="BU90" i="8"/>
  <c r="BS90" i="8"/>
  <c r="BQ90" i="8"/>
  <c r="BX90" i="8" s="1"/>
  <c r="BO90" i="8"/>
  <c r="AS90" i="8"/>
  <c r="AM90" i="8"/>
  <c r="AK90" i="8"/>
  <c r="AL93" i="8" s="1"/>
  <c r="I90" i="8"/>
  <c r="BN89" i="8"/>
  <c r="BM89" i="8"/>
  <c r="BL89" i="8"/>
  <c r="BK89" i="8"/>
  <c r="BJ89" i="8"/>
  <c r="BI89" i="8"/>
  <c r="BH89" i="8"/>
  <c r="BG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H89" i="8"/>
  <c r="G89" i="8"/>
  <c r="F89" i="8"/>
  <c r="D89" i="8"/>
  <c r="BZ88" i="8"/>
  <c r="BX88" i="8"/>
  <c r="BU88" i="8"/>
  <c r="BS88" i="8"/>
  <c r="BY88" i="8" s="1"/>
  <c r="BQ88" i="8"/>
  <c r="BO88" i="8"/>
  <c r="BW88" i="8" s="1"/>
  <c r="I88" i="8"/>
  <c r="BU87" i="8"/>
  <c r="BZ87" i="8" s="1"/>
  <c r="BS87" i="8"/>
  <c r="BY87" i="8" s="1"/>
  <c r="BQ87" i="8"/>
  <c r="BX87" i="8" s="1"/>
  <c r="BO87" i="8"/>
  <c r="I87" i="8"/>
  <c r="BU86" i="8"/>
  <c r="BS86" i="8"/>
  <c r="BY86" i="8" s="1"/>
  <c r="BQ86" i="8"/>
  <c r="BX86" i="8" s="1"/>
  <c r="BO86" i="8"/>
  <c r="BW86" i="8" s="1"/>
  <c r="I86" i="8"/>
  <c r="BN85" i="8"/>
  <c r="BM85" i="8"/>
  <c r="BL85" i="8"/>
  <c r="BK85" i="8"/>
  <c r="BJ85" i="8"/>
  <c r="BI85" i="8"/>
  <c r="BH85" i="8"/>
  <c r="BG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H85" i="8"/>
  <c r="G85" i="8"/>
  <c r="F85" i="8"/>
  <c r="D85" i="8"/>
  <c r="BU84" i="8"/>
  <c r="BZ84" i="8" s="1"/>
  <c r="BS84" i="8"/>
  <c r="BY84" i="8" s="1"/>
  <c r="BQ84" i="8"/>
  <c r="BX84" i="8" s="1"/>
  <c r="BO84" i="8"/>
  <c r="BW84" i="8" s="1"/>
  <c r="AM84" i="8"/>
  <c r="AK84" i="8"/>
  <c r="I84" i="8"/>
  <c r="BZ83" i="8"/>
  <c r="BY83" i="8"/>
  <c r="BU83" i="8"/>
  <c r="BS83" i="8"/>
  <c r="BQ83" i="8"/>
  <c r="BX83" i="8" s="1"/>
  <c r="BO83" i="8"/>
  <c r="BW83" i="8" s="1"/>
  <c r="AM83" i="8"/>
  <c r="AK83" i="8"/>
  <c r="I83" i="8"/>
  <c r="J85" i="8" s="1"/>
  <c r="BU82" i="8"/>
  <c r="BZ82" i="8" s="1"/>
  <c r="BS82" i="8"/>
  <c r="BQ82" i="8"/>
  <c r="BO82" i="8"/>
  <c r="AM82" i="8"/>
  <c r="AK82" i="8"/>
  <c r="I82" i="8"/>
  <c r="BN81" i="8"/>
  <c r="BM81" i="8"/>
  <c r="BL81" i="8"/>
  <c r="BK81" i="8"/>
  <c r="BJ81" i="8"/>
  <c r="BI81" i="8"/>
  <c r="BH81" i="8"/>
  <c r="BG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I81" i="8"/>
  <c r="H81" i="8"/>
  <c r="E81" i="8"/>
  <c r="D81" i="8"/>
  <c r="BU80" i="8"/>
  <c r="BZ80" i="8" s="1"/>
  <c r="BS80" i="8"/>
  <c r="BY80" i="8" s="1"/>
  <c r="BQ80" i="8"/>
  <c r="BX80" i="8" s="1"/>
  <c r="BO80" i="8"/>
  <c r="BW80" i="8" s="1"/>
  <c r="I80" i="8"/>
  <c r="BU79" i="8"/>
  <c r="BS79" i="8"/>
  <c r="BY79" i="8" s="1"/>
  <c r="BQ79" i="8"/>
  <c r="BX79" i="8" s="1"/>
  <c r="BO79" i="8"/>
  <c r="I79" i="8"/>
  <c r="BU78" i="8"/>
  <c r="BZ78" i="8" s="1"/>
  <c r="BS78" i="8"/>
  <c r="BY78" i="8" s="1"/>
  <c r="BQ78" i="8"/>
  <c r="BO78" i="8"/>
  <c r="BW78" i="8" s="1"/>
  <c r="I78" i="8"/>
  <c r="J81" i="8" s="1"/>
  <c r="BP77" i="8"/>
  <c r="BN77" i="8"/>
  <c r="BM77" i="8"/>
  <c r="BL77" i="8"/>
  <c r="BK77" i="8"/>
  <c r="BJ77" i="8"/>
  <c r="BI77" i="8"/>
  <c r="BH77" i="8"/>
  <c r="BG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H77" i="8"/>
  <c r="G77" i="8"/>
  <c r="F77" i="8"/>
  <c r="E77" i="8"/>
  <c r="D77" i="8"/>
  <c r="BW76" i="8"/>
  <c r="BU76" i="8"/>
  <c r="BS76" i="8"/>
  <c r="BY76" i="8" s="1"/>
  <c r="BQ76" i="8"/>
  <c r="BX76" i="8" s="1"/>
  <c r="BO76" i="8"/>
  <c r="I76" i="8"/>
  <c r="BU75" i="8"/>
  <c r="BZ75" i="8" s="1"/>
  <c r="BS75" i="8"/>
  <c r="BY75" i="8" s="1"/>
  <c r="BQ75" i="8"/>
  <c r="BX75" i="8" s="1"/>
  <c r="BO75" i="8"/>
  <c r="BW75" i="8" s="1"/>
  <c r="AQ115" i="8" s="1"/>
  <c r="I75" i="8"/>
  <c r="BU74" i="8"/>
  <c r="BZ74" i="8" s="1"/>
  <c r="BS74" i="8"/>
  <c r="BY74" i="8" s="1"/>
  <c r="BQ74" i="8"/>
  <c r="BX74" i="8" s="1"/>
  <c r="BO74" i="8"/>
  <c r="I74" i="8"/>
  <c r="BN68" i="8"/>
  <c r="BM68" i="8"/>
  <c r="BL68" i="8"/>
  <c r="BK68" i="8"/>
  <c r="BJ68" i="8"/>
  <c r="BI68" i="8"/>
  <c r="BH68" i="8"/>
  <c r="BG68" i="8"/>
  <c r="AJ68" i="8"/>
  <c r="AH68" i="8"/>
  <c r="AF68" i="8"/>
  <c r="AD68" i="8"/>
  <c r="AB68" i="8"/>
  <c r="Z68" i="8"/>
  <c r="X68" i="8"/>
  <c r="W68" i="8"/>
  <c r="V68" i="8"/>
  <c r="U68" i="8"/>
  <c r="T68" i="8"/>
  <c r="S68" i="8"/>
  <c r="R68" i="8"/>
  <c r="Q68" i="8"/>
  <c r="P68" i="8"/>
  <c r="O68" i="8"/>
  <c r="N68" i="8"/>
  <c r="M68" i="8"/>
  <c r="H68" i="8"/>
  <c r="G68" i="8"/>
  <c r="F68" i="8"/>
  <c r="E68" i="8"/>
  <c r="D68" i="8"/>
  <c r="BU67" i="8"/>
  <c r="BZ67" i="8" s="1"/>
  <c r="BS67" i="8"/>
  <c r="BY67" i="8" s="1"/>
  <c r="BQ67" i="8"/>
  <c r="BX67" i="8" s="1"/>
  <c r="BO67" i="8"/>
  <c r="BW67" i="8" s="1"/>
  <c r="AM67" i="8"/>
  <c r="I67" i="8"/>
  <c r="BW66" i="8"/>
  <c r="BU66" i="8"/>
  <c r="BZ66" i="8" s="1"/>
  <c r="BS66" i="8"/>
  <c r="BY66" i="8" s="1"/>
  <c r="BQ66" i="8"/>
  <c r="BX66" i="8" s="1"/>
  <c r="BO66" i="8"/>
  <c r="AM66" i="8"/>
  <c r="AK66" i="8"/>
  <c r="I66" i="8"/>
  <c r="BZ65" i="8"/>
  <c r="BY65" i="8"/>
  <c r="BX65" i="8"/>
  <c r="BU65" i="8"/>
  <c r="BS65" i="8"/>
  <c r="BQ65" i="8"/>
  <c r="BO65" i="8"/>
  <c r="AM65" i="8"/>
  <c r="AK65" i="8"/>
  <c r="I65" i="8"/>
  <c r="BN64" i="8"/>
  <c r="BM64" i="8"/>
  <c r="BL64" i="8"/>
  <c r="BK64" i="8"/>
  <c r="BJ64" i="8"/>
  <c r="BI64" i="8"/>
  <c r="BH64" i="8"/>
  <c r="BG64" i="8"/>
  <c r="AJ64" i="8"/>
  <c r="AH64" i="8"/>
  <c r="AF64" i="8"/>
  <c r="AD64" i="8"/>
  <c r="AB64" i="8"/>
  <c r="Z64" i="8"/>
  <c r="X64" i="8"/>
  <c r="W64" i="8"/>
  <c r="V64" i="8"/>
  <c r="U64" i="8"/>
  <c r="T64" i="8"/>
  <c r="S64" i="8"/>
  <c r="R64" i="8"/>
  <c r="Q64" i="8"/>
  <c r="P64" i="8"/>
  <c r="O64" i="8"/>
  <c r="N64" i="8"/>
  <c r="M64" i="8"/>
  <c r="H64" i="8"/>
  <c r="G64" i="8"/>
  <c r="F64" i="8"/>
  <c r="E64" i="8"/>
  <c r="D64" i="8"/>
  <c r="BX63" i="8"/>
  <c r="BU63" i="8"/>
  <c r="BZ63" i="8" s="1"/>
  <c r="BS63" i="8"/>
  <c r="BY63" i="8" s="1"/>
  <c r="BQ63" i="8"/>
  <c r="BO63" i="8"/>
  <c r="BW63" i="8" s="1"/>
  <c r="BE63" i="8"/>
  <c r="BC63" i="8"/>
  <c r="BA63" i="8"/>
  <c r="AM63" i="8"/>
  <c r="I63" i="8"/>
  <c r="BU62" i="8"/>
  <c r="BZ62" i="8" s="1"/>
  <c r="BS62" i="8"/>
  <c r="BY62" i="8" s="1"/>
  <c r="BQ62" i="8"/>
  <c r="BX62" i="8" s="1"/>
  <c r="BO62" i="8"/>
  <c r="BW62" i="8" s="1"/>
  <c r="AM62" i="8"/>
  <c r="AK62" i="8"/>
  <c r="I62" i="8"/>
  <c r="BW61" i="8"/>
  <c r="BU61" i="8"/>
  <c r="BZ61" i="8" s="1"/>
  <c r="BS61" i="8"/>
  <c r="BQ61" i="8"/>
  <c r="BO61" i="8"/>
  <c r="AM61" i="8"/>
  <c r="AK61" i="8"/>
  <c r="I61" i="8"/>
  <c r="BN60" i="8"/>
  <c r="BM60" i="8"/>
  <c r="BL60" i="8"/>
  <c r="BK60" i="8"/>
  <c r="BJ60" i="8"/>
  <c r="BI60" i="8"/>
  <c r="BH60" i="8"/>
  <c r="BG60" i="8"/>
  <c r="AJ60" i="8"/>
  <c r="AH60" i="8"/>
  <c r="AF60" i="8"/>
  <c r="AD60" i="8"/>
  <c r="AB60" i="8"/>
  <c r="Z60" i="8"/>
  <c r="X60" i="8"/>
  <c r="W60" i="8"/>
  <c r="V60" i="8"/>
  <c r="U60" i="8"/>
  <c r="T60" i="8"/>
  <c r="S60" i="8"/>
  <c r="R60" i="8"/>
  <c r="Q60" i="8"/>
  <c r="P60" i="8"/>
  <c r="O60" i="8"/>
  <c r="N60" i="8"/>
  <c r="M60" i="8"/>
  <c r="H60" i="8"/>
  <c r="G60" i="8"/>
  <c r="F60" i="8"/>
  <c r="D60" i="8"/>
  <c r="BW59" i="8"/>
  <c r="BU59" i="8"/>
  <c r="BZ59" i="8" s="1"/>
  <c r="BS59" i="8"/>
  <c r="BY59" i="8" s="1"/>
  <c r="BQ59" i="8"/>
  <c r="BX59" i="8" s="1"/>
  <c r="BO59" i="8"/>
  <c r="AM59" i="8"/>
  <c r="I59" i="8"/>
  <c r="BE59" i="8" s="1"/>
  <c r="BU58" i="8"/>
  <c r="BZ58" i="8" s="1"/>
  <c r="BS58" i="8"/>
  <c r="BQ58" i="8"/>
  <c r="BO58" i="8"/>
  <c r="BE58" i="8"/>
  <c r="AM58" i="8"/>
  <c r="AK58" i="8"/>
  <c r="I58" i="8"/>
  <c r="BY57" i="8"/>
  <c r="BU57" i="8"/>
  <c r="BS57" i="8"/>
  <c r="BQ57" i="8"/>
  <c r="BX57" i="8" s="1"/>
  <c r="BO57" i="8"/>
  <c r="AM57" i="8"/>
  <c r="AK57" i="8"/>
  <c r="I57" i="8"/>
  <c r="BN56" i="8"/>
  <c r="BM56" i="8"/>
  <c r="BL56" i="8"/>
  <c r="BK56" i="8"/>
  <c r="BJ56" i="8"/>
  <c r="BI56" i="8"/>
  <c r="BH56" i="8"/>
  <c r="BG56" i="8"/>
  <c r="AJ56" i="8"/>
  <c r="AH56" i="8"/>
  <c r="AF56" i="8"/>
  <c r="AD56" i="8"/>
  <c r="AB56" i="8"/>
  <c r="Z56" i="8"/>
  <c r="X56" i="8"/>
  <c r="W56" i="8"/>
  <c r="V56" i="8"/>
  <c r="U56" i="8"/>
  <c r="T56" i="8"/>
  <c r="S56" i="8"/>
  <c r="R56" i="8"/>
  <c r="Q56" i="8"/>
  <c r="P56" i="8"/>
  <c r="O56" i="8"/>
  <c r="N56" i="8"/>
  <c r="M56" i="8"/>
  <c r="H56" i="8"/>
  <c r="G56" i="8"/>
  <c r="F56" i="8"/>
  <c r="D56" i="8"/>
  <c r="BU55" i="8"/>
  <c r="BZ55" i="8" s="1"/>
  <c r="BS55" i="8"/>
  <c r="BY55" i="8" s="1"/>
  <c r="BQ55" i="8"/>
  <c r="BX55" i="8" s="1"/>
  <c r="BO55" i="8"/>
  <c r="BC55" i="8"/>
  <c r="AM55" i="8"/>
  <c r="I55" i="8"/>
  <c r="BE55" i="8" s="1"/>
  <c r="BZ54" i="8"/>
  <c r="BU54" i="8"/>
  <c r="BS54" i="8"/>
  <c r="BY54" i="8" s="1"/>
  <c r="BQ54" i="8"/>
  <c r="BX54" i="8" s="1"/>
  <c r="BO54" i="8"/>
  <c r="BW54" i="8" s="1"/>
  <c r="AM54" i="8"/>
  <c r="AK54" i="8"/>
  <c r="I54" i="8"/>
  <c r="BX53" i="8"/>
  <c r="BW53" i="8"/>
  <c r="BU53" i="8"/>
  <c r="BV56" i="8" s="1"/>
  <c r="BS53" i="8"/>
  <c r="BQ53" i="8"/>
  <c r="BO53" i="8"/>
  <c r="AM53" i="8"/>
  <c r="AK53" i="8"/>
  <c r="I53" i="8"/>
  <c r="BA53" i="8" s="1"/>
  <c r="BN52" i="8"/>
  <c r="BM52" i="8"/>
  <c r="BL52" i="8"/>
  <c r="BK52" i="8"/>
  <c r="BJ52" i="8"/>
  <c r="BI52" i="8"/>
  <c r="BH52" i="8"/>
  <c r="BG52" i="8"/>
  <c r="AT52" i="8"/>
  <c r="AJ52" i="8"/>
  <c r="AH52" i="8"/>
  <c r="AF52" i="8"/>
  <c r="AD52" i="8"/>
  <c r="AB52" i="8"/>
  <c r="Z52" i="8"/>
  <c r="X52" i="8"/>
  <c r="W52" i="8"/>
  <c r="V52" i="8"/>
  <c r="U52" i="8"/>
  <c r="T52" i="8"/>
  <c r="S52" i="8"/>
  <c r="R52" i="8"/>
  <c r="Q52" i="8"/>
  <c r="P52" i="8"/>
  <c r="O52" i="8"/>
  <c r="N52" i="8"/>
  <c r="M52" i="8"/>
  <c r="H52" i="8"/>
  <c r="G52" i="8"/>
  <c r="F52" i="8"/>
  <c r="D52" i="8"/>
  <c r="BU51" i="8"/>
  <c r="BZ51" i="8" s="1"/>
  <c r="BS51" i="8"/>
  <c r="BY51" i="8" s="1"/>
  <c r="BQ51" i="8"/>
  <c r="BX51" i="8" s="1"/>
  <c r="BO51" i="8"/>
  <c r="BW51" i="8" s="1"/>
  <c r="AM51" i="8"/>
  <c r="I51" i="8"/>
  <c r="BX50" i="8"/>
  <c r="BU50" i="8"/>
  <c r="BZ50" i="8" s="1"/>
  <c r="BS50" i="8"/>
  <c r="BY50" i="8" s="1"/>
  <c r="BQ50" i="8"/>
  <c r="BO50" i="8"/>
  <c r="BW50" i="8" s="1"/>
  <c r="BE50" i="8"/>
  <c r="BA50" i="8"/>
  <c r="AM50" i="8"/>
  <c r="AM52" i="8" s="1"/>
  <c r="AK50" i="8"/>
  <c r="I50" i="8"/>
  <c r="BX49" i="8"/>
  <c r="BU49" i="8"/>
  <c r="BZ49" i="8" s="1"/>
  <c r="BS49" i="8"/>
  <c r="BQ49" i="8"/>
  <c r="BR52" i="8" s="1"/>
  <c r="BO49" i="8"/>
  <c r="AM49" i="8"/>
  <c r="AK49" i="8"/>
  <c r="I49" i="8"/>
  <c r="BN48" i="8"/>
  <c r="BM48" i="8"/>
  <c r="BL48" i="8"/>
  <c r="BK48" i="8"/>
  <c r="BJ48" i="8"/>
  <c r="BI48" i="8"/>
  <c r="BH48" i="8"/>
  <c r="BG48" i="8"/>
  <c r="AJ48" i="8"/>
  <c r="AH48" i="8"/>
  <c r="AF48" i="8"/>
  <c r="AD48" i="8"/>
  <c r="AB48" i="8"/>
  <c r="Z48" i="8"/>
  <c r="X48" i="8"/>
  <c r="W48" i="8"/>
  <c r="V48" i="8"/>
  <c r="U48" i="8"/>
  <c r="T48" i="8"/>
  <c r="S48" i="8"/>
  <c r="R48" i="8"/>
  <c r="Q48" i="8"/>
  <c r="P48" i="8"/>
  <c r="O48" i="8"/>
  <c r="N48" i="8"/>
  <c r="M48" i="8"/>
  <c r="H48" i="8"/>
  <c r="G48" i="8"/>
  <c r="F48" i="8"/>
  <c r="D48" i="8"/>
  <c r="BX47" i="8"/>
  <c r="BW47" i="8"/>
  <c r="BU47" i="8"/>
  <c r="BZ47" i="8" s="1"/>
  <c r="BS47" i="8"/>
  <c r="BY47" i="8" s="1"/>
  <c r="BQ47" i="8"/>
  <c r="BO47" i="8"/>
  <c r="AM47" i="8"/>
  <c r="I47" i="8"/>
  <c r="BE47" i="8" s="1"/>
  <c r="BX46" i="8"/>
  <c r="BU46" i="8"/>
  <c r="BS46" i="8"/>
  <c r="BQ46" i="8"/>
  <c r="BO46" i="8"/>
  <c r="BW46" i="8" s="1"/>
  <c r="AM46" i="8"/>
  <c r="AK46" i="8"/>
  <c r="I46" i="8"/>
  <c r="BE46" i="8" s="1"/>
  <c r="BU45" i="8"/>
  <c r="BZ45" i="8" s="1"/>
  <c r="BS45" i="8"/>
  <c r="BQ45" i="8"/>
  <c r="BO45" i="8"/>
  <c r="BE45" i="8"/>
  <c r="BC45" i="8"/>
  <c r="AM45" i="8"/>
  <c r="AK45" i="8"/>
  <c r="I45" i="8"/>
  <c r="BA45" i="8" s="1"/>
  <c r="BN44" i="8"/>
  <c r="BM44" i="8"/>
  <c r="BL44" i="8"/>
  <c r="BK44" i="8"/>
  <c r="BJ44" i="8"/>
  <c r="BI44" i="8"/>
  <c r="BH44" i="8"/>
  <c r="BG44" i="8"/>
  <c r="AJ44" i="8"/>
  <c r="AH44" i="8"/>
  <c r="AF44" i="8"/>
  <c r="AD44" i="8"/>
  <c r="AB44" i="8"/>
  <c r="Z44" i="8"/>
  <c r="X44" i="8"/>
  <c r="W44" i="8"/>
  <c r="V44" i="8"/>
  <c r="U44" i="8"/>
  <c r="T44" i="8"/>
  <c r="S44" i="8"/>
  <c r="R44" i="8"/>
  <c r="Q44" i="8"/>
  <c r="P44" i="8"/>
  <c r="O44" i="8"/>
  <c r="N44" i="8"/>
  <c r="M44" i="8"/>
  <c r="H44" i="8"/>
  <c r="G44" i="8"/>
  <c r="F44" i="8"/>
  <c r="D44" i="8"/>
  <c r="BU43" i="8"/>
  <c r="BZ43" i="8" s="1"/>
  <c r="BS43" i="8"/>
  <c r="BY43" i="8" s="1"/>
  <c r="BQ43" i="8"/>
  <c r="BX43" i="8" s="1"/>
  <c r="BO43" i="8"/>
  <c r="BW43" i="8" s="1"/>
  <c r="AM43" i="8"/>
  <c r="I43" i="8"/>
  <c r="BZ42" i="8"/>
  <c r="BY42" i="8"/>
  <c r="BX42" i="8"/>
  <c r="BU42" i="8"/>
  <c r="BS42" i="8"/>
  <c r="BQ42" i="8"/>
  <c r="BO42" i="8"/>
  <c r="BW42" i="8" s="1"/>
  <c r="AM42" i="8"/>
  <c r="AN44" i="8" s="1"/>
  <c r="AK42" i="8"/>
  <c r="AL44" i="8" s="1"/>
  <c r="AZ44" i="8" s="1"/>
  <c r="I42" i="8"/>
  <c r="BU41" i="8"/>
  <c r="BS41" i="8"/>
  <c r="BS44" i="8" s="1"/>
  <c r="BY44" i="8" s="1"/>
  <c r="BQ41" i="8"/>
  <c r="BO41" i="8"/>
  <c r="BW41" i="8" s="1"/>
  <c r="AM41" i="8"/>
  <c r="AK41" i="8"/>
  <c r="I41" i="8"/>
  <c r="BP40" i="8"/>
  <c r="BO40" i="8"/>
  <c r="BN40" i="8"/>
  <c r="BM40" i="8"/>
  <c r="BL40" i="8"/>
  <c r="BK40" i="8"/>
  <c r="BJ40" i="8"/>
  <c r="BI40" i="8"/>
  <c r="BH40" i="8"/>
  <c r="BG40" i="8"/>
  <c r="AJ40" i="8"/>
  <c r="AH40" i="8"/>
  <c r="AF40" i="8"/>
  <c r="AD40" i="8"/>
  <c r="AB40" i="8"/>
  <c r="Z40" i="8"/>
  <c r="X40" i="8"/>
  <c r="W40" i="8"/>
  <c r="V40" i="8"/>
  <c r="U40" i="8"/>
  <c r="T40" i="8"/>
  <c r="S40" i="8"/>
  <c r="R40" i="8"/>
  <c r="Q40" i="8"/>
  <c r="P40" i="8"/>
  <c r="O40" i="8"/>
  <c r="N40" i="8"/>
  <c r="M40" i="8"/>
  <c r="H40" i="8"/>
  <c r="G40" i="8"/>
  <c r="F40" i="8"/>
  <c r="D40" i="8"/>
  <c r="BU39" i="8"/>
  <c r="BZ39" i="8" s="1"/>
  <c r="BS39" i="8"/>
  <c r="BY39" i="8" s="1"/>
  <c r="BQ39" i="8"/>
  <c r="BX39" i="8" s="1"/>
  <c r="BO39" i="8"/>
  <c r="BW39" i="8" s="1"/>
  <c r="BC39" i="8"/>
  <c r="BA39" i="8"/>
  <c r="AM39" i="8"/>
  <c r="AK39" i="8"/>
  <c r="I39" i="8"/>
  <c r="BE39" i="8" s="1"/>
  <c r="BZ38" i="8"/>
  <c r="BX38" i="8"/>
  <c r="BU38" i="8"/>
  <c r="BS38" i="8"/>
  <c r="BY38" i="8" s="1"/>
  <c r="BQ38" i="8"/>
  <c r="BO38" i="8"/>
  <c r="BW38" i="8" s="1"/>
  <c r="AM38" i="8"/>
  <c r="AK38" i="8"/>
  <c r="I38" i="8"/>
  <c r="BU37" i="8"/>
  <c r="BS37" i="8"/>
  <c r="BQ37" i="8"/>
  <c r="BO37" i="8"/>
  <c r="BW37" i="8" s="1"/>
  <c r="AM37" i="8"/>
  <c r="I37" i="8"/>
  <c r="BE37" i="8" s="1"/>
  <c r="BO36" i="8"/>
  <c r="BN36" i="8"/>
  <c r="BM36" i="8"/>
  <c r="BL36" i="8"/>
  <c r="BK36" i="8"/>
  <c r="BJ36" i="8"/>
  <c r="BI36" i="8"/>
  <c r="BH36" i="8"/>
  <c r="BG36" i="8"/>
  <c r="AJ36" i="8"/>
  <c r="AH36" i="8"/>
  <c r="AG36" i="8"/>
  <c r="AF36" i="8"/>
  <c r="AD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H36" i="8"/>
  <c r="G36" i="8"/>
  <c r="F36" i="8"/>
  <c r="D36" i="8"/>
  <c r="BU35" i="8"/>
  <c r="BZ35" i="8" s="1"/>
  <c r="BS35" i="8"/>
  <c r="BY35" i="8" s="1"/>
  <c r="BQ35" i="8"/>
  <c r="BX35" i="8" s="1"/>
  <c r="BO35" i="8"/>
  <c r="BW35" i="8" s="1"/>
  <c r="BE35" i="8"/>
  <c r="BA35" i="8"/>
  <c r="AM35" i="8"/>
  <c r="I35" i="8"/>
  <c r="BU34" i="8"/>
  <c r="BS34" i="8"/>
  <c r="BQ34" i="8"/>
  <c r="BO34" i="8"/>
  <c r="BP36" i="8" s="1"/>
  <c r="BA34" i="8"/>
  <c r="AM34" i="8"/>
  <c r="AK34" i="8"/>
  <c r="I34" i="8"/>
  <c r="BE34" i="8" s="1"/>
  <c r="BX33" i="8"/>
  <c r="BW33" i="8"/>
  <c r="BU33" i="8"/>
  <c r="BZ33" i="8" s="1"/>
  <c r="BS33" i="8"/>
  <c r="BY33" i="8" s="1"/>
  <c r="BQ33" i="8"/>
  <c r="BO33" i="8"/>
  <c r="BE33" i="8"/>
  <c r="BE36" i="8" s="1"/>
  <c r="BA33" i="8"/>
  <c r="AM33" i="8"/>
  <c r="AK33" i="8"/>
  <c r="I33" i="8"/>
  <c r="BN32" i="8"/>
  <c r="BM32" i="8"/>
  <c r="BL32" i="8"/>
  <c r="BK32" i="8"/>
  <c r="BJ32" i="8"/>
  <c r="BI32" i="8"/>
  <c r="BH32" i="8"/>
  <c r="BG32" i="8"/>
  <c r="AK32" i="8"/>
  <c r="AJ32" i="8"/>
  <c r="AH32" i="8"/>
  <c r="AF32" i="8"/>
  <c r="AD32" i="8"/>
  <c r="AB32" i="8"/>
  <c r="Z32" i="8"/>
  <c r="X32" i="8"/>
  <c r="W32" i="8"/>
  <c r="V32" i="8"/>
  <c r="U32" i="8"/>
  <c r="T32" i="8"/>
  <c r="S32" i="8"/>
  <c r="R32" i="8"/>
  <c r="Q32" i="8"/>
  <c r="P32" i="8"/>
  <c r="O32" i="8"/>
  <c r="N32" i="8"/>
  <c r="M32" i="8"/>
  <c r="H32" i="8"/>
  <c r="G32" i="8"/>
  <c r="F32" i="8"/>
  <c r="D32" i="8"/>
  <c r="BZ31" i="8"/>
  <c r="BY31" i="8"/>
  <c r="BU31" i="8"/>
  <c r="BS31" i="8"/>
  <c r="BQ31" i="8"/>
  <c r="BX31" i="8" s="1"/>
  <c r="BO31" i="8"/>
  <c r="BW31" i="8" s="1"/>
  <c r="AM31" i="8"/>
  <c r="I31" i="8"/>
  <c r="BE31" i="8" s="1"/>
  <c r="BX30" i="8"/>
  <c r="BU30" i="8"/>
  <c r="BS30" i="8"/>
  <c r="BQ30" i="8"/>
  <c r="BO30" i="8"/>
  <c r="BW30" i="8" s="1"/>
  <c r="AM30" i="8"/>
  <c r="AM32" i="8" s="1"/>
  <c r="AK30" i="8"/>
  <c r="AL32" i="8" s="1"/>
  <c r="AZ32" i="8" s="1"/>
  <c r="I30" i="8"/>
  <c r="BY29" i="8"/>
  <c r="BU29" i="8"/>
  <c r="BZ29" i="8" s="1"/>
  <c r="BS29" i="8"/>
  <c r="BQ29" i="8"/>
  <c r="BO29" i="8"/>
  <c r="BW29" i="8" s="1"/>
  <c r="AM29" i="8"/>
  <c r="AK29" i="8"/>
  <c r="I29" i="8"/>
  <c r="BN28" i="8"/>
  <c r="BM28" i="8"/>
  <c r="BL28" i="8"/>
  <c r="BK28" i="8"/>
  <c r="BJ28" i="8"/>
  <c r="BI28" i="8"/>
  <c r="BH28" i="8"/>
  <c r="BG28" i="8"/>
  <c r="AZ28" i="8"/>
  <c r="AJ28" i="8"/>
  <c r="AH28" i="8"/>
  <c r="AF28" i="8"/>
  <c r="AD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I28" i="8"/>
  <c r="H28" i="8"/>
  <c r="G28" i="8"/>
  <c r="F28" i="8"/>
  <c r="D28" i="8"/>
  <c r="BU27" i="8"/>
  <c r="BZ27" i="8" s="1"/>
  <c r="BS27" i="8"/>
  <c r="BQ27" i="8"/>
  <c r="BO27" i="8"/>
  <c r="BW27" i="8" s="1"/>
  <c r="AM27" i="8"/>
  <c r="I27" i="8"/>
  <c r="BE27" i="8" s="1"/>
  <c r="BU26" i="8"/>
  <c r="BS26" i="8"/>
  <c r="BY26" i="8" s="1"/>
  <c r="BQ26" i="8"/>
  <c r="BX26" i="8" s="1"/>
  <c r="BO26" i="8"/>
  <c r="BW26" i="8" s="1"/>
  <c r="BA26" i="8"/>
  <c r="AM26" i="8"/>
  <c r="AM28" i="8" s="1"/>
  <c r="I26" i="8"/>
  <c r="BU25" i="8"/>
  <c r="BZ25" i="8" s="1"/>
  <c r="BS25" i="8"/>
  <c r="BQ25" i="8"/>
  <c r="BX25" i="8" s="1"/>
  <c r="BO25" i="8"/>
  <c r="BE25" i="8"/>
  <c r="AM25" i="8"/>
  <c r="I25" i="8"/>
  <c r="BN24" i="8"/>
  <c r="BM24" i="8"/>
  <c r="BL24" i="8"/>
  <c r="BK24" i="8"/>
  <c r="BJ24" i="8"/>
  <c r="BI24" i="8"/>
  <c r="BH24" i="8"/>
  <c r="BG24" i="8"/>
  <c r="AJ24" i="8"/>
  <c r="AH24" i="8"/>
  <c r="AF24" i="8"/>
  <c r="AD24" i="8"/>
  <c r="AB24" i="8"/>
  <c r="Z24" i="8"/>
  <c r="X24" i="8"/>
  <c r="W24" i="8"/>
  <c r="V24" i="8"/>
  <c r="U24" i="8"/>
  <c r="T24" i="8"/>
  <c r="S24" i="8"/>
  <c r="R24" i="8"/>
  <c r="Q24" i="8"/>
  <c r="P24" i="8"/>
  <c r="O24" i="8"/>
  <c r="N24" i="8"/>
  <c r="M24" i="8"/>
  <c r="H24" i="8"/>
  <c r="G24" i="8"/>
  <c r="F24" i="8"/>
  <c r="D24" i="8"/>
  <c r="BU23" i="8"/>
  <c r="BZ23" i="8" s="1"/>
  <c r="BS23" i="8"/>
  <c r="BY23" i="8" s="1"/>
  <c r="BQ23" i="8"/>
  <c r="BX23" i="8" s="1"/>
  <c r="BO23" i="8"/>
  <c r="BW23" i="8" s="1"/>
  <c r="BE23" i="8"/>
  <c r="BC23" i="8"/>
  <c r="BA23" i="8"/>
  <c r="AM23" i="8"/>
  <c r="AK23" i="8"/>
  <c r="I23" i="8"/>
  <c r="BU22" i="8"/>
  <c r="BZ22" i="8" s="1"/>
  <c r="BS22" i="8"/>
  <c r="BY22" i="8" s="1"/>
  <c r="BQ22" i="8"/>
  <c r="BX22" i="8" s="1"/>
  <c r="BO22" i="8"/>
  <c r="BW22" i="8" s="1"/>
  <c r="BC22" i="8"/>
  <c r="BA22" i="8"/>
  <c r="AM22" i="8"/>
  <c r="AK22" i="8"/>
  <c r="I22" i="8"/>
  <c r="BE22" i="8" s="1"/>
  <c r="BU21" i="8"/>
  <c r="BZ21" i="8" s="1"/>
  <c r="BS21" i="8"/>
  <c r="BY21" i="8" s="1"/>
  <c r="BQ21" i="8"/>
  <c r="BQ24" i="8" s="1"/>
  <c r="BX24" i="8" s="1"/>
  <c r="BO21" i="8"/>
  <c r="BW21" i="8" s="1"/>
  <c r="BW24" i="8" s="1"/>
  <c r="AM21" i="8"/>
  <c r="AK21" i="8"/>
  <c r="I21" i="8"/>
  <c r="BN20" i="8"/>
  <c r="BM20" i="8"/>
  <c r="BL20" i="8"/>
  <c r="BK20" i="8"/>
  <c r="BJ20" i="8"/>
  <c r="BI20" i="8"/>
  <c r="BH20" i="8"/>
  <c r="BG20" i="8"/>
  <c r="AN20" i="8"/>
  <c r="AJ20" i="8"/>
  <c r="AH20" i="8"/>
  <c r="AF20" i="8"/>
  <c r="AD20" i="8"/>
  <c r="AB20" i="8"/>
  <c r="Z20" i="8"/>
  <c r="X20" i="8"/>
  <c r="W20" i="8"/>
  <c r="V20" i="8"/>
  <c r="U20" i="8"/>
  <c r="T20" i="8"/>
  <c r="S20" i="8"/>
  <c r="R20" i="8"/>
  <c r="Q20" i="8"/>
  <c r="P20" i="8"/>
  <c r="O20" i="8"/>
  <c r="N20" i="8"/>
  <c r="M20" i="8"/>
  <c r="H20" i="8"/>
  <c r="G20" i="8"/>
  <c r="F20" i="8"/>
  <c r="D20" i="8"/>
  <c r="BU19" i="8"/>
  <c r="BZ19" i="8" s="1"/>
  <c r="BS19" i="8"/>
  <c r="BY19" i="8" s="1"/>
  <c r="BQ19" i="8"/>
  <c r="BX19" i="8" s="1"/>
  <c r="BO19" i="8"/>
  <c r="BW19" i="8" s="1"/>
  <c r="BE19" i="8"/>
  <c r="BA19" i="8"/>
  <c r="AM19" i="8"/>
  <c r="I19" i="8"/>
  <c r="BU18" i="8"/>
  <c r="BS18" i="8"/>
  <c r="BY18" i="8" s="1"/>
  <c r="BQ18" i="8"/>
  <c r="BX18" i="8" s="1"/>
  <c r="BO18" i="8"/>
  <c r="BW18" i="8" s="1"/>
  <c r="BE18" i="8"/>
  <c r="BA18" i="8"/>
  <c r="AM18" i="8"/>
  <c r="AK18" i="8"/>
  <c r="I18" i="8"/>
  <c r="BU17" i="8"/>
  <c r="BS17" i="8"/>
  <c r="BQ17" i="8"/>
  <c r="BX17" i="8" s="1"/>
  <c r="BO17" i="8"/>
  <c r="BP20" i="8" s="1"/>
  <c r="AM17" i="8"/>
  <c r="AK17" i="8"/>
  <c r="I17" i="8"/>
  <c r="BV16" i="8"/>
  <c r="BU16" i="8"/>
  <c r="BZ16" i="8" s="1"/>
  <c r="BN16" i="8"/>
  <c r="BM16" i="8"/>
  <c r="BL16" i="8"/>
  <c r="BK16" i="8"/>
  <c r="BJ16" i="8"/>
  <c r="BI16" i="8"/>
  <c r="BH16" i="8"/>
  <c r="BG16" i="8"/>
  <c r="AJ16" i="8"/>
  <c r="AH16" i="8"/>
  <c r="AF16" i="8"/>
  <c r="AD16" i="8"/>
  <c r="AB16" i="8"/>
  <c r="Z16" i="8"/>
  <c r="X16" i="8"/>
  <c r="W16" i="8"/>
  <c r="V16" i="8"/>
  <c r="U16" i="8"/>
  <c r="T16" i="8"/>
  <c r="S16" i="8"/>
  <c r="R16" i="8"/>
  <c r="Q16" i="8"/>
  <c r="P16" i="8"/>
  <c r="O16" i="8"/>
  <c r="N16" i="8"/>
  <c r="M16" i="8"/>
  <c r="H16" i="8"/>
  <c r="G16" i="8"/>
  <c r="F16" i="8"/>
  <c r="D16" i="8"/>
  <c r="BU15" i="8"/>
  <c r="BZ15" i="8" s="1"/>
  <c r="BS15" i="8"/>
  <c r="BQ15" i="8"/>
  <c r="BO15" i="8"/>
  <c r="AM15" i="8"/>
  <c r="I15" i="8"/>
  <c r="BU14" i="8"/>
  <c r="BZ14" i="8" s="1"/>
  <c r="BS14" i="8"/>
  <c r="BY14" i="8" s="1"/>
  <c r="BQ14" i="8"/>
  <c r="BX14" i="8" s="1"/>
  <c r="BO14" i="8"/>
  <c r="BW14" i="8" s="1"/>
  <c r="AM14" i="8"/>
  <c r="AK14" i="8"/>
  <c r="I14" i="8"/>
  <c r="BE14" i="8" s="1"/>
  <c r="BU13" i="8"/>
  <c r="BZ13" i="8" s="1"/>
  <c r="BS13" i="8"/>
  <c r="BY13" i="8" s="1"/>
  <c r="BQ13" i="8"/>
  <c r="BX13" i="8" s="1"/>
  <c r="BO13" i="8"/>
  <c r="AM13" i="8"/>
  <c r="AK13" i="8"/>
  <c r="I13" i="8"/>
  <c r="BN12" i="8"/>
  <c r="BM12" i="8"/>
  <c r="BL12" i="8"/>
  <c r="BK12" i="8"/>
  <c r="BJ12" i="8"/>
  <c r="BI12" i="8"/>
  <c r="BH12" i="8"/>
  <c r="BG12" i="8"/>
  <c r="AR12" i="8"/>
  <c r="AJ12" i="8"/>
  <c r="AH12" i="8"/>
  <c r="AF12" i="8"/>
  <c r="AD12" i="8"/>
  <c r="AB12" i="8"/>
  <c r="Z12" i="8"/>
  <c r="X12" i="8"/>
  <c r="W12" i="8"/>
  <c r="V12" i="8"/>
  <c r="U12" i="8"/>
  <c r="T12" i="8"/>
  <c r="S12" i="8"/>
  <c r="R12" i="8"/>
  <c r="Q12" i="8"/>
  <c r="P12" i="8"/>
  <c r="O12" i="8"/>
  <c r="N12" i="8"/>
  <c r="M12" i="8"/>
  <c r="H12" i="8"/>
  <c r="G12" i="8"/>
  <c r="F12" i="8"/>
  <c r="E12" i="8"/>
  <c r="D12" i="8"/>
  <c r="BZ11" i="8"/>
  <c r="BY11" i="8"/>
  <c r="BU11" i="8"/>
  <c r="BS11" i="8"/>
  <c r="BQ11" i="8"/>
  <c r="BX11" i="8" s="1"/>
  <c r="BO11" i="8"/>
  <c r="BW11" i="8" s="1"/>
  <c r="AM11" i="8"/>
  <c r="I11" i="8"/>
  <c r="BU10" i="8"/>
  <c r="BS10" i="8"/>
  <c r="BY10" i="8" s="1"/>
  <c r="BQ10" i="8"/>
  <c r="BO10" i="8"/>
  <c r="BW10" i="8" s="1"/>
  <c r="AM10" i="8"/>
  <c r="I10" i="8"/>
  <c r="BZ9" i="8"/>
  <c r="BU9" i="8"/>
  <c r="BS9" i="8"/>
  <c r="BY9" i="8" s="1"/>
  <c r="BQ9" i="8"/>
  <c r="BX9" i="8" s="1"/>
  <c r="BO9" i="8"/>
  <c r="AM9" i="8"/>
  <c r="AM12" i="8" s="1"/>
  <c r="I9" i="8"/>
  <c r="BQ8" i="8"/>
  <c r="BX8" i="8" s="1"/>
  <c r="BN8" i="8"/>
  <c r="BM8" i="8"/>
  <c r="BL8" i="8"/>
  <c r="BK8" i="8"/>
  <c r="BJ8" i="8"/>
  <c r="BI8" i="8"/>
  <c r="BH8" i="8"/>
  <c r="BG8" i="8"/>
  <c r="AR8" i="8"/>
  <c r="AJ8" i="8"/>
  <c r="AH8" i="8"/>
  <c r="AF8" i="8"/>
  <c r="AD8" i="8"/>
  <c r="AB8" i="8"/>
  <c r="Z8" i="8"/>
  <c r="X8" i="8"/>
  <c r="W8" i="8"/>
  <c r="V8" i="8"/>
  <c r="U8" i="8"/>
  <c r="T8" i="8"/>
  <c r="S8" i="8"/>
  <c r="R8" i="8"/>
  <c r="Q8" i="8"/>
  <c r="P8" i="8"/>
  <c r="O8" i="8"/>
  <c r="N8" i="8"/>
  <c r="M8" i="8"/>
  <c r="H8" i="8"/>
  <c r="G8" i="8"/>
  <c r="F8" i="8"/>
  <c r="E8" i="8"/>
  <c r="D8" i="8"/>
  <c r="BW7" i="8"/>
  <c r="BU7" i="8"/>
  <c r="BZ7" i="8" s="1"/>
  <c r="BS7" i="8"/>
  <c r="BT8" i="8" s="1"/>
  <c r="BQ7" i="8"/>
  <c r="BX7" i="8" s="1"/>
  <c r="BO7" i="8"/>
  <c r="AM7" i="8"/>
  <c r="I7" i="8"/>
  <c r="BU6" i="8"/>
  <c r="BZ6" i="8" s="1"/>
  <c r="BS6" i="8"/>
  <c r="BY6" i="8" s="1"/>
  <c r="BQ6" i="8"/>
  <c r="BX6" i="8" s="1"/>
  <c r="BO6" i="8"/>
  <c r="AM6" i="8"/>
  <c r="I6" i="8"/>
  <c r="BY5" i="8"/>
  <c r="BX5" i="8"/>
  <c r="BW5" i="8"/>
  <c r="BU5" i="8"/>
  <c r="BS5" i="8"/>
  <c r="BQ5" i="8"/>
  <c r="BO5" i="8"/>
  <c r="BO8" i="8" s="1"/>
  <c r="AM5" i="8"/>
  <c r="AN8" i="8" s="1"/>
  <c r="I5" i="8"/>
  <c r="K39" i="8" s="1"/>
  <c r="BW447" i="7"/>
  <c r="BW443" i="7"/>
  <c r="BW439" i="7"/>
  <c r="BW435" i="7"/>
  <c r="BW431" i="7"/>
  <c r="BW427" i="7"/>
  <c r="BW423" i="7"/>
  <c r="BW419" i="7"/>
  <c r="BW415" i="7"/>
  <c r="BW411" i="7"/>
  <c r="BW407" i="7"/>
  <c r="BW403" i="7"/>
  <c r="BW399" i="7"/>
  <c r="BW395" i="7"/>
  <c r="BW391" i="7"/>
  <c r="BW387" i="7"/>
  <c r="BW383" i="7"/>
  <c r="BW379" i="7"/>
  <c r="BW375" i="7"/>
  <c r="BW371" i="7"/>
  <c r="BW367" i="7"/>
  <c r="BW363" i="7"/>
  <c r="BW359" i="7"/>
  <c r="BW355" i="7"/>
  <c r="BW351" i="7"/>
  <c r="BW347" i="7"/>
  <c r="BW343" i="7"/>
  <c r="BW339" i="7"/>
  <c r="BW335" i="7"/>
  <c r="BW331" i="7"/>
  <c r="BW322" i="7"/>
  <c r="BW318" i="7"/>
  <c r="BW314" i="7"/>
  <c r="BW310" i="7"/>
  <c r="BW306" i="7"/>
  <c r="BW302" i="7"/>
  <c r="BW298" i="7"/>
  <c r="BW294" i="7"/>
  <c r="BW290" i="7"/>
  <c r="BW286" i="7"/>
  <c r="BW282" i="7"/>
  <c r="BW278" i="7"/>
  <c r="BW274" i="7"/>
  <c r="BW270" i="7"/>
  <c r="BW266" i="7"/>
  <c r="BW262" i="7"/>
  <c r="BW258" i="7"/>
  <c r="BW254" i="7"/>
  <c r="BW250" i="7"/>
  <c r="BW246" i="7"/>
  <c r="BW242" i="7"/>
  <c r="BW238" i="7"/>
  <c r="BW234" i="7"/>
  <c r="BW230" i="7"/>
  <c r="BW226" i="7"/>
  <c r="BW222" i="7"/>
  <c r="BW218" i="7"/>
  <c r="BW214" i="7"/>
  <c r="BW210" i="7"/>
  <c r="BW206" i="7"/>
  <c r="BW202" i="7"/>
  <c r="BW198" i="7"/>
  <c r="BW194" i="7"/>
  <c r="BW190" i="7"/>
  <c r="BW186" i="7"/>
  <c r="BW182" i="7"/>
  <c r="BW178" i="7"/>
  <c r="BW174" i="7"/>
  <c r="BW170" i="7"/>
  <c r="BW166" i="7"/>
  <c r="BW162" i="7"/>
  <c r="BW158" i="7"/>
  <c r="BW154" i="7"/>
  <c r="BW150" i="7"/>
  <c r="BW140" i="7"/>
  <c r="BW136" i="7"/>
  <c r="BW132" i="7"/>
  <c r="BW128" i="7"/>
  <c r="BW124" i="7"/>
  <c r="BW120" i="7"/>
  <c r="BW116" i="7"/>
  <c r="BW112" i="7"/>
  <c r="BW108" i="7"/>
  <c r="BW104" i="7"/>
  <c r="BW100" i="7"/>
  <c r="BW96" i="7"/>
  <c r="BW92" i="7"/>
  <c r="BW88" i="7"/>
  <c r="BW84" i="7"/>
  <c r="BW80" i="7"/>
  <c r="BW76" i="7"/>
  <c r="BW72" i="7"/>
  <c r="BW68" i="7"/>
  <c r="BW64" i="7"/>
  <c r="BW60" i="7"/>
  <c r="BW56" i="7"/>
  <c r="BW52" i="7"/>
  <c r="BW48" i="7"/>
  <c r="BW44" i="7"/>
  <c r="BW40" i="7"/>
  <c r="BW36" i="7"/>
  <c r="BW32" i="7"/>
  <c r="BW28" i="7"/>
  <c r="BW24" i="7"/>
  <c r="BW20" i="7"/>
  <c r="BW16" i="7"/>
  <c r="BW12" i="7"/>
  <c r="BW8" i="7"/>
  <c r="BU447" i="7"/>
  <c r="BU443" i="7"/>
  <c r="BU439" i="7"/>
  <c r="BU435" i="7"/>
  <c r="BU431" i="7"/>
  <c r="BU427" i="7"/>
  <c r="BU423" i="7"/>
  <c r="BU419" i="7"/>
  <c r="BU415" i="7"/>
  <c r="BU411" i="7"/>
  <c r="BU407" i="7"/>
  <c r="BU403" i="7"/>
  <c r="BU399" i="7"/>
  <c r="BU395" i="7"/>
  <c r="BU391" i="7"/>
  <c r="BU387" i="7"/>
  <c r="BU383" i="7"/>
  <c r="BU379" i="7"/>
  <c r="BU375" i="7"/>
  <c r="BU371" i="7"/>
  <c r="BU367" i="7"/>
  <c r="BU363" i="7"/>
  <c r="BU359" i="7"/>
  <c r="BU355" i="7"/>
  <c r="BU351" i="7"/>
  <c r="BU347" i="7"/>
  <c r="BU343" i="7"/>
  <c r="BU339" i="7"/>
  <c r="BU335" i="7"/>
  <c r="BU331" i="7"/>
  <c r="BU322" i="7"/>
  <c r="BU318" i="7"/>
  <c r="BU314" i="7"/>
  <c r="BU310" i="7"/>
  <c r="BU306" i="7"/>
  <c r="BU302" i="7"/>
  <c r="BU298" i="7"/>
  <c r="BU294" i="7"/>
  <c r="BU290" i="7"/>
  <c r="BU286" i="7"/>
  <c r="BU282" i="7"/>
  <c r="BU278" i="7"/>
  <c r="BU274" i="7"/>
  <c r="BU270" i="7"/>
  <c r="BU266" i="7"/>
  <c r="BU262" i="7"/>
  <c r="BU258" i="7"/>
  <c r="BU254" i="7"/>
  <c r="BU250" i="7"/>
  <c r="BU246" i="7"/>
  <c r="BU242" i="7"/>
  <c r="BU238" i="7"/>
  <c r="BU234" i="7"/>
  <c r="BU230" i="7"/>
  <c r="BU226" i="7"/>
  <c r="BU222" i="7"/>
  <c r="BU218" i="7"/>
  <c r="BU214" i="7"/>
  <c r="BU210" i="7"/>
  <c r="BU206" i="7"/>
  <c r="BU202" i="7"/>
  <c r="BU198" i="7"/>
  <c r="BU194" i="7"/>
  <c r="BU190" i="7"/>
  <c r="BU186" i="7"/>
  <c r="BU182" i="7"/>
  <c r="BU178" i="7"/>
  <c r="BU174" i="7"/>
  <c r="BU170" i="7"/>
  <c r="BU166" i="7"/>
  <c r="BU162" i="7"/>
  <c r="BU158" i="7"/>
  <c r="BU154" i="7"/>
  <c r="BU150" i="7"/>
  <c r="BU140" i="7"/>
  <c r="BU136" i="7"/>
  <c r="BU132" i="7"/>
  <c r="BU128" i="7"/>
  <c r="BU124" i="7"/>
  <c r="BU120" i="7"/>
  <c r="BU116" i="7"/>
  <c r="BU112" i="7"/>
  <c r="BU108" i="7"/>
  <c r="BU104" i="7"/>
  <c r="BU100" i="7"/>
  <c r="BU96" i="7"/>
  <c r="BU92" i="7"/>
  <c r="BU88" i="7"/>
  <c r="BU84" i="7"/>
  <c r="BU80" i="7"/>
  <c r="BU76" i="7"/>
  <c r="BU72" i="7"/>
  <c r="BU68" i="7"/>
  <c r="BU64" i="7"/>
  <c r="BU60" i="7"/>
  <c r="BU56" i="7"/>
  <c r="BU52" i="7"/>
  <c r="BU48" i="7"/>
  <c r="BU44" i="7"/>
  <c r="BU40" i="7"/>
  <c r="BU36" i="7"/>
  <c r="BU32" i="7"/>
  <c r="BU28" i="7"/>
  <c r="BU24" i="7"/>
  <c r="BU20" i="7"/>
  <c r="BU16" i="7"/>
  <c r="BU12" i="7"/>
  <c r="BU8" i="7"/>
  <c r="BS447" i="7"/>
  <c r="BS443" i="7"/>
  <c r="BS439" i="7"/>
  <c r="BS435" i="7"/>
  <c r="BS431" i="7"/>
  <c r="BS427" i="7"/>
  <c r="BS423" i="7"/>
  <c r="BS419" i="7"/>
  <c r="BS415" i="7"/>
  <c r="BS411" i="7"/>
  <c r="BS407" i="7"/>
  <c r="BS403" i="7"/>
  <c r="BS399" i="7"/>
  <c r="BS395" i="7"/>
  <c r="BS391" i="7"/>
  <c r="BS387" i="7"/>
  <c r="BS383" i="7"/>
  <c r="BS379" i="7"/>
  <c r="BS375" i="7"/>
  <c r="BS371" i="7"/>
  <c r="BS367" i="7"/>
  <c r="BS363" i="7"/>
  <c r="BS359" i="7"/>
  <c r="BS355" i="7"/>
  <c r="BS351" i="7"/>
  <c r="BS347" i="7"/>
  <c r="BS343" i="7"/>
  <c r="BS339" i="7"/>
  <c r="BS335" i="7"/>
  <c r="BS331" i="7"/>
  <c r="BS322" i="7"/>
  <c r="BS318" i="7"/>
  <c r="BS314" i="7"/>
  <c r="BS310" i="7"/>
  <c r="BS306" i="7"/>
  <c r="BS302" i="7"/>
  <c r="BS298" i="7"/>
  <c r="BS294" i="7"/>
  <c r="BS290" i="7"/>
  <c r="BS286" i="7"/>
  <c r="BS282" i="7"/>
  <c r="BS278" i="7"/>
  <c r="BS274" i="7"/>
  <c r="BS270" i="7"/>
  <c r="BS266" i="7"/>
  <c r="BS262" i="7"/>
  <c r="BS258" i="7"/>
  <c r="BS254" i="7"/>
  <c r="BS250" i="7"/>
  <c r="BS246" i="7"/>
  <c r="BS242" i="7"/>
  <c r="BS238" i="7"/>
  <c r="BS234" i="7"/>
  <c r="BS230" i="7"/>
  <c r="BS226" i="7"/>
  <c r="BS222" i="7"/>
  <c r="BS218" i="7"/>
  <c r="BS214" i="7"/>
  <c r="BS210" i="7"/>
  <c r="BS206" i="7"/>
  <c r="BS202" i="7"/>
  <c r="BS198" i="7"/>
  <c r="BS194" i="7"/>
  <c r="BS190" i="7"/>
  <c r="BS186" i="7"/>
  <c r="BS182" i="7"/>
  <c r="BS178" i="7"/>
  <c r="BS174" i="7"/>
  <c r="BS170" i="7"/>
  <c r="BS166" i="7"/>
  <c r="BS162" i="7"/>
  <c r="BS158" i="7"/>
  <c r="BS154" i="7"/>
  <c r="BS150" i="7"/>
  <c r="BS140" i="7"/>
  <c r="BS136" i="7"/>
  <c r="BS132" i="7"/>
  <c r="BS128" i="7"/>
  <c r="BS124" i="7"/>
  <c r="BS120" i="7"/>
  <c r="BS116" i="7"/>
  <c r="BS112" i="7"/>
  <c r="BS108" i="7"/>
  <c r="BS104" i="7"/>
  <c r="BS100" i="7"/>
  <c r="BS96" i="7"/>
  <c r="BS92" i="7"/>
  <c r="BS88" i="7"/>
  <c r="BS84" i="7"/>
  <c r="BS80" i="7"/>
  <c r="BS76" i="7"/>
  <c r="BS72" i="7"/>
  <c r="BS68" i="7"/>
  <c r="BS64" i="7"/>
  <c r="BS60" i="7"/>
  <c r="BS56" i="7"/>
  <c r="BS52" i="7"/>
  <c r="BS48" i="7"/>
  <c r="BS44" i="7"/>
  <c r="BS40" i="7"/>
  <c r="BS36" i="7"/>
  <c r="BS32" i="7"/>
  <c r="BS28" i="7"/>
  <c r="BS24" i="7"/>
  <c r="BS20" i="7"/>
  <c r="BS16" i="7"/>
  <c r="BS12" i="7"/>
  <c r="BS8" i="7"/>
  <c r="BQ447" i="7"/>
  <c r="BQ443" i="7"/>
  <c r="BQ439" i="7"/>
  <c r="BQ435" i="7"/>
  <c r="BQ431" i="7"/>
  <c r="BQ427" i="7"/>
  <c r="BQ423" i="7"/>
  <c r="BQ419" i="7"/>
  <c r="BQ415" i="7"/>
  <c r="BQ411" i="7"/>
  <c r="BQ407" i="7"/>
  <c r="BQ403" i="7"/>
  <c r="BQ399" i="7"/>
  <c r="BQ395" i="7"/>
  <c r="BQ391" i="7"/>
  <c r="BQ387" i="7"/>
  <c r="BQ383" i="7"/>
  <c r="BQ379" i="7"/>
  <c r="BQ375" i="7"/>
  <c r="BQ371" i="7"/>
  <c r="BQ367" i="7"/>
  <c r="BQ363" i="7"/>
  <c r="BQ359" i="7"/>
  <c r="BQ355" i="7"/>
  <c r="BQ351" i="7"/>
  <c r="BQ347" i="7"/>
  <c r="BQ343" i="7"/>
  <c r="BQ339" i="7"/>
  <c r="BQ335" i="7"/>
  <c r="BQ331" i="7"/>
  <c r="BQ322" i="7"/>
  <c r="BQ318" i="7"/>
  <c r="BQ314" i="7"/>
  <c r="BQ310" i="7"/>
  <c r="BQ306" i="7"/>
  <c r="BQ302" i="7"/>
  <c r="BQ298" i="7"/>
  <c r="BQ294" i="7"/>
  <c r="BQ290" i="7"/>
  <c r="BQ286" i="7"/>
  <c r="BQ282" i="7"/>
  <c r="BQ278" i="7"/>
  <c r="BQ274" i="7"/>
  <c r="BQ270" i="7"/>
  <c r="BQ266" i="7"/>
  <c r="BQ262" i="7"/>
  <c r="BQ258" i="7"/>
  <c r="BQ254" i="7"/>
  <c r="BQ250" i="7"/>
  <c r="BQ246" i="7"/>
  <c r="BQ242" i="7"/>
  <c r="BQ238" i="7"/>
  <c r="BQ234" i="7"/>
  <c r="BQ230" i="7"/>
  <c r="BQ226" i="7"/>
  <c r="BQ222" i="7"/>
  <c r="BQ218" i="7"/>
  <c r="BQ214" i="7"/>
  <c r="BQ210" i="7"/>
  <c r="BQ206" i="7"/>
  <c r="BQ202" i="7"/>
  <c r="BQ198" i="7"/>
  <c r="BQ194" i="7"/>
  <c r="BQ190" i="7"/>
  <c r="BQ186" i="7"/>
  <c r="BQ182" i="7"/>
  <c r="BQ178" i="7"/>
  <c r="BQ174" i="7"/>
  <c r="BQ170" i="7"/>
  <c r="BQ166" i="7"/>
  <c r="BQ162" i="7"/>
  <c r="BQ158" i="7"/>
  <c r="BQ154" i="7"/>
  <c r="BQ150" i="7"/>
  <c r="BQ140" i="7"/>
  <c r="BQ136" i="7"/>
  <c r="BQ132" i="7"/>
  <c r="BQ128" i="7"/>
  <c r="BQ124" i="7"/>
  <c r="BQ120" i="7"/>
  <c r="BQ116" i="7"/>
  <c r="BQ112" i="7"/>
  <c r="BQ108" i="7"/>
  <c r="BQ104" i="7"/>
  <c r="BQ100" i="7"/>
  <c r="BQ96" i="7"/>
  <c r="BQ92" i="7"/>
  <c r="BQ88" i="7"/>
  <c r="BQ84" i="7"/>
  <c r="BQ80" i="7"/>
  <c r="BQ76" i="7"/>
  <c r="BQ72" i="7"/>
  <c r="BQ68" i="7"/>
  <c r="BQ64" i="7"/>
  <c r="BQ60" i="7"/>
  <c r="BQ56" i="7"/>
  <c r="BQ52" i="7"/>
  <c r="BQ48" i="7"/>
  <c r="BQ44" i="7"/>
  <c r="BQ40" i="7"/>
  <c r="BQ36" i="7"/>
  <c r="BQ32" i="7"/>
  <c r="BQ28" i="7"/>
  <c r="BQ24" i="7"/>
  <c r="BQ20" i="7"/>
  <c r="BQ16" i="7"/>
  <c r="BQ12" i="7"/>
  <c r="BQ8" i="7"/>
  <c r="BO447" i="7"/>
  <c r="BO443" i="7"/>
  <c r="BO439" i="7"/>
  <c r="BO435" i="7"/>
  <c r="BO431" i="7"/>
  <c r="BO427" i="7"/>
  <c r="BO423" i="7"/>
  <c r="BO419" i="7"/>
  <c r="BO415" i="7"/>
  <c r="BO411" i="7"/>
  <c r="BO407" i="7"/>
  <c r="BO403" i="7"/>
  <c r="BO399" i="7"/>
  <c r="BO395" i="7"/>
  <c r="BO391" i="7"/>
  <c r="BO387" i="7"/>
  <c r="BO383" i="7"/>
  <c r="BO379" i="7"/>
  <c r="BO375" i="7"/>
  <c r="BO371" i="7"/>
  <c r="BO367" i="7"/>
  <c r="BO363" i="7"/>
  <c r="BO359" i="7"/>
  <c r="BO355" i="7"/>
  <c r="BO351" i="7"/>
  <c r="BO347" i="7"/>
  <c r="BO343" i="7"/>
  <c r="BO339" i="7"/>
  <c r="BO335" i="7"/>
  <c r="BO331" i="7"/>
  <c r="BO322" i="7"/>
  <c r="BO318" i="7"/>
  <c r="BO314" i="7"/>
  <c r="BO310" i="7"/>
  <c r="BO306" i="7"/>
  <c r="BO302" i="7"/>
  <c r="BO298" i="7"/>
  <c r="BO294" i="7"/>
  <c r="BO290" i="7"/>
  <c r="BO286" i="7"/>
  <c r="BO282" i="7"/>
  <c r="BO278" i="7"/>
  <c r="BO274" i="7"/>
  <c r="BO270" i="7"/>
  <c r="BO266" i="7"/>
  <c r="BO262" i="7"/>
  <c r="BO258" i="7"/>
  <c r="BO254" i="7"/>
  <c r="BO250" i="7"/>
  <c r="BO246" i="7"/>
  <c r="BO242" i="7"/>
  <c r="BO238" i="7"/>
  <c r="BO234" i="7"/>
  <c r="BO230" i="7"/>
  <c r="BO226" i="7"/>
  <c r="BO222" i="7"/>
  <c r="BO218" i="7"/>
  <c r="BO214" i="7"/>
  <c r="BO210" i="7"/>
  <c r="BO206" i="7"/>
  <c r="BO202" i="7"/>
  <c r="BO198" i="7"/>
  <c r="BO194" i="7"/>
  <c r="BO190" i="7"/>
  <c r="BO186" i="7"/>
  <c r="BO182" i="7"/>
  <c r="BO178" i="7"/>
  <c r="BO174" i="7"/>
  <c r="BO170" i="7"/>
  <c r="BO166" i="7"/>
  <c r="BO162" i="7"/>
  <c r="BO158" i="7"/>
  <c r="BO154" i="7"/>
  <c r="BO150" i="7"/>
  <c r="BO140" i="7"/>
  <c r="BO136" i="7"/>
  <c r="BO132" i="7"/>
  <c r="BO128" i="7"/>
  <c r="BO124" i="7"/>
  <c r="BO120" i="7"/>
  <c r="BO116" i="7"/>
  <c r="BO112" i="7"/>
  <c r="BO108" i="7"/>
  <c r="BO104" i="7"/>
  <c r="BO100" i="7"/>
  <c r="BO96" i="7"/>
  <c r="BO92" i="7"/>
  <c r="BO88" i="7"/>
  <c r="BO84" i="7"/>
  <c r="BO80" i="7"/>
  <c r="BO76" i="7"/>
  <c r="BO72" i="7"/>
  <c r="BO68" i="7"/>
  <c r="BO64" i="7"/>
  <c r="BO60" i="7"/>
  <c r="BO56" i="7"/>
  <c r="BO52" i="7"/>
  <c r="BO48" i="7"/>
  <c r="BO44" i="7"/>
  <c r="BO40" i="7"/>
  <c r="BO36" i="7"/>
  <c r="BO32" i="7"/>
  <c r="BO28" i="7"/>
  <c r="BO24" i="7"/>
  <c r="BO20" i="7"/>
  <c r="BO16" i="7"/>
  <c r="BO12" i="7"/>
  <c r="BO8" i="7"/>
  <c r="BM322" i="7"/>
  <c r="BM314" i="7"/>
  <c r="BM306" i="7"/>
  <c r="BM298" i="7"/>
  <c r="BM290" i="7"/>
  <c r="BM282" i="7"/>
  <c r="BM274" i="7"/>
  <c r="BM266" i="7"/>
  <c r="BM258" i="7"/>
  <c r="BM250" i="7"/>
  <c r="BM242" i="7"/>
  <c r="BM234" i="7"/>
  <c r="BM226" i="7"/>
  <c r="BM218" i="7"/>
  <c r="BM210" i="7"/>
  <c r="BM202" i="7"/>
  <c r="BM194" i="7"/>
  <c r="BM186" i="7"/>
  <c r="BM178" i="7"/>
  <c r="BM170" i="7"/>
  <c r="BM162" i="7"/>
  <c r="BM154" i="7"/>
  <c r="BM150" i="7"/>
  <c r="BK322" i="7"/>
  <c r="BK314" i="7"/>
  <c r="BK306" i="7"/>
  <c r="BK298" i="7"/>
  <c r="BK290" i="7"/>
  <c r="BK282" i="7"/>
  <c r="BK274" i="7"/>
  <c r="BK266" i="7"/>
  <c r="BK258" i="7"/>
  <c r="BK250" i="7"/>
  <c r="BK242" i="7"/>
  <c r="BK234" i="7"/>
  <c r="BK226" i="7"/>
  <c r="BK218" i="7"/>
  <c r="BK210" i="7"/>
  <c r="BK202" i="7"/>
  <c r="BK194" i="7"/>
  <c r="BK186" i="7"/>
  <c r="BK178" i="7"/>
  <c r="BK170" i="7"/>
  <c r="BK162" i="7"/>
  <c r="BK154" i="7"/>
  <c r="BK150" i="7"/>
  <c r="BI322" i="7"/>
  <c r="BI314" i="7"/>
  <c r="BI306" i="7"/>
  <c r="BI298" i="7"/>
  <c r="BI290" i="7"/>
  <c r="BI282" i="7"/>
  <c r="BI278" i="7"/>
  <c r="BI274" i="7"/>
  <c r="BI266" i="7"/>
  <c r="BI258" i="7"/>
  <c r="BI250" i="7"/>
  <c r="BI242" i="7"/>
  <c r="BI234" i="7"/>
  <c r="BI226" i="7"/>
  <c r="BI218" i="7"/>
  <c r="BI210" i="7"/>
  <c r="BI202" i="7"/>
  <c r="BI194" i="7"/>
  <c r="BI186" i="7"/>
  <c r="BI178" i="7"/>
  <c r="BI170" i="7"/>
  <c r="BI162" i="7"/>
  <c r="BI154" i="7"/>
  <c r="BI150" i="7"/>
  <c r="BG322" i="7"/>
  <c r="BG314" i="7"/>
  <c r="BG306" i="7"/>
  <c r="BG298" i="7"/>
  <c r="BG290" i="7"/>
  <c r="BG282" i="7"/>
  <c r="BG278" i="7"/>
  <c r="BG274" i="7"/>
  <c r="BG266" i="7"/>
  <c r="BG258" i="7"/>
  <c r="BG250" i="7"/>
  <c r="BG242" i="7"/>
  <c r="BG234" i="7"/>
  <c r="BG226" i="7"/>
  <c r="BG218" i="7"/>
  <c r="BG210" i="7"/>
  <c r="BG202" i="7"/>
  <c r="BG194" i="7"/>
  <c r="BG186" i="7"/>
  <c r="BG178" i="7"/>
  <c r="BG170" i="7"/>
  <c r="BG162" i="7"/>
  <c r="BG154" i="7"/>
  <c r="BG150" i="7"/>
  <c r="AU443" i="7"/>
  <c r="AU435" i="7"/>
  <c r="AU431" i="7"/>
  <c r="AU427" i="7"/>
  <c r="AU423" i="7"/>
  <c r="AU419" i="7"/>
  <c r="AU415" i="7"/>
  <c r="AU411" i="7"/>
  <c r="AU407" i="7"/>
  <c r="AU403" i="7"/>
  <c r="AU399" i="7"/>
  <c r="AU395" i="7"/>
  <c r="AU391" i="7"/>
  <c r="AU387" i="7"/>
  <c r="AU383" i="7"/>
  <c r="AU379" i="7"/>
  <c r="AU375" i="7"/>
  <c r="AU371" i="7"/>
  <c r="AU367" i="7"/>
  <c r="AU363" i="7"/>
  <c r="AU359" i="7"/>
  <c r="AU355" i="7"/>
  <c r="AU351" i="7"/>
  <c r="AU347" i="7"/>
  <c r="AU343" i="7"/>
  <c r="AU339" i="7"/>
  <c r="AU278" i="7"/>
  <c r="AU270" i="7"/>
  <c r="AU262" i="7"/>
  <c r="AU254" i="7"/>
  <c r="AU246" i="7"/>
  <c r="AU238" i="7"/>
  <c r="AU230" i="7"/>
  <c r="AU222" i="7"/>
  <c r="AU214" i="7"/>
  <c r="AU206" i="7"/>
  <c r="AU198" i="7"/>
  <c r="AU190" i="7"/>
  <c r="AU182" i="7"/>
  <c r="AU174" i="7"/>
  <c r="AU166" i="7"/>
  <c r="AU158" i="7"/>
  <c r="AU136" i="7"/>
  <c r="AU128" i="7"/>
  <c r="AU120" i="7"/>
  <c r="AU112" i="7"/>
  <c r="AU104" i="7"/>
  <c r="AU96" i="7"/>
  <c r="AU88" i="7"/>
  <c r="AU80" i="7"/>
  <c r="AU72" i="7"/>
  <c r="AU68" i="7"/>
  <c r="AU64" i="7"/>
  <c r="AU60" i="7"/>
  <c r="AU56" i="7"/>
  <c r="AU52" i="7"/>
  <c r="AU48" i="7"/>
  <c r="AU44" i="7"/>
  <c r="AU40" i="7"/>
  <c r="AU36" i="7"/>
  <c r="AU32" i="7"/>
  <c r="AU28" i="7"/>
  <c r="AU24" i="7"/>
  <c r="AU20" i="7"/>
  <c r="AU16" i="7"/>
  <c r="AS443" i="7"/>
  <c r="AS435" i="7"/>
  <c r="AS431" i="7"/>
  <c r="AS427" i="7"/>
  <c r="AS423" i="7"/>
  <c r="AS419" i="7"/>
  <c r="AS415" i="7"/>
  <c r="AS411" i="7"/>
  <c r="AS407" i="7"/>
  <c r="AS403" i="7"/>
  <c r="AS399" i="7"/>
  <c r="AS395" i="7"/>
  <c r="AS391" i="7"/>
  <c r="AS387" i="7"/>
  <c r="AS383" i="7"/>
  <c r="AS379" i="7"/>
  <c r="AS375" i="7"/>
  <c r="AS371" i="7"/>
  <c r="AS367" i="7"/>
  <c r="AS363" i="7"/>
  <c r="AS359" i="7"/>
  <c r="AS355" i="7"/>
  <c r="AS351" i="7"/>
  <c r="AS347" i="7"/>
  <c r="AS343" i="7"/>
  <c r="AS339" i="7"/>
  <c r="AS278" i="7"/>
  <c r="AS270" i="7"/>
  <c r="AS262" i="7"/>
  <c r="AS254" i="7"/>
  <c r="AS246" i="7"/>
  <c r="AS238" i="7"/>
  <c r="AS230" i="7"/>
  <c r="AS222" i="7"/>
  <c r="AS214" i="7"/>
  <c r="AS206" i="7"/>
  <c r="AS198" i="7"/>
  <c r="AS190" i="7"/>
  <c r="AS182" i="7"/>
  <c r="AS174" i="7"/>
  <c r="AS166" i="7"/>
  <c r="AS158" i="7"/>
  <c r="AS136" i="7"/>
  <c r="AS128" i="7"/>
  <c r="AS120" i="7"/>
  <c r="AS112" i="7"/>
  <c r="AS104" i="7"/>
  <c r="AS96" i="7"/>
  <c r="AS88" i="7"/>
  <c r="AS80" i="7"/>
  <c r="AS72" i="7"/>
  <c r="AS68" i="7"/>
  <c r="AS64" i="7"/>
  <c r="AS60" i="7"/>
  <c r="AS56" i="7"/>
  <c r="AS52" i="7"/>
  <c r="AS48" i="7"/>
  <c r="AS44" i="7"/>
  <c r="AS40" i="7"/>
  <c r="AS36" i="7"/>
  <c r="AS32" i="7"/>
  <c r="AS28" i="7"/>
  <c r="AS24" i="7"/>
  <c r="AS20" i="7"/>
  <c r="AS16" i="7"/>
  <c r="AQ443" i="7"/>
  <c r="AQ435" i="7"/>
  <c r="AQ431" i="7"/>
  <c r="AQ427" i="7"/>
  <c r="AQ423" i="7"/>
  <c r="AQ419" i="7"/>
  <c r="AQ415" i="7"/>
  <c r="AQ411" i="7"/>
  <c r="AQ407" i="7"/>
  <c r="AQ403" i="7"/>
  <c r="AQ399" i="7"/>
  <c r="AQ395" i="7"/>
  <c r="AQ391" i="7"/>
  <c r="AQ387" i="7"/>
  <c r="AQ383" i="7"/>
  <c r="AQ379" i="7"/>
  <c r="AQ375" i="7"/>
  <c r="AQ371" i="7"/>
  <c r="AQ367" i="7"/>
  <c r="AQ363" i="7"/>
  <c r="AQ359" i="7"/>
  <c r="AQ355" i="7"/>
  <c r="AQ351" i="7"/>
  <c r="AQ347" i="7"/>
  <c r="AQ343" i="7"/>
  <c r="AQ339" i="7"/>
  <c r="AQ278" i="7"/>
  <c r="AQ270" i="7"/>
  <c r="AQ262" i="7"/>
  <c r="AQ254" i="7"/>
  <c r="AQ246" i="7"/>
  <c r="AQ238" i="7"/>
  <c r="AQ230" i="7"/>
  <c r="AQ222" i="7"/>
  <c r="AQ214" i="7"/>
  <c r="AQ206" i="7"/>
  <c r="AQ198" i="7"/>
  <c r="AQ190" i="7"/>
  <c r="AQ182" i="7"/>
  <c r="AQ174" i="7"/>
  <c r="AQ166" i="7"/>
  <c r="AQ158" i="7"/>
  <c r="AQ136" i="7"/>
  <c r="AQ128" i="7"/>
  <c r="AQ120" i="7"/>
  <c r="AQ112" i="7"/>
  <c r="AQ104" i="7"/>
  <c r="AQ96" i="7"/>
  <c r="AQ88" i="7"/>
  <c r="AQ80" i="7"/>
  <c r="AQ72" i="7"/>
  <c r="AQ68" i="7"/>
  <c r="AQ64" i="7"/>
  <c r="AQ60" i="7"/>
  <c r="AQ56" i="7"/>
  <c r="AQ52" i="7"/>
  <c r="AQ48" i="7"/>
  <c r="AQ44" i="7"/>
  <c r="AQ40" i="7"/>
  <c r="AQ36" i="7"/>
  <c r="AQ32" i="7"/>
  <c r="AQ28" i="7"/>
  <c r="AQ24" i="7"/>
  <c r="AQ20" i="7"/>
  <c r="AQ16" i="7"/>
  <c r="AO443" i="7"/>
  <c r="AO435" i="7"/>
  <c r="AO431" i="7"/>
  <c r="AO427" i="7"/>
  <c r="AO423" i="7"/>
  <c r="AO419" i="7"/>
  <c r="AO415" i="7"/>
  <c r="AO411" i="7"/>
  <c r="AO407" i="7"/>
  <c r="AO403" i="7"/>
  <c r="AO399" i="7"/>
  <c r="AO395" i="7"/>
  <c r="AO391" i="7"/>
  <c r="AO387" i="7"/>
  <c r="AO383" i="7"/>
  <c r="AO379" i="7"/>
  <c r="AO375" i="7"/>
  <c r="AO371" i="7"/>
  <c r="AO367" i="7"/>
  <c r="AO363" i="7"/>
  <c r="AO359" i="7"/>
  <c r="AO355" i="7"/>
  <c r="AO351" i="7"/>
  <c r="AO347" i="7"/>
  <c r="AO343" i="7"/>
  <c r="AO339" i="7"/>
  <c r="AO278" i="7"/>
  <c r="AO270" i="7"/>
  <c r="AO262" i="7"/>
  <c r="AO254" i="7"/>
  <c r="AO246" i="7"/>
  <c r="AO238" i="7"/>
  <c r="AO230" i="7"/>
  <c r="AO222" i="7"/>
  <c r="AO214" i="7"/>
  <c r="AO206" i="7"/>
  <c r="AO198" i="7"/>
  <c r="AO190" i="7"/>
  <c r="AO182" i="7"/>
  <c r="AO174" i="7"/>
  <c r="AO166" i="7"/>
  <c r="AO158" i="7"/>
  <c r="AO136" i="7"/>
  <c r="AO128" i="7"/>
  <c r="AO120" i="7"/>
  <c r="AO112" i="7"/>
  <c r="AO104" i="7"/>
  <c r="AO96" i="7"/>
  <c r="AO88" i="7"/>
  <c r="AO80" i="7"/>
  <c r="AO72" i="7"/>
  <c r="AO68" i="7"/>
  <c r="AO64" i="7"/>
  <c r="AO60" i="7"/>
  <c r="AO56" i="7"/>
  <c r="AO52" i="7"/>
  <c r="AO48" i="7"/>
  <c r="AO44" i="7"/>
  <c r="AO40" i="7"/>
  <c r="AO36" i="7"/>
  <c r="AO32" i="7"/>
  <c r="AO28" i="7"/>
  <c r="AO24" i="7"/>
  <c r="AO20" i="7"/>
  <c r="AO16" i="7"/>
  <c r="AM443" i="7"/>
  <c r="AM435" i="7"/>
  <c r="AM427" i="7"/>
  <c r="AM419" i="7"/>
  <c r="AM411" i="7"/>
  <c r="AM403" i="7"/>
  <c r="AM395" i="7"/>
  <c r="AM387" i="7"/>
  <c r="AM379" i="7"/>
  <c r="AM371" i="7"/>
  <c r="AM363" i="7"/>
  <c r="AM355" i="7"/>
  <c r="AM347" i="7"/>
  <c r="AM339" i="7"/>
  <c r="AM322" i="7"/>
  <c r="AM314" i="7"/>
  <c r="AM306" i="7"/>
  <c r="AM298" i="7"/>
  <c r="AM290" i="7"/>
  <c r="AM282" i="7"/>
  <c r="AM278" i="7"/>
  <c r="AM274" i="7"/>
  <c r="AM270" i="7"/>
  <c r="AM266" i="7"/>
  <c r="AM262" i="7"/>
  <c r="AM258" i="7"/>
  <c r="AM254" i="7"/>
  <c r="AM250" i="7"/>
  <c r="AM246" i="7"/>
  <c r="AM242" i="7"/>
  <c r="AM238" i="7"/>
  <c r="AM234" i="7"/>
  <c r="AM230" i="7"/>
  <c r="AM226" i="7"/>
  <c r="AM222" i="7"/>
  <c r="AM218" i="7"/>
  <c r="AM214" i="7"/>
  <c r="AM210" i="7"/>
  <c r="AM206" i="7"/>
  <c r="AM202" i="7"/>
  <c r="AM198" i="7"/>
  <c r="AM194" i="7"/>
  <c r="AM190" i="7"/>
  <c r="AM186" i="7"/>
  <c r="AM182" i="7"/>
  <c r="AM178" i="7"/>
  <c r="AM174" i="7"/>
  <c r="AM170" i="7"/>
  <c r="AM166" i="7"/>
  <c r="AM162" i="7"/>
  <c r="AM158" i="7"/>
  <c r="AM136" i="7"/>
  <c r="AM128" i="7"/>
  <c r="AM120" i="7"/>
  <c r="AM112" i="7"/>
  <c r="AM104" i="7"/>
  <c r="AM96" i="7"/>
  <c r="AM88" i="7"/>
  <c r="AM80" i="7"/>
  <c r="AM72" i="7"/>
  <c r="AM64" i="7"/>
  <c r="AM56" i="7"/>
  <c r="AM48" i="7"/>
  <c r="AM40" i="7"/>
  <c r="AM32" i="7"/>
  <c r="AM24" i="7"/>
  <c r="AM16" i="7"/>
  <c r="AK443" i="7"/>
  <c r="AK435" i="7"/>
  <c r="AK427" i="7"/>
  <c r="AK419" i="7"/>
  <c r="AK411" i="7"/>
  <c r="AK403" i="7"/>
  <c r="AK395" i="7"/>
  <c r="AK387" i="7"/>
  <c r="AK379" i="7"/>
  <c r="AK371" i="7"/>
  <c r="AK363" i="7"/>
  <c r="AK355" i="7"/>
  <c r="AK347" i="7"/>
  <c r="AK339" i="7"/>
  <c r="AK322" i="7"/>
  <c r="AK314" i="7"/>
  <c r="AK306" i="7"/>
  <c r="AK298" i="7"/>
  <c r="AK290" i="7"/>
  <c r="AK282" i="7"/>
  <c r="AK278" i="7"/>
  <c r="AK274" i="7"/>
  <c r="AK270" i="7"/>
  <c r="AK266" i="7"/>
  <c r="AK262" i="7"/>
  <c r="AK258" i="7"/>
  <c r="AK254" i="7"/>
  <c r="AK250" i="7"/>
  <c r="AK246" i="7"/>
  <c r="AK242" i="7"/>
  <c r="AK238" i="7"/>
  <c r="AK234" i="7"/>
  <c r="AK230" i="7"/>
  <c r="AK226" i="7"/>
  <c r="AK222" i="7"/>
  <c r="AK218" i="7"/>
  <c r="AK214" i="7"/>
  <c r="AK210" i="7"/>
  <c r="AK206" i="7"/>
  <c r="AK202" i="7"/>
  <c r="AK198" i="7"/>
  <c r="AK194" i="7"/>
  <c r="AK190" i="7"/>
  <c r="AK186" i="7"/>
  <c r="AK182" i="7"/>
  <c r="AK178" i="7"/>
  <c r="AK174" i="7"/>
  <c r="AK170" i="7"/>
  <c r="AK166" i="7"/>
  <c r="AK162" i="7"/>
  <c r="AK158" i="7"/>
  <c r="AK136" i="7"/>
  <c r="AK128" i="7"/>
  <c r="AK120" i="7"/>
  <c r="AK112" i="7"/>
  <c r="AK104" i="7"/>
  <c r="AK96" i="7"/>
  <c r="AK88" i="7"/>
  <c r="AK80" i="7"/>
  <c r="AK72" i="7"/>
  <c r="AK64" i="7"/>
  <c r="AK56" i="7"/>
  <c r="AK48" i="7"/>
  <c r="AK40" i="7"/>
  <c r="AK32" i="7"/>
  <c r="AK24" i="7"/>
  <c r="AK16" i="7"/>
  <c r="AI443" i="7"/>
  <c r="AI435" i="7"/>
  <c r="AI431" i="7"/>
  <c r="AI427" i="7"/>
  <c r="AI423" i="7"/>
  <c r="AI419" i="7"/>
  <c r="AI415" i="7"/>
  <c r="AI411" i="7"/>
  <c r="AI407" i="7"/>
  <c r="AI403" i="7"/>
  <c r="AI399" i="7"/>
  <c r="AI395" i="7"/>
  <c r="AI391" i="7"/>
  <c r="AI387" i="7"/>
  <c r="AI383" i="7"/>
  <c r="AI379" i="7"/>
  <c r="AI375" i="7"/>
  <c r="AI371" i="7"/>
  <c r="AI367" i="7"/>
  <c r="AI363" i="7"/>
  <c r="AI359" i="7"/>
  <c r="AI355" i="7"/>
  <c r="AI351" i="7"/>
  <c r="AI347" i="7"/>
  <c r="AI343" i="7"/>
  <c r="AI339" i="7"/>
  <c r="AI335" i="7"/>
  <c r="AI331" i="7"/>
  <c r="AI322" i="7"/>
  <c r="AI318" i="7"/>
  <c r="AI314" i="7"/>
  <c r="AI310" i="7"/>
  <c r="AI306" i="7"/>
  <c r="AI302" i="7"/>
  <c r="AI298" i="7"/>
  <c r="AI294" i="7"/>
  <c r="AI290" i="7"/>
  <c r="AI286" i="7"/>
  <c r="AI278" i="7"/>
  <c r="AI274" i="7"/>
  <c r="AI270" i="7"/>
  <c r="AI266" i="7"/>
  <c r="AI262" i="7"/>
  <c r="AI258" i="7"/>
  <c r="AI254" i="7"/>
  <c r="AI250" i="7"/>
  <c r="AI246" i="7"/>
  <c r="AI242" i="7"/>
  <c r="AI238" i="7"/>
  <c r="AI234" i="7"/>
  <c r="AI230" i="7"/>
  <c r="AI226" i="7"/>
  <c r="AI222" i="7"/>
  <c r="AI218" i="7"/>
  <c r="AI214" i="7"/>
  <c r="AI210" i="7"/>
  <c r="AI206" i="7"/>
  <c r="AI202" i="7"/>
  <c r="AI198" i="7"/>
  <c r="AI194" i="7"/>
  <c r="AI190" i="7"/>
  <c r="AI186" i="7"/>
  <c r="AI182" i="7"/>
  <c r="AI178" i="7"/>
  <c r="AI174" i="7"/>
  <c r="AI170" i="7"/>
  <c r="AI166" i="7"/>
  <c r="AI162" i="7"/>
  <c r="AI158" i="7"/>
  <c r="AI154" i="7"/>
  <c r="AI150" i="7"/>
  <c r="AI140" i="7"/>
  <c r="AI136" i="7"/>
  <c r="AI132" i="7"/>
  <c r="AI128" i="7"/>
  <c r="AI124" i="7"/>
  <c r="AI120" i="7"/>
  <c r="AI116" i="7"/>
  <c r="AI112" i="7"/>
  <c r="AI108" i="7"/>
  <c r="AI104" i="7"/>
  <c r="AI100" i="7"/>
  <c r="AI96" i="7"/>
  <c r="AI92" i="7"/>
  <c r="AI88" i="7"/>
  <c r="AI84" i="7"/>
  <c r="AI80" i="7"/>
  <c r="AI76" i="7"/>
  <c r="AI72" i="7"/>
  <c r="AI68" i="7"/>
  <c r="AI64" i="7"/>
  <c r="AI60" i="7"/>
  <c r="AI56" i="7"/>
  <c r="AI52" i="7"/>
  <c r="AI48" i="7"/>
  <c r="AI44" i="7"/>
  <c r="AI40" i="7"/>
  <c r="AI36" i="7"/>
  <c r="AI32" i="7"/>
  <c r="AI28" i="7"/>
  <c r="AI24" i="7"/>
  <c r="AI20" i="7"/>
  <c r="AI16" i="7"/>
  <c r="AI12" i="7"/>
  <c r="AI8" i="7"/>
  <c r="AG443" i="7"/>
  <c r="AG435" i="7"/>
  <c r="AG431" i="7"/>
  <c r="AG427" i="7"/>
  <c r="AG423" i="7"/>
  <c r="AG419" i="7"/>
  <c r="AG415" i="7"/>
  <c r="AG411" i="7"/>
  <c r="AG407" i="7"/>
  <c r="AG403" i="7"/>
  <c r="AG399" i="7"/>
  <c r="AG395" i="7"/>
  <c r="AG391" i="7"/>
  <c r="AG387" i="7"/>
  <c r="AG383" i="7"/>
  <c r="AG379" i="7"/>
  <c r="AG375" i="7"/>
  <c r="AG371" i="7"/>
  <c r="AG367" i="7"/>
  <c r="AG363" i="7"/>
  <c r="AG359" i="7"/>
  <c r="AG355" i="7"/>
  <c r="AG351" i="7"/>
  <c r="AG347" i="7"/>
  <c r="AG343" i="7"/>
  <c r="AG339" i="7"/>
  <c r="AG335" i="7"/>
  <c r="AG331" i="7"/>
  <c r="AG322" i="7"/>
  <c r="AG318" i="7"/>
  <c r="AG314" i="7"/>
  <c r="AG310" i="7"/>
  <c r="AG306" i="7"/>
  <c r="AG302" i="7"/>
  <c r="AG298" i="7"/>
  <c r="AG294" i="7"/>
  <c r="AG290" i="7"/>
  <c r="AG286" i="7"/>
  <c r="AG278" i="7"/>
  <c r="AG274" i="7"/>
  <c r="AG270" i="7"/>
  <c r="AG266" i="7"/>
  <c r="AG262" i="7"/>
  <c r="AG258" i="7"/>
  <c r="AG254" i="7"/>
  <c r="AG250" i="7"/>
  <c r="AG246" i="7"/>
  <c r="AG242" i="7"/>
  <c r="AG238" i="7"/>
  <c r="AG234" i="7"/>
  <c r="AG230" i="7"/>
  <c r="AG226" i="7"/>
  <c r="AG222" i="7"/>
  <c r="AG218" i="7"/>
  <c r="AG214" i="7"/>
  <c r="AG210" i="7"/>
  <c r="AG206" i="7"/>
  <c r="AG202" i="7"/>
  <c r="AG198" i="7"/>
  <c r="AG194" i="7"/>
  <c r="AG190" i="7"/>
  <c r="AG186" i="7"/>
  <c r="AG182" i="7"/>
  <c r="AG178" i="7"/>
  <c r="AG174" i="7"/>
  <c r="AG170" i="7"/>
  <c r="AG166" i="7"/>
  <c r="AG162" i="7"/>
  <c r="AG158" i="7"/>
  <c r="AG154" i="7"/>
  <c r="AG150" i="7"/>
  <c r="AG140" i="7"/>
  <c r="AG136" i="7"/>
  <c r="AG132" i="7"/>
  <c r="AG128" i="7"/>
  <c r="AG124" i="7"/>
  <c r="AG120" i="7"/>
  <c r="AG116" i="7"/>
  <c r="AG112" i="7"/>
  <c r="AG108" i="7"/>
  <c r="AG104" i="7"/>
  <c r="AG100" i="7"/>
  <c r="AG96" i="7"/>
  <c r="AG92" i="7"/>
  <c r="AG88" i="7"/>
  <c r="AG84" i="7"/>
  <c r="AG80" i="7"/>
  <c r="AG76" i="7"/>
  <c r="AG72" i="7"/>
  <c r="AG68" i="7"/>
  <c r="AG64" i="7"/>
  <c r="AG60" i="7"/>
  <c r="AG56" i="7"/>
  <c r="AG52" i="7"/>
  <c r="AG48" i="7"/>
  <c r="AG44" i="7"/>
  <c r="AG40" i="7"/>
  <c r="AG36" i="7"/>
  <c r="AG32" i="7"/>
  <c r="AG28" i="7"/>
  <c r="AG24" i="7"/>
  <c r="AG20" i="7"/>
  <c r="AG16" i="7"/>
  <c r="AG12" i="7"/>
  <c r="AG8" i="7"/>
  <c r="AE443" i="7"/>
  <c r="AE435" i="7"/>
  <c r="AE431" i="7"/>
  <c r="AE427" i="7"/>
  <c r="AE423" i="7"/>
  <c r="AE419" i="7"/>
  <c r="AE415" i="7"/>
  <c r="AE411" i="7"/>
  <c r="AE407" i="7"/>
  <c r="AE403" i="7"/>
  <c r="AE399" i="7"/>
  <c r="AE395" i="7"/>
  <c r="AE391" i="7"/>
  <c r="AE387" i="7"/>
  <c r="AE383" i="7"/>
  <c r="AE379" i="7"/>
  <c r="AE375" i="7"/>
  <c r="AE371" i="7"/>
  <c r="AE367" i="7"/>
  <c r="AE363" i="7"/>
  <c r="AE359" i="7"/>
  <c r="AE355" i="7"/>
  <c r="AE351" i="7"/>
  <c r="AE347" i="7"/>
  <c r="AE343" i="7"/>
  <c r="AE339" i="7"/>
  <c r="AE335" i="7"/>
  <c r="AE331" i="7"/>
  <c r="AE322" i="7"/>
  <c r="AE318" i="7"/>
  <c r="AE314" i="7"/>
  <c r="AE310" i="7"/>
  <c r="AE306" i="7"/>
  <c r="AE302" i="7"/>
  <c r="AE298" i="7"/>
  <c r="AE294" i="7"/>
  <c r="AE290" i="7"/>
  <c r="AE286" i="7"/>
  <c r="AE278" i="7"/>
  <c r="AE274" i="7"/>
  <c r="AE270" i="7"/>
  <c r="AE266" i="7"/>
  <c r="AE262" i="7"/>
  <c r="AE258" i="7"/>
  <c r="AE254" i="7"/>
  <c r="AE250" i="7"/>
  <c r="AE246" i="7"/>
  <c r="AE242" i="7"/>
  <c r="AE238" i="7"/>
  <c r="AE234" i="7"/>
  <c r="AE230" i="7"/>
  <c r="AE226" i="7"/>
  <c r="AE222" i="7"/>
  <c r="AE218" i="7"/>
  <c r="AE214" i="7"/>
  <c r="AE210" i="7"/>
  <c r="AE206" i="7"/>
  <c r="AE202" i="7"/>
  <c r="AE198" i="7"/>
  <c r="AE194" i="7"/>
  <c r="AE190" i="7"/>
  <c r="AE186" i="7"/>
  <c r="AE182" i="7"/>
  <c r="AE178" i="7"/>
  <c r="AE174" i="7"/>
  <c r="AE170" i="7"/>
  <c r="AE166" i="7"/>
  <c r="AE162" i="7"/>
  <c r="AE158" i="7"/>
  <c r="AE154" i="7"/>
  <c r="AE150" i="7"/>
  <c r="AE140" i="7"/>
  <c r="AE136" i="7"/>
  <c r="AE132" i="7"/>
  <c r="AE128" i="7"/>
  <c r="AE124" i="7"/>
  <c r="AE120" i="7"/>
  <c r="AE116" i="7"/>
  <c r="AE112" i="7"/>
  <c r="AE108" i="7"/>
  <c r="AE104" i="7"/>
  <c r="AE100" i="7"/>
  <c r="AE96" i="7"/>
  <c r="AE92" i="7"/>
  <c r="AE88" i="7"/>
  <c r="AE84" i="7"/>
  <c r="AE80" i="7"/>
  <c r="AE76" i="7"/>
  <c r="AE72" i="7"/>
  <c r="AE68" i="7"/>
  <c r="AE64" i="7"/>
  <c r="AE60" i="7"/>
  <c r="AE56" i="7"/>
  <c r="AE52" i="7"/>
  <c r="AE48" i="7"/>
  <c r="AE44" i="7"/>
  <c r="AE40" i="7"/>
  <c r="AE36" i="7"/>
  <c r="AE32" i="7"/>
  <c r="AE28" i="7"/>
  <c r="AE24" i="7"/>
  <c r="AE20" i="7"/>
  <c r="AE16" i="7"/>
  <c r="AE12" i="7"/>
  <c r="AE8" i="7"/>
  <c r="AC443" i="7"/>
  <c r="AC435" i="7"/>
  <c r="AC431" i="7"/>
  <c r="AC427" i="7"/>
  <c r="AC423" i="7"/>
  <c r="AC419" i="7"/>
  <c r="AC415" i="7"/>
  <c r="AC411" i="7"/>
  <c r="AC407" i="7"/>
  <c r="AC403" i="7"/>
  <c r="AC399" i="7"/>
  <c r="AC395" i="7"/>
  <c r="AC391" i="7"/>
  <c r="AC387" i="7"/>
  <c r="AC383" i="7"/>
  <c r="AC379" i="7"/>
  <c r="AC375" i="7"/>
  <c r="AC371" i="7"/>
  <c r="AC367" i="7"/>
  <c r="AC363" i="7"/>
  <c r="AC359" i="7"/>
  <c r="AC355" i="7"/>
  <c r="AC351" i="7"/>
  <c r="AC347" i="7"/>
  <c r="AC343" i="7"/>
  <c r="AC339" i="7"/>
  <c r="AC335" i="7"/>
  <c r="AC331" i="7"/>
  <c r="AC322" i="7"/>
  <c r="AC318" i="7"/>
  <c r="AC314" i="7"/>
  <c r="AC310" i="7"/>
  <c r="AC306" i="7"/>
  <c r="AC302" i="7"/>
  <c r="AC298" i="7"/>
  <c r="AC294" i="7"/>
  <c r="AC290" i="7"/>
  <c r="AC286" i="7"/>
  <c r="AC278" i="7"/>
  <c r="AC274" i="7"/>
  <c r="AC270" i="7"/>
  <c r="AC266" i="7"/>
  <c r="AC262" i="7"/>
  <c r="AC258" i="7"/>
  <c r="AC254" i="7"/>
  <c r="AC250" i="7"/>
  <c r="AC246" i="7"/>
  <c r="AC242" i="7"/>
  <c r="AC238" i="7"/>
  <c r="AC234" i="7"/>
  <c r="AC230" i="7"/>
  <c r="AC226" i="7"/>
  <c r="AC222" i="7"/>
  <c r="AC218" i="7"/>
  <c r="AC214" i="7"/>
  <c r="AC210" i="7"/>
  <c r="AC206" i="7"/>
  <c r="AC202" i="7"/>
  <c r="AC198" i="7"/>
  <c r="AC194" i="7"/>
  <c r="AC190" i="7"/>
  <c r="AC186" i="7"/>
  <c r="AC182" i="7"/>
  <c r="AC178" i="7"/>
  <c r="AC174" i="7"/>
  <c r="AC170" i="7"/>
  <c r="AC166" i="7"/>
  <c r="AC162" i="7"/>
  <c r="AC158" i="7"/>
  <c r="AC154" i="7"/>
  <c r="AC150" i="7"/>
  <c r="AC140" i="7"/>
  <c r="AC136" i="7"/>
  <c r="AC132" i="7"/>
  <c r="AC128" i="7"/>
  <c r="AC124" i="7"/>
  <c r="AC120" i="7"/>
  <c r="AC116" i="7"/>
  <c r="AC112" i="7"/>
  <c r="AC108" i="7"/>
  <c r="AC104" i="7"/>
  <c r="AC100" i="7"/>
  <c r="AC96" i="7"/>
  <c r="AC92" i="7"/>
  <c r="AC88" i="7"/>
  <c r="AC84" i="7"/>
  <c r="AC80" i="7"/>
  <c r="AC76" i="7"/>
  <c r="AC72" i="7"/>
  <c r="AC68" i="7"/>
  <c r="AC64" i="7"/>
  <c r="AC60" i="7"/>
  <c r="AC56" i="7"/>
  <c r="AC52" i="7"/>
  <c r="AC48" i="7"/>
  <c r="AC44" i="7"/>
  <c r="AC40" i="7"/>
  <c r="AC36" i="7"/>
  <c r="AC32" i="7"/>
  <c r="AC28" i="7"/>
  <c r="AC24" i="7"/>
  <c r="AC20" i="7"/>
  <c r="AC16" i="7"/>
  <c r="AC12" i="7"/>
  <c r="AC8" i="7"/>
  <c r="AA443" i="7"/>
  <c r="AA435" i="7"/>
  <c r="AA431" i="7"/>
  <c r="AA427" i="7"/>
  <c r="AA423" i="7"/>
  <c r="AA419" i="7"/>
  <c r="AA415" i="7"/>
  <c r="AA411" i="7"/>
  <c r="AA407" i="7"/>
  <c r="AA403" i="7"/>
  <c r="AA399" i="7"/>
  <c r="AA395" i="7"/>
  <c r="AA391" i="7"/>
  <c r="AA387" i="7"/>
  <c r="AA383" i="7"/>
  <c r="AA379" i="7"/>
  <c r="AA375" i="7"/>
  <c r="AA371" i="7"/>
  <c r="AA367" i="7"/>
  <c r="AA363" i="7"/>
  <c r="AA359" i="7"/>
  <c r="AA355" i="7"/>
  <c r="AA351" i="7"/>
  <c r="AA347" i="7"/>
  <c r="AA343" i="7"/>
  <c r="AA339" i="7"/>
  <c r="AA335" i="7"/>
  <c r="AA331" i="7"/>
  <c r="AA322" i="7"/>
  <c r="AA318" i="7"/>
  <c r="AA314" i="7"/>
  <c r="AA310" i="7"/>
  <c r="AA306" i="7"/>
  <c r="AA302" i="7"/>
  <c r="AA298" i="7"/>
  <c r="AA294" i="7"/>
  <c r="AA290" i="7"/>
  <c r="AA286" i="7"/>
  <c r="AA278" i="7"/>
  <c r="AA274" i="7"/>
  <c r="AA270" i="7"/>
  <c r="AA266" i="7"/>
  <c r="AA262" i="7"/>
  <c r="AA258" i="7"/>
  <c r="AA254" i="7"/>
  <c r="AA250" i="7"/>
  <c r="AA246" i="7"/>
  <c r="AA242" i="7"/>
  <c r="AA238" i="7"/>
  <c r="AA234" i="7"/>
  <c r="AA230" i="7"/>
  <c r="AA226" i="7"/>
  <c r="AA222" i="7"/>
  <c r="AA218" i="7"/>
  <c r="AA214" i="7"/>
  <c r="AA210" i="7"/>
  <c r="AA206" i="7"/>
  <c r="AA202" i="7"/>
  <c r="AA198" i="7"/>
  <c r="AA194" i="7"/>
  <c r="AA190" i="7"/>
  <c r="AA186" i="7"/>
  <c r="AA182" i="7"/>
  <c r="AA178" i="7"/>
  <c r="AA174" i="7"/>
  <c r="AA170" i="7"/>
  <c r="AA166" i="7"/>
  <c r="AA162" i="7"/>
  <c r="AA158" i="7"/>
  <c r="AA154" i="7"/>
  <c r="AA150" i="7"/>
  <c r="AA140" i="7"/>
  <c r="AA136" i="7"/>
  <c r="AA132" i="7"/>
  <c r="AA128" i="7"/>
  <c r="AA124" i="7"/>
  <c r="AA120" i="7"/>
  <c r="AA116" i="7"/>
  <c r="AA112" i="7"/>
  <c r="AA108" i="7"/>
  <c r="AA104" i="7"/>
  <c r="AA100" i="7"/>
  <c r="AA96" i="7"/>
  <c r="AA92" i="7"/>
  <c r="AA88" i="7"/>
  <c r="AA84" i="7"/>
  <c r="AA80" i="7"/>
  <c r="AA76" i="7"/>
  <c r="AA72" i="7"/>
  <c r="AA68" i="7"/>
  <c r="AA64" i="7"/>
  <c r="AA60" i="7"/>
  <c r="AA56" i="7"/>
  <c r="AA52" i="7"/>
  <c r="AA48" i="7"/>
  <c r="AA44" i="7"/>
  <c r="AA40" i="7"/>
  <c r="AA36" i="7"/>
  <c r="AA32" i="7"/>
  <c r="AA28" i="7"/>
  <c r="AA24" i="7"/>
  <c r="AA20" i="7"/>
  <c r="AA16" i="7"/>
  <c r="AA12" i="7"/>
  <c r="AA8" i="7"/>
  <c r="Y443" i="7"/>
  <c r="Y435" i="7"/>
  <c r="Y431" i="7"/>
  <c r="Y427" i="7"/>
  <c r="Y423" i="7"/>
  <c r="Y419" i="7"/>
  <c r="Y415" i="7"/>
  <c r="Y411" i="7"/>
  <c r="Y407" i="7"/>
  <c r="Y403" i="7"/>
  <c r="Y399" i="7"/>
  <c r="Y395" i="7"/>
  <c r="Y391" i="7"/>
  <c r="Y387" i="7"/>
  <c r="Y383" i="7"/>
  <c r="Y379" i="7"/>
  <c r="Y375" i="7"/>
  <c r="Y371" i="7"/>
  <c r="Y367" i="7"/>
  <c r="Y363" i="7"/>
  <c r="Y359" i="7"/>
  <c r="Y355" i="7"/>
  <c r="Y351" i="7"/>
  <c r="Y347" i="7"/>
  <c r="Y343" i="7"/>
  <c r="Y339" i="7"/>
  <c r="Y335" i="7"/>
  <c r="Y331" i="7"/>
  <c r="Y322" i="7"/>
  <c r="Y318" i="7"/>
  <c r="Y314" i="7"/>
  <c r="Y310" i="7"/>
  <c r="Y306" i="7"/>
  <c r="Y302" i="7"/>
  <c r="Y298" i="7"/>
  <c r="Y294" i="7"/>
  <c r="Y290" i="7"/>
  <c r="Y286" i="7"/>
  <c r="Y278" i="7"/>
  <c r="Y274" i="7"/>
  <c r="Y270" i="7"/>
  <c r="Y266" i="7"/>
  <c r="Y262" i="7"/>
  <c r="Y258" i="7"/>
  <c r="Y254" i="7"/>
  <c r="Y250" i="7"/>
  <c r="Y246" i="7"/>
  <c r="Y242" i="7"/>
  <c r="Y238" i="7"/>
  <c r="Y234" i="7"/>
  <c r="Y230" i="7"/>
  <c r="Y226" i="7"/>
  <c r="Y222" i="7"/>
  <c r="Y218" i="7"/>
  <c r="Y214" i="7"/>
  <c r="Y210" i="7"/>
  <c r="Y206" i="7"/>
  <c r="Y202" i="7"/>
  <c r="Y198" i="7"/>
  <c r="Y194" i="7"/>
  <c r="Y190" i="7"/>
  <c r="Y186" i="7"/>
  <c r="Y182" i="7"/>
  <c r="Y178" i="7"/>
  <c r="Y174" i="7"/>
  <c r="Y170" i="7"/>
  <c r="Y166" i="7"/>
  <c r="Y162" i="7"/>
  <c r="Y158" i="7"/>
  <c r="Y154" i="7"/>
  <c r="Y150" i="7"/>
  <c r="Y140" i="7"/>
  <c r="Y136" i="7"/>
  <c r="Y132" i="7"/>
  <c r="Y128" i="7"/>
  <c r="Y124" i="7"/>
  <c r="Y120" i="7"/>
  <c r="Y116" i="7"/>
  <c r="Y112" i="7"/>
  <c r="Y108" i="7"/>
  <c r="Y104" i="7"/>
  <c r="Y100" i="7"/>
  <c r="Y96" i="7"/>
  <c r="Y92" i="7"/>
  <c r="Y88" i="7"/>
  <c r="Y84" i="7"/>
  <c r="Y80" i="7"/>
  <c r="Y76" i="7"/>
  <c r="Y72" i="7"/>
  <c r="Y68" i="7"/>
  <c r="Y64" i="7"/>
  <c r="Y60" i="7"/>
  <c r="Y56" i="7"/>
  <c r="Y52" i="7"/>
  <c r="Y48" i="7"/>
  <c r="Y44" i="7"/>
  <c r="Y40" i="7"/>
  <c r="Y36" i="7"/>
  <c r="Y32" i="7"/>
  <c r="Y28" i="7"/>
  <c r="Y24" i="7"/>
  <c r="Y20" i="7"/>
  <c r="Y16" i="7"/>
  <c r="Y12" i="7"/>
  <c r="Y8" i="7"/>
  <c r="W447" i="7"/>
  <c r="W443" i="7"/>
  <c r="W439" i="7"/>
  <c r="W435" i="7"/>
  <c r="W431" i="7"/>
  <c r="W427" i="7"/>
  <c r="W423" i="7"/>
  <c r="W419" i="7"/>
  <c r="W415" i="7"/>
  <c r="W411" i="7"/>
  <c r="W407" i="7"/>
  <c r="W403" i="7"/>
  <c r="W399" i="7"/>
  <c r="W395" i="7"/>
  <c r="W391" i="7"/>
  <c r="W387" i="7"/>
  <c r="W383" i="7"/>
  <c r="W379" i="7"/>
  <c r="W375" i="7"/>
  <c r="W371" i="7"/>
  <c r="W367" i="7"/>
  <c r="W363" i="7"/>
  <c r="W359" i="7"/>
  <c r="W355" i="7"/>
  <c r="W351" i="7"/>
  <c r="W347" i="7"/>
  <c r="W343" i="7"/>
  <c r="W339" i="7"/>
  <c r="W335" i="7"/>
  <c r="W331" i="7"/>
  <c r="W322" i="7"/>
  <c r="W318" i="7"/>
  <c r="W314" i="7"/>
  <c r="W310" i="7"/>
  <c r="W306" i="7"/>
  <c r="W302" i="7"/>
  <c r="W298" i="7"/>
  <c r="W294" i="7"/>
  <c r="W290" i="7"/>
  <c r="W286" i="7"/>
  <c r="W278" i="7"/>
  <c r="W274" i="7"/>
  <c r="W270" i="7"/>
  <c r="W266" i="7"/>
  <c r="W262" i="7"/>
  <c r="W258" i="7"/>
  <c r="W254" i="7"/>
  <c r="W250" i="7"/>
  <c r="W246" i="7"/>
  <c r="W242" i="7"/>
  <c r="W238" i="7"/>
  <c r="W234" i="7"/>
  <c r="W230" i="7"/>
  <c r="W226" i="7"/>
  <c r="W222" i="7"/>
  <c r="W218" i="7"/>
  <c r="W214" i="7"/>
  <c r="W210" i="7"/>
  <c r="W206" i="7"/>
  <c r="W202" i="7"/>
  <c r="W198" i="7"/>
  <c r="W194" i="7"/>
  <c r="W190" i="7"/>
  <c r="W186" i="7"/>
  <c r="W182" i="7"/>
  <c r="W178" i="7"/>
  <c r="W174" i="7"/>
  <c r="W170" i="7"/>
  <c r="W166" i="7"/>
  <c r="W162" i="7"/>
  <c r="W158" i="7"/>
  <c r="W154" i="7"/>
  <c r="W150" i="7"/>
  <c r="W140" i="7"/>
  <c r="W136" i="7"/>
  <c r="W132" i="7"/>
  <c r="W128" i="7"/>
  <c r="W124" i="7"/>
  <c r="W120" i="7"/>
  <c r="W116" i="7"/>
  <c r="W112" i="7"/>
  <c r="W108" i="7"/>
  <c r="W104" i="7"/>
  <c r="W100" i="7"/>
  <c r="W96" i="7"/>
  <c r="W92" i="7"/>
  <c r="W88" i="7"/>
  <c r="W84" i="7"/>
  <c r="W80" i="7"/>
  <c r="W76" i="7"/>
  <c r="W72" i="7"/>
  <c r="W68" i="7"/>
  <c r="W64" i="7"/>
  <c r="W60" i="7"/>
  <c r="W56" i="7"/>
  <c r="W52" i="7"/>
  <c r="W48" i="7"/>
  <c r="W44" i="7"/>
  <c r="W40" i="7"/>
  <c r="W36" i="7"/>
  <c r="W32" i="7"/>
  <c r="W28" i="7"/>
  <c r="W24" i="7"/>
  <c r="W20" i="7"/>
  <c r="W16" i="7"/>
  <c r="W12" i="7"/>
  <c r="W8" i="7"/>
  <c r="U447" i="7"/>
  <c r="U443" i="7"/>
  <c r="U439" i="7"/>
  <c r="U435" i="7"/>
  <c r="U431" i="7"/>
  <c r="U427" i="7"/>
  <c r="U423" i="7"/>
  <c r="U419" i="7"/>
  <c r="U415" i="7"/>
  <c r="U411" i="7"/>
  <c r="U407" i="7"/>
  <c r="U403" i="7"/>
  <c r="U399" i="7"/>
  <c r="U395" i="7"/>
  <c r="U391" i="7"/>
  <c r="U387" i="7"/>
  <c r="U383" i="7"/>
  <c r="U379" i="7"/>
  <c r="U375" i="7"/>
  <c r="U371" i="7"/>
  <c r="U367" i="7"/>
  <c r="U363" i="7"/>
  <c r="U359" i="7"/>
  <c r="U355" i="7"/>
  <c r="U351" i="7"/>
  <c r="U347" i="7"/>
  <c r="U343" i="7"/>
  <c r="U339" i="7"/>
  <c r="U335" i="7"/>
  <c r="U331" i="7"/>
  <c r="U322" i="7"/>
  <c r="U318" i="7"/>
  <c r="U314" i="7"/>
  <c r="U310" i="7"/>
  <c r="U306" i="7"/>
  <c r="U302" i="7"/>
  <c r="U298" i="7"/>
  <c r="U294" i="7"/>
  <c r="U290" i="7"/>
  <c r="U286" i="7"/>
  <c r="U278" i="7"/>
  <c r="U274" i="7"/>
  <c r="U270" i="7"/>
  <c r="U266" i="7"/>
  <c r="U262" i="7"/>
  <c r="U258" i="7"/>
  <c r="U254" i="7"/>
  <c r="U250" i="7"/>
  <c r="U246" i="7"/>
  <c r="U242" i="7"/>
  <c r="U238" i="7"/>
  <c r="U234" i="7"/>
  <c r="U230" i="7"/>
  <c r="U226" i="7"/>
  <c r="U222" i="7"/>
  <c r="U218" i="7"/>
  <c r="U214" i="7"/>
  <c r="U210" i="7"/>
  <c r="U206" i="7"/>
  <c r="U202" i="7"/>
  <c r="U198" i="7"/>
  <c r="U194" i="7"/>
  <c r="U190" i="7"/>
  <c r="U186" i="7"/>
  <c r="U182" i="7"/>
  <c r="U178" i="7"/>
  <c r="U174" i="7"/>
  <c r="U170" i="7"/>
  <c r="U166" i="7"/>
  <c r="U162" i="7"/>
  <c r="U158" i="7"/>
  <c r="U154" i="7"/>
  <c r="U150" i="7"/>
  <c r="U140" i="7"/>
  <c r="U136" i="7"/>
  <c r="U132" i="7"/>
  <c r="U128" i="7"/>
  <c r="U124" i="7"/>
  <c r="U120" i="7"/>
  <c r="U116" i="7"/>
  <c r="U112" i="7"/>
  <c r="U108" i="7"/>
  <c r="U104" i="7"/>
  <c r="U100" i="7"/>
  <c r="U96" i="7"/>
  <c r="U92" i="7"/>
  <c r="U88" i="7"/>
  <c r="U84" i="7"/>
  <c r="U80" i="7"/>
  <c r="U76" i="7"/>
  <c r="U72" i="7"/>
  <c r="U68" i="7"/>
  <c r="U64" i="7"/>
  <c r="U60" i="7"/>
  <c r="U56" i="7"/>
  <c r="U52" i="7"/>
  <c r="U48" i="7"/>
  <c r="U44" i="7"/>
  <c r="U40" i="7"/>
  <c r="U36" i="7"/>
  <c r="U32" i="7"/>
  <c r="U28" i="7"/>
  <c r="U24" i="7"/>
  <c r="U20" i="7"/>
  <c r="U16" i="7"/>
  <c r="U12" i="7"/>
  <c r="U8" i="7"/>
  <c r="S447" i="7"/>
  <c r="S443" i="7"/>
  <c r="S439" i="7"/>
  <c r="S435" i="7"/>
  <c r="S431" i="7"/>
  <c r="S427" i="7"/>
  <c r="S423" i="7"/>
  <c r="S419" i="7"/>
  <c r="S415" i="7"/>
  <c r="S411" i="7"/>
  <c r="S407" i="7"/>
  <c r="S403" i="7"/>
  <c r="S399" i="7"/>
  <c r="S395" i="7"/>
  <c r="S391" i="7"/>
  <c r="S387" i="7"/>
  <c r="S383" i="7"/>
  <c r="S379" i="7"/>
  <c r="S375" i="7"/>
  <c r="S371" i="7"/>
  <c r="S367" i="7"/>
  <c r="S363" i="7"/>
  <c r="S359" i="7"/>
  <c r="S355" i="7"/>
  <c r="S351" i="7"/>
  <c r="S347" i="7"/>
  <c r="S343" i="7"/>
  <c r="S339" i="7"/>
  <c r="S335" i="7"/>
  <c r="S331" i="7"/>
  <c r="S322" i="7"/>
  <c r="S318" i="7"/>
  <c r="S314" i="7"/>
  <c r="S310" i="7"/>
  <c r="S306" i="7"/>
  <c r="S302" i="7"/>
  <c r="S298" i="7"/>
  <c r="S294" i="7"/>
  <c r="S290" i="7"/>
  <c r="S286" i="7"/>
  <c r="S278" i="7"/>
  <c r="S274" i="7"/>
  <c r="S270" i="7"/>
  <c r="S266" i="7"/>
  <c r="S262" i="7"/>
  <c r="S258" i="7"/>
  <c r="S254" i="7"/>
  <c r="S250" i="7"/>
  <c r="S246" i="7"/>
  <c r="S242" i="7"/>
  <c r="S238" i="7"/>
  <c r="S234" i="7"/>
  <c r="S230" i="7"/>
  <c r="S226" i="7"/>
  <c r="S222" i="7"/>
  <c r="S218" i="7"/>
  <c r="S214" i="7"/>
  <c r="S210" i="7"/>
  <c r="S206" i="7"/>
  <c r="S202" i="7"/>
  <c r="S198" i="7"/>
  <c r="S194" i="7"/>
  <c r="S190" i="7"/>
  <c r="S186" i="7"/>
  <c r="S182" i="7"/>
  <c r="S178" i="7"/>
  <c r="S174" i="7"/>
  <c r="S170" i="7"/>
  <c r="S166" i="7"/>
  <c r="S162" i="7"/>
  <c r="S158" i="7"/>
  <c r="S154" i="7"/>
  <c r="S150" i="7"/>
  <c r="S140" i="7"/>
  <c r="S136" i="7"/>
  <c r="S132" i="7"/>
  <c r="S128" i="7"/>
  <c r="S124" i="7"/>
  <c r="S120" i="7"/>
  <c r="S116" i="7"/>
  <c r="S112" i="7"/>
  <c r="S108" i="7"/>
  <c r="S104" i="7"/>
  <c r="S100" i="7"/>
  <c r="S96" i="7"/>
  <c r="S92" i="7"/>
  <c r="S88" i="7"/>
  <c r="S84" i="7"/>
  <c r="S80" i="7"/>
  <c r="S76" i="7"/>
  <c r="S72" i="7"/>
  <c r="S68" i="7"/>
  <c r="S64" i="7"/>
  <c r="S60" i="7"/>
  <c r="S56" i="7"/>
  <c r="S52" i="7"/>
  <c r="S48" i="7"/>
  <c r="S44" i="7"/>
  <c r="S40" i="7"/>
  <c r="S36" i="7"/>
  <c r="S32" i="7"/>
  <c r="S28" i="7"/>
  <c r="S24" i="7"/>
  <c r="S20" i="7"/>
  <c r="S16" i="7"/>
  <c r="S12" i="7"/>
  <c r="S8" i="7"/>
  <c r="Q447" i="7"/>
  <c r="Q443" i="7"/>
  <c r="Q439" i="7"/>
  <c r="Q435" i="7"/>
  <c r="Q431" i="7"/>
  <c r="Q427" i="7"/>
  <c r="Q423" i="7"/>
  <c r="Q419" i="7"/>
  <c r="Q415" i="7"/>
  <c r="Q411" i="7"/>
  <c r="Q407" i="7"/>
  <c r="Q403" i="7"/>
  <c r="Q399" i="7"/>
  <c r="Q395" i="7"/>
  <c r="Q391" i="7"/>
  <c r="Q387" i="7"/>
  <c r="Q383" i="7"/>
  <c r="Q379" i="7"/>
  <c r="Q375" i="7"/>
  <c r="Q371" i="7"/>
  <c r="Q367" i="7"/>
  <c r="Q363" i="7"/>
  <c r="Q359" i="7"/>
  <c r="Q355" i="7"/>
  <c r="Q351" i="7"/>
  <c r="Q347" i="7"/>
  <c r="Q343" i="7"/>
  <c r="Q339" i="7"/>
  <c r="Q335" i="7"/>
  <c r="Q331" i="7"/>
  <c r="Q322" i="7"/>
  <c r="Q318" i="7"/>
  <c r="Q314" i="7"/>
  <c r="Q310" i="7"/>
  <c r="Q306" i="7"/>
  <c r="Q302" i="7"/>
  <c r="Q298" i="7"/>
  <c r="Q294" i="7"/>
  <c r="Q290" i="7"/>
  <c r="Q286" i="7"/>
  <c r="Q278" i="7"/>
  <c r="Q274" i="7"/>
  <c r="Q270" i="7"/>
  <c r="Q266" i="7"/>
  <c r="Q262" i="7"/>
  <c r="Q258" i="7"/>
  <c r="Q254" i="7"/>
  <c r="Q250" i="7"/>
  <c r="Q246" i="7"/>
  <c r="Q242" i="7"/>
  <c r="Q238" i="7"/>
  <c r="Q234" i="7"/>
  <c r="Q230" i="7"/>
  <c r="Q226" i="7"/>
  <c r="Q222" i="7"/>
  <c r="Q218" i="7"/>
  <c r="Q214" i="7"/>
  <c r="Q210" i="7"/>
  <c r="Q206" i="7"/>
  <c r="Q202" i="7"/>
  <c r="Q198" i="7"/>
  <c r="Q194" i="7"/>
  <c r="Q190" i="7"/>
  <c r="Q186" i="7"/>
  <c r="Q182" i="7"/>
  <c r="Q178" i="7"/>
  <c r="Q174" i="7"/>
  <c r="Q170" i="7"/>
  <c r="Q166" i="7"/>
  <c r="Q162" i="7"/>
  <c r="Q158" i="7"/>
  <c r="Q154" i="7"/>
  <c r="Q150" i="7"/>
  <c r="Q140" i="7"/>
  <c r="Q136" i="7"/>
  <c r="Q132" i="7"/>
  <c r="Q128" i="7"/>
  <c r="Q124" i="7"/>
  <c r="Q120" i="7"/>
  <c r="Q116" i="7"/>
  <c r="Q112" i="7"/>
  <c r="Q108" i="7"/>
  <c r="Q104" i="7"/>
  <c r="Q100" i="7"/>
  <c r="Q96" i="7"/>
  <c r="Q92" i="7"/>
  <c r="Q88" i="7"/>
  <c r="Q84" i="7"/>
  <c r="Q80" i="7"/>
  <c r="Q76" i="7"/>
  <c r="Q72" i="7"/>
  <c r="Q68" i="7"/>
  <c r="Q64" i="7"/>
  <c r="Q60" i="7"/>
  <c r="Q56" i="7"/>
  <c r="Q52" i="7"/>
  <c r="Q48" i="7"/>
  <c r="Q44" i="7"/>
  <c r="Q40" i="7"/>
  <c r="Q36" i="7"/>
  <c r="Q32" i="7"/>
  <c r="Q28" i="7"/>
  <c r="Q24" i="7"/>
  <c r="Q20" i="7"/>
  <c r="Q16" i="7"/>
  <c r="Q12" i="7"/>
  <c r="Q8" i="7"/>
  <c r="O447" i="7"/>
  <c r="O443" i="7"/>
  <c r="O439" i="7"/>
  <c r="O435" i="7"/>
  <c r="O431" i="7"/>
  <c r="O427" i="7"/>
  <c r="O423" i="7"/>
  <c r="O419" i="7"/>
  <c r="O415" i="7"/>
  <c r="O411" i="7"/>
  <c r="O407" i="7"/>
  <c r="O403" i="7"/>
  <c r="O399" i="7"/>
  <c r="O395" i="7"/>
  <c r="O391" i="7"/>
  <c r="O387" i="7"/>
  <c r="O383" i="7"/>
  <c r="O379" i="7"/>
  <c r="O375" i="7"/>
  <c r="O371" i="7"/>
  <c r="O367" i="7"/>
  <c r="O363" i="7"/>
  <c r="O359" i="7"/>
  <c r="O355" i="7"/>
  <c r="O351" i="7"/>
  <c r="O347" i="7"/>
  <c r="O343" i="7"/>
  <c r="O339" i="7"/>
  <c r="O335" i="7"/>
  <c r="O331" i="7"/>
  <c r="O322" i="7"/>
  <c r="O318" i="7"/>
  <c r="O314" i="7"/>
  <c r="O310" i="7"/>
  <c r="O306" i="7"/>
  <c r="O302" i="7"/>
  <c r="O298" i="7"/>
  <c r="O294" i="7"/>
  <c r="O290" i="7"/>
  <c r="O286" i="7"/>
  <c r="O278" i="7"/>
  <c r="O274" i="7"/>
  <c r="O270" i="7"/>
  <c r="O266" i="7"/>
  <c r="O262" i="7"/>
  <c r="O258" i="7"/>
  <c r="O254" i="7"/>
  <c r="O250" i="7"/>
  <c r="O246" i="7"/>
  <c r="O242" i="7"/>
  <c r="O238" i="7"/>
  <c r="O234" i="7"/>
  <c r="O230" i="7"/>
  <c r="O226" i="7"/>
  <c r="O222" i="7"/>
  <c r="O218" i="7"/>
  <c r="O214" i="7"/>
  <c r="O210" i="7"/>
  <c r="O206" i="7"/>
  <c r="O202" i="7"/>
  <c r="O198" i="7"/>
  <c r="O194" i="7"/>
  <c r="O190" i="7"/>
  <c r="O186" i="7"/>
  <c r="O182" i="7"/>
  <c r="O178" i="7"/>
  <c r="O174" i="7"/>
  <c r="O170" i="7"/>
  <c r="O166" i="7"/>
  <c r="O162" i="7"/>
  <c r="O158" i="7"/>
  <c r="O154" i="7"/>
  <c r="O150" i="7"/>
  <c r="O140" i="7"/>
  <c r="O136" i="7"/>
  <c r="O132" i="7"/>
  <c r="O128" i="7"/>
  <c r="O124" i="7"/>
  <c r="O120" i="7"/>
  <c r="O116" i="7"/>
  <c r="O112" i="7"/>
  <c r="O108" i="7"/>
  <c r="O104" i="7"/>
  <c r="O100" i="7"/>
  <c r="O96" i="7"/>
  <c r="O92" i="7"/>
  <c r="O88" i="7"/>
  <c r="O84" i="7"/>
  <c r="O80" i="7"/>
  <c r="O76" i="7"/>
  <c r="O72" i="7"/>
  <c r="O68" i="7"/>
  <c r="O64" i="7"/>
  <c r="O60" i="7"/>
  <c r="O56" i="7"/>
  <c r="O52" i="7"/>
  <c r="O48" i="7"/>
  <c r="O44" i="7"/>
  <c r="O40" i="7"/>
  <c r="O36" i="7"/>
  <c r="O32" i="7"/>
  <c r="O28" i="7"/>
  <c r="O24" i="7"/>
  <c r="O20" i="7"/>
  <c r="O16" i="7"/>
  <c r="O12" i="7"/>
  <c r="O8" i="7"/>
  <c r="M447" i="7"/>
  <c r="M443" i="7"/>
  <c r="M439" i="7"/>
  <c r="M435" i="7"/>
  <c r="M431" i="7"/>
  <c r="M427" i="7"/>
  <c r="M423" i="7"/>
  <c r="M419" i="7"/>
  <c r="M415" i="7"/>
  <c r="M411" i="7"/>
  <c r="M407" i="7"/>
  <c r="M403" i="7"/>
  <c r="M399" i="7"/>
  <c r="M395" i="7"/>
  <c r="M391" i="7"/>
  <c r="M387" i="7"/>
  <c r="M383" i="7"/>
  <c r="M379" i="7"/>
  <c r="M375" i="7"/>
  <c r="M371" i="7"/>
  <c r="M367" i="7"/>
  <c r="M363" i="7"/>
  <c r="M359" i="7"/>
  <c r="M355" i="7"/>
  <c r="M351" i="7"/>
  <c r="M347" i="7"/>
  <c r="M343" i="7"/>
  <c r="M339" i="7"/>
  <c r="M335" i="7"/>
  <c r="M331" i="7"/>
  <c r="M322" i="7"/>
  <c r="M318" i="7"/>
  <c r="M314" i="7"/>
  <c r="M310" i="7"/>
  <c r="M306" i="7"/>
  <c r="M302" i="7"/>
  <c r="M298" i="7"/>
  <c r="M294" i="7"/>
  <c r="M290" i="7"/>
  <c r="M286" i="7"/>
  <c r="M278" i="7"/>
  <c r="M274" i="7"/>
  <c r="M270" i="7"/>
  <c r="M266" i="7"/>
  <c r="M262" i="7"/>
  <c r="M258" i="7"/>
  <c r="M254" i="7"/>
  <c r="M250" i="7"/>
  <c r="M246" i="7"/>
  <c r="M242" i="7"/>
  <c r="M238" i="7"/>
  <c r="M234" i="7"/>
  <c r="M230" i="7"/>
  <c r="M226" i="7"/>
  <c r="M222" i="7"/>
  <c r="M218" i="7"/>
  <c r="M214" i="7"/>
  <c r="M210" i="7"/>
  <c r="M206" i="7"/>
  <c r="M202" i="7"/>
  <c r="M198" i="7"/>
  <c r="M194" i="7"/>
  <c r="M190" i="7"/>
  <c r="M186" i="7"/>
  <c r="M182" i="7"/>
  <c r="M178" i="7"/>
  <c r="M174" i="7"/>
  <c r="M170" i="7"/>
  <c r="M166" i="7"/>
  <c r="M162" i="7"/>
  <c r="M158" i="7"/>
  <c r="M154" i="7"/>
  <c r="M150" i="7"/>
  <c r="M140" i="7"/>
  <c r="M136" i="7"/>
  <c r="M132" i="7"/>
  <c r="M128" i="7"/>
  <c r="M124" i="7"/>
  <c r="M120" i="7"/>
  <c r="M116" i="7"/>
  <c r="M112" i="7"/>
  <c r="M108" i="7"/>
  <c r="M104" i="7"/>
  <c r="M100" i="7"/>
  <c r="M96" i="7"/>
  <c r="M92" i="7"/>
  <c r="M88" i="7"/>
  <c r="M84" i="7"/>
  <c r="M80" i="7"/>
  <c r="M76" i="7"/>
  <c r="M72" i="7"/>
  <c r="M68" i="7"/>
  <c r="M64" i="7"/>
  <c r="M60" i="7"/>
  <c r="M56" i="7"/>
  <c r="M52" i="7"/>
  <c r="M48" i="7"/>
  <c r="M44" i="7"/>
  <c r="M40" i="7"/>
  <c r="M36" i="7"/>
  <c r="M32" i="7"/>
  <c r="M28" i="7"/>
  <c r="M24" i="7"/>
  <c r="M20" i="7"/>
  <c r="M16" i="7"/>
  <c r="M12" i="7"/>
  <c r="M8" i="7"/>
  <c r="K435" i="7"/>
  <c r="K431" i="7"/>
  <c r="K367" i="7"/>
  <c r="K322" i="7"/>
  <c r="K314" i="7"/>
  <c r="K306" i="7"/>
  <c r="K298" i="7"/>
  <c r="K290" i="7"/>
  <c r="K282" i="7"/>
  <c r="K274" i="7"/>
  <c r="K266" i="7"/>
  <c r="K258" i="7"/>
  <c r="K250" i="7"/>
  <c r="K242" i="7"/>
  <c r="K234" i="7"/>
  <c r="K226" i="7"/>
  <c r="K218" i="7"/>
  <c r="K210" i="7"/>
  <c r="K202" i="7"/>
  <c r="K194" i="7"/>
  <c r="K186" i="7"/>
  <c r="K178" i="7"/>
  <c r="K170" i="7"/>
  <c r="K162" i="7"/>
  <c r="K136" i="7"/>
  <c r="K128" i="7"/>
  <c r="K120" i="7"/>
  <c r="K112" i="7"/>
  <c r="K104" i="7"/>
  <c r="K96" i="7"/>
  <c r="K88" i="7"/>
  <c r="K80" i="7"/>
  <c r="K76" i="7"/>
  <c r="K72" i="7"/>
  <c r="K68" i="7"/>
  <c r="K64" i="7"/>
  <c r="K60" i="7"/>
  <c r="K56" i="7"/>
  <c r="K52" i="7"/>
  <c r="K48" i="7"/>
  <c r="K44" i="7"/>
  <c r="K40" i="7"/>
  <c r="K36" i="7"/>
  <c r="K32" i="7"/>
  <c r="I447" i="7"/>
  <c r="I443" i="7"/>
  <c r="I439" i="7"/>
  <c r="I435" i="7"/>
  <c r="I431" i="7"/>
  <c r="I427" i="7"/>
  <c r="I423" i="7"/>
  <c r="I419" i="7"/>
  <c r="I415" i="7"/>
  <c r="I411" i="7"/>
  <c r="I407" i="7"/>
  <c r="I403" i="7"/>
  <c r="I399" i="7"/>
  <c r="I395" i="7"/>
  <c r="I391" i="7"/>
  <c r="I387" i="7"/>
  <c r="I383" i="7"/>
  <c r="I379" i="7"/>
  <c r="I375" i="7"/>
  <c r="I371" i="7"/>
  <c r="I367" i="7"/>
  <c r="I363" i="7"/>
  <c r="I359" i="7"/>
  <c r="I355" i="7"/>
  <c r="I351" i="7"/>
  <c r="I347" i="7"/>
  <c r="I343" i="7"/>
  <c r="I339" i="7"/>
  <c r="I335" i="7"/>
  <c r="I331" i="7"/>
  <c r="I322" i="7"/>
  <c r="I318" i="7"/>
  <c r="I314" i="7"/>
  <c r="I310" i="7"/>
  <c r="I306" i="7"/>
  <c r="I302" i="7"/>
  <c r="I298" i="7"/>
  <c r="I294" i="7"/>
  <c r="I290" i="7"/>
  <c r="I286" i="7"/>
  <c r="I282" i="7"/>
  <c r="I278" i="7"/>
  <c r="I274" i="7"/>
  <c r="I270" i="7"/>
  <c r="I266" i="7"/>
  <c r="I262" i="7"/>
  <c r="I258" i="7"/>
  <c r="I254" i="7"/>
  <c r="I250" i="7"/>
  <c r="I246" i="7"/>
  <c r="I242" i="7"/>
  <c r="I238" i="7"/>
  <c r="I234" i="7"/>
  <c r="I230" i="7"/>
  <c r="I226" i="7"/>
  <c r="I222" i="7"/>
  <c r="I218" i="7"/>
  <c r="I214" i="7"/>
  <c r="I210" i="7"/>
  <c r="I206" i="7"/>
  <c r="I202" i="7"/>
  <c r="I198" i="7"/>
  <c r="I194" i="7"/>
  <c r="I190" i="7"/>
  <c r="I186" i="7"/>
  <c r="I182" i="7"/>
  <c r="I178" i="7"/>
  <c r="I174" i="7"/>
  <c r="I170" i="7"/>
  <c r="I166" i="7"/>
  <c r="I162" i="7"/>
  <c r="I158" i="7"/>
  <c r="I154" i="7"/>
  <c r="I150" i="7"/>
  <c r="I140" i="7"/>
  <c r="I136" i="7"/>
  <c r="I132" i="7"/>
  <c r="I128" i="7"/>
  <c r="I124" i="7"/>
  <c r="I120" i="7"/>
  <c r="I116" i="7"/>
  <c r="I112" i="7"/>
  <c r="I108" i="7"/>
  <c r="I104" i="7"/>
  <c r="I100" i="7"/>
  <c r="I96" i="7"/>
  <c r="I92" i="7"/>
  <c r="I88" i="7"/>
  <c r="I84" i="7"/>
  <c r="I80" i="7"/>
  <c r="I76" i="7"/>
  <c r="I72" i="7"/>
  <c r="I68" i="7"/>
  <c r="I64" i="7"/>
  <c r="I60" i="7"/>
  <c r="I56" i="7"/>
  <c r="I52" i="7"/>
  <c r="I48" i="7"/>
  <c r="I44" i="7"/>
  <c r="I40" i="7"/>
  <c r="I36" i="7"/>
  <c r="I32" i="7"/>
  <c r="I28" i="7"/>
  <c r="I24" i="7"/>
  <c r="I20" i="7"/>
  <c r="I16" i="7"/>
  <c r="I12" i="7"/>
  <c r="I8" i="7"/>
  <c r="H447" i="7"/>
  <c r="H443" i="7"/>
  <c r="H439" i="7"/>
  <c r="H435" i="7"/>
  <c r="H431" i="7"/>
  <c r="H427" i="7"/>
  <c r="H423" i="7"/>
  <c r="H419" i="7"/>
  <c r="H415" i="7"/>
  <c r="H411" i="7"/>
  <c r="H407" i="7"/>
  <c r="H403" i="7"/>
  <c r="H399" i="7"/>
  <c r="H395" i="7"/>
  <c r="H391" i="7"/>
  <c r="H387" i="7"/>
  <c r="H383" i="7"/>
  <c r="H379" i="7"/>
  <c r="H375" i="7"/>
  <c r="H371" i="7"/>
  <c r="H367" i="7"/>
  <c r="H363" i="7"/>
  <c r="H359" i="7"/>
  <c r="H355" i="7"/>
  <c r="H351" i="7"/>
  <c r="H347" i="7"/>
  <c r="H343" i="7"/>
  <c r="H339" i="7"/>
  <c r="H335" i="7"/>
  <c r="H331" i="7"/>
  <c r="H322" i="7"/>
  <c r="H318" i="7"/>
  <c r="H314" i="7"/>
  <c r="H310" i="7"/>
  <c r="H306" i="7"/>
  <c r="H302" i="7"/>
  <c r="H298" i="7"/>
  <c r="H294" i="7"/>
  <c r="H290" i="7"/>
  <c r="H286" i="7"/>
  <c r="H282" i="7"/>
  <c r="H278" i="7"/>
  <c r="H274" i="7"/>
  <c r="H270" i="7"/>
  <c r="H266" i="7"/>
  <c r="H262" i="7"/>
  <c r="H258" i="7"/>
  <c r="H254" i="7"/>
  <c r="H250" i="7"/>
  <c r="H246" i="7"/>
  <c r="H242" i="7"/>
  <c r="H238" i="7"/>
  <c r="H234" i="7"/>
  <c r="H230" i="7"/>
  <c r="H226" i="7"/>
  <c r="H222" i="7"/>
  <c r="H218" i="7"/>
  <c r="H214" i="7"/>
  <c r="H210" i="7"/>
  <c r="H206" i="7"/>
  <c r="H202" i="7"/>
  <c r="H198" i="7"/>
  <c r="H194" i="7"/>
  <c r="H190" i="7"/>
  <c r="H186" i="7"/>
  <c r="H182" i="7"/>
  <c r="H178" i="7"/>
  <c r="H174" i="7"/>
  <c r="H170" i="7"/>
  <c r="H166" i="7"/>
  <c r="H162" i="7"/>
  <c r="H158" i="7"/>
  <c r="H154" i="7"/>
  <c r="H150" i="7"/>
  <c r="H140" i="7"/>
  <c r="H136" i="7"/>
  <c r="H132" i="7"/>
  <c r="H128" i="7"/>
  <c r="H124" i="7"/>
  <c r="H120" i="7"/>
  <c r="H116" i="7"/>
  <c r="H112" i="7"/>
  <c r="H108" i="7"/>
  <c r="H104" i="7"/>
  <c r="H100" i="7"/>
  <c r="H96" i="7"/>
  <c r="H92" i="7"/>
  <c r="H88" i="7"/>
  <c r="H84" i="7"/>
  <c r="H80" i="7"/>
  <c r="H76" i="7"/>
  <c r="H72" i="7"/>
  <c r="H68" i="7"/>
  <c r="H64" i="7"/>
  <c r="H60" i="7"/>
  <c r="H56" i="7"/>
  <c r="H52" i="7"/>
  <c r="H48" i="7"/>
  <c r="H44" i="7"/>
  <c r="H40" i="7"/>
  <c r="H36" i="7"/>
  <c r="H32" i="7"/>
  <c r="H28" i="7"/>
  <c r="H24" i="7"/>
  <c r="H20" i="7"/>
  <c r="H16" i="7"/>
  <c r="H12" i="7"/>
  <c r="H8" i="7"/>
  <c r="F447" i="7"/>
  <c r="F443" i="7"/>
  <c r="F439" i="7"/>
  <c r="F435" i="7"/>
  <c r="F431" i="7"/>
  <c r="F427" i="7"/>
  <c r="F423" i="7"/>
  <c r="F419" i="7"/>
  <c r="F415" i="7"/>
  <c r="F411" i="7"/>
  <c r="F407" i="7"/>
  <c r="F403" i="7"/>
  <c r="F399" i="7"/>
  <c r="F395" i="7"/>
  <c r="F391" i="7"/>
  <c r="F387" i="7"/>
  <c r="F383" i="7"/>
  <c r="F379" i="7"/>
  <c r="F375" i="7"/>
  <c r="F371" i="7"/>
  <c r="F367" i="7"/>
  <c r="F363" i="7"/>
  <c r="F359" i="7"/>
  <c r="F355" i="7"/>
  <c r="F351" i="7"/>
  <c r="F347" i="7"/>
  <c r="F343" i="7"/>
  <c r="F339" i="7"/>
  <c r="F335" i="7"/>
  <c r="F331" i="7"/>
  <c r="F322" i="7"/>
  <c r="F318" i="7"/>
  <c r="F314" i="7"/>
  <c r="F310" i="7"/>
  <c r="F306" i="7"/>
  <c r="F302" i="7"/>
  <c r="F298" i="7"/>
  <c r="F294" i="7"/>
  <c r="F290" i="7"/>
  <c r="F286" i="7"/>
  <c r="F282" i="7"/>
  <c r="F278" i="7"/>
  <c r="F274" i="7"/>
  <c r="F270" i="7"/>
  <c r="F266" i="7"/>
  <c r="F262" i="7"/>
  <c r="F258" i="7"/>
  <c r="F254" i="7"/>
  <c r="F250" i="7"/>
  <c r="F246" i="7"/>
  <c r="F242" i="7"/>
  <c r="F238" i="7"/>
  <c r="F234" i="7"/>
  <c r="F230" i="7"/>
  <c r="F226" i="7"/>
  <c r="F222" i="7"/>
  <c r="F218" i="7"/>
  <c r="F214" i="7"/>
  <c r="F210" i="7"/>
  <c r="F206" i="7"/>
  <c r="F202" i="7"/>
  <c r="F198" i="7"/>
  <c r="F194" i="7"/>
  <c r="F190" i="7"/>
  <c r="F186" i="7"/>
  <c r="F182" i="7"/>
  <c r="F178" i="7"/>
  <c r="F174" i="7"/>
  <c r="F170" i="7"/>
  <c r="F166" i="7"/>
  <c r="F162" i="7"/>
  <c r="F158" i="7"/>
  <c r="F154" i="7"/>
  <c r="F150" i="7"/>
  <c r="F140" i="7"/>
  <c r="F136" i="7"/>
  <c r="F132" i="7"/>
  <c r="F128" i="7"/>
  <c r="F124" i="7"/>
  <c r="F120" i="7"/>
  <c r="F116" i="7"/>
  <c r="F112" i="7"/>
  <c r="F108" i="7"/>
  <c r="F104" i="7"/>
  <c r="F100" i="7"/>
  <c r="F96" i="7"/>
  <c r="F92" i="7"/>
  <c r="F88" i="7"/>
  <c r="F84" i="7"/>
  <c r="F80" i="7"/>
  <c r="F76" i="7"/>
  <c r="F72" i="7"/>
  <c r="F68" i="7"/>
  <c r="F64" i="7"/>
  <c r="F60" i="7"/>
  <c r="F56" i="7"/>
  <c r="F52" i="7"/>
  <c r="F48" i="7"/>
  <c r="F44" i="7"/>
  <c r="F40" i="7"/>
  <c r="F36" i="7"/>
  <c r="F32" i="7"/>
  <c r="F28" i="7"/>
  <c r="F24" i="7"/>
  <c r="F20" i="7"/>
  <c r="F16" i="7"/>
  <c r="F12" i="7"/>
  <c r="F8" i="7"/>
  <c r="D447" i="7"/>
  <c r="D443" i="7"/>
  <c r="D439" i="7"/>
  <c r="D435" i="7"/>
  <c r="D431" i="7"/>
  <c r="D427" i="7"/>
  <c r="D423" i="7"/>
  <c r="D419" i="7"/>
  <c r="D415" i="7"/>
  <c r="D411" i="7"/>
  <c r="D407" i="7"/>
  <c r="D403" i="7"/>
  <c r="D399" i="7"/>
  <c r="D395" i="7"/>
  <c r="D391" i="7"/>
  <c r="D387" i="7"/>
  <c r="D383" i="7"/>
  <c r="D379" i="7"/>
  <c r="D375" i="7"/>
  <c r="D371" i="7"/>
  <c r="D367" i="7"/>
  <c r="D363" i="7"/>
  <c r="D359" i="7"/>
  <c r="D355" i="7"/>
  <c r="D351" i="7"/>
  <c r="D347" i="7"/>
  <c r="D343" i="7"/>
  <c r="D339" i="7"/>
  <c r="D335" i="7"/>
  <c r="D331" i="7"/>
  <c r="D322" i="7"/>
  <c r="D318" i="7"/>
  <c r="D314" i="7"/>
  <c r="D310" i="7"/>
  <c r="D306" i="7"/>
  <c r="D302" i="7"/>
  <c r="D298" i="7"/>
  <c r="D294" i="7"/>
  <c r="D290" i="7"/>
  <c r="D286" i="7"/>
  <c r="D282" i="7"/>
  <c r="D278" i="7"/>
  <c r="D274" i="7"/>
  <c r="D270" i="7"/>
  <c r="D266" i="7"/>
  <c r="D262" i="7"/>
  <c r="D258" i="7"/>
  <c r="D254" i="7"/>
  <c r="D250" i="7"/>
  <c r="D246" i="7"/>
  <c r="D242" i="7"/>
  <c r="D238" i="7"/>
  <c r="D234" i="7"/>
  <c r="D230" i="7"/>
  <c r="D226" i="7"/>
  <c r="D222" i="7"/>
  <c r="D218" i="7"/>
  <c r="D214" i="7"/>
  <c r="D210" i="7"/>
  <c r="D206" i="7"/>
  <c r="D202" i="7"/>
  <c r="D198" i="7"/>
  <c r="D194" i="7"/>
  <c r="D190" i="7"/>
  <c r="D186" i="7"/>
  <c r="D182" i="7"/>
  <c r="D178" i="7"/>
  <c r="D174" i="7"/>
  <c r="D170" i="7"/>
  <c r="D166" i="7"/>
  <c r="D162" i="7"/>
  <c r="D158" i="7"/>
  <c r="D154" i="7"/>
  <c r="D150" i="7"/>
  <c r="D136" i="7"/>
  <c r="D68" i="7"/>
  <c r="D12" i="7"/>
  <c r="D8" i="7"/>
  <c r="J93" i="8" l="1"/>
  <c r="I93" i="8"/>
  <c r="BP137" i="8"/>
  <c r="BO137" i="8"/>
  <c r="BW134" i="8"/>
  <c r="BW137" i="8" s="1"/>
  <c r="BR40" i="8"/>
  <c r="BX37" i="8"/>
  <c r="BQ40" i="8"/>
  <c r="BX40" i="8" s="1"/>
  <c r="BT40" i="8"/>
  <c r="BS40" i="8"/>
  <c r="BY40" i="8" s="1"/>
  <c r="BY37" i="8"/>
  <c r="BT56" i="8"/>
  <c r="BY53" i="8"/>
  <c r="AN117" i="8"/>
  <c r="AM117" i="8"/>
  <c r="BB20" i="8"/>
  <c r="BF20" i="8"/>
  <c r="AQ183" i="8"/>
  <c r="AO183" i="8"/>
  <c r="K30" i="8"/>
  <c r="BE30" i="8"/>
  <c r="I32" i="8"/>
  <c r="BA57" i="8"/>
  <c r="BE57" i="8"/>
  <c r="I60" i="8"/>
  <c r="BY108" i="8"/>
  <c r="BS109" i="8"/>
  <c r="BY109" i="8" s="1"/>
  <c r="K26" i="8"/>
  <c r="I12" i="8"/>
  <c r="K177" i="8"/>
  <c r="K180" i="8" s="1"/>
  <c r="K169" i="8"/>
  <c r="L172" i="8" s="1"/>
  <c r="BW170" i="8"/>
  <c r="BW172" i="8" s="1"/>
  <c r="BP172" i="8"/>
  <c r="BO172" i="8"/>
  <c r="BX41" i="8"/>
  <c r="BR44" i="8"/>
  <c r="BQ44" i="8"/>
  <c r="BX44" i="8" s="1"/>
  <c r="AU41" i="8" s="1"/>
  <c r="BW149" i="8"/>
  <c r="AO181" i="8" s="1"/>
  <c r="BP152" i="8"/>
  <c r="BT85" i="8"/>
  <c r="AN93" i="8"/>
  <c r="BQ93" i="8"/>
  <c r="BX93" i="8" s="1"/>
  <c r="BX92" i="8"/>
  <c r="AU92" i="8" s="1"/>
  <c r="BR93" i="8"/>
  <c r="K42" i="8"/>
  <c r="AL40" i="8"/>
  <c r="AZ40" i="8" s="1"/>
  <c r="AK40" i="8"/>
  <c r="BV85" i="8"/>
  <c r="BW90" i="8"/>
  <c r="BP93" i="8"/>
  <c r="BO93" i="8"/>
  <c r="BU109" i="8"/>
  <c r="BZ109" i="8" s="1"/>
  <c r="BX114" i="8"/>
  <c r="BR117" i="8"/>
  <c r="BZ18" i="8"/>
  <c r="BV20" i="8"/>
  <c r="AM44" i="8"/>
  <c r="BZ53" i="8"/>
  <c r="I105" i="8"/>
  <c r="BY114" i="8"/>
  <c r="BT117" i="8"/>
  <c r="BS117" i="8"/>
  <c r="BY117" i="8" s="1"/>
  <c r="AN12" i="8"/>
  <c r="K19" i="8"/>
  <c r="BA42" i="8"/>
  <c r="BA54" i="8"/>
  <c r="BB56" i="8" s="1"/>
  <c r="K54" i="8"/>
  <c r="BV60" i="8"/>
  <c r="BZ57" i="8"/>
  <c r="AO92" i="8"/>
  <c r="AO100" i="8"/>
  <c r="K182" i="8"/>
  <c r="BE42" i="8"/>
  <c r="K46" i="8"/>
  <c r="L48" i="8" s="1"/>
  <c r="I85" i="8"/>
  <c r="BV196" i="8"/>
  <c r="BZ193" i="8"/>
  <c r="BU196" i="8"/>
  <c r="BZ196" i="8" s="1"/>
  <c r="J12" i="8"/>
  <c r="BR24" i="8"/>
  <c r="K58" i="8"/>
  <c r="BP160" i="8"/>
  <c r="BO160" i="8"/>
  <c r="AS169" i="8"/>
  <c r="AM8" i="8"/>
  <c r="BA17" i="8"/>
  <c r="BA20" i="8" s="1"/>
  <c r="K17" i="8"/>
  <c r="BS24" i="8"/>
  <c r="BY24" i="8" s="1"/>
  <c r="BC54" i="8"/>
  <c r="AU98" i="8"/>
  <c r="AU169" i="8"/>
  <c r="AM176" i="8"/>
  <c r="K194" i="8"/>
  <c r="BT24" i="8"/>
  <c r="I48" i="8"/>
  <c r="BE54" i="8"/>
  <c r="BZ159" i="8"/>
  <c r="BX182" i="8"/>
  <c r="AU182" i="8" s="1"/>
  <c r="BR184" i="8"/>
  <c r="BA15" i="8"/>
  <c r="BE15" i="8"/>
  <c r="BC15" i="8"/>
  <c r="BU24" i="8"/>
  <c r="BZ24" i="8" s="1"/>
  <c r="J48" i="8"/>
  <c r="BV133" i="8"/>
  <c r="BE17" i="8"/>
  <c r="BE20" i="8" s="1"/>
  <c r="K63" i="8"/>
  <c r="BW157" i="8"/>
  <c r="AS177" i="8"/>
  <c r="BX197" i="8"/>
  <c r="BQ200" i="8"/>
  <c r="BX200" i="8" s="1"/>
  <c r="BU44" i="8"/>
  <c r="BZ44" i="8" s="1"/>
  <c r="BY49" i="8"/>
  <c r="BT52" i="8"/>
  <c r="BS52" i="8"/>
  <c r="BY52" i="8" s="1"/>
  <c r="BU85" i="8"/>
  <c r="BZ85" i="8" s="1"/>
  <c r="BS93" i="8"/>
  <c r="BY93" i="8" s="1"/>
  <c r="BW118" i="8"/>
  <c r="BW121" i="8" s="1"/>
  <c r="BO121" i="8"/>
  <c r="J8" i="8"/>
  <c r="BO20" i="8"/>
  <c r="BW17" i="8"/>
  <c r="BW20" i="8" s="1"/>
  <c r="BC29" i="8"/>
  <c r="BC32" i="8" s="1"/>
  <c r="BA29" i="8"/>
  <c r="K33" i="8"/>
  <c r="BU52" i="8"/>
  <c r="BZ52" i="8" s="1"/>
  <c r="K65" i="8"/>
  <c r="K67" i="8"/>
  <c r="BE67" i="8"/>
  <c r="BY197" i="8"/>
  <c r="BS200" i="8"/>
  <c r="BY200" i="8" s="1"/>
  <c r="BV52" i="8"/>
  <c r="I133" i="8"/>
  <c r="BZ151" i="8"/>
  <c r="BU152" i="8"/>
  <c r="BZ152" i="8" s="1"/>
  <c r="BW6" i="8"/>
  <c r="BP8" i="8"/>
  <c r="BE41" i="8"/>
  <c r="BF44" i="8" s="1"/>
  <c r="BA41" i="8"/>
  <c r="BA67" i="8"/>
  <c r="BV137" i="8"/>
  <c r="K161" i="8"/>
  <c r="L164" i="8" s="1"/>
  <c r="BX21" i="8"/>
  <c r="K37" i="8"/>
  <c r="K41" i="8"/>
  <c r="K44" i="8" s="1"/>
  <c r="K45" i="8"/>
  <c r="K47" i="8"/>
  <c r="K51" i="8"/>
  <c r="BE51" i="8"/>
  <c r="BA51" i="8"/>
  <c r="BR56" i="8"/>
  <c r="BU60" i="8"/>
  <c r="BZ60" i="8" s="1"/>
  <c r="BP68" i="8"/>
  <c r="BW65" i="8"/>
  <c r="BW68" i="8" s="1"/>
  <c r="BP121" i="8"/>
  <c r="AQ132" i="8"/>
  <c r="BQ172" i="8"/>
  <c r="BX172" i="8" s="1"/>
  <c r="BT200" i="8"/>
  <c r="AN40" i="8"/>
  <c r="AM40" i="8"/>
  <c r="K55" i="8"/>
  <c r="K59" i="8"/>
  <c r="BQ121" i="8"/>
  <c r="BX121" i="8" s="1"/>
  <c r="AO167" i="8"/>
  <c r="BR172" i="8"/>
  <c r="AM192" i="8"/>
  <c r="K201" i="8"/>
  <c r="K204" i="8" s="1"/>
  <c r="I20" i="8"/>
  <c r="BA47" i="8"/>
  <c r="J52" i="8"/>
  <c r="BU56" i="8"/>
  <c r="BZ56" i="8" s="1"/>
  <c r="AL101" i="8"/>
  <c r="J20" i="8"/>
  <c r="BW25" i="8"/>
  <c r="BW28" i="8" s="1"/>
  <c r="AO25" i="8" s="1"/>
  <c r="AO28" i="8" s="1"/>
  <c r="BP28" i="8"/>
  <c r="BO28" i="8"/>
  <c r="BC47" i="8"/>
  <c r="BD48" i="8" s="1"/>
  <c r="BA55" i="8"/>
  <c r="BA59" i="8"/>
  <c r="BR89" i="8"/>
  <c r="J137" i="8"/>
  <c r="I137" i="8"/>
  <c r="BV152" i="8"/>
  <c r="BO192" i="8"/>
  <c r="K25" i="8"/>
  <c r="BR68" i="8"/>
  <c r="AU90" i="8"/>
  <c r="BV113" i="8"/>
  <c r="K195" i="8"/>
  <c r="K163" i="8"/>
  <c r="K175" i="8"/>
  <c r="BS184" i="8"/>
  <c r="BY184" i="8" s="1"/>
  <c r="K203" i="8"/>
  <c r="AL20" i="8"/>
  <c r="AZ20" i="8" s="1"/>
  <c r="K22" i="8"/>
  <c r="I36" i="8"/>
  <c r="BS152" i="8"/>
  <c r="BY152" i="8" s="1"/>
  <c r="AQ179" i="8"/>
  <c r="AO163" i="8"/>
  <c r="AX204" i="8"/>
  <c r="AM20" i="8"/>
  <c r="BA25" i="8"/>
  <c r="J36" i="8"/>
  <c r="BT152" i="8"/>
  <c r="AX164" i="8"/>
  <c r="K171" i="8"/>
  <c r="AN16" i="8"/>
  <c r="J40" i="8"/>
  <c r="BQ52" i="8"/>
  <c r="BX52" i="8" s="1"/>
  <c r="AU49" i="8" s="1"/>
  <c r="BR204" i="8"/>
  <c r="BQ36" i="8"/>
  <c r="BX36" i="8" s="1"/>
  <c r="AU33" i="8" s="1"/>
  <c r="AV36" i="8" s="1"/>
  <c r="AK44" i="8"/>
  <c r="BT36" i="8"/>
  <c r="BA46" i="8"/>
  <c r="BA48" i="8" s="1"/>
  <c r="K178" i="8"/>
  <c r="BU20" i="8"/>
  <c r="BZ20" i="8" s="1"/>
  <c r="I40" i="8"/>
  <c r="BC46" i="8"/>
  <c r="I121" i="8"/>
  <c r="K35" i="8"/>
  <c r="K50" i="8"/>
  <c r="K174" i="8"/>
  <c r="BP180" i="8"/>
  <c r="BQ196" i="8"/>
  <c r="BX196" i="8" s="1"/>
  <c r="BR20" i="8"/>
  <c r="AK192" i="8"/>
  <c r="K66" i="8"/>
  <c r="BR8" i="8"/>
  <c r="K199" i="8"/>
  <c r="BP204" i="8"/>
  <c r="K23" i="8"/>
  <c r="BW44" i="8"/>
  <c r="AO41" i="8" s="1"/>
  <c r="AS92" i="8"/>
  <c r="AT93" i="8" s="1"/>
  <c r="BP129" i="8"/>
  <c r="AO132" i="8"/>
  <c r="AU124" i="8"/>
  <c r="AS124" i="8"/>
  <c r="I52" i="8"/>
  <c r="AS91" i="8"/>
  <c r="AU91" i="8"/>
  <c r="AU123" i="8"/>
  <c r="AS123" i="8"/>
  <c r="AU122" i="8"/>
  <c r="AS122" i="8"/>
  <c r="K179" i="8"/>
  <c r="J180" i="8"/>
  <c r="I180" i="8"/>
  <c r="BW184" i="8"/>
  <c r="K197" i="8"/>
  <c r="J200" i="8"/>
  <c r="I200" i="8"/>
  <c r="J16" i="8"/>
  <c r="BE13" i="8"/>
  <c r="BC13" i="8"/>
  <c r="BA13" i="8"/>
  <c r="I16" i="8"/>
  <c r="AU166" i="8"/>
  <c r="AS166" i="8"/>
  <c r="AU170" i="8"/>
  <c r="AS170" i="8"/>
  <c r="BW15" i="8"/>
  <c r="BP16" i="8"/>
  <c r="BE49" i="8"/>
  <c r="BA49" i="8"/>
  <c r="BR16" i="8"/>
  <c r="BQ16" i="8"/>
  <c r="BX16" i="8" s="1"/>
  <c r="BX15" i="8"/>
  <c r="AU21" i="8"/>
  <c r="AS21" i="8"/>
  <c r="BW117" i="8"/>
  <c r="BX158" i="8"/>
  <c r="BR160" i="8"/>
  <c r="BQ160" i="8"/>
  <c r="BX160" i="8" s="1"/>
  <c r="J192" i="8"/>
  <c r="AL52" i="8"/>
  <c r="AZ52" i="8" s="1"/>
  <c r="AK52" i="8"/>
  <c r="AX180" i="8"/>
  <c r="AW180" i="8"/>
  <c r="AK85" i="8"/>
  <c r="AL85" i="8"/>
  <c r="AN85" i="8"/>
  <c r="AM85" i="8"/>
  <c r="AU84" i="8"/>
  <c r="AS84" i="8"/>
  <c r="J160" i="8"/>
  <c r="I160" i="8"/>
  <c r="K164" i="8"/>
  <c r="BW192" i="8"/>
  <c r="BX61" i="8"/>
  <c r="BR64" i="8"/>
  <c r="BQ64" i="8"/>
  <c r="BX64" i="8" s="1"/>
  <c r="AL160" i="8"/>
  <c r="AK160" i="8"/>
  <c r="AU202" i="8"/>
  <c r="AS202" i="8"/>
  <c r="AL24" i="8"/>
  <c r="AZ24" i="8" s="1"/>
  <c r="AK24" i="8"/>
  <c r="BF60" i="8"/>
  <c r="BE60" i="8"/>
  <c r="BW64" i="8"/>
  <c r="BS85" i="8"/>
  <c r="BY85" i="8" s="1"/>
  <c r="BY82" i="8"/>
  <c r="AO202" i="8"/>
  <c r="AO186" i="8"/>
  <c r="AQ194" i="8"/>
  <c r="AO194" i="8"/>
  <c r="AQ202" i="8"/>
  <c r="AM184" i="8"/>
  <c r="AN184" i="8"/>
  <c r="BQ12" i="8"/>
  <c r="BX12" i="8" s="1"/>
  <c r="BX10" i="8"/>
  <c r="BW40" i="8"/>
  <c r="AM109" i="8"/>
  <c r="AN109" i="8"/>
  <c r="AU115" i="8"/>
  <c r="AS115" i="8"/>
  <c r="AU186" i="8"/>
  <c r="AU194" i="8"/>
  <c r="AS186" i="8"/>
  <c r="AS194" i="8"/>
  <c r="BP188" i="8"/>
  <c r="BO188" i="8"/>
  <c r="BW185" i="8"/>
  <c r="BX58" i="8"/>
  <c r="BQ60" i="8"/>
  <c r="BX60" i="8" s="1"/>
  <c r="BR60" i="8"/>
  <c r="BZ10" i="8"/>
  <c r="BU12" i="8"/>
  <c r="BZ12" i="8" s="1"/>
  <c r="BV12" i="8"/>
  <c r="BY58" i="8"/>
  <c r="BT60" i="8"/>
  <c r="BS60" i="8"/>
  <c r="BY60" i="8" s="1"/>
  <c r="BP81" i="8"/>
  <c r="BO81" i="8"/>
  <c r="AQ203" i="8"/>
  <c r="AO203" i="8"/>
  <c r="BY95" i="8"/>
  <c r="BT97" i="8"/>
  <c r="BS97" i="8"/>
  <c r="BY97" i="8" s="1"/>
  <c r="AQ124" i="8"/>
  <c r="AO124" i="8"/>
  <c r="AU178" i="8"/>
  <c r="AS178" i="8"/>
  <c r="AU37" i="8"/>
  <c r="AS37" i="8"/>
  <c r="BU81" i="8"/>
  <c r="BZ81" i="8" s="1"/>
  <c r="BZ79" i="8"/>
  <c r="BO109" i="8"/>
  <c r="BW106" i="8"/>
  <c r="BP109" i="8"/>
  <c r="AQ166" i="8"/>
  <c r="AO166" i="8"/>
  <c r="BT172" i="8"/>
  <c r="BS172" i="8"/>
  <c r="BY172" i="8" s="1"/>
  <c r="AM36" i="8"/>
  <c r="AN36" i="8"/>
  <c r="BW79" i="8"/>
  <c r="BW81" i="8" s="1"/>
  <c r="BT105" i="8"/>
  <c r="BQ109" i="8"/>
  <c r="BX109" i="8" s="1"/>
  <c r="BX106" i="8"/>
  <c r="BR109" i="8"/>
  <c r="BV172" i="8"/>
  <c r="BU172" i="8"/>
  <c r="BZ172" i="8" s="1"/>
  <c r="K13" i="8"/>
  <c r="AQ99" i="8"/>
  <c r="AO99" i="8"/>
  <c r="BZ119" i="8"/>
  <c r="BU121" i="8"/>
  <c r="BZ121" i="8" s="1"/>
  <c r="BV121" i="8"/>
  <c r="AU162" i="8"/>
  <c r="AS162" i="8"/>
  <c r="J168" i="8"/>
  <c r="I168" i="8"/>
  <c r="BY170" i="8"/>
  <c r="AW188" i="8"/>
  <c r="AQ190" i="8"/>
  <c r="AO190" i="8"/>
  <c r="BO16" i="8"/>
  <c r="BV28" i="8"/>
  <c r="BU28" i="8"/>
  <c r="BZ28" i="8" s="1"/>
  <c r="BZ26" i="8"/>
  <c r="K49" i="8"/>
  <c r="J164" i="8"/>
  <c r="I164" i="8"/>
  <c r="BT12" i="8"/>
  <c r="BS12" i="8"/>
  <c r="BY12" i="8" s="1"/>
  <c r="BS16" i="8"/>
  <c r="BY16" i="8" s="1"/>
  <c r="BY15" i="8"/>
  <c r="BT16" i="8"/>
  <c r="AO17" i="8"/>
  <c r="BW133" i="8"/>
  <c r="BY158" i="8"/>
  <c r="BT160" i="8"/>
  <c r="BS160" i="8"/>
  <c r="BY160" i="8" s="1"/>
  <c r="AQ84" i="8"/>
  <c r="AO84" i="8"/>
  <c r="AU130" i="8"/>
  <c r="AS130" i="8"/>
  <c r="BW165" i="8"/>
  <c r="BP168" i="8"/>
  <c r="BO168" i="8"/>
  <c r="BE21" i="8"/>
  <c r="J24" i="8"/>
  <c r="I24" i="8"/>
  <c r="BC21" i="8"/>
  <c r="BA21" i="8"/>
  <c r="BY61" i="8"/>
  <c r="BT64" i="8"/>
  <c r="BS64" i="8"/>
  <c r="BY64" i="8" s="1"/>
  <c r="BO85" i="8"/>
  <c r="BP85" i="8"/>
  <c r="BW82" i="8"/>
  <c r="AQ198" i="8"/>
  <c r="AO198" i="8"/>
  <c r="K21" i="8"/>
  <c r="BF48" i="8"/>
  <c r="BE48" i="8"/>
  <c r="BU64" i="8"/>
  <c r="BZ64" i="8" s="1"/>
  <c r="BV64" i="8"/>
  <c r="BR85" i="8"/>
  <c r="BQ85" i="8"/>
  <c r="BX85" i="8" s="1"/>
  <c r="BX82" i="8"/>
  <c r="BV93" i="8"/>
  <c r="BU93" i="8"/>
  <c r="BZ93" i="8" s="1"/>
  <c r="BZ91" i="8"/>
  <c r="J109" i="8"/>
  <c r="I109" i="8"/>
  <c r="AS198" i="8"/>
  <c r="AU198" i="8"/>
  <c r="BR200" i="8"/>
  <c r="BW58" i="8"/>
  <c r="BP60" i="8"/>
  <c r="BE62" i="8"/>
  <c r="BC62" i="8"/>
  <c r="BA62" i="8"/>
  <c r="K62" i="8"/>
  <c r="BR188" i="8"/>
  <c r="BQ188" i="8"/>
  <c r="BX188" i="8" s="1"/>
  <c r="BX185" i="8"/>
  <c r="AM168" i="8"/>
  <c r="BZ30" i="8"/>
  <c r="BU32" i="8"/>
  <c r="BZ32" i="8" s="1"/>
  <c r="BX95" i="8"/>
  <c r="BR97" i="8"/>
  <c r="BQ97" i="8"/>
  <c r="BX97" i="8" s="1"/>
  <c r="L204" i="8"/>
  <c r="BT81" i="8"/>
  <c r="BS81" i="8"/>
  <c r="BY81" i="8" s="1"/>
  <c r="AU83" i="8"/>
  <c r="AS83" i="8"/>
  <c r="AL16" i="8"/>
  <c r="AZ16" i="8" s="1"/>
  <c r="AK16" i="8"/>
  <c r="BW32" i="8"/>
  <c r="BO97" i="8"/>
  <c r="AU99" i="8"/>
  <c r="AS99" i="8"/>
  <c r="AS101" i="8" s="1"/>
  <c r="AU132" i="8"/>
  <c r="AS132" i="8"/>
  <c r="AL168" i="8"/>
  <c r="AK168" i="8"/>
  <c r="BZ170" i="8"/>
  <c r="AU179" i="8"/>
  <c r="AS179" i="8"/>
  <c r="AU190" i="8"/>
  <c r="AS190" i="8"/>
  <c r="BS48" i="8"/>
  <c r="BY48" i="8" s="1"/>
  <c r="AO174" i="8"/>
  <c r="AQ174" i="8"/>
  <c r="BT188" i="8"/>
  <c r="BS188" i="8"/>
  <c r="BY188" i="8" s="1"/>
  <c r="BP200" i="8"/>
  <c r="AX172" i="8"/>
  <c r="AW172" i="8"/>
  <c r="AU174" i="8"/>
  <c r="AS174" i="8"/>
  <c r="BT20" i="8"/>
  <c r="BS20" i="8"/>
  <c r="BY20" i="8" s="1"/>
  <c r="AM64" i="8"/>
  <c r="AN64" i="8"/>
  <c r="BZ76" i="8"/>
  <c r="BU77" i="8"/>
  <c r="BZ77" i="8" s="1"/>
  <c r="BW97" i="8"/>
  <c r="AV101" i="8"/>
  <c r="BW125" i="8"/>
  <c r="J129" i="8"/>
  <c r="I129" i="8"/>
  <c r="BT164" i="8"/>
  <c r="BS164" i="8"/>
  <c r="BY164" i="8" s="1"/>
  <c r="BY161" i="8"/>
  <c r="BR192" i="8"/>
  <c r="BQ192" i="8"/>
  <c r="BX192" i="8" s="1"/>
  <c r="BX189" i="8"/>
  <c r="K14" i="8"/>
  <c r="BR28" i="8"/>
  <c r="BQ28" i="8"/>
  <c r="BX28" i="8" s="1"/>
  <c r="K36" i="8"/>
  <c r="BF40" i="8"/>
  <c r="BE43" i="8"/>
  <c r="J44" i="8"/>
  <c r="I44" i="8"/>
  <c r="BY27" i="8"/>
  <c r="BS28" i="8"/>
  <c r="BY28" i="8" s="1"/>
  <c r="K43" i="8"/>
  <c r="AN68" i="8"/>
  <c r="AM68" i="8"/>
  <c r="BR77" i="8"/>
  <c r="AQ83" i="8"/>
  <c r="AO83" i="8"/>
  <c r="AO116" i="8"/>
  <c r="BZ136" i="8"/>
  <c r="BY191" i="8"/>
  <c r="BT192" i="8"/>
  <c r="BZ34" i="8"/>
  <c r="BV36" i="8"/>
  <c r="BU36" i="8"/>
  <c r="BZ36" i="8" s="1"/>
  <c r="BP56" i="8"/>
  <c r="BO56" i="8"/>
  <c r="BW55" i="8"/>
  <c r="BW56" i="8" s="1"/>
  <c r="AQ92" i="8"/>
  <c r="AM93" i="8"/>
  <c r="BP176" i="8"/>
  <c r="BO176" i="8"/>
  <c r="AU193" i="8"/>
  <c r="AS193" i="8"/>
  <c r="BY7" i="8"/>
  <c r="BA14" i="8"/>
  <c r="BY17" i="8"/>
  <c r="BW34" i="8"/>
  <c r="BW36" i="8" s="1"/>
  <c r="BY41" i="8"/>
  <c r="BT44" i="8"/>
  <c r="BA43" i="8"/>
  <c r="BA44" i="8" s="1"/>
  <c r="J77" i="8"/>
  <c r="I77" i="8"/>
  <c r="G81" i="8"/>
  <c r="F81" i="8"/>
  <c r="BT77" i="8"/>
  <c r="BV101" i="8"/>
  <c r="BU101" i="8"/>
  <c r="BZ101" i="8" s="1"/>
  <c r="BZ98" i="8"/>
  <c r="AO107" i="8"/>
  <c r="AQ107" i="8"/>
  <c r="J113" i="8"/>
  <c r="I113" i="8"/>
  <c r="BP117" i="8"/>
  <c r="BO117" i="8"/>
  <c r="J125" i="8"/>
  <c r="I125" i="8"/>
  <c r="BZ126" i="8"/>
  <c r="BV129" i="8"/>
  <c r="BU129" i="8"/>
  <c r="BZ129" i="8" s="1"/>
  <c r="BR129" i="8"/>
  <c r="BX131" i="8"/>
  <c r="BQ133" i="8"/>
  <c r="BX133" i="8" s="1"/>
  <c r="BQ176" i="8"/>
  <c r="BX176" i="8" s="1"/>
  <c r="BR176" i="8"/>
  <c r="J188" i="8"/>
  <c r="AN200" i="8"/>
  <c r="AM200" i="8"/>
  <c r="BC14" i="8"/>
  <c r="BZ17" i="8"/>
  <c r="BX27" i="8"/>
  <c r="BX34" i="8"/>
  <c r="BV40" i="8"/>
  <c r="BU40" i="8"/>
  <c r="BZ40" i="8" s="1"/>
  <c r="BZ37" i="8"/>
  <c r="BV44" i="8"/>
  <c r="BZ41" i="8"/>
  <c r="BO77" i="8"/>
  <c r="BW74" i="8"/>
  <c r="AQ114" i="8" s="1"/>
  <c r="BT93" i="8"/>
  <c r="BY90" i="8"/>
  <c r="BW101" i="8"/>
  <c r="AU107" i="8"/>
  <c r="AS107" i="8"/>
  <c r="BP113" i="8"/>
  <c r="BW110" i="8"/>
  <c r="BW113" i="8" s="1"/>
  <c r="BO113" i="8"/>
  <c r="AS116" i="8"/>
  <c r="BW126" i="8"/>
  <c r="BW129" i="8" s="1"/>
  <c r="BS129" i="8"/>
  <c r="BY129" i="8" s="1"/>
  <c r="BX134" i="8"/>
  <c r="BQ137" i="8"/>
  <c r="BX137" i="8" s="1"/>
  <c r="AU159" i="8"/>
  <c r="AS159" i="8"/>
  <c r="AU175" i="8"/>
  <c r="AU183" i="8"/>
  <c r="AS175" i="8"/>
  <c r="AU167" i="8"/>
  <c r="AS183" i="8"/>
  <c r="AS167" i="8"/>
  <c r="AN160" i="8"/>
  <c r="AM160" i="8"/>
  <c r="BT176" i="8"/>
  <c r="BS176" i="8"/>
  <c r="BY176" i="8" s="1"/>
  <c r="BW178" i="8"/>
  <c r="BO180" i="8"/>
  <c r="BZ182" i="8"/>
  <c r="BV184" i="8"/>
  <c r="BU184" i="8"/>
  <c r="BZ184" i="8" s="1"/>
  <c r="BZ5" i="8"/>
  <c r="BV8" i="8"/>
  <c r="BU8" i="8"/>
  <c r="BZ8" i="8" s="1"/>
  <c r="BB36" i="8"/>
  <c r="BA36" i="8"/>
  <c r="BY34" i="8"/>
  <c r="BF36" i="8"/>
  <c r="BA58" i="8"/>
  <c r="BB60" i="8" s="1"/>
  <c r="J60" i="8"/>
  <c r="BW87" i="8"/>
  <c r="BW89" i="8" s="1"/>
  <c r="BP89" i="8"/>
  <c r="BO89" i="8"/>
  <c r="AN125" i="8"/>
  <c r="BX126" i="8"/>
  <c r="BT129" i="8"/>
  <c r="BU137" i="8"/>
  <c r="BZ137" i="8" s="1"/>
  <c r="BU156" i="8"/>
  <c r="BZ156" i="8" s="1"/>
  <c r="BV176" i="8"/>
  <c r="BU176" i="8"/>
  <c r="BZ176" i="8" s="1"/>
  <c r="AO175" i="8"/>
  <c r="AQ182" i="8"/>
  <c r="AO182" i="8"/>
  <c r="AL48" i="8"/>
  <c r="AZ48" i="8" s="1"/>
  <c r="AK48" i="8"/>
  <c r="AU108" i="8"/>
  <c r="BV105" i="8"/>
  <c r="BU105" i="8"/>
  <c r="BZ105" i="8" s="1"/>
  <c r="BR156" i="8"/>
  <c r="BQ156" i="8"/>
  <c r="BX156" i="8" s="1"/>
  <c r="BP164" i="8"/>
  <c r="BO164" i="8"/>
  <c r="BW161" i="8"/>
  <c r="BX165" i="8"/>
  <c r="BR168" i="8"/>
  <c r="BQ168" i="8"/>
  <c r="BX168" i="8" s="1"/>
  <c r="AN24" i="8"/>
  <c r="BA28" i="8"/>
  <c r="AN48" i="8"/>
  <c r="AM48" i="8"/>
  <c r="BV48" i="8"/>
  <c r="BE66" i="8"/>
  <c r="BA66" i="8"/>
  <c r="J97" i="8"/>
  <c r="I97" i="8"/>
  <c r="AN101" i="8"/>
  <c r="AM101" i="8"/>
  <c r="BU160" i="8"/>
  <c r="BZ160" i="8" s="1"/>
  <c r="BR164" i="8"/>
  <c r="BQ164" i="8"/>
  <c r="BX164" i="8" s="1"/>
  <c r="BX161" i="8"/>
  <c r="BV188" i="8"/>
  <c r="BU188" i="8"/>
  <c r="BZ188" i="8" s="1"/>
  <c r="AU197" i="8"/>
  <c r="AL36" i="8"/>
  <c r="AZ36" i="8" s="1"/>
  <c r="AK36" i="8"/>
  <c r="BS68" i="8"/>
  <c r="BY68" i="8" s="1"/>
  <c r="AL68" i="8"/>
  <c r="AZ68" i="8" s="1"/>
  <c r="AK68" i="8"/>
  <c r="BT68" i="8"/>
  <c r="BQ77" i="8"/>
  <c r="BX77" i="8" s="1"/>
  <c r="AK93" i="8"/>
  <c r="AQ100" i="8"/>
  <c r="J156" i="8"/>
  <c r="I156" i="8"/>
  <c r="K185" i="8"/>
  <c r="BX155" i="8"/>
  <c r="AU171" i="8" s="1"/>
  <c r="AO159" i="8"/>
  <c r="AS191" i="8"/>
  <c r="AU191" i="8"/>
  <c r="AO199" i="8"/>
  <c r="AQ199" i="8"/>
  <c r="BS8" i="8"/>
  <c r="BY8" i="8" s="1"/>
  <c r="BP44" i="8"/>
  <c r="BO44" i="8"/>
  <c r="BV68" i="8"/>
  <c r="AU100" i="8"/>
  <c r="AS100" i="8"/>
  <c r="BT125" i="8"/>
  <c r="BO129" i="8"/>
  <c r="BS137" i="8"/>
  <c r="BY137" i="8" s="1"/>
  <c r="BT137" i="8"/>
  <c r="BY185" i="8"/>
  <c r="AU199" i="8"/>
  <c r="AS199" i="8"/>
  <c r="BS77" i="8"/>
  <c r="BY77" i="8" s="1"/>
  <c r="BT101" i="8"/>
  <c r="BS101" i="8"/>
  <c r="BY101" i="8" s="1"/>
  <c r="BY98" i="8"/>
  <c r="AU116" i="8"/>
  <c r="BV125" i="8"/>
  <c r="BY178" i="8"/>
  <c r="BT180" i="8"/>
  <c r="BS180" i="8"/>
  <c r="BY180" i="8" s="1"/>
  <c r="BW8" i="8"/>
  <c r="AQ21" i="8" s="1"/>
  <c r="BE26" i="8"/>
  <c r="J28" i="8"/>
  <c r="J32" i="8"/>
  <c r="K29" i="8"/>
  <c r="BE29" i="8"/>
  <c r="BT32" i="8"/>
  <c r="BS32" i="8"/>
  <c r="BY32" i="8" s="1"/>
  <c r="BY30" i="8"/>
  <c r="BQ56" i="8"/>
  <c r="BX56" i="8" s="1"/>
  <c r="BW93" i="8"/>
  <c r="AL109" i="8"/>
  <c r="BZ114" i="8"/>
  <c r="BV117" i="8"/>
  <c r="BU117" i="8"/>
  <c r="BZ117" i="8" s="1"/>
  <c r="BV156" i="8"/>
  <c r="BW173" i="8"/>
  <c r="BZ178" i="8"/>
  <c r="AS182" i="8"/>
  <c r="L196" i="8"/>
  <c r="BO196" i="8"/>
  <c r="BV164" i="8"/>
  <c r="BU164" i="8"/>
  <c r="BZ164" i="8" s="1"/>
  <c r="BT168" i="8"/>
  <c r="AL200" i="8"/>
  <c r="AK200" i="8"/>
  <c r="AL60" i="8"/>
  <c r="AZ60" i="8" s="1"/>
  <c r="AK60" i="8"/>
  <c r="BP97" i="8"/>
  <c r="BT109" i="8"/>
  <c r="BR113" i="8"/>
  <c r="AL125" i="8"/>
  <c r="AK125" i="8"/>
  <c r="BO156" i="8"/>
  <c r="BW153" i="8"/>
  <c r="BV168" i="8"/>
  <c r="BU168" i="8"/>
  <c r="BZ168" i="8" s="1"/>
  <c r="BQ180" i="8"/>
  <c r="BX180" i="8" s="1"/>
  <c r="K186" i="8"/>
  <c r="AQ191" i="8"/>
  <c r="AO191" i="8"/>
  <c r="BU192" i="8"/>
  <c r="BZ192" i="8" s="1"/>
  <c r="BO32" i="8"/>
  <c r="AN60" i="8"/>
  <c r="AM60" i="8"/>
  <c r="J89" i="8"/>
  <c r="BV109" i="8"/>
  <c r="BZ106" i="8"/>
  <c r="AQ108" i="8"/>
  <c r="AO108" i="8"/>
  <c r="BS113" i="8"/>
  <c r="BY113" i="8" s="1"/>
  <c r="BT113" i="8"/>
  <c r="BY165" i="8"/>
  <c r="BR180" i="8"/>
  <c r="BV192" i="8"/>
  <c r="BR32" i="8"/>
  <c r="BQ32" i="8"/>
  <c r="BX32" i="8" s="1"/>
  <c r="K31" i="8"/>
  <c r="BP32" i="8"/>
  <c r="BY106" i="8"/>
  <c r="AN133" i="8"/>
  <c r="AQ131" i="8"/>
  <c r="AO131" i="8"/>
  <c r="BS133" i="8"/>
  <c r="BY133" i="8" s="1"/>
  <c r="BZ165" i="8"/>
  <c r="BT204" i="8"/>
  <c r="BS204" i="8"/>
  <c r="BY204" i="8" s="1"/>
  <c r="AM24" i="8"/>
  <c r="I56" i="8"/>
  <c r="BE53" i="8"/>
  <c r="BC53" i="8"/>
  <c r="K61" i="8"/>
  <c r="I64" i="8"/>
  <c r="BE61" i="8"/>
  <c r="BC61" i="8"/>
  <c r="BA61" i="8"/>
  <c r="I68" i="8"/>
  <c r="BY123" i="8"/>
  <c r="BT133" i="8"/>
  <c r="I152" i="8"/>
  <c r="K173" i="8"/>
  <c r="BZ161" i="8"/>
  <c r="AQ171" i="8"/>
  <c r="AO171" i="8"/>
  <c r="BT184" i="8"/>
  <c r="BZ201" i="8"/>
  <c r="BV204" i="8"/>
  <c r="BU204" i="8"/>
  <c r="BZ204" i="8" s="1"/>
  <c r="AW204" i="8"/>
  <c r="I8" i="8"/>
  <c r="BA31" i="8"/>
  <c r="BV32" i="8"/>
  <c r="K38" i="8"/>
  <c r="BY46" i="8"/>
  <c r="K53" i="8"/>
  <c r="BO60" i="8"/>
  <c r="AL64" i="8"/>
  <c r="AZ64" i="8" s="1"/>
  <c r="AK64" i="8"/>
  <c r="BA65" i="8"/>
  <c r="J68" i="8"/>
  <c r="BX110" i="8"/>
  <c r="BQ113" i="8"/>
  <c r="BX113" i="8" s="1"/>
  <c r="AO115" i="8"/>
  <c r="AQ116" i="8"/>
  <c r="BZ123" i="8"/>
  <c r="BU133" i="8"/>
  <c r="BZ133" i="8" s="1"/>
  <c r="BW160" i="8"/>
  <c r="BW201" i="8"/>
  <c r="K27" i="8"/>
  <c r="L28" i="8" s="1"/>
  <c r="BC31" i="8"/>
  <c r="BP48" i="8"/>
  <c r="BO48" i="8"/>
  <c r="BZ46" i="8"/>
  <c r="AL56" i="8"/>
  <c r="AZ56" i="8" s="1"/>
  <c r="AK56" i="8"/>
  <c r="BE65" i="8"/>
  <c r="K68" i="8"/>
  <c r="BZ86" i="8"/>
  <c r="BV89" i="8"/>
  <c r="BU97" i="8"/>
  <c r="BZ97" i="8" s="1"/>
  <c r="BY110" i="8"/>
  <c r="BU113" i="8"/>
  <c r="BZ113" i="8" s="1"/>
  <c r="BZ131" i="8"/>
  <c r="BX149" i="8"/>
  <c r="AU173" i="8" s="1"/>
  <c r="BR152" i="8"/>
  <c r="BQ152" i="8"/>
  <c r="BX152" i="8" s="1"/>
  <c r="BP156" i="8"/>
  <c r="BS168" i="8"/>
  <c r="BY168" i="8" s="1"/>
  <c r="AO179" i="8"/>
  <c r="K189" i="8"/>
  <c r="BV200" i="8"/>
  <c r="BU200" i="8"/>
  <c r="BZ200" i="8" s="1"/>
  <c r="BZ197" i="8"/>
  <c r="AU201" i="8"/>
  <c r="AS201" i="8"/>
  <c r="BX29" i="8"/>
  <c r="BR48" i="8"/>
  <c r="BQ48" i="8"/>
  <c r="BX48" i="8" s="1"/>
  <c r="BX45" i="8"/>
  <c r="BU48" i="8"/>
  <c r="BZ48" i="8" s="1"/>
  <c r="AN56" i="8"/>
  <c r="AM56" i="8"/>
  <c r="J64" i="8"/>
  <c r="BO68" i="8"/>
  <c r="BS89" i="8"/>
  <c r="BY89" i="8" s="1"/>
  <c r="BV97" i="8"/>
  <c r="BZ110" i="8"/>
  <c r="BU125" i="8"/>
  <c r="BZ125" i="8" s="1"/>
  <c r="J196" i="8"/>
  <c r="K193" i="8"/>
  <c r="K196" i="8" s="1"/>
  <c r="I196" i="8"/>
  <c r="BT196" i="8"/>
  <c r="BS196" i="8"/>
  <c r="BY196" i="8" s="1"/>
  <c r="BY194" i="8"/>
  <c r="AW196" i="8"/>
  <c r="BW197" i="8"/>
  <c r="BY201" i="8"/>
  <c r="K15" i="8"/>
  <c r="AM16" i="8"/>
  <c r="AK20" i="8"/>
  <c r="BO24" i="8"/>
  <c r="BT28" i="8"/>
  <c r="BY25" i="8"/>
  <c r="BA27" i="8"/>
  <c r="BA38" i="8"/>
  <c r="BT48" i="8"/>
  <c r="BY45" i="8"/>
  <c r="BR81" i="8"/>
  <c r="BQ81" i="8"/>
  <c r="BX81" i="8" s="1"/>
  <c r="BX78" i="8"/>
  <c r="BT89" i="8"/>
  <c r="AQ91" i="8"/>
  <c r="AO91" i="8"/>
  <c r="BP133" i="8"/>
  <c r="BO133" i="8"/>
  <c r="BZ157" i="8"/>
  <c r="J184" i="8"/>
  <c r="I184" i="8"/>
  <c r="I188" i="8"/>
  <c r="I192" i="8"/>
  <c r="BO204" i="8"/>
  <c r="BP12" i="8"/>
  <c r="BO12" i="8"/>
  <c r="BW9" i="8"/>
  <c r="BW12" i="8" s="1"/>
  <c r="BP24" i="8"/>
  <c r="K34" i="8"/>
  <c r="L36" i="8" s="1"/>
  <c r="BC38" i="8"/>
  <c r="J56" i="8"/>
  <c r="BW57" i="8"/>
  <c r="BW60" i="8" s="1"/>
  <c r="BO64" i="8"/>
  <c r="BQ68" i="8"/>
  <c r="BX68" i="8" s="1"/>
  <c r="BU89" i="8"/>
  <c r="BZ89" i="8" s="1"/>
  <c r="BP105" i="8"/>
  <c r="BW102" i="8"/>
  <c r="BW105" i="8" s="1"/>
  <c r="BO105" i="8"/>
  <c r="AM125" i="8"/>
  <c r="BR133" i="8"/>
  <c r="AM133" i="8"/>
  <c r="BS156" i="8"/>
  <c r="BY156" i="8" s="1"/>
  <c r="AW164" i="8"/>
  <c r="K181" i="8"/>
  <c r="BO200" i="8"/>
  <c r="K202" i="8"/>
  <c r="BR12" i="8"/>
  <c r="BW13" i="8"/>
  <c r="BQ20" i="8"/>
  <c r="BX20" i="8" s="1"/>
  <c r="BC30" i="8"/>
  <c r="BA30" i="8"/>
  <c r="BC37" i="8"/>
  <c r="BA37" i="8"/>
  <c r="BE38" i="8"/>
  <c r="BE40" i="8" s="1"/>
  <c r="BW45" i="8"/>
  <c r="BW48" i="8" s="1"/>
  <c r="BP64" i="8"/>
  <c r="BU68" i="8"/>
  <c r="BZ68" i="8" s="1"/>
  <c r="BV81" i="8"/>
  <c r="I89" i="8"/>
  <c r="J152" i="8"/>
  <c r="BO152" i="8"/>
  <c r="BT156" i="8"/>
  <c r="AL184" i="8"/>
  <c r="AK184" i="8"/>
  <c r="BX203" i="8"/>
  <c r="BQ204" i="8"/>
  <c r="BX204" i="8" s="1"/>
  <c r="BW49" i="8"/>
  <c r="BW52" i="8" s="1"/>
  <c r="BO52" i="8"/>
  <c r="J101" i="8"/>
  <c r="I101" i="8"/>
  <c r="BQ105" i="8"/>
  <c r="BX105" i="8" s="1"/>
  <c r="BX102" i="8"/>
  <c r="AL117" i="8"/>
  <c r="BP125" i="8"/>
  <c r="AO158" i="8"/>
  <c r="AQ162" i="8"/>
  <c r="AO162" i="8"/>
  <c r="K18" i="8"/>
  <c r="L20" i="8" s="1"/>
  <c r="BR36" i="8"/>
  <c r="BV77" i="8"/>
  <c r="BR105" i="8"/>
  <c r="BQ125" i="8"/>
  <c r="BX125" i="8" s="1"/>
  <c r="BO125" i="8"/>
  <c r="BV24" i="8"/>
  <c r="AN32" i="8"/>
  <c r="BS36" i="8"/>
  <c r="BY36" i="8" s="1"/>
  <c r="BP52" i="8"/>
  <c r="BS56" i="8"/>
  <c r="BY56" i="8" s="1"/>
  <c r="BS105" i="8"/>
  <c r="BY105" i="8" s="1"/>
  <c r="BR121" i="8"/>
  <c r="BR125" i="8"/>
  <c r="AQ186" i="8"/>
  <c r="BW196" i="8"/>
  <c r="AO193" i="8"/>
  <c r="BY102" i="8"/>
  <c r="BS121" i="8"/>
  <c r="BY121" i="8" s="1"/>
  <c r="BT121" i="8"/>
  <c r="BS125" i="8"/>
  <c r="BY125" i="8" s="1"/>
  <c r="AK133" i="8"/>
  <c r="J204" i="8"/>
  <c r="K57" i="8"/>
  <c r="BQ89" i="8"/>
  <c r="BX89" i="8" s="1"/>
  <c r="J133" i="8"/>
  <c r="BU180" i="8"/>
  <c r="BZ180" i="8" s="1"/>
  <c r="AN52" i="8"/>
  <c r="AV52" i="8" l="1"/>
  <c r="AU52" i="8"/>
  <c r="AU114" i="8"/>
  <c r="AS114" i="8"/>
  <c r="AT117" i="8" s="1"/>
  <c r="BB48" i="8"/>
  <c r="AO65" i="8"/>
  <c r="AP68" i="8" s="1"/>
  <c r="L180" i="8"/>
  <c r="K172" i="8"/>
  <c r="BW16" i="8"/>
  <c r="AQ13" i="8" s="1"/>
  <c r="AU157" i="8"/>
  <c r="AT101" i="8"/>
  <c r="AS93" i="8"/>
  <c r="BD32" i="8"/>
  <c r="AQ170" i="8"/>
  <c r="L68" i="8"/>
  <c r="AQ157" i="8"/>
  <c r="AQ160" i="8" s="1"/>
  <c r="AO157" i="8"/>
  <c r="AV117" i="8"/>
  <c r="AQ181" i="8"/>
  <c r="AR184" i="8" s="1"/>
  <c r="AQ159" i="8"/>
  <c r="BB32" i="8"/>
  <c r="AU36" i="8"/>
  <c r="AU172" i="8"/>
  <c r="AS157" i="8"/>
  <c r="AS33" i="8"/>
  <c r="AT36" i="8" s="1"/>
  <c r="AO170" i="8"/>
  <c r="BB28" i="8"/>
  <c r="BW152" i="8"/>
  <c r="BC48" i="8"/>
  <c r="AS41" i="8"/>
  <c r="K48" i="8"/>
  <c r="AP184" i="8"/>
  <c r="BE44" i="8"/>
  <c r="AS173" i="8"/>
  <c r="AV93" i="8"/>
  <c r="AU101" i="8"/>
  <c r="L44" i="8"/>
  <c r="AO189" i="8"/>
  <c r="AP192" i="8" s="1"/>
  <c r="BA56" i="8"/>
  <c r="AT180" i="8"/>
  <c r="AV180" i="8"/>
  <c r="AQ189" i="8"/>
  <c r="AR117" i="8"/>
  <c r="AQ117" i="8"/>
  <c r="AQ33" i="8"/>
  <c r="AO33" i="8"/>
  <c r="AS44" i="8"/>
  <c r="AT44" i="8"/>
  <c r="AV176" i="8"/>
  <c r="AU176" i="8"/>
  <c r="AR24" i="8"/>
  <c r="AQ24" i="8"/>
  <c r="AP44" i="8"/>
  <c r="AO44" i="8"/>
  <c r="AY44" i="8" s="1"/>
  <c r="AQ45" i="8"/>
  <c r="AO45" i="8"/>
  <c r="AT40" i="8"/>
  <c r="AS40" i="8"/>
  <c r="AO196" i="8"/>
  <c r="AP196" i="8"/>
  <c r="AS65" i="8"/>
  <c r="AU65" i="8"/>
  <c r="L56" i="8"/>
  <c r="K56" i="8"/>
  <c r="BB64" i="8"/>
  <c r="BA64" i="8"/>
  <c r="AQ173" i="8"/>
  <c r="AO173" i="8"/>
  <c r="BW176" i="8"/>
  <c r="AV40" i="8"/>
  <c r="AU40" i="8"/>
  <c r="AU57" i="8"/>
  <c r="AS57" i="8"/>
  <c r="AO62" i="8"/>
  <c r="AQ41" i="8"/>
  <c r="BA32" i="8"/>
  <c r="AT125" i="8"/>
  <c r="AS125" i="8"/>
  <c r="BB40" i="8"/>
  <c r="BA40" i="8"/>
  <c r="BD64" i="8"/>
  <c r="BC64" i="8"/>
  <c r="AQ193" i="8"/>
  <c r="AO177" i="8"/>
  <c r="AQ177" i="8"/>
  <c r="AQ169" i="8"/>
  <c r="BW156" i="8"/>
  <c r="AO169" i="8"/>
  <c r="AS189" i="8"/>
  <c r="AU189" i="8"/>
  <c r="AS82" i="8"/>
  <c r="AU82" i="8"/>
  <c r="BB24" i="8"/>
  <c r="BA24" i="8"/>
  <c r="AO37" i="8"/>
  <c r="AQ37" i="8"/>
  <c r="AS180" i="8"/>
  <c r="AU125" i="8"/>
  <c r="AV125" i="8"/>
  <c r="BC40" i="8"/>
  <c r="BD40" i="8"/>
  <c r="AQ57" i="8"/>
  <c r="AO57" i="8"/>
  <c r="K192" i="8"/>
  <c r="L192" i="8"/>
  <c r="L40" i="8"/>
  <c r="K40" i="8"/>
  <c r="BE64" i="8"/>
  <c r="BF64" i="8"/>
  <c r="AV200" i="8"/>
  <c r="AU200" i="8"/>
  <c r="AU185" i="8"/>
  <c r="AS185" i="8"/>
  <c r="BD24" i="8"/>
  <c r="BC24" i="8"/>
  <c r="AO130" i="8"/>
  <c r="AS197" i="8"/>
  <c r="AQ130" i="8"/>
  <c r="AU106" i="8"/>
  <c r="AS106" i="8"/>
  <c r="BB16" i="8"/>
  <c r="BA16" i="8"/>
  <c r="BF32" i="8"/>
  <c r="BE32" i="8"/>
  <c r="AQ122" i="8"/>
  <c r="AO122" i="8"/>
  <c r="BW77" i="8"/>
  <c r="AQ90" i="8"/>
  <c r="AS158" i="8"/>
  <c r="AU158" i="8"/>
  <c r="AV160" i="8" s="1"/>
  <c r="L60" i="8"/>
  <c r="K60" i="8"/>
  <c r="L32" i="8"/>
  <c r="K32" i="8"/>
  <c r="AQ82" i="8"/>
  <c r="AO82" i="8"/>
  <c r="BW85" i="8"/>
  <c r="AU45" i="8"/>
  <c r="AS45" i="8"/>
  <c r="AS117" i="8"/>
  <c r="BW168" i="8"/>
  <c r="AO165" i="8"/>
  <c r="AQ165" i="8"/>
  <c r="L52" i="8"/>
  <c r="K52" i="8"/>
  <c r="BW109" i="8"/>
  <c r="AQ106" i="8"/>
  <c r="AO106" i="8"/>
  <c r="AQ197" i="8"/>
  <c r="AO197" i="8"/>
  <c r="BW200" i="8"/>
  <c r="BB68" i="8"/>
  <c r="BA68" i="8"/>
  <c r="BE28" i="8"/>
  <c r="BF28" i="8"/>
  <c r="AU25" i="8"/>
  <c r="AU28" i="8" s="1"/>
  <c r="AS25" i="8"/>
  <c r="AS28" i="8" s="1"/>
  <c r="AY28" i="8" s="1"/>
  <c r="AS204" i="8"/>
  <c r="AQ61" i="8"/>
  <c r="AO61" i="8"/>
  <c r="AV24" i="8"/>
  <c r="AU24" i="8"/>
  <c r="AU204" i="8"/>
  <c r="BF68" i="8"/>
  <c r="BE68" i="8"/>
  <c r="BB44" i="8"/>
  <c r="AQ25" i="8"/>
  <c r="AQ28" i="8" s="1"/>
  <c r="L16" i="8"/>
  <c r="K16" i="8"/>
  <c r="BA60" i="8"/>
  <c r="AO63" i="8"/>
  <c r="AS29" i="8"/>
  <c r="AU29" i="8"/>
  <c r="L64" i="8"/>
  <c r="K64" i="8"/>
  <c r="AQ178" i="8"/>
  <c r="AO178" i="8"/>
  <c r="BW180" i="8"/>
  <c r="AQ185" i="8"/>
  <c r="AO185" i="8"/>
  <c r="BW188" i="8"/>
  <c r="AT160" i="8"/>
  <c r="AS160" i="8"/>
  <c r="BD56" i="8"/>
  <c r="BC56" i="8"/>
  <c r="AU93" i="8"/>
  <c r="AU117" i="8"/>
  <c r="BF24" i="8"/>
  <c r="BE24" i="8"/>
  <c r="AO20" i="8"/>
  <c r="AP20" i="8"/>
  <c r="BF56" i="8"/>
  <c r="BE56" i="8"/>
  <c r="AU61" i="8"/>
  <c r="AS61" i="8"/>
  <c r="AO161" i="8"/>
  <c r="BW164" i="8"/>
  <c r="AQ161" i="8"/>
  <c r="AO184" i="8"/>
  <c r="AS53" i="8"/>
  <c r="AU53" i="8"/>
  <c r="AU163" i="8"/>
  <c r="AS163" i="8"/>
  <c r="AU195" i="8"/>
  <c r="AV196" i="8" s="1"/>
  <c r="AS171" i="8"/>
  <c r="AS172" i="8" s="1"/>
  <c r="AS195" i="8"/>
  <c r="AT196" i="8" s="1"/>
  <c r="AU187" i="8"/>
  <c r="AS187" i="8"/>
  <c r="AQ98" i="8"/>
  <c r="L24" i="8"/>
  <c r="K24" i="8"/>
  <c r="AU180" i="8"/>
  <c r="AO21" i="8"/>
  <c r="L176" i="8"/>
  <c r="K176" i="8"/>
  <c r="AQ65" i="8"/>
  <c r="BB52" i="8"/>
  <c r="BA52" i="8"/>
  <c r="AU17" i="8"/>
  <c r="AS17" i="8"/>
  <c r="BE52" i="8"/>
  <c r="BF52" i="8"/>
  <c r="BW204" i="8"/>
  <c r="AQ201" i="8"/>
  <c r="AO201" i="8"/>
  <c r="AO90" i="8"/>
  <c r="AO29" i="8"/>
  <c r="AQ29" i="8"/>
  <c r="AQ17" i="8"/>
  <c r="AS161" i="8"/>
  <c r="AU161" i="8"/>
  <c r="AU203" i="8"/>
  <c r="AV204" i="8" s="1"/>
  <c r="AS203" i="8"/>
  <c r="AT204" i="8" s="1"/>
  <c r="K188" i="8"/>
  <c r="L188" i="8"/>
  <c r="AS131" i="8"/>
  <c r="AT133" i="8" s="1"/>
  <c r="AU131" i="8"/>
  <c r="AV133" i="8" s="1"/>
  <c r="AQ53" i="8"/>
  <c r="AO53" i="8"/>
  <c r="K20" i="8"/>
  <c r="AV44" i="8"/>
  <c r="AU44" i="8"/>
  <c r="AT176" i="8"/>
  <c r="AS176" i="8"/>
  <c r="AO114" i="8"/>
  <c r="AU13" i="8"/>
  <c r="AS13" i="8"/>
  <c r="BD16" i="8"/>
  <c r="BC16" i="8"/>
  <c r="L184" i="8"/>
  <c r="K184" i="8"/>
  <c r="AU181" i="8"/>
  <c r="AS181" i="8"/>
  <c r="K28" i="8"/>
  <c r="AS24" i="8"/>
  <c r="AT24" i="8"/>
  <c r="BF16" i="8"/>
  <c r="BE16" i="8"/>
  <c r="AU165" i="8"/>
  <c r="AS165" i="8"/>
  <c r="AQ49" i="8"/>
  <c r="AO49" i="8"/>
  <c r="AO66" i="8"/>
  <c r="AO67" i="8"/>
  <c r="AO68" i="8" s="1"/>
  <c r="AO98" i="8"/>
  <c r="AV172" i="8"/>
  <c r="AR192" i="8"/>
  <c r="AQ192" i="8"/>
  <c r="L200" i="8"/>
  <c r="K200" i="8"/>
  <c r="AS196" i="8" l="1"/>
  <c r="AO192" i="8"/>
  <c r="AY192" i="8" s="1"/>
  <c r="AP160" i="8"/>
  <c r="AZ160" i="8" s="1"/>
  <c r="AO160" i="8"/>
  <c r="AY196" i="8"/>
  <c r="AU133" i="8"/>
  <c r="AT172" i="8"/>
  <c r="AO13" i="8"/>
  <c r="AS36" i="8"/>
  <c r="AQ184" i="8"/>
  <c r="AY160" i="8"/>
  <c r="AR160" i="8"/>
  <c r="AR52" i="8"/>
  <c r="AQ52" i="8"/>
  <c r="AT164" i="8"/>
  <c r="AS164" i="8"/>
  <c r="AP64" i="8"/>
  <c r="AO64" i="8"/>
  <c r="AY64" i="8" s="1"/>
  <c r="AP200" i="8"/>
  <c r="AZ200" i="8" s="1"/>
  <c r="AO200" i="8"/>
  <c r="AS188" i="8"/>
  <c r="AT188" i="8"/>
  <c r="AP40" i="8"/>
  <c r="AO40" i="8"/>
  <c r="AY40" i="8" s="1"/>
  <c r="AT168" i="8"/>
  <c r="AS168" i="8"/>
  <c r="AR20" i="8"/>
  <c r="AQ20" i="8"/>
  <c r="AQ64" i="8"/>
  <c r="AR64" i="8"/>
  <c r="AR200" i="8"/>
  <c r="AQ200" i="8"/>
  <c r="AV188" i="8"/>
  <c r="AU188" i="8"/>
  <c r="AV168" i="8"/>
  <c r="AU168" i="8"/>
  <c r="AR32" i="8"/>
  <c r="AQ32" i="8"/>
  <c r="AR101" i="8"/>
  <c r="AQ101" i="8"/>
  <c r="AV32" i="8"/>
  <c r="AU32" i="8"/>
  <c r="AO109" i="8"/>
  <c r="AP109" i="8"/>
  <c r="AU196" i="8"/>
  <c r="AR44" i="8"/>
  <c r="AQ44" i="8"/>
  <c r="AU160" i="8"/>
  <c r="AS16" i="8"/>
  <c r="AT16" i="8"/>
  <c r="AP32" i="8"/>
  <c r="AO32" i="8"/>
  <c r="AT32" i="8"/>
  <c r="AS32" i="8"/>
  <c r="AR109" i="8"/>
  <c r="AQ109" i="8"/>
  <c r="AU85" i="8"/>
  <c r="AV85" i="8"/>
  <c r="AV16" i="8"/>
  <c r="AU16" i="8"/>
  <c r="AP93" i="8"/>
  <c r="AO93" i="8"/>
  <c r="AR93" i="8"/>
  <c r="AQ93" i="8"/>
  <c r="AT85" i="8"/>
  <c r="AS85" i="8"/>
  <c r="AP117" i="8"/>
  <c r="AO117" i="8"/>
  <c r="AP204" i="8"/>
  <c r="AZ204" i="8" s="1"/>
  <c r="AO204" i="8"/>
  <c r="AY204" i="8" s="1"/>
  <c r="AU192" i="8"/>
  <c r="AV192" i="8"/>
  <c r="AT60" i="8"/>
  <c r="AS60" i="8"/>
  <c r="AP48" i="8"/>
  <c r="AO48" i="8"/>
  <c r="AY48" i="8" s="1"/>
  <c r="AZ192" i="8"/>
  <c r="AV56" i="8"/>
  <c r="AU56" i="8"/>
  <c r="AT56" i="8"/>
  <c r="AS56" i="8"/>
  <c r="AR172" i="8"/>
  <c r="AQ172" i="8"/>
  <c r="AR204" i="8"/>
  <c r="AQ204" i="8"/>
  <c r="AP125" i="8"/>
  <c r="AO125" i="8"/>
  <c r="AT192" i="8"/>
  <c r="AS192" i="8"/>
  <c r="AV60" i="8"/>
  <c r="AU60" i="8"/>
  <c r="AR48" i="8"/>
  <c r="AQ48" i="8"/>
  <c r="AR168" i="8"/>
  <c r="AQ168" i="8"/>
  <c r="AR125" i="8"/>
  <c r="AQ125" i="8"/>
  <c r="AO168" i="8"/>
  <c r="AY168" i="8" s="1"/>
  <c r="AP168" i="8"/>
  <c r="AP172" i="8"/>
  <c r="AO172" i="8"/>
  <c r="AY172" i="8" s="1"/>
  <c r="AQ176" i="8"/>
  <c r="AR176" i="8"/>
  <c r="AT184" i="8"/>
  <c r="AZ184" i="8" s="1"/>
  <c r="AS184" i="8"/>
  <c r="AY184" i="8" s="1"/>
  <c r="AQ60" i="8"/>
  <c r="AR60" i="8"/>
  <c r="AP180" i="8"/>
  <c r="AZ180" i="8" s="1"/>
  <c r="AO180" i="8"/>
  <c r="AY180" i="8" s="1"/>
  <c r="AV109" i="8"/>
  <c r="AU109" i="8"/>
  <c r="AO101" i="8"/>
  <c r="AP101" i="8"/>
  <c r="AP24" i="8"/>
  <c r="AO24" i="8"/>
  <c r="AY24" i="8" s="1"/>
  <c r="AO164" i="8"/>
  <c r="AY164" i="8" s="1"/>
  <c r="AP164" i="8"/>
  <c r="AZ164" i="8" s="1"/>
  <c r="AS133" i="8"/>
  <c r="AR85" i="8"/>
  <c r="AQ85" i="8"/>
  <c r="AO133" i="8"/>
  <c r="AP133" i="8"/>
  <c r="AV68" i="8"/>
  <c r="AU68" i="8"/>
  <c r="AS20" i="8"/>
  <c r="AY20" i="8" s="1"/>
  <c r="AT20" i="8"/>
  <c r="AV20" i="8"/>
  <c r="AU20" i="8"/>
  <c r="AU48" i="8"/>
  <c r="AV48" i="8"/>
  <c r="AO60" i="8"/>
  <c r="AP60" i="8"/>
  <c r="AR180" i="8"/>
  <c r="AQ180" i="8"/>
  <c r="AV184" i="8"/>
  <c r="AU184" i="8"/>
  <c r="AR68" i="8"/>
  <c r="AQ68" i="8"/>
  <c r="AR196" i="8"/>
  <c r="AQ196" i="8"/>
  <c r="AR164" i="8"/>
  <c r="AQ164" i="8"/>
  <c r="AP36" i="8"/>
  <c r="AO36" i="8"/>
  <c r="AQ188" i="8"/>
  <c r="AR188" i="8"/>
  <c r="AP85" i="8"/>
  <c r="AO85" i="8"/>
  <c r="AS68" i="8"/>
  <c r="AY68" i="8" s="1"/>
  <c r="AT68" i="8"/>
  <c r="AP56" i="8"/>
  <c r="AO56" i="8"/>
  <c r="AS48" i="8"/>
  <c r="AT48" i="8"/>
  <c r="AO176" i="8"/>
  <c r="AY176" i="8" s="1"/>
  <c r="AP176" i="8"/>
  <c r="AZ176" i="8" s="1"/>
  <c r="AQ56" i="8"/>
  <c r="AR56" i="8"/>
  <c r="AT109" i="8"/>
  <c r="AS109" i="8"/>
  <c r="AO188" i="8"/>
  <c r="AY188" i="8" s="1"/>
  <c r="AP188" i="8"/>
  <c r="AZ188" i="8" s="1"/>
  <c r="AR133" i="8"/>
  <c r="AQ133" i="8"/>
  <c r="AS200" i="8"/>
  <c r="AT200" i="8"/>
  <c r="AR36" i="8"/>
  <c r="AQ36" i="8"/>
  <c r="AO16" i="8"/>
  <c r="AY16" i="8" s="1"/>
  <c r="AP16" i="8"/>
  <c r="AT64" i="8"/>
  <c r="AS64" i="8"/>
  <c r="AO52" i="8"/>
  <c r="AY52" i="8" s="1"/>
  <c r="AP52" i="8"/>
  <c r="AQ16" i="8"/>
  <c r="AR16" i="8"/>
  <c r="AV164" i="8"/>
  <c r="AU164" i="8"/>
  <c r="AV64" i="8"/>
  <c r="AU64" i="8"/>
  <c r="AR40" i="8"/>
  <c r="AQ40" i="8"/>
  <c r="AZ196" i="8"/>
  <c r="AY36" i="8" l="1"/>
  <c r="AZ172" i="8"/>
  <c r="AY200" i="8"/>
  <c r="AZ168" i="8"/>
  <c r="AY56" i="8"/>
  <c r="AY60" i="8"/>
  <c r="AY32" i="8"/>
  <c r="I5" i="7" l="1"/>
  <c r="BO5" i="7"/>
  <c r="BQ5" i="7"/>
  <c r="BS5" i="7"/>
  <c r="BY5" i="7" s="1"/>
  <c r="BU5" i="7"/>
  <c r="BW5" i="7"/>
  <c r="BX5" i="7"/>
  <c r="I6" i="7"/>
  <c r="BO6" i="7"/>
  <c r="BW6" i="7" s="1"/>
  <c r="BQ6" i="7"/>
  <c r="BS6" i="7"/>
  <c r="BU6" i="7"/>
  <c r="BZ6" i="7" s="1"/>
  <c r="BX6" i="7"/>
  <c r="BY6" i="7"/>
  <c r="I7" i="7"/>
  <c r="J8" i="7" s="1"/>
  <c r="BO7" i="7"/>
  <c r="BW7" i="7" s="1"/>
  <c r="BQ7" i="7"/>
  <c r="BX7" i="7" s="1"/>
  <c r="BS7" i="7"/>
  <c r="BY7" i="7" s="1"/>
  <c r="BU7" i="7"/>
  <c r="BZ7" i="7" s="1"/>
  <c r="E8" i="7"/>
  <c r="G8" i="7"/>
  <c r="L8" i="7"/>
  <c r="N8" i="7"/>
  <c r="P8" i="7"/>
  <c r="R8" i="7"/>
  <c r="T8" i="7"/>
  <c r="V8" i="7"/>
  <c r="X8" i="7"/>
  <c r="Z8" i="7"/>
  <c r="AB8" i="7"/>
  <c r="AD8" i="7"/>
  <c r="AF8" i="7"/>
  <c r="AH8" i="7"/>
  <c r="AJ8" i="7"/>
  <c r="I9" i="7"/>
  <c r="K65" i="7" s="1"/>
  <c r="BO9" i="7"/>
  <c r="BQ9" i="7"/>
  <c r="BS9" i="7"/>
  <c r="BU9" i="7"/>
  <c r="BZ9" i="7"/>
  <c r="I10" i="7"/>
  <c r="BO10" i="7"/>
  <c r="BW10" i="7" s="1"/>
  <c r="BQ10" i="7"/>
  <c r="BX10" i="7" s="1"/>
  <c r="BS10" i="7"/>
  <c r="BY10" i="7" s="1"/>
  <c r="BU10" i="7"/>
  <c r="BZ10" i="7" s="1"/>
  <c r="I11" i="7"/>
  <c r="BO11" i="7"/>
  <c r="BW11" i="7" s="1"/>
  <c r="BQ11" i="7"/>
  <c r="BX11" i="7" s="1"/>
  <c r="BS11" i="7"/>
  <c r="BU11" i="7"/>
  <c r="BZ11" i="7" s="1"/>
  <c r="BY11" i="7"/>
  <c r="E12" i="7"/>
  <c r="G12" i="7"/>
  <c r="L12" i="7"/>
  <c r="N12" i="7"/>
  <c r="P12" i="7"/>
  <c r="R12" i="7"/>
  <c r="T12" i="7"/>
  <c r="V12" i="7"/>
  <c r="X12" i="7"/>
  <c r="Z12" i="7"/>
  <c r="AB12" i="7"/>
  <c r="AD12" i="7"/>
  <c r="AF12" i="7"/>
  <c r="AH12" i="7"/>
  <c r="AJ12" i="7"/>
  <c r="I13" i="7"/>
  <c r="AK13" i="7"/>
  <c r="AM13" i="7"/>
  <c r="BO13" i="7"/>
  <c r="BQ13" i="7"/>
  <c r="BS13" i="7"/>
  <c r="BU13" i="7"/>
  <c r="I14" i="7"/>
  <c r="AK14" i="7"/>
  <c r="AM14" i="7"/>
  <c r="BO14" i="7"/>
  <c r="BW14" i="7" s="1"/>
  <c r="BQ14" i="7"/>
  <c r="BX14" i="7" s="1"/>
  <c r="BS14" i="7"/>
  <c r="BY14" i="7" s="1"/>
  <c r="BU14" i="7"/>
  <c r="BZ14" i="7" s="1"/>
  <c r="I15" i="7"/>
  <c r="AK15" i="7"/>
  <c r="AM15" i="7"/>
  <c r="BO15" i="7"/>
  <c r="BW15" i="7" s="1"/>
  <c r="BQ15" i="7"/>
  <c r="BX15" i="7" s="1"/>
  <c r="BS15" i="7"/>
  <c r="BY15" i="7" s="1"/>
  <c r="BU15" i="7"/>
  <c r="BZ15" i="7" s="1"/>
  <c r="G16" i="7"/>
  <c r="L16" i="7"/>
  <c r="N16" i="7"/>
  <c r="P16" i="7"/>
  <c r="R16" i="7"/>
  <c r="T16" i="7"/>
  <c r="V16" i="7"/>
  <c r="X16" i="7"/>
  <c r="Z16" i="7"/>
  <c r="AB16" i="7"/>
  <c r="AD16" i="7"/>
  <c r="AF16" i="7"/>
  <c r="AH16" i="7"/>
  <c r="AJ16" i="7"/>
  <c r="I17" i="7"/>
  <c r="BO17" i="7"/>
  <c r="BQ17" i="7"/>
  <c r="BS17" i="7"/>
  <c r="BU17" i="7"/>
  <c r="I18" i="7"/>
  <c r="BO18" i="7"/>
  <c r="BW18" i="7" s="1"/>
  <c r="BQ18" i="7"/>
  <c r="BX18" i="7" s="1"/>
  <c r="BS18" i="7"/>
  <c r="BY18" i="7" s="1"/>
  <c r="BU18" i="7"/>
  <c r="BZ18" i="7"/>
  <c r="I19" i="7"/>
  <c r="BO19" i="7"/>
  <c r="BQ19" i="7"/>
  <c r="BX19" i="7" s="1"/>
  <c r="BS19" i="7"/>
  <c r="BY19" i="7" s="1"/>
  <c r="BU19" i="7"/>
  <c r="BZ19" i="7" s="1"/>
  <c r="BW19" i="7"/>
  <c r="G20" i="7"/>
  <c r="L20" i="7"/>
  <c r="N20" i="7"/>
  <c r="P20" i="7"/>
  <c r="R20" i="7"/>
  <c r="T20" i="7"/>
  <c r="V20" i="7"/>
  <c r="X20" i="7"/>
  <c r="Z20" i="7"/>
  <c r="AB20" i="7"/>
  <c r="AD20" i="7"/>
  <c r="AF20" i="7"/>
  <c r="AH20" i="7"/>
  <c r="AJ20" i="7"/>
  <c r="I21" i="7"/>
  <c r="AK21" i="7"/>
  <c r="AM21" i="7"/>
  <c r="BO21" i="7"/>
  <c r="BQ21" i="7"/>
  <c r="BS21" i="7"/>
  <c r="BU21" i="7"/>
  <c r="I22" i="7"/>
  <c r="AK22" i="7"/>
  <c r="AM22" i="7"/>
  <c r="BO22" i="7"/>
  <c r="BW22" i="7" s="1"/>
  <c r="BQ22" i="7"/>
  <c r="BX22" i="7" s="1"/>
  <c r="BS22" i="7"/>
  <c r="BY22" i="7" s="1"/>
  <c r="BU22" i="7"/>
  <c r="BZ22" i="7" s="1"/>
  <c r="I23" i="7"/>
  <c r="AK23" i="7"/>
  <c r="AM23" i="7"/>
  <c r="BO23" i="7"/>
  <c r="BW23" i="7" s="1"/>
  <c r="BQ23" i="7"/>
  <c r="BS23" i="7"/>
  <c r="BY23" i="7" s="1"/>
  <c r="BU23" i="7"/>
  <c r="BZ23" i="7" s="1"/>
  <c r="BX23" i="7"/>
  <c r="G24" i="7"/>
  <c r="L24" i="7"/>
  <c r="N24" i="7"/>
  <c r="P24" i="7"/>
  <c r="R24" i="7"/>
  <c r="T24" i="7"/>
  <c r="V24" i="7"/>
  <c r="X24" i="7"/>
  <c r="Z24" i="7"/>
  <c r="AB24" i="7"/>
  <c r="AD24" i="7"/>
  <c r="AF24" i="7"/>
  <c r="AH24" i="7"/>
  <c r="AJ24" i="7"/>
  <c r="I25" i="7"/>
  <c r="BO25" i="7"/>
  <c r="BQ25" i="7"/>
  <c r="BS25" i="7"/>
  <c r="BU25" i="7"/>
  <c r="BX25" i="7"/>
  <c r="BY25" i="7"/>
  <c r="I26" i="7"/>
  <c r="BO26" i="7"/>
  <c r="BW26" i="7" s="1"/>
  <c r="AO26" i="7" s="1"/>
  <c r="BQ26" i="7"/>
  <c r="BX26" i="7" s="1"/>
  <c r="BS26" i="7"/>
  <c r="BY26" i="7" s="1"/>
  <c r="BU26" i="7"/>
  <c r="BZ26" i="7" s="1"/>
  <c r="I27" i="7"/>
  <c r="BO27" i="7"/>
  <c r="BW27" i="7" s="1"/>
  <c r="BQ27" i="7"/>
  <c r="BS27" i="7"/>
  <c r="BU27" i="7"/>
  <c r="BZ27" i="7" s="1"/>
  <c r="G28" i="7"/>
  <c r="L28" i="7"/>
  <c r="N28" i="7"/>
  <c r="P28" i="7"/>
  <c r="R28" i="7"/>
  <c r="T28" i="7"/>
  <c r="V28" i="7"/>
  <c r="X28" i="7"/>
  <c r="Z28" i="7"/>
  <c r="AB28" i="7"/>
  <c r="AD28" i="7"/>
  <c r="AF28" i="7"/>
  <c r="AH28" i="7"/>
  <c r="AJ28" i="7"/>
  <c r="I29" i="7"/>
  <c r="AK29" i="7"/>
  <c r="AM29" i="7"/>
  <c r="BO29" i="7"/>
  <c r="BQ29" i="7"/>
  <c r="BS29" i="7"/>
  <c r="BU29" i="7"/>
  <c r="I30" i="7"/>
  <c r="K30" i="7" s="1"/>
  <c r="AK30" i="7"/>
  <c r="AM30" i="7"/>
  <c r="BO30" i="7"/>
  <c r="BW30" i="7" s="1"/>
  <c r="BQ30" i="7"/>
  <c r="BS30" i="7"/>
  <c r="BU30" i="7"/>
  <c r="BZ30" i="7" s="1"/>
  <c r="BX30" i="7"/>
  <c r="BY30" i="7"/>
  <c r="I31" i="7"/>
  <c r="AK31" i="7"/>
  <c r="AM31" i="7"/>
  <c r="BO31" i="7"/>
  <c r="BW31" i="7" s="1"/>
  <c r="BQ31" i="7"/>
  <c r="BX31" i="7" s="1"/>
  <c r="BS31" i="7"/>
  <c r="BY31" i="7" s="1"/>
  <c r="BU31" i="7"/>
  <c r="BZ31" i="7" s="1"/>
  <c r="G32" i="7"/>
  <c r="N32" i="7"/>
  <c r="P32" i="7"/>
  <c r="R32" i="7"/>
  <c r="T32" i="7"/>
  <c r="V32" i="7"/>
  <c r="X32" i="7"/>
  <c r="Z32" i="7"/>
  <c r="AB32" i="7"/>
  <c r="AD32" i="7"/>
  <c r="AF32" i="7"/>
  <c r="AH32" i="7"/>
  <c r="AJ32" i="7"/>
  <c r="I33" i="7"/>
  <c r="BO33" i="7"/>
  <c r="BW33" i="7" s="1"/>
  <c r="BQ33" i="7"/>
  <c r="BS33" i="7"/>
  <c r="BU33" i="7"/>
  <c r="I34" i="7"/>
  <c r="BO34" i="7"/>
  <c r="BW34" i="7" s="1"/>
  <c r="AO34" i="7" s="1"/>
  <c r="BQ34" i="7"/>
  <c r="BX34" i="7" s="1"/>
  <c r="BS34" i="7"/>
  <c r="BY34" i="7" s="1"/>
  <c r="BU34" i="7"/>
  <c r="BZ34" i="7"/>
  <c r="I35" i="7"/>
  <c r="BO35" i="7"/>
  <c r="BW35" i="7" s="1"/>
  <c r="BQ35" i="7"/>
  <c r="BX35" i="7" s="1"/>
  <c r="BS35" i="7"/>
  <c r="BU35" i="7"/>
  <c r="G36" i="7"/>
  <c r="N36" i="7"/>
  <c r="P36" i="7"/>
  <c r="R36" i="7"/>
  <c r="T36" i="7"/>
  <c r="V36" i="7"/>
  <c r="X36" i="7"/>
  <c r="Z36" i="7"/>
  <c r="AB36" i="7"/>
  <c r="AD36" i="7"/>
  <c r="AF36" i="7"/>
  <c r="AH36" i="7"/>
  <c r="AJ36" i="7"/>
  <c r="I37" i="7"/>
  <c r="K37" i="7"/>
  <c r="AK37" i="7"/>
  <c r="AM37" i="7"/>
  <c r="BO37" i="7"/>
  <c r="BQ37" i="7"/>
  <c r="BS37" i="7"/>
  <c r="BU37" i="7"/>
  <c r="I38" i="7"/>
  <c r="AK38" i="7"/>
  <c r="AM38" i="7"/>
  <c r="BO38" i="7"/>
  <c r="BW38" i="7" s="1"/>
  <c r="BQ38" i="7"/>
  <c r="BS38" i="7"/>
  <c r="BU38" i="7"/>
  <c r="BX38" i="7"/>
  <c r="BY38" i="7"/>
  <c r="BZ38" i="7"/>
  <c r="I39" i="7"/>
  <c r="AK39" i="7"/>
  <c r="AM39" i="7"/>
  <c r="BO39" i="7"/>
  <c r="BW39" i="7" s="1"/>
  <c r="BQ39" i="7"/>
  <c r="BX39" i="7" s="1"/>
  <c r="BS39" i="7"/>
  <c r="BY39" i="7" s="1"/>
  <c r="BU39" i="7"/>
  <c r="BZ39" i="7" s="1"/>
  <c r="G40" i="7"/>
  <c r="N40" i="7"/>
  <c r="P40" i="7"/>
  <c r="R40" i="7"/>
  <c r="T40" i="7"/>
  <c r="V40" i="7"/>
  <c r="X40" i="7"/>
  <c r="Z40" i="7"/>
  <c r="AB40" i="7"/>
  <c r="AD40" i="7"/>
  <c r="AF40" i="7"/>
  <c r="AH40" i="7"/>
  <c r="AJ40" i="7"/>
  <c r="I41" i="7"/>
  <c r="BO41" i="7"/>
  <c r="BQ41" i="7"/>
  <c r="BS41" i="7"/>
  <c r="BU41" i="7"/>
  <c r="BX41" i="7"/>
  <c r="BZ41" i="7"/>
  <c r="I42" i="7"/>
  <c r="K42" i="7" s="1"/>
  <c r="BO42" i="7"/>
  <c r="BQ42" i="7"/>
  <c r="BS42" i="7"/>
  <c r="BU42" i="7"/>
  <c r="BZ42" i="7" s="1"/>
  <c r="BX42" i="7"/>
  <c r="BY42" i="7"/>
  <c r="I43" i="7"/>
  <c r="BO43" i="7"/>
  <c r="BW43" i="7" s="1"/>
  <c r="BQ43" i="7"/>
  <c r="BX43" i="7" s="1"/>
  <c r="BS43" i="7"/>
  <c r="BY43" i="7" s="1"/>
  <c r="BU43" i="7"/>
  <c r="BZ43" i="7"/>
  <c r="G44" i="7"/>
  <c r="N44" i="7"/>
  <c r="P44" i="7"/>
  <c r="R44" i="7"/>
  <c r="T44" i="7"/>
  <c r="V44" i="7"/>
  <c r="X44" i="7"/>
  <c r="Z44" i="7"/>
  <c r="AB44" i="7"/>
  <c r="AD44" i="7"/>
  <c r="AF44" i="7"/>
  <c r="AH44" i="7"/>
  <c r="AJ44" i="7"/>
  <c r="I45" i="7"/>
  <c r="AK45" i="7"/>
  <c r="AM45" i="7"/>
  <c r="BO45" i="7"/>
  <c r="BQ45" i="7"/>
  <c r="BS45" i="7"/>
  <c r="BU45" i="7"/>
  <c r="I46" i="7"/>
  <c r="AK46" i="7"/>
  <c r="AM46" i="7"/>
  <c r="BO46" i="7"/>
  <c r="BQ46" i="7"/>
  <c r="BX46" i="7" s="1"/>
  <c r="BS46" i="7"/>
  <c r="BY46" i="7" s="1"/>
  <c r="BU46" i="7"/>
  <c r="BZ46" i="7" s="1"/>
  <c r="BW46" i="7"/>
  <c r="I47" i="7"/>
  <c r="AK47" i="7"/>
  <c r="AM47" i="7"/>
  <c r="BO47" i="7"/>
  <c r="BW47" i="7" s="1"/>
  <c r="BQ47" i="7"/>
  <c r="BX47" i="7" s="1"/>
  <c r="BS47" i="7"/>
  <c r="BY47" i="7" s="1"/>
  <c r="BU47" i="7"/>
  <c r="BZ47" i="7" s="1"/>
  <c r="G48" i="7"/>
  <c r="N48" i="7"/>
  <c r="P48" i="7"/>
  <c r="R48" i="7"/>
  <c r="T48" i="7"/>
  <c r="V48" i="7"/>
  <c r="X48" i="7"/>
  <c r="Z48" i="7"/>
  <c r="AB48" i="7"/>
  <c r="AD48" i="7"/>
  <c r="AF48" i="7"/>
  <c r="AH48" i="7"/>
  <c r="AJ48" i="7"/>
  <c r="I49" i="7"/>
  <c r="BO49" i="7"/>
  <c r="BQ49" i="7"/>
  <c r="BS49" i="7"/>
  <c r="BU49" i="7"/>
  <c r="I50" i="7"/>
  <c r="BO50" i="7"/>
  <c r="BW50" i="7" s="1"/>
  <c r="AO50" i="7" s="1"/>
  <c r="BQ50" i="7"/>
  <c r="BX50" i="7" s="1"/>
  <c r="BS50" i="7"/>
  <c r="BY50" i="7" s="1"/>
  <c r="BU50" i="7"/>
  <c r="I51" i="7"/>
  <c r="BO51" i="7"/>
  <c r="BW51" i="7" s="1"/>
  <c r="AO51" i="7" s="1"/>
  <c r="BQ51" i="7"/>
  <c r="BX51" i="7" s="1"/>
  <c r="BS51" i="7"/>
  <c r="BY51" i="7" s="1"/>
  <c r="BU51" i="7"/>
  <c r="BZ51" i="7" s="1"/>
  <c r="G52" i="7"/>
  <c r="N52" i="7"/>
  <c r="P52" i="7"/>
  <c r="R52" i="7"/>
  <c r="T52" i="7"/>
  <c r="V52" i="7"/>
  <c r="X52" i="7"/>
  <c r="Z52" i="7"/>
  <c r="AB52" i="7"/>
  <c r="AD52" i="7"/>
  <c r="AF52" i="7"/>
  <c r="AH52" i="7"/>
  <c r="AJ52" i="7"/>
  <c r="I53" i="7"/>
  <c r="AK53" i="7"/>
  <c r="AM53" i="7"/>
  <c r="BO53" i="7"/>
  <c r="BQ53" i="7"/>
  <c r="BX53" i="7" s="1"/>
  <c r="BS53" i="7"/>
  <c r="BU53" i="7"/>
  <c r="I54" i="7"/>
  <c r="AK54" i="7"/>
  <c r="AM54" i="7"/>
  <c r="BO54" i="7"/>
  <c r="BW54" i="7" s="1"/>
  <c r="BQ54" i="7"/>
  <c r="BS54" i="7"/>
  <c r="BU54" i="7"/>
  <c r="BZ54" i="7" s="1"/>
  <c r="I55" i="7"/>
  <c r="AK55" i="7"/>
  <c r="AM55" i="7"/>
  <c r="BO55" i="7"/>
  <c r="BQ55" i="7"/>
  <c r="BS55" i="7"/>
  <c r="BY55" i="7" s="1"/>
  <c r="BU55" i="7"/>
  <c r="BZ55" i="7" s="1"/>
  <c r="BW55" i="7"/>
  <c r="BX55" i="7"/>
  <c r="G56" i="7"/>
  <c r="N56" i="7"/>
  <c r="P56" i="7"/>
  <c r="R56" i="7"/>
  <c r="T56" i="7"/>
  <c r="V56" i="7"/>
  <c r="X56" i="7"/>
  <c r="Z56" i="7"/>
  <c r="AB56" i="7"/>
  <c r="AD56" i="7"/>
  <c r="AF56" i="7"/>
  <c r="AH56" i="7"/>
  <c r="AJ56" i="7"/>
  <c r="I57" i="7"/>
  <c r="BO57" i="7"/>
  <c r="BQ57" i="7"/>
  <c r="BS57" i="7"/>
  <c r="BU57" i="7"/>
  <c r="BZ57" i="7"/>
  <c r="I58" i="7"/>
  <c r="BO58" i="7"/>
  <c r="BQ58" i="7"/>
  <c r="BS58" i="7"/>
  <c r="BY58" i="7" s="1"/>
  <c r="BU58" i="7"/>
  <c r="I59" i="7"/>
  <c r="K59" i="7" s="1"/>
  <c r="BO59" i="7"/>
  <c r="BW59" i="7" s="1"/>
  <c r="BQ59" i="7"/>
  <c r="BS59" i="7"/>
  <c r="BT60" i="7" s="1"/>
  <c r="BU59" i="7"/>
  <c r="BZ59" i="7" s="1"/>
  <c r="BX59" i="7"/>
  <c r="BY59" i="7"/>
  <c r="G60" i="7"/>
  <c r="N60" i="7"/>
  <c r="P60" i="7"/>
  <c r="R60" i="7"/>
  <c r="T60" i="7"/>
  <c r="V60" i="7"/>
  <c r="X60" i="7"/>
  <c r="Z60" i="7"/>
  <c r="AB60" i="7"/>
  <c r="AD60" i="7"/>
  <c r="AF60" i="7"/>
  <c r="AH60" i="7"/>
  <c r="AJ60" i="7"/>
  <c r="I61" i="7"/>
  <c r="K61" i="7"/>
  <c r="AK61" i="7"/>
  <c r="AM61" i="7"/>
  <c r="BO61" i="7"/>
  <c r="BQ61" i="7"/>
  <c r="BS61" i="7"/>
  <c r="BU61" i="7"/>
  <c r="BZ61" i="7"/>
  <c r="I62" i="7"/>
  <c r="AK62" i="7"/>
  <c r="AM62" i="7"/>
  <c r="BO62" i="7"/>
  <c r="BW62" i="7" s="1"/>
  <c r="BQ62" i="7"/>
  <c r="BX62" i="7" s="1"/>
  <c r="BS62" i="7"/>
  <c r="BY62" i="7" s="1"/>
  <c r="BU62" i="7"/>
  <c r="BZ62" i="7"/>
  <c r="I63" i="7"/>
  <c r="AK63" i="7"/>
  <c r="AM63" i="7"/>
  <c r="BO63" i="7"/>
  <c r="BW63" i="7" s="1"/>
  <c r="BQ63" i="7"/>
  <c r="BS63" i="7"/>
  <c r="BU63" i="7"/>
  <c r="BZ63" i="7" s="1"/>
  <c r="G64" i="7"/>
  <c r="N64" i="7"/>
  <c r="P64" i="7"/>
  <c r="R64" i="7"/>
  <c r="T64" i="7"/>
  <c r="V64" i="7"/>
  <c r="X64" i="7"/>
  <c r="Z64" i="7"/>
  <c r="AB64" i="7"/>
  <c r="AD64" i="7"/>
  <c r="AF64" i="7"/>
  <c r="AH64" i="7"/>
  <c r="AJ64" i="7"/>
  <c r="I65" i="7"/>
  <c r="BO65" i="7"/>
  <c r="BQ65" i="7"/>
  <c r="BS65" i="7"/>
  <c r="BU65" i="7"/>
  <c r="BY65" i="7"/>
  <c r="BZ65" i="7"/>
  <c r="I66" i="7"/>
  <c r="BO66" i="7"/>
  <c r="BW66" i="7" s="1"/>
  <c r="BQ66" i="7"/>
  <c r="BX66" i="7" s="1"/>
  <c r="BS66" i="7"/>
  <c r="BY66" i="7" s="1"/>
  <c r="BU66" i="7"/>
  <c r="I67" i="7"/>
  <c r="BO67" i="7"/>
  <c r="BW67" i="7" s="1"/>
  <c r="BQ67" i="7"/>
  <c r="BS67" i="7"/>
  <c r="BY67" i="7" s="1"/>
  <c r="BU67" i="7"/>
  <c r="BZ67" i="7" s="1"/>
  <c r="BX67" i="7"/>
  <c r="E68" i="7"/>
  <c r="G68" i="7"/>
  <c r="N68" i="7"/>
  <c r="P68" i="7"/>
  <c r="R68" i="7"/>
  <c r="T68" i="7"/>
  <c r="V68" i="7"/>
  <c r="X68" i="7"/>
  <c r="Z68" i="7"/>
  <c r="AB68" i="7"/>
  <c r="AD68" i="7"/>
  <c r="AF68" i="7"/>
  <c r="AH68" i="7"/>
  <c r="AJ68" i="7"/>
  <c r="I69" i="7"/>
  <c r="AK69" i="7"/>
  <c r="AM69" i="7"/>
  <c r="BO69" i="7"/>
  <c r="BQ69" i="7"/>
  <c r="BS69" i="7"/>
  <c r="BU69" i="7"/>
  <c r="BZ69" i="7" s="1"/>
  <c r="I70" i="7"/>
  <c r="K70" i="7"/>
  <c r="AK70" i="7"/>
  <c r="AM70" i="7"/>
  <c r="BO70" i="7"/>
  <c r="BW70" i="7" s="1"/>
  <c r="BQ70" i="7"/>
  <c r="BX70" i="7" s="1"/>
  <c r="BS70" i="7"/>
  <c r="BU70" i="7"/>
  <c r="BY70" i="7"/>
  <c r="BZ70" i="7"/>
  <c r="I71" i="7"/>
  <c r="AK71" i="7"/>
  <c r="AM71" i="7"/>
  <c r="BO71" i="7"/>
  <c r="BW71" i="7" s="1"/>
  <c r="BQ71" i="7"/>
  <c r="BX71" i="7" s="1"/>
  <c r="BS71" i="7"/>
  <c r="BY71" i="7" s="1"/>
  <c r="BU71" i="7"/>
  <c r="BZ71" i="7" s="1"/>
  <c r="G72" i="7"/>
  <c r="N72" i="7"/>
  <c r="P72" i="7"/>
  <c r="R72" i="7"/>
  <c r="T72" i="7"/>
  <c r="V72" i="7"/>
  <c r="X72" i="7"/>
  <c r="Z72" i="7"/>
  <c r="AB72" i="7"/>
  <c r="AD72" i="7"/>
  <c r="AF72" i="7"/>
  <c r="AH72" i="7"/>
  <c r="AJ72" i="7"/>
  <c r="I73" i="7"/>
  <c r="I74" i="7"/>
  <c r="I75" i="7"/>
  <c r="G76" i="7"/>
  <c r="L76" i="7"/>
  <c r="N76" i="7"/>
  <c r="P76" i="7"/>
  <c r="R76" i="7"/>
  <c r="T76" i="7"/>
  <c r="V76" i="7"/>
  <c r="X76" i="7"/>
  <c r="Z76" i="7"/>
  <c r="AB76" i="7"/>
  <c r="AD76" i="7"/>
  <c r="AF76" i="7"/>
  <c r="AH76" i="7"/>
  <c r="AJ76" i="7"/>
  <c r="BP76" i="7"/>
  <c r="BR76" i="7"/>
  <c r="BY76" i="7"/>
  <c r="BT76" i="7"/>
  <c r="BV76" i="7"/>
  <c r="BX76" i="7"/>
  <c r="BZ76" i="7"/>
  <c r="I77" i="7"/>
  <c r="AK77" i="7"/>
  <c r="AM77" i="7"/>
  <c r="BO77" i="7"/>
  <c r="BQ77" i="7"/>
  <c r="BS77" i="7"/>
  <c r="BU77" i="7"/>
  <c r="BY77" i="7"/>
  <c r="I78" i="7"/>
  <c r="AK78" i="7"/>
  <c r="AM78" i="7"/>
  <c r="BO78" i="7"/>
  <c r="BW78" i="7" s="1"/>
  <c r="BQ78" i="7"/>
  <c r="BX78" i="7" s="1"/>
  <c r="AS78" i="7" s="1"/>
  <c r="BS78" i="7"/>
  <c r="BY78" i="7" s="1"/>
  <c r="BU78" i="7"/>
  <c r="I79" i="7"/>
  <c r="AK79" i="7"/>
  <c r="AM79" i="7"/>
  <c r="BO79" i="7"/>
  <c r="BW79" i="7" s="1"/>
  <c r="BQ79" i="7"/>
  <c r="BX79" i="7" s="1"/>
  <c r="BS79" i="7"/>
  <c r="BY79" i="7" s="1"/>
  <c r="BU79" i="7"/>
  <c r="BZ79" i="7" s="1"/>
  <c r="G80" i="7"/>
  <c r="N80" i="7"/>
  <c r="P80" i="7"/>
  <c r="R80" i="7"/>
  <c r="T80" i="7"/>
  <c r="V80" i="7"/>
  <c r="X80" i="7"/>
  <c r="Z80" i="7"/>
  <c r="AB80" i="7"/>
  <c r="AD80" i="7"/>
  <c r="AF80" i="7"/>
  <c r="AH80" i="7"/>
  <c r="AJ80" i="7"/>
  <c r="I81" i="7"/>
  <c r="I82" i="7"/>
  <c r="I83" i="7"/>
  <c r="G84" i="7"/>
  <c r="L84" i="7"/>
  <c r="N84" i="7"/>
  <c r="P84" i="7"/>
  <c r="R84" i="7"/>
  <c r="T84" i="7"/>
  <c r="V84" i="7"/>
  <c r="X84" i="7"/>
  <c r="Z84" i="7"/>
  <c r="AB84" i="7"/>
  <c r="AD84" i="7"/>
  <c r="AF84" i="7"/>
  <c r="AH84" i="7"/>
  <c r="AJ84" i="7"/>
  <c r="BP84" i="7"/>
  <c r="BR84" i="7"/>
  <c r="BY84" i="7"/>
  <c r="BT84" i="7"/>
  <c r="BV84" i="7"/>
  <c r="BX84" i="7"/>
  <c r="BZ84" i="7"/>
  <c r="I85" i="7"/>
  <c r="AK85" i="7"/>
  <c r="AM85" i="7"/>
  <c r="BO85" i="7"/>
  <c r="BQ85" i="7"/>
  <c r="BS85" i="7"/>
  <c r="BU85" i="7"/>
  <c r="BZ85" i="7"/>
  <c r="I86" i="7"/>
  <c r="AK86" i="7"/>
  <c r="AM86" i="7"/>
  <c r="BO86" i="7"/>
  <c r="BW86" i="7" s="1"/>
  <c r="BQ86" i="7"/>
  <c r="BS86" i="7"/>
  <c r="BY86" i="7" s="1"/>
  <c r="BU86" i="7"/>
  <c r="BZ86" i="7" s="1"/>
  <c r="BX86" i="7"/>
  <c r="I87" i="7"/>
  <c r="AK87" i="7"/>
  <c r="AM87" i="7"/>
  <c r="BO87" i="7"/>
  <c r="BQ87" i="7"/>
  <c r="BS87" i="7"/>
  <c r="BY87" i="7" s="1"/>
  <c r="BU87" i="7"/>
  <c r="BW87" i="7"/>
  <c r="G88" i="7"/>
  <c r="N88" i="7"/>
  <c r="P88" i="7"/>
  <c r="R88" i="7"/>
  <c r="T88" i="7"/>
  <c r="V88" i="7"/>
  <c r="X88" i="7"/>
  <c r="Z88" i="7"/>
  <c r="AB88" i="7"/>
  <c r="AD88" i="7"/>
  <c r="AF88" i="7"/>
  <c r="AH88" i="7"/>
  <c r="AJ88" i="7"/>
  <c r="I89" i="7"/>
  <c r="I90" i="7"/>
  <c r="I91" i="7"/>
  <c r="G92" i="7"/>
  <c r="L92" i="7"/>
  <c r="N92" i="7"/>
  <c r="P92" i="7"/>
  <c r="R92" i="7"/>
  <c r="T92" i="7"/>
  <c r="V92" i="7"/>
  <c r="X92" i="7"/>
  <c r="Z92" i="7"/>
  <c r="AB92" i="7"/>
  <c r="AD92" i="7"/>
  <c r="AF92" i="7"/>
  <c r="AH92" i="7"/>
  <c r="AJ92" i="7"/>
  <c r="BP92" i="7"/>
  <c r="BR92" i="7"/>
  <c r="BY92" i="7"/>
  <c r="BT92" i="7"/>
  <c r="BZ92" i="7"/>
  <c r="BV92" i="7"/>
  <c r="BX92" i="7"/>
  <c r="I93" i="7"/>
  <c r="AK93" i="7"/>
  <c r="AM93" i="7"/>
  <c r="BO93" i="7"/>
  <c r="BQ93" i="7"/>
  <c r="BS93" i="7"/>
  <c r="BU93" i="7"/>
  <c r="BW93" i="7"/>
  <c r="BY93" i="7"/>
  <c r="I94" i="7"/>
  <c r="AK94" i="7"/>
  <c r="AM94" i="7"/>
  <c r="BO94" i="7"/>
  <c r="BQ94" i="7"/>
  <c r="BX94" i="7" s="1"/>
  <c r="BS94" i="7"/>
  <c r="BU94" i="7"/>
  <c r="BZ94" i="7" s="1"/>
  <c r="BY94" i="7"/>
  <c r="I95" i="7"/>
  <c r="AK95" i="7"/>
  <c r="AM95" i="7"/>
  <c r="BO95" i="7"/>
  <c r="BW95" i="7" s="1"/>
  <c r="BQ95" i="7"/>
  <c r="BX95" i="7" s="1"/>
  <c r="BS95" i="7"/>
  <c r="BY95" i="7" s="1"/>
  <c r="BU95" i="7"/>
  <c r="BZ95" i="7" s="1"/>
  <c r="G96" i="7"/>
  <c r="N96" i="7"/>
  <c r="P96" i="7"/>
  <c r="R96" i="7"/>
  <c r="T96" i="7"/>
  <c r="V96" i="7"/>
  <c r="X96" i="7"/>
  <c r="Z96" i="7"/>
  <c r="AB96" i="7"/>
  <c r="AD96" i="7"/>
  <c r="AF96" i="7"/>
  <c r="AH96" i="7"/>
  <c r="AJ96" i="7"/>
  <c r="I97" i="7"/>
  <c r="I98" i="7"/>
  <c r="I99" i="7"/>
  <c r="G100" i="7"/>
  <c r="L100" i="7"/>
  <c r="N100" i="7"/>
  <c r="P100" i="7"/>
  <c r="R100" i="7"/>
  <c r="T100" i="7"/>
  <c r="V100" i="7"/>
  <c r="X100" i="7"/>
  <c r="Z100" i="7"/>
  <c r="AB100" i="7"/>
  <c r="AD100" i="7"/>
  <c r="AF100" i="7"/>
  <c r="AH100" i="7"/>
  <c r="AJ100" i="7"/>
  <c r="BP100" i="7"/>
  <c r="BR100" i="7"/>
  <c r="BY100" i="7"/>
  <c r="BT100" i="7"/>
  <c r="BZ100" i="7"/>
  <c r="BV100" i="7"/>
  <c r="BX100" i="7"/>
  <c r="I101" i="7"/>
  <c r="K101" i="7"/>
  <c r="AK101" i="7"/>
  <c r="AM101" i="7"/>
  <c r="BO101" i="7"/>
  <c r="BQ101" i="7"/>
  <c r="BS101" i="7"/>
  <c r="BU101" i="7"/>
  <c r="BX101" i="7"/>
  <c r="I102" i="7"/>
  <c r="K102" i="7"/>
  <c r="AK102" i="7"/>
  <c r="AM102" i="7"/>
  <c r="BO102" i="7"/>
  <c r="BQ102" i="7"/>
  <c r="BS102" i="7"/>
  <c r="BY102" i="7" s="1"/>
  <c r="BU102" i="7"/>
  <c r="I103" i="7"/>
  <c r="AK103" i="7"/>
  <c r="AM103" i="7"/>
  <c r="BO103" i="7"/>
  <c r="BW103" i="7" s="1"/>
  <c r="BQ103" i="7"/>
  <c r="BX103" i="7" s="1"/>
  <c r="BS103" i="7"/>
  <c r="BY103" i="7" s="1"/>
  <c r="BU103" i="7"/>
  <c r="BZ103" i="7" s="1"/>
  <c r="G104" i="7"/>
  <c r="N104" i="7"/>
  <c r="P104" i="7"/>
  <c r="R104" i="7"/>
  <c r="T104" i="7"/>
  <c r="V104" i="7"/>
  <c r="X104" i="7"/>
  <c r="Z104" i="7"/>
  <c r="AB104" i="7"/>
  <c r="AD104" i="7"/>
  <c r="AF104" i="7"/>
  <c r="AH104" i="7"/>
  <c r="AJ104" i="7"/>
  <c r="I105" i="7"/>
  <c r="I106" i="7"/>
  <c r="I107" i="7"/>
  <c r="G108" i="7"/>
  <c r="L108" i="7"/>
  <c r="N108" i="7"/>
  <c r="P108" i="7"/>
  <c r="R108" i="7"/>
  <c r="T108" i="7"/>
  <c r="V108" i="7"/>
  <c r="X108" i="7"/>
  <c r="Z108" i="7"/>
  <c r="AB108" i="7"/>
  <c r="AD108" i="7"/>
  <c r="AF108" i="7"/>
  <c r="AH108" i="7"/>
  <c r="AJ108" i="7"/>
  <c r="BP108" i="7"/>
  <c r="BX108" i="7"/>
  <c r="BR108" i="7"/>
  <c r="BY108" i="7"/>
  <c r="BT108" i="7"/>
  <c r="BV108" i="7"/>
  <c r="BZ108" i="7"/>
  <c r="I109" i="7"/>
  <c r="AK109" i="7"/>
  <c r="AM109" i="7"/>
  <c r="BO109" i="7"/>
  <c r="BQ109" i="7"/>
  <c r="BS109" i="7"/>
  <c r="BU109" i="7"/>
  <c r="I110" i="7"/>
  <c r="K110" i="7" s="1"/>
  <c r="AK110" i="7"/>
  <c r="AM110" i="7"/>
  <c r="BO110" i="7"/>
  <c r="BQ110" i="7"/>
  <c r="BX110" i="7" s="1"/>
  <c r="BS110" i="7"/>
  <c r="BY110" i="7" s="1"/>
  <c r="BU110" i="7"/>
  <c r="BZ110" i="7" s="1"/>
  <c r="BW110" i="7"/>
  <c r="I111" i="7"/>
  <c r="AK111" i="7"/>
  <c r="AM111" i="7"/>
  <c r="BO111" i="7"/>
  <c r="BW111" i="7" s="1"/>
  <c r="BQ111" i="7"/>
  <c r="BX111" i="7" s="1"/>
  <c r="BS111" i="7"/>
  <c r="BY111" i="7" s="1"/>
  <c r="BU111" i="7"/>
  <c r="BZ111" i="7" s="1"/>
  <c r="G112" i="7"/>
  <c r="N112" i="7"/>
  <c r="P112" i="7"/>
  <c r="R112" i="7"/>
  <c r="T112" i="7"/>
  <c r="V112" i="7"/>
  <c r="X112" i="7"/>
  <c r="Z112" i="7"/>
  <c r="AB112" i="7"/>
  <c r="AD112" i="7"/>
  <c r="AF112" i="7"/>
  <c r="AH112" i="7"/>
  <c r="AJ112" i="7"/>
  <c r="I113" i="7"/>
  <c r="I114" i="7"/>
  <c r="I115" i="7"/>
  <c r="G116" i="7"/>
  <c r="L116" i="7"/>
  <c r="N116" i="7"/>
  <c r="P116" i="7"/>
  <c r="R116" i="7"/>
  <c r="T116" i="7"/>
  <c r="V116" i="7"/>
  <c r="X116" i="7"/>
  <c r="Z116" i="7"/>
  <c r="AB116" i="7"/>
  <c r="AD116" i="7"/>
  <c r="AF116" i="7"/>
  <c r="AH116" i="7"/>
  <c r="AJ116" i="7"/>
  <c r="BP116" i="7"/>
  <c r="BX116" i="7"/>
  <c r="BR116" i="7"/>
  <c r="BY116" i="7"/>
  <c r="BT116" i="7"/>
  <c r="BV116" i="7"/>
  <c r="BZ116" i="7"/>
  <c r="I117" i="7"/>
  <c r="AK117" i="7"/>
  <c r="AM117" i="7"/>
  <c r="BO117" i="7"/>
  <c r="BQ117" i="7"/>
  <c r="BS117" i="7"/>
  <c r="BU117" i="7"/>
  <c r="I118" i="7"/>
  <c r="K118" i="7" s="1"/>
  <c r="AK118" i="7"/>
  <c r="AM118" i="7"/>
  <c r="BO118" i="7"/>
  <c r="BQ118" i="7"/>
  <c r="BX118" i="7" s="1"/>
  <c r="BS118" i="7"/>
  <c r="BY118" i="7" s="1"/>
  <c r="BU118" i="7"/>
  <c r="I119" i="7"/>
  <c r="AK119" i="7"/>
  <c r="AM119" i="7"/>
  <c r="BO119" i="7"/>
  <c r="BW119" i="7" s="1"/>
  <c r="BQ119" i="7"/>
  <c r="BX119" i="7" s="1"/>
  <c r="BS119" i="7"/>
  <c r="BY119" i="7" s="1"/>
  <c r="BU119" i="7"/>
  <c r="BZ119" i="7"/>
  <c r="G120" i="7"/>
  <c r="N120" i="7"/>
  <c r="P120" i="7"/>
  <c r="R120" i="7"/>
  <c r="T120" i="7"/>
  <c r="V120" i="7"/>
  <c r="X120" i="7"/>
  <c r="Z120" i="7"/>
  <c r="AB120" i="7"/>
  <c r="AD120" i="7"/>
  <c r="AF120" i="7"/>
  <c r="AH120" i="7"/>
  <c r="AJ120" i="7"/>
  <c r="I121" i="7"/>
  <c r="I122" i="7"/>
  <c r="I123" i="7"/>
  <c r="G124" i="7"/>
  <c r="L124" i="7"/>
  <c r="N124" i="7"/>
  <c r="P124" i="7"/>
  <c r="R124" i="7"/>
  <c r="T124" i="7"/>
  <c r="V124" i="7"/>
  <c r="X124" i="7"/>
  <c r="Z124" i="7"/>
  <c r="AB124" i="7"/>
  <c r="AD124" i="7"/>
  <c r="AF124" i="7"/>
  <c r="AH124" i="7"/>
  <c r="AJ124" i="7"/>
  <c r="BP124" i="7"/>
  <c r="BX124" i="7"/>
  <c r="BR124" i="7"/>
  <c r="BY124" i="7"/>
  <c r="BT124" i="7"/>
  <c r="BZ124" i="7"/>
  <c r="BV124" i="7"/>
  <c r="I125" i="7"/>
  <c r="AK125" i="7"/>
  <c r="AM125" i="7"/>
  <c r="BO125" i="7"/>
  <c r="BQ125" i="7"/>
  <c r="BS125" i="7"/>
  <c r="BU125" i="7"/>
  <c r="BX125" i="7"/>
  <c r="I126" i="7"/>
  <c r="AK126" i="7"/>
  <c r="AM126" i="7"/>
  <c r="BO126" i="7"/>
  <c r="BW126" i="7" s="1"/>
  <c r="BQ126" i="7"/>
  <c r="BX126" i="7" s="1"/>
  <c r="BS126" i="7"/>
  <c r="BY126" i="7" s="1"/>
  <c r="BU126" i="7"/>
  <c r="I127" i="7"/>
  <c r="AK127" i="7"/>
  <c r="AM127" i="7"/>
  <c r="BO127" i="7"/>
  <c r="BW127" i="7" s="1"/>
  <c r="BQ127" i="7"/>
  <c r="BS127" i="7"/>
  <c r="BY127" i="7" s="1"/>
  <c r="BU127" i="7"/>
  <c r="BX127" i="7"/>
  <c r="BZ127" i="7"/>
  <c r="G128" i="7"/>
  <c r="N128" i="7"/>
  <c r="P128" i="7"/>
  <c r="R128" i="7"/>
  <c r="T128" i="7"/>
  <c r="V128" i="7"/>
  <c r="X128" i="7"/>
  <c r="Z128" i="7"/>
  <c r="AB128" i="7"/>
  <c r="AD128" i="7"/>
  <c r="AF128" i="7"/>
  <c r="AH128" i="7"/>
  <c r="AJ128" i="7"/>
  <c r="I129" i="7"/>
  <c r="I130" i="7"/>
  <c r="I131" i="7"/>
  <c r="G132" i="7"/>
  <c r="L132" i="7"/>
  <c r="N132" i="7"/>
  <c r="P132" i="7"/>
  <c r="R132" i="7"/>
  <c r="T132" i="7"/>
  <c r="V132" i="7"/>
  <c r="X132" i="7"/>
  <c r="Z132" i="7"/>
  <c r="AB132" i="7"/>
  <c r="AD132" i="7"/>
  <c r="AF132" i="7"/>
  <c r="AH132" i="7"/>
  <c r="AJ132" i="7"/>
  <c r="BP132" i="7"/>
  <c r="BX132" i="7"/>
  <c r="BR132" i="7"/>
  <c r="BY132" i="7"/>
  <c r="BT132" i="7"/>
  <c r="BV132" i="7"/>
  <c r="BZ132" i="7"/>
  <c r="I133" i="7"/>
  <c r="K133" i="7"/>
  <c r="AK133" i="7"/>
  <c r="AM133" i="7"/>
  <c r="BO133" i="7"/>
  <c r="BQ133" i="7"/>
  <c r="BS133" i="7"/>
  <c r="BU133" i="7"/>
  <c r="BW133" i="7"/>
  <c r="I134" i="7"/>
  <c r="AK134" i="7"/>
  <c r="AM134" i="7"/>
  <c r="BO134" i="7"/>
  <c r="BQ134" i="7"/>
  <c r="BS134" i="7"/>
  <c r="BY134" i="7" s="1"/>
  <c r="BU134" i="7"/>
  <c r="I135" i="7"/>
  <c r="AK135" i="7"/>
  <c r="AM135" i="7"/>
  <c r="BO135" i="7"/>
  <c r="BW135" i="7" s="1"/>
  <c r="BQ135" i="7"/>
  <c r="BS135" i="7"/>
  <c r="BY135" i="7" s="1"/>
  <c r="BU135" i="7"/>
  <c r="BZ135" i="7" s="1"/>
  <c r="BX135" i="7"/>
  <c r="E136" i="7"/>
  <c r="G136" i="7"/>
  <c r="N136" i="7"/>
  <c r="P136" i="7"/>
  <c r="R136" i="7"/>
  <c r="T136" i="7"/>
  <c r="V136" i="7"/>
  <c r="X136" i="7"/>
  <c r="Z136" i="7"/>
  <c r="AB136" i="7"/>
  <c r="AD136" i="7"/>
  <c r="AF136" i="7"/>
  <c r="AH136" i="7"/>
  <c r="AJ136" i="7"/>
  <c r="I137" i="7"/>
  <c r="I138" i="7"/>
  <c r="I139" i="7"/>
  <c r="G140" i="7"/>
  <c r="L140" i="7"/>
  <c r="N140" i="7"/>
  <c r="P140" i="7"/>
  <c r="R140" i="7"/>
  <c r="T140" i="7"/>
  <c r="V140" i="7"/>
  <c r="X140" i="7"/>
  <c r="Z140" i="7"/>
  <c r="AB140" i="7"/>
  <c r="AD140" i="7"/>
  <c r="AF140" i="7"/>
  <c r="AH140" i="7"/>
  <c r="AJ140" i="7"/>
  <c r="BP140" i="7"/>
  <c r="BX140" i="7"/>
  <c r="BR140" i="7"/>
  <c r="BT140" i="7"/>
  <c r="BZ140" i="7"/>
  <c r="BV140" i="7"/>
  <c r="BY140" i="7"/>
  <c r="I147" i="7"/>
  <c r="BO147" i="7"/>
  <c r="BQ147" i="7"/>
  <c r="BS147" i="7"/>
  <c r="BU147" i="7"/>
  <c r="I148" i="7"/>
  <c r="BO148" i="7"/>
  <c r="BW148" i="7" s="1"/>
  <c r="BQ148" i="7"/>
  <c r="BX148" i="7" s="1"/>
  <c r="AS196" i="7" s="1"/>
  <c r="BS148" i="7"/>
  <c r="BY148" i="7" s="1"/>
  <c r="BU148" i="7"/>
  <c r="BZ148" i="7" s="1"/>
  <c r="I149" i="7"/>
  <c r="BO149" i="7"/>
  <c r="BW149" i="7" s="1"/>
  <c r="BQ149" i="7"/>
  <c r="BX149" i="7" s="1"/>
  <c r="AU205" i="7" s="1"/>
  <c r="BS149" i="7"/>
  <c r="BY149" i="7" s="1"/>
  <c r="BU149" i="7"/>
  <c r="BZ149" i="7" s="1"/>
  <c r="E150" i="7"/>
  <c r="G150" i="7"/>
  <c r="L150" i="7"/>
  <c r="N150" i="7"/>
  <c r="P150" i="7"/>
  <c r="R150" i="7"/>
  <c r="T150" i="7"/>
  <c r="V150" i="7"/>
  <c r="X150" i="7"/>
  <c r="Z150" i="7"/>
  <c r="AB150" i="7"/>
  <c r="AD150" i="7"/>
  <c r="AF150" i="7"/>
  <c r="AH150" i="7"/>
  <c r="AJ150" i="7"/>
  <c r="BH150" i="7"/>
  <c r="BJ150" i="7"/>
  <c r="BL150" i="7"/>
  <c r="BN150" i="7"/>
  <c r="I151" i="7"/>
  <c r="BO151" i="7"/>
  <c r="BQ151" i="7"/>
  <c r="BS151" i="7"/>
  <c r="BU151" i="7"/>
  <c r="I152" i="7"/>
  <c r="BO152" i="7"/>
  <c r="BW152" i="7" s="1"/>
  <c r="AM232" i="7" s="1"/>
  <c r="BQ152" i="7"/>
  <c r="BS152" i="7"/>
  <c r="BY152" i="7" s="1"/>
  <c r="BU152" i="7"/>
  <c r="BX152" i="7"/>
  <c r="I153" i="7"/>
  <c r="BO153" i="7"/>
  <c r="BW153" i="7" s="1"/>
  <c r="BQ153" i="7"/>
  <c r="BX153" i="7" s="1"/>
  <c r="BS153" i="7"/>
  <c r="BY153" i="7" s="1"/>
  <c r="BU153" i="7"/>
  <c r="BZ153" i="7" s="1"/>
  <c r="E154" i="7"/>
  <c r="G154" i="7"/>
  <c r="L154" i="7"/>
  <c r="N154" i="7"/>
  <c r="P154" i="7"/>
  <c r="R154" i="7"/>
  <c r="T154" i="7"/>
  <c r="V154" i="7"/>
  <c r="X154" i="7"/>
  <c r="Z154" i="7"/>
  <c r="AB154" i="7"/>
  <c r="AD154" i="7"/>
  <c r="AF154" i="7"/>
  <c r="AH154" i="7"/>
  <c r="AJ154" i="7"/>
  <c r="BH154" i="7"/>
  <c r="BJ154" i="7"/>
  <c r="BL154" i="7"/>
  <c r="BN154" i="7"/>
  <c r="I155" i="7"/>
  <c r="AK155" i="7"/>
  <c r="AM155" i="7"/>
  <c r="BO155" i="7"/>
  <c r="BQ155" i="7"/>
  <c r="BS155" i="7"/>
  <c r="BU155" i="7"/>
  <c r="BW155" i="7"/>
  <c r="I156" i="7"/>
  <c r="AK156" i="7"/>
  <c r="AM156" i="7"/>
  <c r="BO156" i="7"/>
  <c r="BQ156" i="7"/>
  <c r="BX156" i="7" s="1"/>
  <c r="BS156" i="7"/>
  <c r="BY156" i="7" s="1"/>
  <c r="BU156" i="7"/>
  <c r="BZ156" i="7"/>
  <c r="I157" i="7"/>
  <c r="AK157" i="7"/>
  <c r="AM157" i="7"/>
  <c r="BO157" i="7"/>
  <c r="BW157" i="7" s="1"/>
  <c r="BQ157" i="7"/>
  <c r="BX157" i="7" s="1"/>
  <c r="BS157" i="7"/>
  <c r="BY157" i="7" s="1"/>
  <c r="BU157" i="7"/>
  <c r="BZ157" i="7" s="1"/>
  <c r="G158" i="7"/>
  <c r="N158" i="7"/>
  <c r="P158" i="7"/>
  <c r="R158" i="7"/>
  <c r="T158" i="7"/>
  <c r="V158" i="7"/>
  <c r="X158" i="7"/>
  <c r="Z158" i="7"/>
  <c r="AB158" i="7"/>
  <c r="AD158" i="7"/>
  <c r="AF158" i="7"/>
  <c r="AH158" i="7"/>
  <c r="AJ158" i="7"/>
  <c r="I159" i="7"/>
  <c r="BO159" i="7"/>
  <c r="BP162" i="7" s="1"/>
  <c r="BQ159" i="7"/>
  <c r="BS159" i="7"/>
  <c r="BU159" i="7"/>
  <c r="I160" i="7"/>
  <c r="BO160" i="7"/>
  <c r="BW160" i="7" s="1"/>
  <c r="BQ160" i="7"/>
  <c r="BX160" i="7" s="1"/>
  <c r="BS160" i="7"/>
  <c r="BU160" i="7"/>
  <c r="BY160" i="7"/>
  <c r="I161" i="7"/>
  <c r="BO161" i="7"/>
  <c r="BW161" i="7" s="1"/>
  <c r="BQ161" i="7"/>
  <c r="BX161" i="7" s="1"/>
  <c r="BS161" i="7"/>
  <c r="BY161" i="7" s="1"/>
  <c r="BU161" i="7"/>
  <c r="BZ161" i="7" s="1"/>
  <c r="G162" i="7"/>
  <c r="N162" i="7"/>
  <c r="P162" i="7"/>
  <c r="R162" i="7"/>
  <c r="T162" i="7"/>
  <c r="V162" i="7"/>
  <c r="X162" i="7"/>
  <c r="Z162" i="7"/>
  <c r="AB162" i="7"/>
  <c r="AD162" i="7"/>
  <c r="AF162" i="7"/>
  <c r="AH162" i="7"/>
  <c r="AJ162" i="7"/>
  <c r="BH162" i="7"/>
  <c r="BJ162" i="7"/>
  <c r="BL162" i="7"/>
  <c r="BN162" i="7"/>
  <c r="I163" i="7"/>
  <c r="AK163" i="7"/>
  <c r="AM163" i="7"/>
  <c r="BO163" i="7"/>
  <c r="BQ163" i="7"/>
  <c r="BS163" i="7"/>
  <c r="BU163" i="7"/>
  <c r="BW163" i="7"/>
  <c r="BX163" i="7"/>
  <c r="BY163" i="7"/>
  <c r="I164" i="7"/>
  <c r="AK164" i="7"/>
  <c r="AM164" i="7"/>
  <c r="BO164" i="7"/>
  <c r="BW164" i="7" s="1"/>
  <c r="BQ164" i="7"/>
  <c r="BX164" i="7" s="1"/>
  <c r="BS164" i="7"/>
  <c r="BY164" i="7" s="1"/>
  <c r="BU164" i="7"/>
  <c r="BZ164" i="7" s="1"/>
  <c r="I165" i="7"/>
  <c r="AK165" i="7"/>
  <c r="AM165" i="7"/>
  <c r="BO165" i="7"/>
  <c r="BQ165" i="7"/>
  <c r="BS165" i="7"/>
  <c r="BY165" i="7" s="1"/>
  <c r="BU165" i="7"/>
  <c r="BZ165" i="7" s="1"/>
  <c r="BW165" i="7"/>
  <c r="BX165" i="7"/>
  <c r="G166" i="7"/>
  <c r="N166" i="7"/>
  <c r="P166" i="7"/>
  <c r="R166" i="7"/>
  <c r="T166" i="7"/>
  <c r="V166" i="7"/>
  <c r="X166" i="7"/>
  <c r="Z166" i="7"/>
  <c r="AB166" i="7"/>
  <c r="AD166" i="7"/>
  <c r="AF166" i="7"/>
  <c r="AH166" i="7"/>
  <c r="AJ166" i="7"/>
  <c r="I167" i="7"/>
  <c r="BO167" i="7"/>
  <c r="BQ167" i="7"/>
  <c r="BS167" i="7"/>
  <c r="BU167" i="7"/>
  <c r="BZ167" i="7"/>
  <c r="I168" i="7"/>
  <c r="BO168" i="7"/>
  <c r="BW168" i="7" s="1"/>
  <c r="BQ168" i="7"/>
  <c r="BX168" i="7" s="1"/>
  <c r="BS168" i="7"/>
  <c r="BY168" i="7" s="1"/>
  <c r="BU168" i="7"/>
  <c r="BZ168" i="7" s="1"/>
  <c r="I169" i="7"/>
  <c r="BO169" i="7"/>
  <c r="BW169" i="7" s="1"/>
  <c r="BQ169" i="7"/>
  <c r="BS169" i="7"/>
  <c r="BY169" i="7" s="1"/>
  <c r="BU169" i="7"/>
  <c r="BZ169" i="7"/>
  <c r="G170" i="7"/>
  <c r="N170" i="7"/>
  <c r="P170" i="7"/>
  <c r="R170" i="7"/>
  <c r="T170" i="7"/>
  <c r="V170" i="7"/>
  <c r="X170" i="7"/>
  <c r="Z170" i="7"/>
  <c r="AB170" i="7"/>
  <c r="AD170" i="7"/>
  <c r="AF170" i="7"/>
  <c r="AH170" i="7"/>
  <c r="AJ170" i="7"/>
  <c r="BH170" i="7"/>
  <c r="BJ170" i="7"/>
  <c r="BL170" i="7"/>
  <c r="BN170" i="7"/>
  <c r="I171" i="7"/>
  <c r="AK171" i="7"/>
  <c r="AM171" i="7"/>
  <c r="BO171" i="7"/>
  <c r="BQ171" i="7"/>
  <c r="BS171" i="7"/>
  <c r="BU171" i="7"/>
  <c r="BX171" i="7"/>
  <c r="I172" i="7"/>
  <c r="AK172" i="7"/>
  <c r="AM172" i="7"/>
  <c r="BO172" i="7"/>
  <c r="BW172" i="7" s="1"/>
  <c r="BQ172" i="7"/>
  <c r="BX172" i="7" s="1"/>
  <c r="BS172" i="7"/>
  <c r="BY172" i="7" s="1"/>
  <c r="BU172" i="7"/>
  <c r="BZ172" i="7" s="1"/>
  <c r="I173" i="7"/>
  <c r="AK173" i="7"/>
  <c r="AM173" i="7"/>
  <c r="BO173" i="7"/>
  <c r="BW173" i="7" s="1"/>
  <c r="BQ173" i="7"/>
  <c r="BX173" i="7" s="1"/>
  <c r="BS173" i="7"/>
  <c r="BY173" i="7" s="1"/>
  <c r="BU173" i="7"/>
  <c r="BZ173" i="7" s="1"/>
  <c r="G174" i="7"/>
  <c r="N174" i="7"/>
  <c r="P174" i="7"/>
  <c r="R174" i="7"/>
  <c r="T174" i="7"/>
  <c r="V174" i="7"/>
  <c r="X174" i="7"/>
  <c r="Z174" i="7"/>
  <c r="AB174" i="7"/>
  <c r="AD174" i="7"/>
  <c r="AF174" i="7"/>
  <c r="AH174" i="7"/>
  <c r="AJ174" i="7"/>
  <c r="I175" i="7"/>
  <c r="BO175" i="7"/>
  <c r="BQ175" i="7"/>
  <c r="BS175" i="7"/>
  <c r="BU175" i="7"/>
  <c r="I176" i="7"/>
  <c r="BO176" i="7"/>
  <c r="BQ176" i="7"/>
  <c r="BS176" i="7"/>
  <c r="BY176" i="7" s="1"/>
  <c r="BU176" i="7"/>
  <c r="BZ176" i="7" s="1"/>
  <c r="I177" i="7"/>
  <c r="BO177" i="7"/>
  <c r="BW177" i="7" s="1"/>
  <c r="BQ177" i="7"/>
  <c r="BX177" i="7" s="1"/>
  <c r="BS177" i="7"/>
  <c r="BY177" i="7" s="1"/>
  <c r="BU177" i="7"/>
  <c r="BZ177" i="7" s="1"/>
  <c r="G178" i="7"/>
  <c r="N178" i="7"/>
  <c r="P178" i="7"/>
  <c r="R178" i="7"/>
  <c r="T178" i="7"/>
  <c r="V178" i="7"/>
  <c r="X178" i="7"/>
  <c r="Z178" i="7"/>
  <c r="AB178" i="7"/>
  <c r="AD178" i="7"/>
  <c r="AF178" i="7"/>
  <c r="AH178" i="7"/>
  <c r="AJ178" i="7"/>
  <c r="BH178" i="7"/>
  <c r="BJ178" i="7"/>
  <c r="BL178" i="7"/>
  <c r="BN178" i="7"/>
  <c r="I179" i="7"/>
  <c r="AK179" i="7"/>
  <c r="AM179" i="7"/>
  <c r="BO179" i="7"/>
  <c r="BQ179" i="7"/>
  <c r="BS179" i="7"/>
  <c r="BU179" i="7"/>
  <c r="BW179" i="7"/>
  <c r="BZ179" i="7"/>
  <c r="I180" i="7"/>
  <c r="AK180" i="7"/>
  <c r="AM180" i="7"/>
  <c r="BO180" i="7"/>
  <c r="BW180" i="7" s="1"/>
  <c r="BQ180" i="7"/>
  <c r="BS180" i="7"/>
  <c r="BY180" i="7" s="1"/>
  <c r="BU180" i="7"/>
  <c r="BZ180" i="7" s="1"/>
  <c r="BX180" i="7"/>
  <c r="I181" i="7"/>
  <c r="AK181" i="7"/>
  <c r="AM181" i="7"/>
  <c r="BO181" i="7"/>
  <c r="BW181" i="7" s="1"/>
  <c r="BQ181" i="7"/>
  <c r="BS181" i="7"/>
  <c r="BY181" i="7" s="1"/>
  <c r="BU181" i="7"/>
  <c r="BX181" i="7"/>
  <c r="BZ181" i="7"/>
  <c r="G182" i="7"/>
  <c r="N182" i="7"/>
  <c r="P182" i="7"/>
  <c r="R182" i="7"/>
  <c r="T182" i="7"/>
  <c r="V182" i="7"/>
  <c r="X182" i="7"/>
  <c r="Z182" i="7"/>
  <c r="AB182" i="7"/>
  <c r="AD182" i="7"/>
  <c r="AF182" i="7"/>
  <c r="AH182" i="7"/>
  <c r="AJ182" i="7"/>
  <c r="I183" i="7"/>
  <c r="BO183" i="7"/>
  <c r="BQ183" i="7"/>
  <c r="BS183" i="7"/>
  <c r="BU183" i="7"/>
  <c r="I184" i="7"/>
  <c r="BO184" i="7"/>
  <c r="BQ184" i="7"/>
  <c r="BX184" i="7" s="1"/>
  <c r="BS184" i="7"/>
  <c r="BU184" i="7"/>
  <c r="BZ184" i="7"/>
  <c r="I185" i="7"/>
  <c r="BO185" i="7"/>
  <c r="BW185" i="7" s="1"/>
  <c r="BQ185" i="7"/>
  <c r="BX185" i="7" s="1"/>
  <c r="BS185" i="7"/>
  <c r="BY185" i="7" s="1"/>
  <c r="BU185" i="7"/>
  <c r="BZ185" i="7" s="1"/>
  <c r="G186" i="7"/>
  <c r="N186" i="7"/>
  <c r="P186" i="7"/>
  <c r="R186" i="7"/>
  <c r="T186" i="7"/>
  <c r="V186" i="7"/>
  <c r="X186" i="7"/>
  <c r="Z186" i="7"/>
  <c r="AB186" i="7"/>
  <c r="AD186" i="7"/>
  <c r="AF186" i="7"/>
  <c r="AH186" i="7"/>
  <c r="AJ186" i="7"/>
  <c r="BH186" i="7"/>
  <c r="BJ186" i="7"/>
  <c r="BL186" i="7"/>
  <c r="BN186" i="7"/>
  <c r="I187" i="7"/>
  <c r="AK187" i="7"/>
  <c r="AM187" i="7"/>
  <c r="BO187" i="7"/>
  <c r="BQ187" i="7"/>
  <c r="BS187" i="7"/>
  <c r="BU187" i="7"/>
  <c r="I188" i="7"/>
  <c r="AK188" i="7"/>
  <c r="AM188" i="7"/>
  <c r="BO188" i="7"/>
  <c r="BW188" i="7" s="1"/>
  <c r="BQ188" i="7"/>
  <c r="BX188" i="7" s="1"/>
  <c r="BS188" i="7"/>
  <c r="BU188" i="7"/>
  <c r="BZ188" i="7" s="1"/>
  <c r="BY188" i="7"/>
  <c r="I189" i="7"/>
  <c r="AK189" i="7"/>
  <c r="AM189" i="7"/>
  <c r="BO189" i="7"/>
  <c r="BW189" i="7" s="1"/>
  <c r="BQ189" i="7"/>
  <c r="BX189" i="7" s="1"/>
  <c r="BS189" i="7"/>
  <c r="BY189" i="7" s="1"/>
  <c r="BU189" i="7"/>
  <c r="BZ189" i="7" s="1"/>
  <c r="G190" i="7"/>
  <c r="N190" i="7"/>
  <c r="P190" i="7"/>
  <c r="R190" i="7"/>
  <c r="T190" i="7"/>
  <c r="V190" i="7"/>
  <c r="X190" i="7"/>
  <c r="Z190" i="7"/>
  <c r="AB190" i="7"/>
  <c r="AD190" i="7"/>
  <c r="AF190" i="7"/>
  <c r="AH190" i="7"/>
  <c r="AJ190" i="7"/>
  <c r="I191" i="7"/>
  <c r="BO191" i="7"/>
  <c r="BQ191" i="7"/>
  <c r="BS191" i="7"/>
  <c r="BU191" i="7"/>
  <c r="I192" i="7"/>
  <c r="BO192" i="7"/>
  <c r="BW192" i="7" s="1"/>
  <c r="BQ192" i="7"/>
  <c r="BX192" i="7" s="1"/>
  <c r="BS192" i="7"/>
  <c r="BY192" i="7" s="1"/>
  <c r="BU192" i="7"/>
  <c r="BZ192" i="7" s="1"/>
  <c r="I193" i="7"/>
  <c r="BO193" i="7"/>
  <c r="BQ193" i="7"/>
  <c r="BX193" i="7" s="1"/>
  <c r="BS193" i="7"/>
  <c r="BY193" i="7" s="1"/>
  <c r="BU193" i="7"/>
  <c r="BZ193" i="7" s="1"/>
  <c r="G194" i="7"/>
  <c r="N194" i="7"/>
  <c r="P194" i="7"/>
  <c r="R194" i="7"/>
  <c r="T194" i="7"/>
  <c r="V194" i="7"/>
  <c r="X194" i="7"/>
  <c r="Z194" i="7"/>
  <c r="AB194" i="7"/>
  <c r="AD194" i="7"/>
  <c r="AF194" i="7"/>
  <c r="AH194" i="7"/>
  <c r="AJ194" i="7"/>
  <c r="BH194" i="7"/>
  <c r="BJ194" i="7"/>
  <c r="BL194" i="7"/>
  <c r="BN194" i="7"/>
  <c r="I195" i="7"/>
  <c r="AK195" i="7"/>
  <c r="AM195" i="7"/>
  <c r="BO195" i="7"/>
  <c r="BP198" i="7" s="1"/>
  <c r="BQ195" i="7"/>
  <c r="BS195" i="7"/>
  <c r="BU195" i="7"/>
  <c r="I196" i="7"/>
  <c r="AK196" i="7"/>
  <c r="AM196" i="7"/>
  <c r="BO196" i="7"/>
  <c r="BW196" i="7" s="1"/>
  <c r="BQ196" i="7"/>
  <c r="BX196" i="7" s="1"/>
  <c r="BS196" i="7"/>
  <c r="BU196" i="7"/>
  <c r="BZ196" i="7" s="1"/>
  <c r="BY196" i="7"/>
  <c r="I197" i="7"/>
  <c r="AK197" i="7"/>
  <c r="AM197" i="7"/>
  <c r="BO197" i="7"/>
  <c r="BQ197" i="7"/>
  <c r="BX197" i="7" s="1"/>
  <c r="BS197" i="7"/>
  <c r="BY197" i="7" s="1"/>
  <c r="BU197" i="7"/>
  <c r="G198" i="7"/>
  <c r="N198" i="7"/>
  <c r="P198" i="7"/>
  <c r="R198" i="7"/>
  <c r="T198" i="7"/>
  <c r="V198" i="7"/>
  <c r="X198" i="7"/>
  <c r="Z198" i="7"/>
  <c r="AB198" i="7"/>
  <c r="AD198" i="7"/>
  <c r="AF198" i="7"/>
  <c r="AH198" i="7"/>
  <c r="AJ198" i="7"/>
  <c r="I199" i="7"/>
  <c r="BO199" i="7"/>
  <c r="BQ199" i="7"/>
  <c r="BS199" i="7"/>
  <c r="BU199" i="7"/>
  <c r="BZ199" i="7"/>
  <c r="I200" i="7"/>
  <c r="BO200" i="7"/>
  <c r="BQ200" i="7"/>
  <c r="BS200" i="7"/>
  <c r="BY200" i="7" s="1"/>
  <c r="BU200" i="7"/>
  <c r="BZ200" i="7" s="1"/>
  <c r="I201" i="7"/>
  <c r="BO201" i="7"/>
  <c r="BW201" i="7" s="1"/>
  <c r="BQ201" i="7"/>
  <c r="BS201" i="7"/>
  <c r="BY201" i="7" s="1"/>
  <c r="BU201" i="7"/>
  <c r="BX201" i="7"/>
  <c r="BZ201" i="7"/>
  <c r="G202" i="7"/>
  <c r="N202" i="7"/>
  <c r="P202" i="7"/>
  <c r="R202" i="7"/>
  <c r="T202" i="7"/>
  <c r="V202" i="7"/>
  <c r="X202" i="7"/>
  <c r="Z202" i="7"/>
  <c r="AB202" i="7"/>
  <c r="AD202" i="7"/>
  <c r="AF202" i="7"/>
  <c r="AH202" i="7"/>
  <c r="AJ202" i="7"/>
  <c r="BH202" i="7"/>
  <c r="BJ202" i="7"/>
  <c r="BL202" i="7"/>
  <c r="BN202" i="7"/>
  <c r="I203" i="7"/>
  <c r="AK203" i="7"/>
  <c r="AM203" i="7"/>
  <c r="BO203" i="7"/>
  <c r="BQ203" i="7"/>
  <c r="BS203" i="7"/>
  <c r="BU203" i="7"/>
  <c r="BX203" i="7"/>
  <c r="BY203" i="7"/>
  <c r="I204" i="7"/>
  <c r="AK204" i="7"/>
  <c r="AM204" i="7"/>
  <c r="BO204" i="7"/>
  <c r="BW204" i="7" s="1"/>
  <c r="BQ204" i="7"/>
  <c r="BX204" i="7" s="1"/>
  <c r="BS204" i="7"/>
  <c r="BY204" i="7" s="1"/>
  <c r="BU204" i="7"/>
  <c r="BZ204" i="7" s="1"/>
  <c r="I205" i="7"/>
  <c r="AK205" i="7"/>
  <c r="AM205" i="7"/>
  <c r="BO205" i="7"/>
  <c r="BQ205" i="7"/>
  <c r="BX205" i="7" s="1"/>
  <c r="BS205" i="7"/>
  <c r="BY205" i="7" s="1"/>
  <c r="BU205" i="7"/>
  <c r="BZ205" i="7"/>
  <c r="G206" i="7"/>
  <c r="N206" i="7"/>
  <c r="P206" i="7"/>
  <c r="R206" i="7"/>
  <c r="T206" i="7"/>
  <c r="V206" i="7"/>
  <c r="X206" i="7"/>
  <c r="Z206" i="7"/>
  <c r="AB206" i="7"/>
  <c r="AD206" i="7"/>
  <c r="AF206" i="7"/>
  <c r="AH206" i="7"/>
  <c r="AJ206" i="7"/>
  <c r="I207" i="7"/>
  <c r="BO207" i="7"/>
  <c r="BQ207" i="7"/>
  <c r="BX207" i="7" s="1"/>
  <c r="BS207" i="7"/>
  <c r="BY207" i="7" s="1"/>
  <c r="BU207" i="7"/>
  <c r="I208" i="7"/>
  <c r="BO208" i="7"/>
  <c r="BQ208" i="7"/>
  <c r="BS208" i="7"/>
  <c r="BY208" i="7" s="1"/>
  <c r="BU208" i="7"/>
  <c r="BZ208" i="7" s="1"/>
  <c r="I209" i="7"/>
  <c r="BO209" i="7"/>
  <c r="BW209" i="7" s="1"/>
  <c r="BQ209" i="7"/>
  <c r="BX209" i="7" s="1"/>
  <c r="BS209" i="7"/>
  <c r="BY209" i="7" s="1"/>
  <c r="BU209" i="7"/>
  <c r="BZ209" i="7" s="1"/>
  <c r="G210" i="7"/>
  <c r="N210" i="7"/>
  <c r="P210" i="7"/>
  <c r="R210" i="7"/>
  <c r="T210" i="7"/>
  <c r="V210" i="7"/>
  <c r="X210" i="7"/>
  <c r="Z210" i="7"/>
  <c r="AB210" i="7"/>
  <c r="AD210" i="7"/>
  <c r="AF210" i="7"/>
  <c r="AH210" i="7"/>
  <c r="AJ210" i="7"/>
  <c r="BH210" i="7"/>
  <c r="BJ210" i="7"/>
  <c r="BL210" i="7"/>
  <c r="BN210" i="7"/>
  <c r="I211" i="7"/>
  <c r="AK211" i="7"/>
  <c r="AM211" i="7"/>
  <c r="BO211" i="7"/>
  <c r="BQ211" i="7"/>
  <c r="BS211" i="7"/>
  <c r="BU211" i="7"/>
  <c r="I212" i="7"/>
  <c r="AK212" i="7"/>
  <c r="AM212" i="7"/>
  <c r="BO212" i="7"/>
  <c r="BW212" i="7" s="1"/>
  <c r="BQ212" i="7"/>
  <c r="BX212" i="7" s="1"/>
  <c r="BS212" i="7"/>
  <c r="BU212" i="7"/>
  <c r="BZ212" i="7" s="1"/>
  <c r="BY212" i="7"/>
  <c r="I213" i="7"/>
  <c r="AK213" i="7"/>
  <c r="AM213" i="7"/>
  <c r="BO213" i="7"/>
  <c r="BW213" i="7" s="1"/>
  <c r="BQ213" i="7"/>
  <c r="BX213" i="7" s="1"/>
  <c r="BS213" i="7"/>
  <c r="BY213" i="7" s="1"/>
  <c r="BU213" i="7"/>
  <c r="BZ213" i="7"/>
  <c r="G214" i="7"/>
  <c r="N214" i="7"/>
  <c r="P214" i="7"/>
  <c r="R214" i="7"/>
  <c r="T214" i="7"/>
  <c r="V214" i="7"/>
  <c r="X214" i="7"/>
  <c r="Z214" i="7"/>
  <c r="AB214" i="7"/>
  <c r="AD214" i="7"/>
  <c r="AF214" i="7"/>
  <c r="AH214" i="7"/>
  <c r="AJ214" i="7"/>
  <c r="I215" i="7"/>
  <c r="BO215" i="7"/>
  <c r="BQ215" i="7"/>
  <c r="BS215" i="7"/>
  <c r="BT218" i="7" s="1"/>
  <c r="BU215" i="7"/>
  <c r="I216" i="7"/>
  <c r="BO216" i="7"/>
  <c r="BW216" i="7" s="1"/>
  <c r="AM216" i="7" s="1"/>
  <c r="BQ216" i="7"/>
  <c r="BX216" i="7" s="1"/>
  <c r="BS216" i="7"/>
  <c r="BY216" i="7" s="1"/>
  <c r="BU216" i="7"/>
  <c r="BZ216" i="7" s="1"/>
  <c r="I217" i="7"/>
  <c r="BO217" i="7"/>
  <c r="BW217" i="7" s="1"/>
  <c r="BQ217" i="7"/>
  <c r="BX217" i="7" s="1"/>
  <c r="BS217" i="7"/>
  <c r="BU217" i="7"/>
  <c r="BZ217" i="7" s="1"/>
  <c r="BY217" i="7"/>
  <c r="G218" i="7"/>
  <c r="N218" i="7"/>
  <c r="P218" i="7"/>
  <c r="R218" i="7"/>
  <c r="T218" i="7"/>
  <c r="V218" i="7"/>
  <c r="X218" i="7"/>
  <c r="Z218" i="7"/>
  <c r="AB218" i="7"/>
  <c r="AD218" i="7"/>
  <c r="AF218" i="7"/>
  <c r="AH218" i="7"/>
  <c r="AJ218" i="7"/>
  <c r="BH218" i="7"/>
  <c r="BJ218" i="7"/>
  <c r="BL218" i="7"/>
  <c r="BN218" i="7"/>
  <c r="I219" i="7"/>
  <c r="AK219" i="7"/>
  <c r="AM219" i="7"/>
  <c r="BO219" i="7"/>
  <c r="BQ219" i="7"/>
  <c r="BS219" i="7"/>
  <c r="BU219" i="7"/>
  <c r="BX219" i="7"/>
  <c r="BY219" i="7"/>
  <c r="I220" i="7"/>
  <c r="AK220" i="7"/>
  <c r="AM220" i="7"/>
  <c r="BO220" i="7"/>
  <c r="BQ220" i="7"/>
  <c r="BX220" i="7" s="1"/>
  <c r="BS220" i="7"/>
  <c r="BY220" i="7" s="1"/>
  <c r="BU220" i="7"/>
  <c r="BZ220" i="7" s="1"/>
  <c r="I221" i="7"/>
  <c r="AK221" i="7"/>
  <c r="AM221" i="7"/>
  <c r="BO221" i="7"/>
  <c r="BW221" i="7" s="1"/>
  <c r="BQ221" i="7"/>
  <c r="BX221" i="7" s="1"/>
  <c r="BS221" i="7"/>
  <c r="BU221" i="7"/>
  <c r="BZ221" i="7" s="1"/>
  <c r="G222" i="7"/>
  <c r="N222" i="7"/>
  <c r="P222" i="7"/>
  <c r="R222" i="7"/>
  <c r="T222" i="7"/>
  <c r="V222" i="7"/>
  <c r="X222" i="7"/>
  <c r="Z222" i="7"/>
  <c r="AB222" i="7"/>
  <c r="AD222" i="7"/>
  <c r="AF222" i="7"/>
  <c r="AH222" i="7"/>
  <c r="AJ222" i="7"/>
  <c r="I223" i="7"/>
  <c r="BO223" i="7"/>
  <c r="BQ223" i="7"/>
  <c r="BS223" i="7"/>
  <c r="BU223" i="7"/>
  <c r="BW223" i="7"/>
  <c r="I224" i="7"/>
  <c r="BO224" i="7"/>
  <c r="BW224" i="7" s="1"/>
  <c r="BQ224" i="7"/>
  <c r="BX224" i="7" s="1"/>
  <c r="BS224" i="7"/>
  <c r="BY224" i="7" s="1"/>
  <c r="BU224" i="7"/>
  <c r="BZ224" i="7" s="1"/>
  <c r="I225" i="7"/>
  <c r="BO225" i="7"/>
  <c r="BW225" i="7" s="1"/>
  <c r="BQ225" i="7"/>
  <c r="BX225" i="7" s="1"/>
  <c r="BS225" i="7"/>
  <c r="BY225" i="7" s="1"/>
  <c r="BU225" i="7"/>
  <c r="BZ225" i="7" s="1"/>
  <c r="G226" i="7"/>
  <c r="N226" i="7"/>
  <c r="P226" i="7"/>
  <c r="R226" i="7"/>
  <c r="T226" i="7"/>
  <c r="V226" i="7"/>
  <c r="X226" i="7"/>
  <c r="Z226" i="7"/>
  <c r="AB226" i="7"/>
  <c r="AD226" i="7"/>
  <c r="AF226" i="7"/>
  <c r="AH226" i="7"/>
  <c r="AJ226" i="7"/>
  <c r="BH226" i="7"/>
  <c r="BJ226" i="7"/>
  <c r="BL226" i="7"/>
  <c r="BN226" i="7"/>
  <c r="I227" i="7"/>
  <c r="AK227" i="7"/>
  <c r="AM227" i="7"/>
  <c r="BO227" i="7"/>
  <c r="BQ227" i="7"/>
  <c r="BS227" i="7"/>
  <c r="BU227" i="7"/>
  <c r="I228" i="7"/>
  <c r="AK228" i="7"/>
  <c r="AM228" i="7"/>
  <c r="BO228" i="7"/>
  <c r="BQ228" i="7"/>
  <c r="BX228" i="7" s="1"/>
  <c r="BS228" i="7"/>
  <c r="BU228" i="7"/>
  <c r="BZ228" i="7" s="1"/>
  <c r="BW228" i="7"/>
  <c r="BY228" i="7"/>
  <c r="I229" i="7"/>
  <c r="AK229" i="7"/>
  <c r="AM229" i="7"/>
  <c r="BO229" i="7"/>
  <c r="BW229" i="7" s="1"/>
  <c r="BQ229" i="7"/>
  <c r="BX229" i="7" s="1"/>
  <c r="BS229" i="7"/>
  <c r="BY229" i="7" s="1"/>
  <c r="BU229" i="7"/>
  <c r="BZ229" i="7"/>
  <c r="G230" i="7"/>
  <c r="N230" i="7"/>
  <c r="P230" i="7"/>
  <c r="R230" i="7"/>
  <c r="T230" i="7"/>
  <c r="V230" i="7"/>
  <c r="X230" i="7"/>
  <c r="Z230" i="7"/>
  <c r="AB230" i="7"/>
  <c r="AD230" i="7"/>
  <c r="AF230" i="7"/>
  <c r="AH230" i="7"/>
  <c r="AJ230" i="7"/>
  <c r="I231" i="7"/>
  <c r="BO231" i="7"/>
  <c r="BQ231" i="7"/>
  <c r="BS231" i="7"/>
  <c r="BU231" i="7"/>
  <c r="I232" i="7"/>
  <c r="K232" i="7" s="1"/>
  <c r="BO232" i="7"/>
  <c r="BW232" i="7" s="1"/>
  <c r="BQ232" i="7"/>
  <c r="BX232" i="7" s="1"/>
  <c r="BS232" i="7"/>
  <c r="BU232" i="7"/>
  <c r="BZ232" i="7"/>
  <c r="I233" i="7"/>
  <c r="BO233" i="7"/>
  <c r="BW233" i="7" s="1"/>
  <c r="BQ233" i="7"/>
  <c r="BS233" i="7"/>
  <c r="BU233" i="7"/>
  <c r="BY233" i="7"/>
  <c r="BZ233" i="7"/>
  <c r="G234" i="7"/>
  <c r="N234" i="7"/>
  <c r="P234" i="7"/>
  <c r="R234" i="7"/>
  <c r="T234" i="7"/>
  <c r="V234" i="7"/>
  <c r="X234" i="7"/>
  <c r="Z234" i="7"/>
  <c r="AB234" i="7"/>
  <c r="AD234" i="7"/>
  <c r="AF234" i="7"/>
  <c r="AH234" i="7"/>
  <c r="AJ234" i="7"/>
  <c r="BH234" i="7"/>
  <c r="BJ234" i="7"/>
  <c r="BL234" i="7"/>
  <c r="BN234" i="7"/>
  <c r="I235" i="7"/>
  <c r="AK235" i="7"/>
  <c r="AM235" i="7"/>
  <c r="BO235" i="7"/>
  <c r="BQ235" i="7"/>
  <c r="BS235" i="7"/>
  <c r="BU235" i="7"/>
  <c r="I236" i="7"/>
  <c r="AK236" i="7"/>
  <c r="AM236" i="7"/>
  <c r="BO236" i="7"/>
  <c r="BW236" i="7" s="1"/>
  <c r="BQ236" i="7"/>
  <c r="BX236" i="7" s="1"/>
  <c r="BS236" i="7"/>
  <c r="BY236" i="7" s="1"/>
  <c r="BU236" i="7"/>
  <c r="BZ236" i="7" s="1"/>
  <c r="I237" i="7"/>
  <c r="AK237" i="7"/>
  <c r="AM237" i="7"/>
  <c r="BO237" i="7"/>
  <c r="BW237" i="7" s="1"/>
  <c r="BQ237" i="7"/>
  <c r="BX237" i="7" s="1"/>
  <c r="BS237" i="7"/>
  <c r="BY237" i="7" s="1"/>
  <c r="BU237" i="7"/>
  <c r="BZ237" i="7"/>
  <c r="G238" i="7"/>
  <c r="N238" i="7"/>
  <c r="P238" i="7"/>
  <c r="R238" i="7"/>
  <c r="T238" i="7"/>
  <c r="V238" i="7"/>
  <c r="X238" i="7"/>
  <c r="Z238" i="7"/>
  <c r="AB238" i="7"/>
  <c r="AD238" i="7"/>
  <c r="AF238" i="7"/>
  <c r="AH238" i="7"/>
  <c r="AJ238" i="7"/>
  <c r="I239" i="7"/>
  <c r="BO239" i="7"/>
  <c r="BQ239" i="7"/>
  <c r="BX239" i="7" s="1"/>
  <c r="BS239" i="7"/>
  <c r="BU239" i="7"/>
  <c r="BY239" i="7"/>
  <c r="I240" i="7"/>
  <c r="BO240" i="7"/>
  <c r="BQ240" i="7"/>
  <c r="BX240" i="7" s="1"/>
  <c r="BS240" i="7"/>
  <c r="BY240" i="7" s="1"/>
  <c r="BU240" i="7"/>
  <c r="BZ240" i="7" s="1"/>
  <c r="I241" i="7"/>
  <c r="BO241" i="7"/>
  <c r="BW241" i="7" s="1"/>
  <c r="BQ241" i="7"/>
  <c r="BX241" i="7" s="1"/>
  <c r="BS241" i="7"/>
  <c r="BY241" i="7" s="1"/>
  <c r="BU241" i="7"/>
  <c r="BZ241" i="7"/>
  <c r="G242" i="7"/>
  <c r="N242" i="7"/>
  <c r="P242" i="7"/>
  <c r="R242" i="7"/>
  <c r="T242" i="7"/>
  <c r="V242" i="7"/>
  <c r="X242" i="7"/>
  <c r="Z242" i="7"/>
  <c r="AB242" i="7"/>
  <c r="AD242" i="7"/>
  <c r="AF242" i="7"/>
  <c r="AH242" i="7"/>
  <c r="AJ242" i="7"/>
  <c r="BH242" i="7"/>
  <c r="BJ242" i="7"/>
  <c r="BL242" i="7"/>
  <c r="BN242" i="7"/>
  <c r="I243" i="7"/>
  <c r="K243" i="7"/>
  <c r="AK243" i="7"/>
  <c r="AM243" i="7"/>
  <c r="BO243" i="7"/>
  <c r="BQ243" i="7"/>
  <c r="BS243" i="7"/>
  <c r="BU243" i="7"/>
  <c r="I244" i="7"/>
  <c r="AK244" i="7"/>
  <c r="AM244" i="7"/>
  <c r="BO244" i="7"/>
  <c r="BW244" i="7" s="1"/>
  <c r="BQ244" i="7"/>
  <c r="BX244" i="7" s="1"/>
  <c r="BS244" i="7"/>
  <c r="BY244" i="7" s="1"/>
  <c r="BU244" i="7"/>
  <c r="BZ244" i="7" s="1"/>
  <c r="I245" i="7"/>
  <c r="AK245" i="7"/>
  <c r="AM245" i="7"/>
  <c r="BO245" i="7"/>
  <c r="BQ245" i="7"/>
  <c r="BX245" i="7" s="1"/>
  <c r="BS245" i="7"/>
  <c r="BU245" i="7"/>
  <c r="BZ245" i="7" s="1"/>
  <c r="BW245" i="7"/>
  <c r="G246" i="7"/>
  <c r="N246" i="7"/>
  <c r="P246" i="7"/>
  <c r="R246" i="7"/>
  <c r="T246" i="7"/>
  <c r="V246" i="7"/>
  <c r="X246" i="7"/>
  <c r="Z246" i="7"/>
  <c r="AB246" i="7"/>
  <c r="AD246" i="7"/>
  <c r="AF246" i="7"/>
  <c r="AH246" i="7"/>
  <c r="AJ246" i="7"/>
  <c r="I247" i="7"/>
  <c r="BO247" i="7"/>
  <c r="BQ247" i="7"/>
  <c r="BS247" i="7"/>
  <c r="BU247" i="7"/>
  <c r="I248" i="7"/>
  <c r="BO248" i="7"/>
  <c r="BW248" i="7" s="1"/>
  <c r="BQ248" i="7"/>
  <c r="BX248" i="7" s="1"/>
  <c r="BS248" i="7"/>
  <c r="BY248" i="7" s="1"/>
  <c r="BU248" i="7"/>
  <c r="BZ248" i="7" s="1"/>
  <c r="I249" i="7"/>
  <c r="BO249" i="7"/>
  <c r="BW249" i="7" s="1"/>
  <c r="BQ249" i="7"/>
  <c r="BX249" i="7" s="1"/>
  <c r="BS249" i="7"/>
  <c r="BU249" i="7"/>
  <c r="BY249" i="7"/>
  <c r="G250" i="7"/>
  <c r="N250" i="7"/>
  <c r="P250" i="7"/>
  <c r="R250" i="7"/>
  <c r="T250" i="7"/>
  <c r="V250" i="7"/>
  <c r="X250" i="7"/>
  <c r="Z250" i="7"/>
  <c r="AB250" i="7"/>
  <c r="AD250" i="7"/>
  <c r="AF250" i="7"/>
  <c r="AH250" i="7"/>
  <c r="AJ250" i="7"/>
  <c r="BH250" i="7"/>
  <c r="BJ250" i="7"/>
  <c r="BL250" i="7"/>
  <c r="BN250" i="7"/>
  <c r="I251" i="7"/>
  <c r="AK251" i="7"/>
  <c r="AM251" i="7"/>
  <c r="BO251" i="7"/>
  <c r="BQ251" i="7"/>
  <c r="BS251" i="7"/>
  <c r="BU251" i="7"/>
  <c r="BW251" i="7"/>
  <c r="BZ251" i="7"/>
  <c r="I252" i="7"/>
  <c r="K252" i="7" s="1"/>
  <c r="AK252" i="7"/>
  <c r="AM252" i="7"/>
  <c r="BO252" i="7"/>
  <c r="BQ252" i="7"/>
  <c r="BS252" i="7"/>
  <c r="BU252" i="7"/>
  <c r="BZ252" i="7" s="1"/>
  <c r="BY252" i="7"/>
  <c r="I253" i="7"/>
  <c r="AK253" i="7"/>
  <c r="AM253" i="7"/>
  <c r="BO253" i="7"/>
  <c r="BW253" i="7" s="1"/>
  <c r="BQ253" i="7"/>
  <c r="BX253" i="7" s="1"/>
  <c r="BS253" i="7"/>
  <c r="BU253" i="7"/>
  <c r="BZ253" i="7" s="1"/>
  <c r="G254" i="7"/>
  <c r="N254" i="7"/>
  <c r="P254" i="7"/>
  <c r="R254" i="7"/>
  <c r="T254" i="7"/>
  <c r="V254" i="7"/>
  <c r="X254" i="7"/>
  <c r="Z254" i="7"/>
  <c r="AB254" i="7"/>
  <c r="AD254" i="7"/>
  <c r="AF254" i="7"/>
  <c r="AH254" i="7"/>
  <c r="AJ254" i="7"/>
  <c r="I255" i="7"/>
  <c r="BO255" i="7"/>
  <c r="BQ255" i="7"/>
  <c r="BS255" i="7"/>
  <c r="BY255" i="7" s="1"/>
  <c r="BU255" i="7"/>
  <c r="I256" i="7"/>
  <c r="BO256" i="7"/>
  <c r="BW256" i="7" s="1"/>
  <c r="BQ256" i="7"/>
  <c r="BX256" i="7" s="1"/>
  <c r="BS256" i="7"/>
  <c r="BY256" i="7" s="1"/>
  <c r="BU256" i="7"/>
  <c r="BZ256" i="7" s="1"/>
  <c r="I257" i="7"/>
  <c r="BO257" i="7"/>
  <c r="BW257" i="7" s="1"/>
  <c r="BQ257" i="7"/>
  <c r="BS257" i="7"/>
  <c r="BY257" i="7" s="1"/>
  <c r="BU257" i="7"/>
  <c r="BZ257" i="7" s="1"/>
  <c r="G258" i="7"/>
  <c r="N258" i="7"/>
  <c r="P258" i="7"/>
  <c r="R258" i="7"/>
  <c r="T258" i="7"/>
  <c r="V258" i="7"/>
  <c r="X258" i="7"/>
  <c r="Z258" i="7"/>
  <c r="AB258" i="7"/>
  <c r="AD258" i="7"/>
  <c r="AF258" i="7"/>
  <c r="AH258" i="7"/>
  <c r="AJ258" i="7"/>
  <c r="BH258" i="7"/>
  <c r="BJ258" i="7"/>
  <c r="BL258" i="7"/>
  <c r="BN258" i="7"/>
  <c r="I259" i="7"/>
  <c r="AK259" i="7"/>
  <c r="AM259" i="7"/>
  <c r="BO259" i="7"/>
  <c r="BQ259" i="7"/>
  <c r="BS259" i="7"/>
  <c r="BU259" i="7"/>
  <c r="I260" i="7"/>
  <c r="AK260" i="7"/>
  <c r="AM260" i="7"/>
  <c r="BO260" i="7"/>
  <c r="BW260" i="7" s="1"/>
  <c r="BQ260" i="7"/>
  <c r="BX260" i="7" s="1"/>
  <c r="BS260" i="7"/>
  <c r="BU260" i="7"/>
  <c r="BZ260" i="7" s="1"/>
  <c r="BY260" i="7"/>
  <c r="I261" i="7"/>
  <c r="AK261" i="7"/>
  <c r="AM261" i="7"/>
  <c r="BO261" i="7"/>
  <c r="BQ261" i="7"/>
  <c r="BX261" i="7" s="1"/>
  <c r="BS261" i="7"/>
  <c r="BY261" i="7" s="1"/>
  <c r="BU261" i="7"/>
  <c r="BZ261" i="7"/>
  <c r="G262" i="7"/>
  <c r="N262" i="7"/>
  <c r="P262" i="7"/>
  <c r="R262" i="7"/>
  <c r="T262" i="7"/>
  <c r="V262" i="7"/>
  <c r="X262" i="7"/>
  <c r="Z262" i="7"/>
  <c r="AB262" i="7"/>
  <c r="AD262" i="7"/>
  <c r="AF262" i="7"/>
  <c r="AH262" i="7"/>
  <c r="AJ262" i="7"/>
  <c r="I263" i="7"/>
  <c r="BO263" i="7"/>
  <c r="BQ263" i="7"/>
  <c r="BS263" i="7"/>
  <c r="BU263" i="7"/>
  <c r="I264" i="7"/>
  <c r="BO264" i="7"/>
  <c r="BW264" i="7" s="1"/>
  <c r="BQ264" i="7"/>
  <c r="BX264" i="7" s="1"/>
  <c r="BS264" i="7"/>
  <c r="BY264" i="7" s="1"/>
  <c r="BU264" i="7"/>
  <c r="BZ264" i="7"/>
  <c r="I265" i="7"/>
  <c r="BO265" i="7"/>
  <c r="BW265" i="7" s="1"/>
  <c r="BQ265" i="7"/>
  <c r="BX265" i="7" s="1"/>
  <c r="BS265" i="7"/>
  <c r="BY265" i="7" s="1"/>
  <c r="BU265" i="7"/>
  <c r="BZ265" i="7" s="1"/>
  <c r="G266" i="7"/>
  <c r="N266" i="7"/>
  <c r="P266" i="7"/>
  <c r="R266" i="7"/>
  <c r="T266" i="7"/>
  <c r="V266" i="7"/>
  <c r="X266" i="7"/>
  <c r="Z266" i="7"/>
  <c r="AB266" i="7"/>
  <c r="AD266" i="7"/>
  <c r="AF266" i="7"/>
  <c r="AH266" i="7"/>
  <c r="AJ266" i="7"/>
  <c r="BH266" i="7"/>
  <c r="BJ266" i="7"/>
  <c r="BL266" i="7"/>
  <c r="BN266" i="7"/>
  <c r="I267" i="7"/>
  <c r="AK267" i="7"/>
  <c r="AM267" i="7"/>
  <c r="BO267" i="7"/>
  <c r="BQ267" i="7"/>
  <c r="BX267" i="7" s="1"/>
  <c r="BS267" i="7"/>
  <c r="BU267" i="7"/>
  <c r="I268" i="7"/>
  <c r="AK268" i="7"/>
  <c r="AM268" i="7"/>
  <c r="BO268" i="7"/>
  <c r="BW268" i="7" s="1"/>
  <c r="BQ268" i="7"/>
  <c r="BX268" i="7" s="1"/>
  <c r="BS268" i="7"/>
  <c r="BY268" i="7" s="1"/>
  <c r="BU268" i="7"/>
  <c r="I269" i="7"/>
  <c r="AK269" i="7"/>
  <c r="AM269" i="7"/>
  <c r="BO269" i="7"/>
  <c r="BQ269" i="7"/>
  <c r="BX269" i="7" s="1"/>
  <c r="BS269" i="7"/>
  <c r="BU269" i="7"/>
  <c r="BZ269" i="7" s="1"/>
  <c r="G270" i="7"/>
  <c r="N270" i="7"/>
  <c r="P270" i="7"/>
  <c r="R270" i="7"/>
  <c r="T270" i="7"/>
  <c r="V270" i="7"/>
  <c r="X270" i="7"/>
  <c r="Z270" i="7"/>
  <c r="AB270" i="7"/>
  <c r="AD270" i="7"/>
  <c r="AF270" i="7"/>
  <c r="AH270" i="7"/>
  <c r="AJ270" i="7"/>
  <c r="I271" i="7"/>
  <c r="BO271" i="7"/>
  <c r="BQ271" i="7"/>
  <c r="BX271" i="7" s="1"/>
  <c r="BS271" i="7"/>
  <c r="BU271" i="7"/>
  <c r="I272" i="7"/>
  <c r="BO272" i="7"/>
  <c r="BW272" i="7" s="1"/>
  <c r="BQ272" i="7"/>
  <c r="BX272" i="7" s="1"/>
  <c r="BS272" i="7"/>
  <c r="BY272" i="7" s="1"/>
  <c r="BU272" i="7"/>
  <c r="BZ272" i="7" s="1"/>
  <c r="I273" i="7"/>
  <c r="BO273" i="7"/>
  <c r="BQ273" i="7"/>
  <c r="BX273" i="7" s="1"/>
  <c r="BS273" i="7"/>
  <c r="BY273" i="7" s="1"/>
  <c r="BU273" i="7"/>
  <c r="BZ273" i="7" s="1"/>
  <c r="G274" i="7"/>
  <c r="N274" i="7"/>
  <c r="P274" i="7"/>
  <c r="R274" i="7"/>
  <c r="T274" i="7"/>
  <c r="V274" i="7"/>
  <c r="X274" i="7"/>
  <c r="Z274" i="7"/>
  <c r="AB274" i="7"/>
  <c r="AD274" i="7"/>
  <c r="AF274" i="7"/>
  <c r="AH274" i="7"/>
  <c r="AJ274" i="7"/>
  <c r="BH274" i="7"/>
  <c r="BJ274" i="7"/>
  <c r="BL274" i="7"/>
  <c r="BN274" i="7"/>
  <c r="I275" i="7"/>
  <c r="AK275" i="7"/>
  <c r="AM275" i="7"/>
  <c r="BO275" i="7"/>
  <c r="BQ275" i="7"/>
  <c r="BS275" i="7"/>
  <c r="BU275" i="7"/>
  <c r="I276" i="7"/>
  <c r="AK276" i="7"/>
  <c r="AM276" i="7"/>
  <c r="BO276" i="7"/>
  <c r="BW276" i="7" s="1"/>
  <c r="BQ276" i="7"/>
  <c r="BX276" i="7" s="1"/>
  <c r="BS276" i="7"/>
  <c r="BY276" i="7" s="1"/>
  <c r="BU276" i="7"/>
  <c r="I277" i="7"/>
  <c r="AK277" i="7"/>
  <c r="AM277" i="7"/>
  <c r="BO277" i="7"/>
  <c r="BW277" i="7" s="1"/>
  <c r="BQ277" i="7"/>
  <c r="BX277" i="7" s="1"/>
  <c r="BS277" i="7"/>
  <c r="BY277" i="7" s="1"/>
  <c r="BU277" i="7"/>
  <c r="BZ277" i="7"/>
  <c r="E278" i="7"/>
  <c r="G278" i="7"/>
  <c r="N278" i="7"/>
  <c r="P278" i="7"/>
  <c r="R278" i="7"/>
  <c r="T278" i="7"/>
  <c r="V278" i="7"/>
  <c r="X278" i="7"/>
  <c r="Z278" i="7"/>
  <c r="AB278" i="7"/>
  <c r="AD278" i="7"/>
  <c r="AF278" i="7"/>
  <c r="AH278" i="7"/>
  <c r="AJ278" i="7"/>
  <c r="BH278" i="7"/>
  <c r="BJ278" i="7"/>
  <c r="I279" i="7"/>
  <c r="BO279" i="7"/>
  <c r="BQ279" i="7"/>
  <c r="BS279" i="7"/>
  <c r="BU279" i="7"/>
  <c r="BX279" i="7"/>
  <c r="I280" i="7"/>
  <c r="BO280" i="7"/>
  <c r="BW280" i="7" s="1"/>
  <c r="BQ280" i="7"/>
  <c r="BX280" i="7" s="1"/>
  <c r="BS280" i="7"/>
  <c r="BU280" i="7"/>
  <c r="BZ280" i="7" s="1"/>
  <c r="BY280" i="7"/>
  <c r="I281" i="7"/>
  <c r="BO281" i="7"/>
  <c r="BW281" i="7" s="1"/>
  <c r="BQ281" i="7"/>
  <c r="BX281" i="7" s="1"/>
  <c r="BS281" i="7"/>
  <c r="BY281" i="7" s="1"/>
  <c r="BU281" i="7"/>
  <c r="BZ281" i="7" s="1"/>
  <c r="G282" i="7"/>
  <c r="AJ282" i="7"/>
  <c r="BH282" i="7"/>
  <c r="BJ282" i="7"/>
  <c r="BL282" i="7"/>
  <c r="BN282" i="7"/>
  <c r="G286" i="7"/>
  <c r="J286" i="7"/>
  <c r="L286" i="7"/>
  <c r="N286" i="7"/>
  <c r="P286" i="7"/>
  <c r="R286" i="7"/>
  <c r="T286" i="7"/>
  <c r="V286" i="7"/>
  <c r="X286" i="7"/>
  <c r="Z286" i="7"/>
  <c r="AB286" i="7"/>
  <c r="AD286" i="7"/>
  <c r="AF286" i="7"/>
  <c r="AH286" i="7"/>
  <c r="AJ286" i="7"/>
  <c r="BP286" i="7"/>
  <c r="BR286" i="7"/>
  <c r="BT286" i="7"/>
  <c r="BZ286" i="7"/>
  <c r="BV286" i="7"/>
  <c r="BX286" i="7"/>
  <c r="BY286" i="7"/>
  <c r="I287" i="7"/>
  <c r="BO287" i="7"/>
  <c r="BQ287" i="7"/>
  <c r="BS287" i="7"/>
  <c r="BU287" i="7"/>
  <c r="BX287" i="7"/>
  <c r="BY287" i="7"/>
  <c r="I288" i="7"/>
  <c r="BO288" i="7"/>
  <c r="BW288" i="7" s="1"/>
  <c r="BQ288" i="7"/>
  <c r="BS288" i="7"/>
  <c r="BU288" i="7"/>
  <c r="BZ288" i="7" s="1"/>
  <c r="BY288" i="7"/>
  <c r="I289" i="7"/>
  <c r="BO289" i="7"/>
  <c r="BW289" i="7" s="1"/>
  <c r="BQ289" i="7"/>
  <c r="BX289" i="7" s="1"/>
  <c r="BS289" i="7"/>
  <c r="BY289" i="7" s="1"/>
  <c r="BU289" i="7"/>
  <c r="BZ289" i="7" s="1"/>
  <c r="G290" i="7"/>
  <c r="N290" i="7"/>
  <c r="P290" i="7"/>
  <c r="R290" i="7"/>
  <c r="T290" i="7"/>
  <c r="V290" i="7"/>
  <c r="X290" i="7"/>
  <c r="Z290" i="7"/>
  <c r="AB290" i="7"/>
  <c r="AD290" i="7"/>
  <c r="AF290" i="7"/>
  <c r="AH290" i="7"/>
  <c r="AJ290" i="7"/>
  <c r="BH290" i="7"/>
  <c r="BJ290" i="7"/>
  <c r="BL290" i="7"/>
  <c r="BN290" i="7"/>
  <c r="G294" i="7"/>
  <c r="J294" i="7"/>
  <c r="L294" i="7"/>
  <c r="N294" i="7"/>
  <c r="P294" i="7"/>
  <c r="R294" i="7"/>
  <c r="T294" i="7"/>
  <c r="V294" i="7"/>
  <c r="X294" i="7"/>
  <c r="Z294" i="7"/>
  <c r="AB294" i="7"/>
  <c r="AD294" i="7"/>
  <c r="AF294" i="7"/>
  <c r="AH294" i="7"/>
  <c r="AJ294" i="7"/>
  <c r="BP294" i="7"/>
  <c r="BX294" i="7"/>
  <c r="BR294" i="7"/>
  <c r="BY294" i="7"/>
  <c r="BT294" i="7"/>
  <c r="BZ294" i="7"/>
  <c r="BV294" i="7"/>
  <c r="I295" i="7"/>
  <c r="BO295" i="7"/>
  <c r="BQ295" i="7"/>
  <c r="BS295" i="7"/>
  <c r="BU295" i="7"/>
  <c r="BX295" i="7"/>
  <c r="BZ295" i="7"/>
  <c r="I296" i="7"/>
  <c r="BO296" i="7"/>
  <c r="BW296" i="7" s="1"/>
  <c r="AM296" i="7" s="1"/>
  <c r="BQ296" i="7"/>
  <c r="BS296" i="7"/>
  <c r="BY296" i="7" s="1"/>
  <c r="BU296" i="7"/>
  <c r="I297" i="7"/>
  <c r="BO297" i="7"/>
  <c r="BW297" i="7" s="1"/>
  <c r="BQ297" i="7"/>
  <c r="BX297" i="7" s="1"/>
  <c r="BS297" i="7"/>
  <c r="BY297" i="7" s="1"/>
  <c r="BU297" i="7"/>
  <c r="BZ297" i="7" s="1"/>
  <c r="G298" i="7"/>
  <c r="N298" i="7"/>
  <c r="P298" i="7"/>
  <c r="R298" i="7"/>
  <c r="T298" i="7"/>
  <c r="V298" i="7"/>
  <c r="X298" i="7"/>
  <c r="Z298" i="7"/>
  <c r="AB298" i="7"/>
  <c r="AD298" i="7"/>
  <c r="AF298" i="7"/>
  <c r="AH298" i="7"/>
  <c r="AJ298" i="7"/>
  <c r="BH298" i="7"/>
  <c r="BJ298" i="7"/>
  <c r="BL298" i="7"/>
  <c r="BN298" i="7"/>
  <c r="G302" i="7"/>
  <c r="J302" i="7"/>
  <c r="L302" i="7"/>
  <c r="N302" i="7"/>
  <c r="P302" i="7"/>
  <c r="R302" i="7"/>
  <c r="T302" i="7"/>
  <c r="V302" i="7"/>
  <c r="X302" i="7"/>
  <c r="Z302" i="7"/>
  <c r="AB302" i="7"/>
  <c r="AD302" i="7"/>
  <c r="AF302" i="7"/>
  <c r="AH302" i="7"/>
  <c r="AJ302" i="7"/>
  <c r="BP302" i="7"/>
  <c r="BX302" i="7"/>
  <c r="BR302" i="7"/>
  <c r="BT302" i="7"/>
  <c r="BV302" i="7"/>
  <c r="BY302" i="7"/>
  <c r="BZ302" i="7"/>
  <c r="I303" i="7"/>
  <c r="BO303" i="7"/>
  <c r="BQ303" i="7"/>
  <c r="BS303" i="7"/>
  <c r="BU303" i="7"/>
  <c r="BW303" i="7"/>
  <c r="BX303" i="7"/>
  <c r="I304" i="7"/>
  <c r="BO304" i="7"/>
  <c r="BW304" i="7" s="1"/>
  <c r="BQ304" i="7"/>
  <c r="BX304" i="7" s="1"/>
  <c r="BS304" i="7"/>
  <c r="BY304" i="7" s="1"/>
  <c r="BU304" i="7"/>
  <c r="BZ304" i="7" s="1"/>
  <c r="I305" i="7"/>
  <c r="BO305" i="7"/>
  <c r="BQ305" i="7"/>
  <c r="BX305" i="7" s="1"/>
  <c r="BS305" i="7"/>
  <c r="BY305" i="7" s="1"/>
  <c r="BU305" i="7"/>
  <c r="BZ305" i="7" s="1"/>
  <c r="G306" i="7"/>
  <c r="N306" i="7"/>
  <c r="P306" i="7"/>
  <c r="R306" i="7"/>
  <c r="T306" i="7"/>
  <c r="V306" i="7"/>
  <c r="X306" i="7"/>
  <c r="Z306" i="7"/>
  <c r="AB306" i="7"/>
  <c r="AD306" i="7"/>
  <c r="AF306" i="7"/>
  <c r="AH306" i="7"/>
  <c r="AJ306" i="7"/>
  <c r="BH306" i="7"/>
  <c r="BJ306" i="7"/>
  <c r="BL306" i="7"/>
  <c r="BN306" i="7"/>
  <c r="G310" i="7"/>
  <c r="J310" i="7"/>
  <c r="L310" i="7"/>
  <c r="N310" i="7"/>
  <c r="P310" i="7"/>
  <c r="R310" i="7"/>
  <c r="T310" i="7"/>
  <c r="V310" i="7"/>
  <c r="X310" i="7"/>
  <c r="Z310" i="7"/>
  <c r="AB310" i="7"/>
  <c r="AD310" i="7"/>
  <c r="AF310" i="7"/>
  <c r="AH310" i="7"/>
  <c r="AJ310" i="7"/>
  <c r="BP310" i="7"/>
  <c r="BR310" i="7"/>
  <c r="BY310" i="7"/>
  <c r="BT310" i="7"/>
  <c r="BZ310" i="7"/>
  <c r="BV310" i="7"/>
  <c r="BX310" i="7"/>
  <c r="I311" i="7"/>
  <c r="BO311" i="7"/>
  <c r="BQ311" i="7"/>
  <c r="BS311" i="7"/>
  <c r="BU311" i="7"/>
  <c r="BZ311" i="7"/>
  <c r="I312" i="7"/>
  <c r="BO312" i="7"/>
  <c r="BW312" i="7" s="1"/>
  <c r="BQ312" i="7"/>
  <c r="BS312" i="7"/>
  <c r="BY312" i="7" s="1"/>
  <c r="BU312" i="7"/>
  <c r="BZ312" i="7"/>
  <c r="I313" i="7"/>
  <c r="BO313" i="7"/>
  <c r="BW313" i="7" s="1"/>
  <c r="BQ313" i="7"/>
  <c r="BX313" i="7" s="1"/>
  <c r="BS313" i="7"/>
  <c r="BU313" i="7"/>
  <c r="BZ313" i="7" s="1"/>
  <c r="BY313" i="7"/>
  <c r="G314" i="7"/>
  <c r="N314" i="7"/>
  <c r="P314" i="7"/>
  <c r="R314" i="7"/>
  <c r="T314" i="7"/>
  <c r="V314" i="7"/>
  <c r="X314" i="7"/>
  <c r="Z314" i="7"/>
  <c r="AB314" i="7"/>
  <c r="AD314" i="7"/>
  <c r="AF314" i="7"/>
  <c r="AH314" i="7"/>
  <c r="AJ314" i="7"/>
  <c r="BH314" i="7"/>
  <c r="BJ314" i="7"/>
  <c r="BL314" i="7"/>
  <c r="BN314" i="7"/>
  <c r="G318" i="7"/>
  <c r="J318" i="7"/>
  <c r="L318" i="7"/>
  <c r="N318" i="7"/>
  <c r="P318" i="7"/>
  <c r="R318" i="7"/>
  <c r="T318" i="7"/>
  <c r="V318" i="7"/>
  <c r="X318" i="7"/>
  <c r="Z318" i="7"/>
  <c r="AB318" i="7"/>
  <c r="AD318" i="7"/>
  <c r="AF318" i="7"/>
  <c r="AH318" i="7"/>
  <c r="AJ318" i="7"/>
  <c r="BP318" i="7"/>
  <c r="BX318" i="7"/>
  <c r="BR318" i="7"/>
  <c r="BY318" i="7"/>
  <c r="BT318" i="7"/>
  <c r="BZ318" i="7"/>
  <c r="BV318" i="7"/>
  <c r="I319" i="7"/>
  <c r="BO319" i="7"/>
  <c r="BQ319" i="7"/>
  <c r="BS319" i="7"/>
  <c r="BY319" i="7" s="1"/>
  <c r="BU319" i="7"/>
  <c r="I320" i="7"/>
  <c r="BO320" i="7"/>
  <c r="BQ320" i="7"/>
  <c r="BS320" i="7"/>
  <c r="BY320" i="7" s="1"/>
  <c r="BU320" i="7"/>
  <c r="BZ320" i="7"/>
  <c r="I321" i="7"/>
  <c r="BO321" i="7"/>
  <c r="BW321" i="7" s="1"/>
  <c r="BQ321" i="7"/>
  <c r="BX321" i="7" s="1"/>
  <c r="BS321" i="7"/>
  <c r="BY321" i="7" s="1"/>
  <c r="BU321" i="7"/>
  <c r="BZ321" i="7" s="1"/>
  <c r="E322" i="7"/>
  <c r="G322" i="7"/>
  <c r="N322" i="7"/>
  <c r="P322" i="7"/>
  <c r="R322" i="7"/>
  <c r="T322" i="7"/>
  <c r="V322" i="7"/>
  <c r="X322" i="7"/>
  <c r="Z322" i="7"/>
  <c r="AB322" i="7"/>
  <c r="AD322" i="7"/>
  <c r="AF322" i="7"/>
  <c r="AH322" i="7"/>
  <c r="AJ322" i="7"/>
  <c r="BH322" i="7"/>
  <c r="BJ322" i="7"/>
  <c r="BL322" i="7"/>
  <c r="BN322" i="7"/>
  <c r="I328" i="7"/>
  <c r="BO328" i="7"/>
  <c r="BQ328" i="7"/>
  <c r="BS328" i="7"/>
  <c r="BU328" i="7"/>
  <c r="I329" i="7"/>
  <c r="BO329" i="7"/>
  <c r="BW329" i="7" s="1"/>
  <c r="BQ329" i="7"/>
  <c r="BX329" i="7" s="1"/>
  <c r="BS329" i="7"/>
  <c r="BY329" i="7" s="1"/>
  <c r="BU329" i="7"/>
  <c r="BZ329" i="7"/>
  <c r="I330" i="7"/>
  <c r="BO330" i="7"/>
  <c r="BW330" i="7" s="1"/>
  <c r="BQ330" i="7"/>
  <c r="BX330" i="7" s="1"/>
  <c r="BS330" i="7"/>
  <c r="BU330" i="7"/>
  <c r="BY330" i="7"/>
  <c r="BZ330" i="7"/>
  <c r="E331" i="7"/>
  <c r="G331" i="7"/>
  <c r="L331" i="7"/>
  <c r="N331" i="7"/>
  <c r="P331" i="7"/>
  <c r="R331" i="7"/>
  <c r="T331" i="7"/>
  <c r="V331" i="7"/>
  <c r="X331" i="7"/>
  <c r="Z331" i="7"/>
  <c r="AB331" i="7"/>
  <c r="AD331" i="7"/>
  <c r="AF331" i="7"/>
  <c r="AH331" i="7"/>
  <c r="AJ331" i="7"/>
  <c r="I332" i="7"/>
  <c r="BO332" i="7"/>
  <c r="BQ332" i="7"/>
  <c r="BS332" i="7"/>
  <c r="BU332" i="7"/>
  <c r="BZ332" i="7"/>
  <c r="I333" i="7"/>
  <c r="BO333" i="7"/>
  <c r="BW333" i="7" s="1"/>
  <c r="BQ333" i="7"/>
  <c r="BX333" i="7" s="1"/>
  <c r="BS333" i="7"/>
  <c r="BY333" i="7" s="1"/>
  <c r="BU333" i="7"/>
  <c r="BZ333" i="7" s="1"/>
  <c r="I334" i="7"/>
  <c r="BO334" i="7"/>
  <c r="BW334" i="7" s="1"/>
  <c r="BQ334" i="7"/>
  <c r="BS334" i="7"/>
  <c r="BY334" i="7" s="1"/>
  <c r="BU334" i="7"/>
  <c r="BZ334" i="7" s="1"/>
  <c r="E335" i="7"/>
  <c r="G335" i="7"/>
  <c r="L335" i="7"/>
  <c r="N335" i="7"/>
  <c r="P335" i="7"/>
  <c r="R335" i="7"/>
  <c r="T335" i="7"/>
  <c r="V335" i="7"/>
  <c r="X335" i="7"/>
  <c r="Z335" i="7"/>
  <c r="AB335" i="7"/>
  <c r="AD335" i="7"/>
  <c r="AF335" i="7"/>
  <c r="AH335" i="7"/>
  <c r="AJ335" i="7"/>
  <c r="I336" i="7"/>
  <c r="AK336" i="7"/>
  <c r="AM336" i="7"/>
  <c r="BO336" i="7"/>
  <c r="BQ336" i="7"/>
  <c r="BS336" i="7"/>
  <c r="BU336" i="7"/>
  <c r="BX336" i="7"/>
  <c r="I337" i="7"/>
  <c r="AK337" i="7"/>
  <c r="AM337" i="7"/>
  <c r="BO337" i="7"/>
  <c r="BW337" i="7" s="1"/>
  <c r="BQ337" i="7"/>
  <c r="BX337" i="7" s="1"/>
  <c r="BS337" i="7"/>
  <c r="BY337" i="7" s="1"/>
  <c r="BU337" i="7"/>
  <c r="BZ337" i="7" s="1"/>
  <c r="I338" i="7"/>
  <c r="AK338" i="7"/>
  <c r="AM338" i="7"/>
  <c r="BO338" i="7"/>
  <c r="BW338" i="7" s="1"/>
  <c r="BQ338" i="7"/>
  <c r="BX338" i="7" s="1"/>
  <c r="BS338" i="7"/>
  <c r="BU338" i="7"/>
  <c r="BZ338" i="7" s="1"/>
  <c r="BY338" i="7"/>
  <c r="G339" i="7"/>
  <c r="L339" i="7"/>
  <c r="N339" i="7"/>
  <c r="P339" i="7"/>
  <c r="R339" i="7"/>
  <c r="T339" i="7"/>
  <c r="V339" i="7"/>
  <c r="X339" i="7"/>
  <c r="Z339" i="7"/>
  <c r="AB339" i="7"/>
  <c r="AD339" i="7"/>
  <c r="AF339" i="7"/>
  <c r="AH339" i="7"/>
  <c r="AJ339" i="7"/>
  <c r="I340" i="7"/>
  <c r="BO340" i="7"/>
  <c r="BQ340" i="7"/>
  <c r="BS340" i="7"/>
  <c r="BY340" i="7" s="1"/>
  <c r="BU340" i="7"/>
  <c r="BZ340" i="7" s="1"/>
  <c r="BX340" i="7"/>
  <c r="I341" i="7"/>
  <c r="BO341" i="7"/>
  <c r="BW341" i="7" s="1"/>
  <c r="BQ341" i="7"/>
  <c r="BX341" i="7" s="1"/>
  <c r="BS341" i="7"/>
  <c r="BY341" i="7" s="1"/>
  <c r="BU341" i="7"/>
  <c r="BZ341" i="7" s="1"/>
  <c r="I342" i="7"/>
  <c r="BO342" i="7"/>
  <c r="BW342" i="7" s="1"/>
  <c r="BQ342" i="7"/>
  <c r="BX342" i="7" s="1"/>
  <c r="BS342" i="7"/>
  <c r="BY342" i="7" s="1"/>
  <c r="BU342" i="7"/>
  <c r="BZ342" i="7" s="1"/>
  <c r="G343" i="7"/>
  <c r="L343" i="7"/>
  <c r="N343" i="7"/>
  <c r="P343" i="7"/>
  <c r="R343" i="7"/>
  <c r="T343" i="7"/>
  <c r="V343" i="7"/>
  <c r="X343" i="7"/>
  <c r="Z343" i="7"/>
  <c r="AB343" i="7"/>
  <c r="AD343" i="7"/>
  <c r="AF343" i="7"/>
  <c r="AH343" i="7"/>
  <c r="AJ343" i="7"/>
  <c r="I344" i="7"/>
  <c r="AK344" i="7"/>
  <c r="AM344" i="7"/>
  <c r="BO344" i="7"/>
  <c r="BQ344" i="7"/>
  <c r="BS344" i="7"/>
  <c r="BU344" i="7"/>
  <c r="I345" i="7"/>
  <c r="AK345" i="7"/>
  <c r="AM345" i="7"/>
  <c r="BO345" i="7"/>
  <c r="BW345" i="7" s="1"/>
  <c r="BQ345" i="7"/>
  <c r="BX345" i="7" s="1"/>
  <c r="AS345" i="7" s="1"/>
  <c r="BS345" i="7"/>
  <c r="BY345" i="7" s="1"/>
  <c r="BU345" i="7"/>
  <c r="BZ345" i="7" s="1"/>
  <c r="I346" i="7"/>
  <c r="AK346" i="7"/>
  <c r="AM346" i="7"/>
  <c r="BO346" i="7"/>
  <c r="BQ346" i="7"/>
  <c r="BX346" i="7" s="1"/>
  <c r="BS346" i="7"/>
  <c r="BU346" i="7"/>
  <c r="BZ346" i="7" s="1"/>
  <c r="BW346" i="7"/>
  <c r="BY346" i="7"/>
  <c r="G347" i="7"/>
  <c r="L347" i="7"/>
  <c r="N347" i="7"/>
  <c r="P347" i="7"/>
  <c r="R347" i="7"/>
  <c r="T347" i="7"/>
  <c r="V347" i="7"/>
  <c r="X347" i="7"/>
  <c r="Z347" i="7"/>
  <c r="AB347" i="7"/>
  <c r="AD347" i="7"/>
  <c r="AF347" i="7"/>
  <c r="AH347" i="7"/>
  <c r="AJ347" i="7"/>
  <c r="I348" i="7"/>
  <c r="BO348" i="7"/>
  <c r="BQ348" i="7"/>
  <c r="BS348" i="7"/>
  <c r="BU348" i="7"/>
  <c r="I349" i="7"/>
  <c r="BO349" i="7"/>
  <c r="BQ349" i="7"/>
  <c r="BS349" i="7"/>
  <c r="BY349" i="7" s="1"/>
  <c r="BU349" i="7"/>
  <c r="BZ349" i="7"/>
  <c r="I350" i="7"/>
  <c r="BO350" i="7"/>
  <c r="BW350" i="7" s="1"/>
  <c r="BQ350" i="7"/>
  <c r="BX350" i="7" s="1"/>
  <c r="BS350" i="7"/>
  <c r="BY350" i="7" s="1"/>
  <c r="BU350" i="7"/>
  <c r="BZ350" i="7"/>
  <c r="G351" i="7"/>
  <c r="L351" i="7"/>
  <c r="N351" i="7"/>
  <c r="P351" i="7"/>
  <c r="R351" i="7"/>
  <c r="T351" i="7"/>
  <c r="V351" i="7"/>
  <c r="X351" i="7"/>
  <c r="Z351" i="7"/>
  <c r="AB351" i="7"/>
  <c r="AD351" i="7"/>
  <c r="AF351" i="7"/>
  <c r="AH351" i="7"/>
  <c r="AJ351" i="7"/>
  <c r="I352" i="7"/>
  <c r="AK352" i="7"/>
  <c r="AM352" i="7"/>
  <c r="BO352" i="7"/>
  <c r="BQ352" i="7"/>
  <c r="BS352" i="7"/>
  <c r="BU352" i="7"/>
  <c r="BZ352" i="7"/>
  <c r="I353" i="7"/>
  <c r="AK353" i="7"/>
  <c r="AM353" i="7"/>
  <c r="BO353" i="7"/>
  <c r="BW353" i="7" s="1"/>
  <c r="BQ353" i="7"/>
  <c r="BS353" i="7"/>
  <c r="BY353" i="7" s="1"/>
  <c r="BU353" i="7"/>
  <c r="BX353" i="7"/>
  <c r="AS353" i="7" s="1"/>
  <c r="BZ353" i="7"/>
  <c r="I354" i="7"/>
  <c r="AK354" i="7"/>
  <c r="AM354" i="7"/>
  <c r="BO354" i="7"/>
  <c r="BW354" i="7" s="1"/>
  <c r="BQ354" i="7"/>
  <c r="BX354" i="7" s="1"/>
  <c r="BS354" i="7"/>
  <c r="BY354" i="7" s="1"/>
  <c r="BU354" i="7"/>
  <c r="BZ354" i="7" s="1"/>
  <c r="G355" i="7"/>
  <c r="L355" i="7"/>
  <c r="N355" i="7"/>
  <c r="P355" i="7"/>
  <c r="R355" i="7"/>
  <c r="T355" i="7"/>
  <c r="V355" i="7"/>
  <c r="X355" i="7"/>
  <c r="Z355" i="7"/>
  <c r="AB355" i="7"/>
  <c r="AD355" i="7"/>
  <c r="AF355" i="7"/>
  <c r="AH355" i="7"/>
  <c r="AJ355" i="7"/>
  <c r="I356" i="7"/>
  <c r="BO356" i="7"/>
  <c r="BQ356" i="7"/>
  <c r="BS356" i="7"/>
  <c r="BU356" i="7"/>
  <c r="I357" i="7"/>
  <c r="BO357" i="7"/>
  <c r="BQ357" i="7"/>
  <c r="BS357" i="7"/>
  <c r="BU357" i="7"/>
  <c r="BZ357" i="7" s="1"/>
  <c r="I358" i="7"/>
  <c r="BO358" i="7"/>
  <c r="BW358" i="7" s="1"/>
  <c r="BQ358" i="7"/>
  <c r="BX358" i="7" s="1"/>
  <c r="BS358" i="7"/>
  <c r="BY358" i="7" s="1"/>
  <c r="BU358" i="7"/>
  <c r="BZ358" i="7" s="1"/>
  <c r="G359" i="7"/>
  <c r="L359" i="7"/>
  <c r="N359" i="7"/>
  <c r="P359" i="7"/>
  <c r="R359" i="7"/>
  <c r="T359" i="7"/>
  <c r="V359" i="7"/>
  <c r="X359" i="7"/>
  <c r="Z359" i="7"/>
  <c r="AB359" i="7"/>
  <c r="AD359" i="7"/>
  <c r="AF359" i="7"/>
  <c r="AH359" i="7"/>
  <c r="AJ359" i="7"/>
  <c r="I360" i="7"/>
  <c r="AK360" i="7"/>
  <c r="AM360" i="7"/>
  <c r="BO360" i="7"/>
  <c r="BQ360" i="7"/>
  <c r="BS360" i="7"/>
  <c r="BU360" i="7"/>
  <c r="BW360" i="7"/>
  <c r="BZ360" i="7"/>
  <c r="I361" i="7"/>
  <c r="AK361" i="7"/>
  <c r="AM361" i="7"/>
  <c r="BO361" i="7"/>
  <c r="BW361" i="7" s="1"/>
  <c r="BQ361" i="7"/>
  <c r="BX361" i="7" s="1"/>
  <c r="BS361" i="7"/>
  <c r="BY361" i="7" s="1"/>
  <c r="BU361" i="7"/>
  <c r="BZ361" i="7" s="1"/>
  <c r="I362" i="7"/>
  <c r="AK362" i="7"/>
  <c r="AM362" i="7"/>
  <c r="BO362" i="7"/>
  <c r="BW362" i="7" s="1"/>
  <c r="BQ362" i="7"/>
  <c r="BX362" i="7" s="1"/>
  <c r="BS362" i="7"/>
  <c r="BU362" i="7"/>
  <c r="BZ362" i="7" s="1"/>
  <c r="G363" i="7"/>
  <c r="L363" i="7"/>
  <c r="N363" i="7"/>
  <c r="P363" i="7"/>
  <c r="R363" i="7"/>
  <c r="T363" i="7"/>
  <c r="V363" i="7"/>
  <c r="X363" i="7"/>
  <c r="Z363" i="7"/>
  <c r="AB363" i="7"/>
  <c r="AD363" i="7"/>
  <c r="AF363" i="7"/>
  <c r="AH363" i="7"/>
  <c r="AJ363" i="7"/>
  <c r="I364" i="7"/>
  <c r="BO364" i="7"/>
  <c r="BQ364" i="7"/>
  <c r="BS364" i="7"/>
  <c r="BU364" i="7"/>
  <c r="BZ364" i="7" s="1"/>
  <c r="I365" i="7"/>
  <c r="BO365" i="7"/>
  <c r="BW365" i="7" s="1"/>
  <c r="BQ365" i="7"/>
  <c r="BS365" i="7"/>
  <c r="BU365" i="7"/>
  <c r="BX365" i="7"/>
  <c r="I366" i="7"/>
  <c r="BO366" i="7"/>
  <c r="BW366" i="7" s="1"/>
  <c r="BQ366" i="7"/>
  <c r="BX366" i="7" s="1"/>
  <c r="BS366" i="7"/>
  <c r="BU366" i="7"/>
  <c r="BZ366" i="7" s="1"/>
  <c r="BY366" i="7"/>
  <c r="G367" i="7"/>
  <c r="N367" i="7"/>
  <c r="P367" i="7"/>
  <c r="R367" i="7"/>
  <c r="T367" i="7"/>
  <c r="V367" i="7"/>
  <c r="X367" i="7"/>
  <c r="Z367" i="7"/>
  <c r="AB367" i="7"/>
  <c r="AD367" i="7"/>
  <c r="AF367" i="7"/>
  <c r="AH367" i="7"/>
  <c r="AJ367" i="7"/>
  <c r="I368" i="7"/>
  <c r="AK368" i="7"/>
  <c r="AM368" i="7"/>
  <c r="BO368" i="7"/>
  <c r="BW368" i="7" s="1"/>
  <c r="BQ368" i="7"/>
  <c r="BS368" i="7"/>
  <c r="BU368" i="7"/>
  <c r="BV371" i="7" s="1"/>
  <c r="I369" i="7"/>
  <c r="AK369" i="7"/>
  <c r="AM369" i="7"/>
  <c r="BO369" i="7"/>
  <c r="BQ369" i="7"/>
  <c r="BX369" i="7" s="1"/>
  <c r="AU369" i="7" s="1"/>
  <c r="BS369" i="7"/>
  <c r="BY369" i="7" s="1"/>
  <c r="BU369" i="7"/>
  <c r="BZ369" i="7"/>
  <c r="I370" i="7"/>
  <c r="AK370" i="7"/>
  <c r="AM370" i="7"/>
  <c r="BO370" i="7"/>
  <c r="BW370" i="7" s="1"/>
  <c r="BQ370" i="7"/>
  <c r="BX370" i="7" s="1"/>
  <c r="BS370" i="7"/>
  <c r="BU370" i="7"/>
  <c r="BZ370" i="7"/>
  <c r="G371" i="7"/>
  <c r="L371" i="7"/>
  <c r="N371" i="7"/>
  <c r="P371" i="7"/>
  <c r="R371" i="7"/>
  <c r="T371" i="7"/>
  <c r="V371" i="7"/>
  <c r="X371" i="7"/>
  <c r="Z371" i="7"/>
  <c r="AB371" i="7"/>
  <c r="AD371" i="7"/>
  <c r="AF371" i="7"/>
  <c r="AH371" i="7"/>
  <c r="AJ371" i="7"/>
  <c r="I372" i="7"/>
  <c r="BO372" i="7"/>
  <c r="BQ372" i="7"/>
  <c r="BS372" i="7"/>
  <c r="BU372" i="7"/>
  <c r="BY372" i="7"/>
  <c r="I373" i="7"/>
  <c r="BO373" i="7"/>
  <c r="BW373" i="7" s="1"/>
  <c r="BQ373" i="7"/>
  <c r="BX373" i="7" s="1"/>
  <c r="BS373" i="7"/>
  <c r="BY373" i="7" s="1"/>
  <c r="BU373" i="7"/>
  <c r="BZ373" i="7" s="1"/>
  <c r="I374" i="7"/>
  <c r="BO374" i="7"/>
  <c r="BQ374" i="7"/>
  <c r="BX374" i="7" s="1"/>
  <c r="BS374" i="7"/>
  <c r="BY374" i="7" s="1"/>
  <c r="BU374" i="7"/>
  <c r="BZ374" i="7" s="1"/>
  <c r="G375" i="7"/>
  <c r="L375" i="7"/>
  <c r="N375" i="7"/>
  <c r="P375" i="7"/>
  <c r="R375" i="7"/>
  <c r="T375" i="7"/>
  <c r="V375" i="7"/>
  <c r="X375" i="7"/>
  <c r="Z375" i="7"/>
  <c r="AB375" i="7"/>
  <c r="AD375" i="7"/>
  <c r="AF375" i="7"/>
  <c r="AH375" i="7"/>
  <c r="AJ375" i="7"/>
  <c r="I376" i="7"/>
  <c r="AK376" i="7"/>
  <c r="AM376" i="7"/>
  <c r="BO376" i="7"/>
  <c r="BQ376" i="7"/>
  <c r="BS376" i="7"/>
  <c r="BU376" i="7"/>
  <c r="I377" i="7"/>
  <c r="AK377" i="7"/>
  <c r="AM377" i="7"/>
  <c r="BO377" i="7"/>
  <c r="BW377" i="7" s="1"/>
  <c r="BQ377" i="7"/>
  <c r="BX377" i="7" s="1"/>
  <c r="BS377" i="7"/>
  <c r="BU377" i="7"/>
  <c r="BZ377" i="7" s="1"/>
  <c r="BY377" i="7"/>
  <c r="I378" i="7"/>
  <c r="AK378" i="7"/>
  <c r="AM378" i="7"/>
  <c r="BO378" i="7"/>
  <c r="BQ378" i="7"/>
  <c r="BX378" i="7" s="1"/>
  <c r="BS378" i="7"/>
  <c r="BY378" i="7" s="1"/>
  <c r="BU378" i="7"/>
  <c r="BZ378" i="7" s="1"/>
  <c r="BW378" i="7"/>
  <c r="G379" i="7"/>
  <c r="L379" i="7"/>
  <c r="N379" i="7"/>
  <c r="P379" i="7"/>
  <c r="R379" i="7"/>
  <c r="T379" i="7"/>
  <c r="V379" i="7"/>
  <c r="X379" i="7"/>
  <c r="Z379" i="7"/>
  <c r="AB379" i="7"/>
  <c r="AD379" i="7"/>
  <c r="AF379" i="7"/>
  <c r="AH379" i="7"/>
  <c r="AJ379" i="7"/>
  <c r="I380" i="7"/>
  <c r="BO380" i="7"/>
  <c r="BQ380" i="7"/>
  <c r="BX380" i="7" s="1"/>
  <c r="BS380" i="7"/>
  <c r="BY380" i="7" s="1"/>
  <c r="BU380" i="7"/>
  <c r="I381" i="7"/>
  <c r="BO381" i="7"/>
  <c r="BW381" i="7" s="1"/>
  <c r="BQ381" i="7"/>
  <c r="BS381" i="7"/>
  <c r="BY381" i="7" s="1"/>
  <c r="BU381" i="7"/>
  <c r="BZ381" i="7" s="1"/>
  <c r="I382" i="7"/>
  <c r="BO382" i="7"/>
  <c r="BQ382" i="7"/>
  <c r="BX382" i="7" s="1"/>
  <c r="BS382" i="7"/>
  <c r="BY382" i="7" s="1"/>
  <c r="BU382" i="7"/>
  <c r="BZ382" i="7" s="1"/>
  <c r="G383" i="7"/>
  <c r="L383" i="7"/>
  <c r="N383" i="7"/>
  <c r="P383" i="7"/>
  <c r="R383" i="7"/>
  <c r="T383" i="7"/>
  <c r="V383" i="7"/>
  <c r="X383" i="7"/>
  <c r="Z383" i="7"/>
  <c r="AB383" i="7"/>
  <c r="AD383" i="7"/>
  <c r="AF383" i="7"/>
  <c r="AH383" i="7"/>
  <c r="AJ383" i="7"/>
  <c r="I384" i="7"/>
  <c r="AK384" i="7"/>
  <c r="AM384" i="7"/>
  <c r="BO384" i="7"/>
  <c r="BQ384" i="7"/>
  <c r="BS384" i="7"/>
  <c r="BU384" i="7"/>
  <c r="BZ384" i="7"/>
  <c r="I385" i="7"/>
  <c r="AK385" i="7"/>
  <c r="AM385" i="7"/>
  <c r="BO385" i="7"/>
  <c r="BW385" i="7" s="1"/>
  <c r="BQ385" i="7"/>
  <c r="BX385" i="7" s="1"/>
  <c r="AU385" i="7" s="1"/>
  <c r="BS385" i="7"/>
  <c r="BY385" i="7" s="1"/>
  <c r="BU385" i="7"/>
  <c r="BZ385" i="7" s="1"/>
  <c r="I386" i="7"/>
  <c r="AK386" i="7"/>
  <c r="AM386" i="7"/>
  <c r="BO386" i="7"/>
  <c r="BQ386" i="7"/>
  <c r="BS386" i="7"/>
  <c r="BY386" i="7" s="1"/>
  <c r="BU386" i="7"/>
  <c r="BZ386" i="7" s="1"/>
  <c r="BW386" i="7"/>
  <c r="G387" i="7"/>
  <c r="L387" i="7"/>
  <c r="N387" i="7"/>
  <c r="P387" i="7"/>
  <c r="R387" i="7"/>
  <c r="T387" i="7"/>
  <c r="V387" i="7"/>
  <c r="X387" i="7"/>
  <c r="Z387" i="7"/>
  <c r="AB387" i="7"/>
  <c r="AD387" i="7"/>
  <c r="AF387" i="7"/>
  <c r="AH387" i="7"/>
  <c r="AJ387" i="7"/>
  <c r="I388" i="7"/>
  <c r="BO388" i="7"/>
  <c r="BQ388" i="7"/>
  <c r="BS388" i="7"/>
  <c r="BU388" i="7"/>
  <c r="I389" i="7"/>
  <c r="BO389" i="7"/>
  <c r="BW389" i="7" s="1"/>
  <c r="BQ389" i="7"/>
  <c r="BX389" i="7" s="1"/>
  <c r="BS389" i="7"/>
  <c r="BY389" i="7" s="1"/>
  <c r="BU389" i="7"/>
  <c r="BZ389" i="7" s="1"/>
  <c r="I390" i="7"/>
  <c r="BO390" i="7"/>
  <c r="BW390" i="7" s="1"/>
  <c r="BQ390" i="7"/>
  <c r="BX390" i="7" s="1"/>
  <c r="BS390" i="7"/>
  <c r="BY390" i="7" s="1"/>
  <c r="BU390" i="7"/>
  <c r="BZ390" i="7" s="1"/>
  <c r="G391" i="7"/>
  <c r="L391" i="7"/>
  <c r="N391" i="7"/>
  <c r="P391" i="7"/>
  <c r="R391" i="7"/>
  <c r="T391" i="7"/>
  <c r="V391" i="7"/>
  <c r="X391" i="7"/>
  <c r="Z391" i="7"/>
  <c r="AB391" i="7"/>
  <c r="AD391" i="7"/>
  <c r="AF391" i="7"/>
  <c r="AH391" i="7"/>
  <c r="AJ391" i="7"/>
  <c r="I392" i="7"/>
  <c r="AK392" i="7"/>
  <c r="AM392" i="7"/>
  <c r="BO392" i="7"/>
  <c r="BQ392" i="7"/>
  <c r="BS392" i="7"/>
  <c r="BU392" i="7"/>
  <c r="BZ392" i="7"/>
  <c r="I393" i="7"/>
  <c r="AK393" i="7"/>
  <c r="AM393" i="7"/>
  <c r="BO393" i="7"/>
  <c r="BQ393" i="7"/>
  <c r="BX393" i="7" s="1"/>
  <c r="BS393" i="7"/>
  <c r="BY393" i="7" s="1"/>
  <c r="BU393" i="7"/>
  <c r="BZ393" i="7" s="1"/>
  <c r="I394" i="7"/>
  <c r="AK394" i="7"/>
  <c r="AM394" i="7"/>
  <c r="BO394" i="7"/>
  <c r="BW394" i="7" s="1"/>
  <c r="BQ394" i="7"/>
  <c r="BX394" i="7" s="1"/>
  <c r="BS394" i="7"/>
  <c r="BU394" i="7"/>
  <c r="BZ394" i="7" s="1"/>
  <c r="BY394" i="7"/>
  <c r="G395" i="7"/>
  <c r="L395" i="7"/>
  <c r="N395" i="7"/>
  <c r="P395" i="7"/>
  <c r="R395" i="7"/>
  <c r="T395" i="7"/>
  <c r="V395" i="7"/>
  <c r="X395" i="7"/>
  <c r="Z395" i="7"/>
  <c r="AB395" i="7"/>
  <c r="AD395" i="7"/>
  <c r="AF395" i="7"/>
  <c r="AH395" i="7"/>
  <c r="AJ395" i="7"/>
  <c r="I396" i="7"/>
  <c r="BO396" i="7"/>
  <c r="BQ396" i="7"/>
  <c r="BS396" i="7"/>
  <c r="BU396" i="7"/>
  <c r="I397" i="7"/>
  <c r="BO397" i="7"/>
  <c r="BW397" i="7" s="1"/>
  <c r="BQ397" i="7"/>
  <c r="BX397" i="7" s="1"/>
  <c r="BS397" i="7"/>
  <c r="BY397" i="7" s="1"/>
  <c r="BU397" i="7"/>
  <c r="BZ397" i="7"/>
  <c r="I398" i="7"/>
  <c r="BO398" i="7"/>
  <c r="BW398" i="7" s="1"/>
  <c r="BQ398" i="7"/>
  <c r="BX398" i="7" s="1"/>
  <c r="BS398" i="7"/>
  <c r="BY398" i="7" s="1"/>
  <c r="BU398" i="7"/>
  <c r="BZ398" i="7" s="1"/>
  <c r="G399" i="7"/>
  <c r="L399" i="7"/>
  <c r="N399" i="7"/>
  <c r="P399" i="7"/>
  <c r="R399" i="7"/>
  <c r="T399" i="7"/>
  <c r="V399" i="7"/>
  <c r="X399" i="7"/>
  <c r="Z399" i="7"/>
  <c r="AB399" i="7"/>
  <c r="AD399" i="7"/>
  <c r="AF399" i="7"/>
  <c r="AH399" i="7"/>
  <c r="AJ399" i="7"/>
  <c r="I400" i="7"/>
  <c r="AK400" i="7"/>
  <c r="AM400" i="7"/>
  <c r="BO400" i="7"/>
  <c r="BQ400" i="7"/>
  <c r="BS400" i="7"/>
  <c r="BU400" i="7"/>
  <c r="BZ400" i="7"/>
  <c r="I401" i="7"/>
  <c r="AK401" i="7"/>
  <c r="AM401" i="7"/>
  <c r="BO401" i="7"/>
  <c r="BQ401" i="7"/>
  <c r="BX401" i="7" s="1"/>
  <c r="BS401" i="7"/>
  <c r="BY401" i="7" s="1"/>
  <c r="BU401" i="7"/>
  <c r="BZ401" i="7" s="1"/>
  <c r="BW401" i="7"/>
  <c r="I402" i="7"/>
  <c r="AK402" i="7"/>
  <c r="AM402" i="7"/>
  <c r="BO402" i="7"/>
  <c r="BW402" i="7" s="1"/>
  <c r="BQ402" i="7"/>
  <c r="BX402" i="7" s="1"/>
  <c r="BS402" i="7"/>
  <c r="BY402" i="7" s="1"/>
  <c r="BU402" i="7"/>
  <c r="BZ402" i="7" s="1"/>
  <c r="G403" i="7"/>
  <c r="L403" i="7"/>
  <c r="N403" i="7"/>
  <c r="P403" i="7"/>
  <c r="R403" i="7"/>
  <c r="T403" i="7"/>
  <c r="V403" i="7"/>
  <c r="X403" i="7"/>
  <c r="Z403" i="7"/>
  <c r="AB403" i="7"/>
  <c r="AD403" i="7"/>
  <c r="AF403" i="7"/>
  <c r="AH403" i="7"/>
  <c r="AJ403" i="7"/>
  <c r="I404" i="7"/>
  <c r="BO404" i="7"/>
  <c r="BQ404" i="7"/>
  <c r="BS404" i="7"/>
  <c r="BU404" i="7"/>
  <c r="I405" i="7"/>
  <c r="BO405" i="7"/>
  <c r="BW405" i="7" s="1"/>
  <c r="BQ405" i="7"/>
  <c r="BX405" i="7" s="1"/>
  <c r="BS405" i="7"/>
  <c r="BY405" i="7" s="1"/>
  <c r="BU405" i="7"/>
  <c r="BZ405" i="7" s="1"/>
  <c r="I406" i="7"/>
  <c r="BO406" i="7"/>
  <c r="BW406" i="7" s="1"/>
  <c r="BQ406" i="7"/>
  <c r="BS406" i="7"/>
  <c r="BY406" i="7" s="1"/>
  <c r="BU406" i="7"/>
  <c r="G407" i="7"/>
  <c r="L407" i="7"/>
  <c r="N407" i="7"/>
  <c r="P407" i="7"/>
  <c r="R407" i="7"/>
  <c r="T407" i="7"/>
  <c r="V407" i="7"/>
  <c r="X407" i="7"/>
  <c r="Z407" i="7"/>
  <c r="AB407" i="7"/>
  <c r="AD407" i="7"/>
  <c r="AF407" i="7"/>
  <c r="AH407" i="7"/>
  <c r="AJ407" i="7"/>
  <c r="I408" i="7"/>
  <c r="AK408" i="7"/>
  <c r="AM408" i="7"/>
  <c r="BO408" i="7"/>
  <c r="BQ408" i="7"/>
  <c r="BS408" i="7"/>
  <c r="BU408" i="7"/>
  <c r="BZ408" i="7"/>
  <c r="I409" i="7"/>
  <c r="AK409" i="7"/>
  <c r="AM409" i="7"/>
  <c r="BO409" i="7"/>
  <c r="BW409" i="7" s="1"/>
  <c r="BQ409" i="7"/>
  <c r="BS409" i="7"/>
  <c r="BY409" i="7" s="1"/>
  <c r="BU409" i="7"/>
  <c r="BZ409" i="7" s="1"/>
  <c r="BX409" i="7"/>
  <c r="I410" i="7"/>
  <c r="AK410" i="7"/>
  <c r="AM410" i="7"/>
  <c r="BO410" i="7"/>
  <c r="BW410" i="7" s="1"/>
  <c r="BQ410" i="7"/>
  <c r="BX410" i="7" s="1"/>
  <c r="BS410" i="7"/>
  <c r="BY410" i="7" s="1"/>
  <c r="BU410" i="7"/>
  <c r="BZ410" i="7" s="1"/>
  <c r="G411" i="7"/>
  <c r="L411" i="7"/>
  <c r="N411" i="7"/>
  <c r="P411" i="7"/>
  <c r="R411" i="7"/>
  <c r="T411" i="7"/>
  <c r="V411" i="7"/>
  <c r="X411" i="7"/>
  <c r="Z411" i="7"/>
  <c r="AB411" i="7"/>
  <c r="AD411" i="7"/>
  <c r="AF411" i="7"/>
  <c r="AH411" i="7"/>
  <c r="AJ411" i="7"/>
  <c r="I412" i="7"/>
  <c r="BO412" i="7"/>
  <c r="BQ412" i="7"/>
  <c r="BS412" i="7"/>
  <c r="BU412" i="7"/>
  <c r="BZ415" i="7" s="1"/>
  <c r="BZ412" i="7"/>
  <c r="I413" i="7"/>
  <c r="BO413" i="7"/>
  <c r="BW413" i="7" s="1"/>
  <c r="BQ413" i="7"/>
  <c r="BX413" i="7" s="1"/>
  <c r="BS413" i="7"/>
  <c r="BY413" i="7" s="1"/>
  <c r="BU413" i="7"/>
  <c r="BZ413" i="7" s="1"/>
  <c r="I414" i="7"/>
  <c r="BO414" i="7"/>
  <c r="BW414" i="7" s="1"/>
  <c r="BQ414" i="7"/>
  <c r="BX414" i="7" s="1"/>
  <c r="BS414" i="7"/>
  <c r="BY414" i="7" s="1"/>
  <c r="BU414" i="7"/>
  <c r="BZ414" i="7"/>
  <c r="G415" i="7"/>
  <c r="L415" i="7"/>
  <c r="N415" i="7"/>
  <c r="P415" i="7"/>
  <c r="R415" i="7"/>
  <c r="T415" i="7"/>
  <c r="V415" i="7"/>
  <c r="X415" i="7"/>
  <c r="Z415" i="7"/>
  <c r="AB415" i="7"/>
  <c r="AD415" i="7"/>
  <c r="AF415" i="7"/>
  <c r="AH415" i="7"/>
  <c r="AJ415" i="7"/>
  <c r="I416" i="7"/>
  <c r="AK416" i="7"/>
  <c r="AM416" i="7"/>
  <c r="BO416" i="7"/>
  <c r="BQ416" i="7"/>
  <c r="BS416" i="7"/>
  <c r="BU416" i="7"/>
  <c r="I417" i="7"/>
  <c r="AK417" i="7"/>
  <c r="AM417" i="7"/>
  <c r="BO417" i="7"/>
  <c r="BW417" i="7" s="1"/>
  <c r="BQ417" i="7"/>
  <c r="BX417" i="7" s="1"/>
  <c r="AS417" i="7" s="1"/>
  <c r="BS417" i="7"/>
  <c r="BY417" i="7" s="1"/>
  <c r="BU417" i="7"/>
  <c r="BZ417" i="7" s="1"/>
  <c r="I418" i="7"/>
  <c r="AK418" i="7"/>
  <c r="AM418" i="7"/>
  <c r="BO418" i="7"/>
  <c r="BW418" i="7" s="1"/>
  <c r="BQ418" i="7"/>
  <c r="BX418" i="7" s="1"/>
  <c r="BS418" i="7"/>
  <c r="BY418" i="7" s="1"/>
  <c r="BU418" i="7"/>
  <c r="BZ418" i="7" s="1"/>
  <c r="G419" i="7"/>
  <c r="L419" i="7"/>
  <c r="N419" i="7"/>
  <c r="P419" i="7"/>
  <c r="R419" i="7"/>
  <c r="T419" i="7"/>
  <c r="V419" i="7"/>
  <c r="X419" i="7"/>
  <c r="Z419" i="7"/>
  <c r="AB419" i="7"/>
  <c r="AD419" i="7"/>
  <c r="AF419" i="7"/>
  <c r="AH419" i="7"/>
  <c r="AJ419" i="7"/>
  <c r="I420" i="7"/>
  <c r="BO420" i="7"/>
  <c r="BQ420" i="7"/>
  <c r="BS420" i="7"/>
  <c r="BU420" i="7"/>
  <c r="I421" i="7"/>
  <c r="BO421" i="7"/>
  <c r="BW421" i="7" s="1"/>
  <c r="BQ421" i="7"/>
  <c r="BS421" i="7"/>
  <c r="BY421" i="7" s="1"/>
  <c r="BU421" i="7"/>
  <c r="BZ421" i="7" s="1"/>
  <c r="BX421" i="7"/>
  <c r="I422" i="7"/>
  <c r="BO422" i="7"/>
  <c r="BW422" i="7" s="1"/>
  <c r="BQ422" i="7"/>
  <c r="BX422" i="7" s="1"/>
  <c r="BS422" i="7"/>
  <c r="BY422" i="7" s="1"/>
  <c r="BU422" i="7"/>
  <c r="BZ422" i="7" s="1"/>
  <c r="G423" i="7"/>
  <c r="L423" i="7"/>
  <c r="N423" i="7"/>
  <c r="P423" i="7"/>
  <c r="R423" i="7"/>
  <c r="T423" i="7"/>
  <c r="V423" i="7"/>
  <c r="X423" i="7"/>
  <c r="Z423" i="7"/>
  <c r="AB423" i="7"/>
  <c r="AD423" i="7"/>
  <c r="AF423" i="7"/>
  <c r="AH423" i="7"/>
  <c r="AJ423" i="7"/>
  <c r="I424" i="7"/>
  <c r="AK424" i="7"/>
  <c r="AM424" i="7"/>
  <c r="BO424" i="7"/>
  <c r="BQ424" i="7"/>
  <c r="BS424" i="7"/>
  <c r="BU424" i="7"/>
  <c r="I425" i="7"/>
  <c r="AK425" i="7"/>
  <c r="AM425" i="7"/>
  <c r="BO425" i="7"/>
  <c r="BW425" i="7" s="1"/>
  <c r="BQ425" i="7"/>
  <c r="BS425" i="7"/>
  <c r="BY425" i="7" s="1"/>
  <c r="BU425" i="7"/>
  <c r="BX425" i="7"/>
  <c r="BZ425" i="7"/>
  <c r="I426" i="7"/>
  <c r="AK426" i="7"/>
  <c r="AM426" i="7"/>
  <c r="BO426" i="7"/>
  <c r="BW426" i="7" s="1"/>
  <c r="BQ426" i="7"/>
  <c r="BX426" i="7" s="1"/>
  <c r="BS426" i="7"/>
  <c r="BY426" i="7" s="1"/>
  <c r="BU426" i="7"/>
  <c r="BZ426" i="7" s="1"/>
  <c r="G427" i="7"/>
  <c r="L427" i="7"/>
  <c r="N427" i="7"/>
  <c r="P427" i="7"/>
  <c r="R427" i="7"/>
  <c r="T427" i="7"/>
  <c r="V427" i="7"/>
  <c r="X427" i="7"/>
  <c r="Z427" i="7"/>
  <c r="AB427" i="7"/>
  <c r="AD427" i="7"/>
  <c r="AF427" i="7"/>
  <c r="AH427" i="7"/>
  <c r="AJ427" i="7"/>
  <c r="I428" i="7"/>
  <c r="BO428" i="7"/>
  <c r="BQ428" i="7"/>
  <c r="BS428" i="7"/>
  <c r="BU428" i="7"/>
  <c r="BZ428" i="7"/>
  <c r="I429" i="7"/>
  <c r="K429" i="7" s="1"/>
  <c r="BO429" i="7"/>
  <c r="BW429" i="7" s="1"/>
  <c r="BQ429" i="7"/>
  <c r="BX429" i="7" s="1"/>
  <c r="BS429" i="7"/>
  <c r="BY429" i="7" s="1"/>
  <c r="BU429" i="7"/>
  <c r="BZ429" i="7" s="1"/>
  <c r="I430" i="7"/>
  <c r="BO430" i="7"/>
  <c r="BW430" i="7" s="1"/>
  <c r="BQ430" i="7"/>
  <c r="BS430" i="7"/>
  <c r="BY430" i="7" s="1"/>
  <c r="BU430" i="7"/>
  <c r="BZ430" i="7" s="1"/>
  <c r="BX430" i="7"/>
  <c r="E431" i="7"/>
  <c r="G431" i="7"/>
  <c r="N431" i="7"/>
  <c r="P431" i="7"/>
  <c r="R431" i="7"/>
  <c r="T431" i="7"/>
  <c r="V431" i="7"/>
  <c r="X431" i="7"/>
  <c r="Z431" i="7"/>
  <c r="AB431" i="7"/>
  <c r="AD431" i="7"/>
  <c r="AF431" i="7"/>
  <c r="AH431" i="7"/>
  <c r="AJ431" i="7"/>
  <c r="I432" i="7"/>
  <c r="AK432" i="7"/>
  <c r="AM432" i="7"/>
  <c r="BO432" i="7"/>
  <c r="BQ432" i="7"/>
  <c r="BS432" i="7"/>
  <c r="BU432" i="7"/>
  <c r="BZ432" i="7" s="1"/>
  <c r="BW432" i="7"/>
  <c r="BX432" i="7"/>
  <c r="I433" i="7"/>
  <c r="AK433" i="7"/>
  <c r="AM433" i="7"/>
  <c r="BO433" i="7"/>
  <c r="BQ433" i="7"/>
  <c r="BX433" i="7" s="1"/>
  <c r="AS433" i="7" s="1"/>
  <c r="BS433" i="7"/>
  <c r="BU433" i="7"/>
  <c r="I434" i="7"/>
  <c r="AK434" i="7"/>
  <c r="AM434" i="7"/>
  <c r="BO434" i="7"/>
  <c r="BW434" i="7" s="1"/>
  <c r="BQ434" i="7"/>
  <c r="BX434" i="7" s="1"/>
  <c r="BS434" i="7"/>
  <c r="BY434" i="7" s="1"/>
  <c r="BU434" i="7"/>
  <c r="BZ434" i="7"/>
  <c r="G435" i="7"/>
  <c r="N435" i="7"/>
  <c r="P435" i="7"/>
  <c r="R435" i="7"/>
  <c r="T435" i="7"/>
  <c r="V435" i="7"/>
  <c r="X435" i="7"/>
  <c r="Z435" i="7"/>
  <c r="AB435" i="7"/>
  <c r="AD435" i="7"/>
  <c r="AF435" i="7"/>
  <c r="AH435" i="7"/>
  <c r="AJ435" i="7"/>
  <c r="BO436" i="7"/>
  <c r="BW436" i="7" s="1"/>
  <c r="BQ436" i="7"/>
  <c r="BS436" i="7"/>
  <c r="BU436" i="7"/>
  <c r="BO437" i="7"/>
  <c r="BW437" i="7" s="1"/>
  <c r="BQ437" i="7"/>
  <c r="BX437" i="7" s="1"/>
  <c r="BS437" i="7"/>
  <c r="BY437" i="7" s="1"/>
  <c r="BU437" i="7"/>
  <c r="BZ437" i="7" s="1"/>
  <c r="BO438" i="7"/>
  <c r="BQ438" i="7"/>
  <c r="BX438" i="7" s="1"/>
  <c r="BS438" i="7"/>
  <c r="BY438" i="7" s="1"/>
  <c r="BU438" i="7"/>
  <c r="BZ438" i="7" s="1"/>
  <c r="BW438" i="7"/>
  <c r="G439" i="7"/>
  <c r="J439" i="7"/>
  <c r="L439" i="7"/>
  <c r="N439" i="7"/>
  <c r="P439" i="7"/>
  <c r="R439" i="7"/>
  <c r="T439" i="7"/>
  <c r="V439" i="7"/>
  <c r="X439" i="7"/>
  <c r="AJ439" i="7"/>
  <c r="I440" i="7"/>
  <c r="AK440" i="7"/>
  <c r="AM440" i="7"/>
  <c r="BO440" i="7"/>
  <c r="BQ440" i="7"/>
  <c r="BS440" i="7"/>
  <c r="BU440" i="7"/>
  <c r="BY440" i="7"/>
  <c r="I441" i="7"/>
  <c r="AK441" i="7"/>
  <c r="AM441" i="7"/>
  <c r="BO441" i="7"/>
  <c r="BW441" i="7" s="1"/>
  <c r="BQ441" i="7"/>
  <c r="BX441" i="7" s="1"/>
  <c r="AS441" i="7" s="1"/>
  <c r="BS441" i="7"/>
  <c r="BU441" i="7"/>
  <c r="BZ441" i="7"/>
  <c r="I442" i="7"/>
  <c r="AK442" i="7"/>
  <c r="AM442" i="7"/>
  <c r="BO442" i="7"/>
  <c r="BW442" i="7" s="1"/>
  <c r="BQ442" i="7"/>
  <c r="BX442" i="7" s="1"/>
  <c r="BS442" i="7"/>
  <c r="BY442" i="7" s="1"/>
  <c r="BU442" i="7"/>
  <c r="BZ442" i="7"/>
  <c r="E443" i="7"/>
  <c r="G443" i="7"/>
  <c r="L443" i="7"/>
  <c r="N443" i="7"/>
  <c r="P443" i="7"/>
  <c r="R443" i="7"/>
  <c r="T443" i="7"/>
  <c r="V443" i="7"/>
  <c r="X443" i="7"/>
  <c r="Z443" i="7"/>
  <c r="AB443" i="7"/>
  <c r="AD443" i="7"/>
  <c r="AF443" i="7"/>
  <c r="AH443" i="7"/>
  <c r="AJ443" i="7"/>
  <c r="BO444" i="7"/>
  <c r="BQ444" i="7"/>
  <c r="BS444" i="7"/>
  <c r="BU444" i="7"/>
  <c r="BZ444" i="7"/>
  <c r="BO445" i="7"/>
  <c r="BW445" i="7" s="1"/>
  <c r="BQ445" i="7"/>
  <c r="BX445" i="7" s="1"/>
  <c r="BS445" i="7"/>
  <c r="BY445" i="7" s="1"/>
  <c r="BU445" i="7"/>
  <c r="BZ445" i="7" s="1"/>
  <c r="BO446" i="7"/>
  <c r="BQ446" i="7"/>
  <c r="BX446" i="7" s="1"/>
  <c r="BS446" i="7"/>
  <c r="BU446" i="7"/>
  <c r="BZ446" i="7" s="1"/>
  <c r="BW446" i="7"/>
  <c r="BY446" i="7"/>
  <c r="G447" i="7"/>
  <c r="J447" i="7"/>
  <c r="L447" i="7"/>
  <c r="N447" i="7"/>
  <c r="P447" i="7"/>
  <c r="R447" i="7"/>
  <c r="T447" i="7"/>
  <c r="V447" i="7"/>
  <c r="X447" i="7"/>
  <c r="AJ447" i="7"/>
  <c r="T20" i="6"/>
  <c r="S20" i="6"/>
  <c r="T19" i="6"/>
  <c r="S19" i="6"/>
  <c r="T17" i="6"/>
  <c r="S17" i="6"/>
  <c r="T16" i="6"/>
  <c r="S16" i="6"/>
  <c r="T11" i="6"/>
  <c r="S11" i="6"/>
  <c r="T10" i="6"/>
  <c r="S10" i="6"/>
  <c r="T9" i="6"/>
  <c r="S9" i="6"/>
  <c r="T8" i="6"/>
  <c r="S8" i="6"/>
  <c r="T7" i="6"/>
  <c r="S7" i="6"/>
  <c r="T6" i="6"/>
  <c r="Q6" i="6"/>
  <c r="S6" i="6" s="1"/>
  <c r="BR314" i="7" l="1"/>
  <c r="BY120" i="7"/>
  <c r="BX379" i="7"/>
  <c r="K222" i="7"/>
  <c r="BY128" i="7"/>
  <c r="AO409" i="7"/>
  <c r="AO353" i="7"/>
  <c r="AO221" i="7"/>
  <c r="K134" i="7"/>
  <c r="AO441" i="7"/>
  <c r="BZ136" i="7"/>
  <c r="BR64" i="7"/>
  <c r="AS111" i="7"/>
  <c r="BZ339" i="7"/>
  <c r="AS95" i="7"/>
  <c r="AN254" i="7"/>
  <c r="AS237" i="7"/>
  <c r="BZ419" i="7"/>
  <c r="AS354" i="7"/>
  <c r="J403" i="7"/>
  <c r="BX20" i="7"/>
  <c r="BX435" i="7"/>
  <c r="J343" i="7"/>
  <c r="AO173" i="7"/>
  <c r="AK160" i="7"/>
  <c r="BP407" i="7"/>
  <c r="AU268" i="7"/>
  <c r="BY68" i="7"/>
  <c r="AQ385" i="7"/>
  <c r="AU103" i="7"/>
  <c r="BZ368" i="7"/>
  <c r="BZ271" i="7"/>
  <c r="BZ379" i="7"/>
  <c r="BZ363" i="7"/>
  <c r="BX270" i="7"/>
  <c r="BZ158" i="7"/>
  <c r="AQ260" i="7"/>
  <c r="BW235" i="7"/>
  <c r="BX231" i="7"/>
  <c r="K67" i="7"/>
  <c r="K43" i="7"/>
  <c r="AO426" i="7"/>
  <c r="BZ191" i="7"/>
  <c r="BZ194" i="7"/>
  <c r="K187" i="7"/>
  <c r="K190" i="7"/>
  <c r="AO133" i="7"/>
  <c r="BW61" i="7"/>
  <c r="BX49" i="7"/>
  <c r="BY33" i="7"/>
  <c r="BW384" i="7"/>
  <c r="BT150" i="7"/>
  <c r="BY150" i="7"/>
  <c r="BW49" i="7"/>
  <c r="BX36" i="7"/>
  <c r="BX33" i="7"/>
  <c r="BZ440" i="7"/>
  <c r="BZ443" i="7"/>
  <c r="BX428" i="7"/>
  <c r="AS428" i="7" s="1"/>
  <c r="BX431" i="7"/>
  <c r="BY339" i="7"/>
  <c r="BY267" i="7"/>
  <c r="BY270" i="7"/>
  <c r="BX150" i="7"/>
  <c r="BY133" i="7"/>
  <c r="BZ117" i="7"/>
  <c r="BZ120" i="7"/>
  <c r="BZ195" i="7"/>
  <c r="BZ198" i="7"/>
  <c r="BW147" i="7"/>
  <c r="BX133" i="7"/>
  <c r="AU133" i="7" s="1"/>
  <c r="BX136" i="7"/>
  <c r="BZ125" i="7"/>
  <c r="BZ128" i="7"/>
  <c r="BW400" i="7"/>
  <c r="BW372" i="7"/>
  <c r="BX356" i="7"/>
  <c r="AU356" i="7" s="1"/>
  <c r="BX359" i="7"/>
  <c r="BY247" i="7"/>
  <c r="BY250" i="7"/>
  <c r="BY195" i="7"/>
  <c r="BY151" i="7"/>
  <c r="BY154" i="7"/>
  <c r="K188" i="7"/>
  <c r="K205" i="7"/>
  <c r="K165" i="7"/>
  <c r="K237" i="7"/>
  <c r="K286" i="7"/>
  <c r="BR68" i="7"/>
  <c r="AQ26" i="7"/>
  <c r="BW356" i="7"/>
  <c r="AQ354" i="7"/>
  <c r="K272" i="7"/>
  <c r="AN270" i="7"/>
  <c r="K213" i="7"/>
  <c r="BX151" i="7"/>
  <c r="BX154" i="7"/>
  <c r="BW101" i="7"/>
  <c r="BW65" i="7"/>
  <c r="AO354" i="7"/>
  <c r="BX319" i="7"/>
  <c r="BX322" i="7"/>
  <c r="K219" i="7"/>
  <c r="K204" i="7"/>
  <c r="BV198" i="7"/>
  <c r="AN104" i="7"/>
  <c r="BZ77" i="7"/>
  <c r="BZ80" i="7"/>
  <c r="BP60" i="7"/>
  <c r="BY404" i="7"/>
  <c r="BY407" i="7"/>
  <c r="BR355" i="7"/>
  <c r="BT351" i="7"/>
  <c r="BW319" i="7"/>
  <c r="J270" i="7"/>
  <c r="K270" i="7"/>
  <c r="BY226" i="7"/>
  <c r="BY223" i="7"/>
  <c r="BX175" i="7"/>
  <c r="AQ173" i="7"/>
  <c r="J140" i="7"/>
  <c r="K109" i="7"/>
  <c r="BY80" i="7"/>
  <c r="BY432" i="7"/>
  <c r="BY435" i="7"/>
  <c r="BX404" i="7"/>
  <c r="BX407" i="7"/>
  <c r="AQ402" i="7"/>
  <c r="BX223" i="7"/>
  <c r="BW175" i="7"/>
  <c r="BX158" i="7"/>
  <c r="BX155" i="7"/>
  <c r="BR158" i="7"/>
  <c r="BP150" i="7"/>
  <c r="K117" i="7"/>
  <c r="BY85" i="7"/>
  <c r="BY88" i="7"/>
  <c r="BX80" i="7"/>
  <c r="BV72" i="7"/>
  <c r="BZ72" i="7"/>
  <c r="BW404" i="7"/>
  <c r="BY392" i="7"/>
  <c r="BZ331" i="7"/>
  <c r="BY271" i="7"/>
  <c r="BY274" i="7"/>
  <c r="BZ230" i="7"/>
  <c r="J178" i="7"/>
  <c r="K164" i="7"/>
  <c r="BV162" i="7"/>
  <c r="BX88" i="7"/>
  <c r="BX85" i="7"/>
  <c r="AS85" i="7" s="1"/>
  <c r="BZ436" i="7"/>
  <c r="BZ439" i="7"/>
  <c r="J419" i="7"/>
  <c r="BX395" i="7"/>
  <c r="BY328" i="7"/>
  <c r="BY331" i="7"/>
  <c r="BY227" i="7"/>
  <c r="BY230" i="7"/>
  <c r="BT230" i="7"/>
  <c r="J226" i="7"/>
  <c r="BY159" i="7"/>
  <c r="BY162" i="7"/>
  <c r="BT162" i="7"/>
  <c r="BW85" i="7"/>
  <c r="BY436" i="7"/>
  <c r="BY439" i="7"/>
  <c r="BW392" i="7"/>
  <c r="BY360" i="7"/>
  <c r="BY363" i="7"/>
  <c r="BZ290" i="7"/>
  <c r="K251" i="7"/>
  <c r="BX227" i="7"/>
  <c r="BZ186" i="7"/>
  <c r="BV182" i="7"/>
  <c r="BZ182" i="7"/>
  <c r="BX159" i="7"/>
  <c r="BX162" i="7"/>
  <c r="BW9" i="7"/>
  <c r="BY420" i="7"/>
  <c r="BZ380" i="7"/>
  <c r="BZ383" i="7"/>
  <c r="BW376" i="7"/>
  <c r="BT290" i="7"/>
  <c r="BY290" i="7"/>
  <c r="BZ278" i="7"/>
  <c r="BY259" i="7"/>
  <c r="BY262" i="7"/>
  <c r="K254" i="7"/>
  <c r="BP230" i="7"/>
  <c r="K197" i="7"/>
  <c r="BW159" i="7"/>
  <c r="K155" i="7"/>
  <c r="K158" i="7"/>
  <c r="AS71" i="7"/>
  <c r="AU71" i="7"/>
  <c r="BZ48" i="7"/>
  <c r="BW25" i="7"/>
  <c r="J12" i="7"/>
  <c r="K57" i="7"/>
  <c r="L60" i="7" s="1"/>
  <c r="BX423" i="7"/>
  <c r="BX420" i="7"/>
  <c r="AS420" i="7" s="1"/>
  <c r="BX347" i="7"/>
  <c r="BX262" i="7"/>
  <c r="BX259" i="7"/>
  <c r="AU259" i="7" s="1"/>
  <c r="AN230" i="7"/>
  <c r="AO157" i="7"/>
  <c r="J124" i="7"/>
  <c r="K85" i="7"/>
  <c r="BZ60" i="7"/>
  <c r="BY45" i="7"/>
  <c r="BY48" i="7"/>
  <c r="K41" i="7"/>
  <c r="BZ351" i="7"/>
  <c r="BP347" i="7"/>
  <c r="BW259" i="7"/>
  <c r="BZ238" i="7"/>
  <c r="BZ231" i="7"/>
  <c r="BZ234" i="7"/>
  <c r="AS165" i="7"/>
  <c r="BT158" i="7"/>
  <c r="BP96" i="7"/>
  <c r="K69" i="7"/>
  <c r="BR48" i="7"/>
  <c r="BX399" i="7"/>
  <c r="BY348" i="7"/>
  <c r="BY351" i="7"/>
  <c r="BY335" i="7"/>
  <c r="BY295" i="7"/>
  <c r="BY298" i="7"/>
  <c r="BT238" i="7"/>
  <c r="BY238" i="7"/>
  <c r="BY231" i="7"/>
  <c r="BY234" i="7"/>
  <c r="BY211" i="7"/>
  <c r="BR206" i="7"/>
  <c r="AO165" i="7"/>
  <c r="AQ165" i="7"/>
  <c r="J92" i="7"/>
  <c r="AL40" i="7"/>
  <c r="BX32" i="7"/>
  <c r="BR32" i="7"/>
  <c r="BX29" i="7"/>
  <c r="AU29" i="7" s="1"/>
  <c r="BW13" i="7"/>
  <c r="K434" i="7"/>
  <c r="BX411" i="7"/>
  <c r="BX408" i="7"/>
  <c r="AO394" i="7"/>
  <c r="BR391" i="7"/>
  <c r="J391" i="7"/>
  <c r="BX348" i="7"/>
  <c r="BX332" i="7"/>
  <c r="AS348" i="7" s="1"/>
  <c r="BR298" i="7"/>
  <c r="BX298" i="7"/>
  <c r="K244" i="7"/>
  <c r="L246" i="7" s="1"/>
  <c r="BX235" i="7"/>
  <c r="AS235" i="7" s="1"/>
  <c r="BX238" i="7"/>
  <c r="BX214" i="7"/>
  <c r="K206" i="7"/>
  <c r="BX190" i="7"/>
  <c r="BZ170" i="7"/>
  <c r="AN88" i="7"/>
  <c r="BW29" i="7"/>
  <c r="BZ243" i="7"/>
  <c r="BZ246" i="7"/>
  <c r="BP234" i="7"/>
  <c r="K220" i="7"/>
  <c r="AL206" i="7"/>
  <c r="BW187" i="7"/>
  <c r="BY170" i="7"/>
  <c r="K50" i="7"/>
  <c r="AL48" i="7"/>
  <c r="BY17" i="7"/>
  <c r="BY20" i="7"/>
  <c r="AU15" i="7"/>
  <c r="BY412" i="7"/>
  <c r="K310" i="7"/>
  <c r="BZ303" i="7"/>
  <c r="K278" i="7"/>
  <c r="BY243" i="7"/>
  <c r="BY246" i="7"/>
  <c r="BZ242" i="7"/>
  <c r="BX191" i="7"/>
  <c r="BX167" i="7"/>
  <c r="BX170" i="7"/>
  <c r="BZ49" i="7"/>
  <c r="BX424" i="7"/>
  <c r="BZ336" i="7"/>
  <c r="BV331" i="7"/>
  <c r="BX246" i="7"/>
  <c r="BW191" i="7"/>
  <c r="BZ171" i="7"/>
  <c r="BZ174" i="7"/>
  <c r="BV174" i="7"/>
  <c r="BZ133" i="7"/>
  <c r="BX61" i="7"/>
  <c r="AU61" i="7" s="1"/>
  <c r="BX64" i="7"/>
  <c r="BY52" i="7"/>
  <c r="AS47" i="7"/>
  <c r="AS15" i="7"/>
  <c r="BX242" i="7"/>
  <c r="BR242" i="7"/>
  <c r="BZ267" i="7"/>
  <c r="BZ270" i="7"/>
  <c r="BW239" i="7"/>
  <c r="AO228" i="7"/>
  <c r="AQ228" i="7"/>
  <c r="BY191" i="7"/>
  <c r="BY194" i="7"/>
  <c r="BZ356" i="7"/>
  <c r="AS125" i="7"/>
  <c r="BW428" i="7"/>
  <c r="AQ426" i="7"/>
  <c r="BV391" i="7"/>
  <c r="BZ391" i="7"/>
  <c r="BY359" i="7"/>
  <c r="BY356" i="7"/>
  <c r="BZ247" i="7"/>
  <c r="BZ151" i="7"/>
  <c r="BX439" i="7"/>
  <c r="BY419" i="7"/>
  <c r="BY383" i="7"/>
  <c r="BX363" i="7"/>
  <c r="BZ343" i="7"/>
  <c r="BX335" i="7"/>
  <c r="BY303" i="7"/>
  <c r="BY275" i="7"/>
  <c r="BY278" i="7"/>
  <c r="BP270" i="7"/>
  <c r="BY251" i="7"/>
  <c r="BX250" i="7"/>
  <c r="K238" i="7"/>
  <c r="AO229" i="7"/>
  <c r="BZ210" i="7"/>
  <c r="BZ202" i="7"/>
  <c r="BW195" i="7"/>
  <c r="AN166" i="7"/>
  <c r="BX117" i="7"/>
  <c r="AS117" i="7" s="1"/>
  <c r="BX120" i="7"/>
  <c r="BZ112" i="7"/>
  <c r="J104" i="7"/>
  <c r="BX69" i="7"/>
  <c r="BX72" i="7"/>
  <c r="BV60" i="7"/>
  <c r="BX24" i="7"/>
  <c r="BX416" i="7"/>
  <c r="BX419" i="7"/>
  <c r="AO405" i="7"/>
  <c r="BX383" i="7"/>
  <c r="BX351" i="7"/>
  <c r="BY343" i="7"/>
  <c r="BZ314" i="7"/>
  <c r="BX306" i="7"/>
  <c r="BZ279" i="7"/>
  <c r="BZ282" i="7"/>
  <c r="BW271" i="7"/>
  <c r="BZ258" i="7"/>
  <c r="BX251" i="7"/>
  <c r="K230" i="7"/>
  <c r="AS205" i="7"/>
  <c r="BZ203" i="7"/>
  <c r="BZ206" i="7"/>
  <c r="BY202" i="7"/>
  <c r="AN198" i="7"/>
  <c r="BR174" i="7"/>
  <c r="BX174" i="7"/>
  <c r="BW117" i="7"/>
  <c r="AO117" i="7" s="1"/>
  <c r="BY112" i="7"/>
  <c r="AS101" i="7"/>
  <c r="K34" i="7"/>
  <c r="BW21" i="7"/>
  <c r="AQ441" i="7"/>
  <c r="K432" i="7"/>
  <c r="BW416" i="7"/>
  <c r="BZ403" i="7"/>
  <c r="BP383" i="7"/>
  <c r="BY364" i="7"/>
  <c r="BY367" i="7"/>
  <c r="BX343" i="7"/>
  <c r="BT314" i="7"/>
  <c r="BY314" i="7"/>
  <c r="BY282" i="7"/>
  <c r="BY258" i="7"/>
  <c r="BY206" i="7"/>
  <c r="BX199" i="7"/>
  <c r="BX202" i="7"/>
  <c r="BW171" i="7"/>
  <c r="K166" i="7"/>
  <c r="BX112" i="7"/>
  <c r="BZ101" i="7"/>
  <c r="BZ104" i="7"/>
  <c r="BZ56" i="7"/>
  <c r="BZ28" i="7"/>
  <c r="AN443" i="7"/>
  <c r="BZ387" i="7"/>
  <c r="AN371" i="7"/>
  <c r="BX367" i="7"/>
  <c r="BV347" i="7"/>
  <c r="BZ347" i="7"/>
  <c r="BZ322" i="7"/>
  <c r="BX311" i="7"/>
  <c r="BX255" i="7"/>
  <c r="BW207" i="7"/>
  <c r="BX206" i="7"/>
  <c r="K198" i="7"/>
  <c r="BZ175" i="7"/>
  <c r="K125" i="7"/>
  <c r="BY104" i="7"/>
  <c r="BY53" i="7"/>
  <c r="BY56" i="7"/>
  <c r="BZ29" i="7"/>
  <c r="BZ32" i="7"/>
  <c r="BY28" i="7"/>
  <c r="BZ404" i="7"/>
  <c r="BZ407" i="7"/>
  <c r="BX403" i="7"/>
  <c r="BY384" i="7"/>
  <c r="BY387" i="7"/>
  <c r="BY347" i="7"/>
  <c r="BY322" i="7"/>
  <c r="BZ262" i="7"/>
  <c r="BW255" i="7"/>
  <c r="AO253" i="7"/>
  <c r="BZ214" i="7"/>
  <c r="BW203" i="7"/>
  <c r="AS188" i="7"/>
  <c r="J182" i="7"/>
  <c r="BY175" i="7"/>
  <c r="BY178" i="7"/>
  <c r="AL174" i="7"/>
  <c r="BX104" i="7"/>
  <c r="K58" i="7"/>
  <c r="BX56" i="7"/>
  <c r="BZ33" i="7"/>
  <c r="BZ36" i="7"/>
  <c r="BY32" i="7"/>
  <c r="BX28" i="7"/>
  <c r="AS66" i="7"/>
  <c r="J64" i="7"/>
  <c r="BY57" i="7"/>
  <c r="BY60" i="7"/>
  <c r="AS31" i="7"/>
  <c r="BZ5" i="7"/>
  <c r="BZ8" i="7"/>
  <c r="BT391" i="7"/>
  <c r="BY391" i="7"/>
  <c r="BZ371" i="7"/>
  <c r="BW348" i="7"/>
  <c r="K264" i="7"/>
  <c r="BZ219" i="7"/>
  <c r="BZ222" i="7"/>
  <c r="BZ218" i="7"/>
  <c r="BV202" i="7"/>
  <c r="BY186" i="7"/>
  <c r="BY179" i="7"/>
  <c r="BY182" i="7"/>
  <c r="AQ221" i="7"/>
  <c r="BY96" i="7"/>
  <c r="BX57" i="7"/>
  <c r="BX60" i="7"/>
  <c r="K53" i="7"/>
  <c r="BY8" i="7"/>
  <c r="BZ447" i="7"/>
  <c r="BX440" i="7"/>
  <c r="BX443" i="7"/>
  <c r="BX388" i="7"/>
  <c r="AS388" i="7" s="1"/>
  <c r="BX391" i="7"/>
  <c r="BZ375" i="7"/>
  <c r="BY371" i="7"/>
  <c r="J359" i="7"/>
  <c r="K365" i="7"/>
  <c r="BZ266" i="7"/>
  <c r="BT234" i="7"/>
  <c r="BY222" i="7"/>
  <c r="BY215" i="7"/>
  <c r="BY218" i="7"/>
  <c r="BX186" i="7"/>
  <c r="BR182" i="7"/>
  <c r="BX182" i="7"/>
  <c r="K173" i="7"/>
  <c r="BZ162" i="7"/>
  <c r="BX96" i="7"/>
  <c r="BW57" i="7"/>
  <c r="K51" i="7"/>
  <c r="BY41" i="7"/>
  <c r="K29" i="7"/>
  <c r="BZ12" i="7"/>
  <c r="BX8" i="7"/>
  <c r="BY447" i="7"/>
  <c r="BZ431" i="7"/>
  <c r="BZ424" i="7"/>
  <c r="BZ427" i="7"/>
  <c r="BY375" i="7"/>
  <c r="BX368" i="7"/>
  <c r="BX371" i="7"/>
  <c r="BZ355" i="7"/>
  <c r="BV314" i="7"/>
  <c r="BX290" i="7"/>
  <c r="K277" i="7"/>
  <c r="K259" i="7"/>
  <c r="K262" i="7"/>
  <c r="AN238" i="7"/>
  <c r="K211" i="7"/>
  <c r="K214" i="7"/>
  <c r="BZ190" i="7"/>
  <c r="BW183" i="7"/>
  <c r="BZ64" i="7"/>
  <c r="BX44" i="7"/>
  <c r="BY40" i="7"/>
  <c r="BZ16" i="7"/>
  <c r="BY12" i="7"/>
  <c r="BY428" i="7"/>
  <c r="BY431" i="7"/>
  <c r="BY427" i="7"/>
  <c r="BZ411" i="7"/>
  <c r="BZ395" i="7"/>
  <c r="BT383" i="7"/>
  <c r="BX372" i="7"/>
  <c r="AS372" i="7" s="1"/>
  <c r="BX375" i="7"/>
  <c r="BP371" i="7"/>
  <c r="AU361" i="7"/>
  <c r="BY355" i="7"/>
  <c r="BZ335" i="7"/>
  <c r="K288" i="7"/>
  <c r="K268" i="7"/>
  <c r="AK232" i="7"/>
  <c r="AU213" i="7"/>
  <c r="BZ150" i="7"/>
  <c r="BZ88" i="7"/>
  <c r="K66" i="7"/>
  <c r="BY61" i="7"/>
  <c r="BY64" i="7"/>
  <c r="BW41" i="7"/>
  <c r="BZ17" i="7"/>
  <c r="BZ20" i="7"/>
  <c r="BX12" i="7"/>
  <c r="AS429" i="7"/>
  <c r="AU429" i="7"/>
  <c r="AU413" i="7"/>
  <c r="AS79" i="7"/>
  <c r="AU79" i="7"/>
  <c r="AS50" i="7"/>
  <c r="AU50" i="7"/>
  <c r="AO66" i="7"/>
  <c r="AQ66" i="7"/>
  <c r="AU420" i="7"/>
  <c r="AS338" i="7"/>
  <c r="AU338" i="7"/>
  <c r="AS253" i="7"/>
  <c r="AU253" i="7"/>
  <c r="AS362" i="7"/>
  <c r="AS370" i="7"/>
  <c r="AQ362" i="7"/>
  <c r="AO362" i="7"/>
  <c r="AO237" i="7"/>
  <c r="AQ237" i="7"/>
  <c r="AQ429" i="7"/>
  <c r="AO429" i="7"/>
  <c r="AM305" i="7"/>
  <c r="AK289" i="7"/>
  <c r="AK305" i="7"/>
  <c r="AM241" i="7"/>
  <c r="AO398" i="7"/>
  <c r="BT447" i="7"/>
  <c r="AO378" i="7"/>
  <c r="BT367" i="7"/>
  <c r="AU345" i="7"/>
  <c r="J262" i="7"/>
  <c r="AM249" i="7"/>
  <c r="BR238" i="7"/>
  <c r="BV166" i="7"/>
  <c r="AU111" i="7"/>
  <c r="BT104" i="7"/>
  <c r="BT48" i="7"/>
  <c r="BZ154" i="7"/>
  <c r="J427" i="7"/>
  <c r="BY411" i="7"/>
  <c r="BW380" i="7"/>
  <c r="K430" i="7"/>
  <c r="K280" i="7"/>
  <c r="J250" i="7"/>
  <c r="K182" i="7"/>
  <c r="BY166" i="7"/>
  <c r="AL112" i="7"/>
  <c r="J88" i="7"/>
  <c r="J407" i="7"/>
  <c r="J387" i="7"/>
  <c r="AS373" i="7"/>
  <c r="AN355" i="7"/>
  <c r="BX312" i="7"/>
  <c r="BP298" i="7"/>
  <c r="BZ287" i="7"/>
  <c r="BX258" i="7"/>
  <c r="BP238" i="7"/>
  <c r="BP174" i="7"/>
  <c r="BV170" i="7"/>
  <c r="BX166" i="7"/>
  <c r="BZ159" i="7"/>
  <c r="BV68" i="7"/>
  <c r="BV12" i="7"/>
  <c r="BZ406" i="7"/>
  <c r="J367" i="7"/>
  <c r="AS361" i="7"/>
  <c r="BP166" i="7"/>
  <c r="AS157" i="7"/>
  <c r="AS103" i="7"/>
  <c r="AN32" i="7"/>
  <c r="BV28" i="7"/>
  <c r="AU340" i="7"/>
  <c r="AS35" i="7"/>
  <c r="BP403" i="7"/>
  <c r="J395" i="7"/>
  <c r="BZ344" i="7"/>
  <c r="AO385" i="7"/>
  <c r="BT298" i="7"/>
  <c r="BW231" i="7"/>
  <c r="BZ227" i="7"/>
  <c r="BZ215" i="7"/>
  <c r="AN80" i="7"/>
  <c r="BP68" i="7"/>
  <c r="BR28" i="7"/>
  <c r="BT12" i="7"/>
  <c r="BV64" i="7"/>
  <c r="AU39" i="7"/>
  <c r="BP28" i="7"/>
  <c r="AU442" i="7"/>
  <c r="AO341" i="7"/>
  <c r="BV290" i="7"/>
  <c r="BV439" i="7"/>
  <c r="BZ388" i="7"/>
  <c r="BV335" i="7"/>
  <c r="BZ328" i="7"/>
  <c r="AN40" i="7"/>
  <c r="AS26" i="7"/>
  <c r="AL403" i="7"/>
  <c r="K433" i="7"/>
  <c r="BV407" i="7"/>
  <c r="AQ397" i="7"/>
  <c r="BX392" i="7"/>
  <c r="BY388" i="7"/>
  <c r="BW382" i="7"/>
  <c r="AO382" i="7" s="1"/>
  <c r="BX360" i="7"/>
  <c r="BW269" i="7"/>
  <c r="AO269" i="7" s="1"/>
  <c r="BW261" i="7"/>
  <c r="AO261" i="7" s="1"/>
  <c r="BV254" i="7"/>
  <c r="AN72" i="7"/>
  <c r="AU66" i="7"/>
  <c r="BT64" i="7"/>
  <c r="AS39" i="7"/>
  <c r="AS34" i="7"/>
  <c r="BV355" i="7"/>
  <c r="BV218" i="7"/>
  <c r="AO397" i="7"/>
  <c r="BT407" i="7"/>
  <c r="BY368" i="7"/>
  <c r="BV363" i="7"/>
  <c r="BY311" i="7"/>
  <c r="BW267" i="7"/>
  <c r="BY199" i="7"/>
  <c r="BZ197" i="7"/>
  <c r="BZ183" i="7"/>
  <c r="BT439" i="7"/>
  <c r="BY424" i="7"/>
  <c r="BV411" i="7"/>
  <c r="BR435" i="7"/>
  <c r="BV427" i="7"/>
  <c r="K302" i="7"/>
  <c r="K275" i="7"/>
  <c r="AS269" i="7"/>
  <c r="BZ239" i="7"/>
  <c r="BX147" i="7"/>
  <c r="AU267" i="7" s="1"/>
  <c r="BW94" i="7"/>
  <c r="AQ94" i="7" s="1"/>
  <c r="BW58" i="7"/>
  <c r="AQ43" i="7"/>
  <c r="J28" i="7"/>
  <c r="BZ25" i="7"/>
  <c r="AM209" i="7"/>
  <c r="BT427" i="7"/>
  <c r="BV415" i="7"/>
  <c r="AS405" i="7"/>
  <c r="AK296" i="7"/>
  <c r="BR270" i="7"/>
  <c r="AU269" i="7"/>
  <c r="BV242" i="7"/>
  <c r="BY232" i="7"/>
  <c r="BX230" i="7"/>
  <c r="K227" i="7"/>
  <c r="BT214" i="7"/>
  <c r="K157" i="7"/>
  <c r="BR150" i="7"/>
  <c r="AL56" i="7"/>
  <c r="AL355" i="7"/>
  <c r="BW305" i="7"/>
  <c r="K305" i="7" s="1"/>
  <c r="K296" i="7"/>
  <c r="BZ276" i="7"/>
  <c r="BY214" i="7"/>
  <c r="BY136" i="7"/>
  <c r="K62" i="7"/>
  <c r="AN427" i="7"/>
  <c r="BR351" i="7"/>
  <c r="BX349" i="7"/>
  <c r="BY336" i="7"/>
  <c r="AK265" i="7"/>
  <c r="BP262" i="7"/>
  <c r="AK217" i="7"/>
  <c r="BR214" i="7"/>
  <c r="BT202" i="7"/>
  <c r="BZ160" i="7"/>
  <c r="AU51" i="7"/>
  <c r="J298" i="7"/>
  <c r="AL254" i="7"/>
  <c r="BV230" i="7"/>
  <c r="BW193" i="7"/>
  <c r="AK193" i="7" s="1"/>
  <c r="BY9" i="7"/>
  <c r="BR427" i="7"/>
  <c r="BX427" i="7"/>
  <c r="AS413" i="7"/>
  <c r="AL411" i="7"/>
  <c r="BR395" i="7"/>
  <c r="BY365" i="7"/>
  <c r="K267" i="7"/>
  <c r="BP194" i="7"/>
  <c r="BV186" i="7"/>
  <c r="AU173" i="7"/>
  <c r="BZ163" i="7"/>
  <c r="BZ152" i="7"/>
  <c r="AQ133" i="7"/>
  <c r="AU125" i="7"/>
  <c r="BT80" i="7"/>
  <c r="BX27" i="7"/>
  <c r="AS27" i="7" s="1"/>
  <c r="BX9" i="7"/>
  <c r="AS41" i="7" s="1"/>
  <c r="BY101" i="7"/>
  <c r="AO61" i="7"/>
  <c r="J60" i="7"/>
  <c r="AS55" i="7"/>
  <c r="AU370" i="7"/>
  <c r="BT198" i="7"/>
  <c r="AU165" i="7"/>
  <c r="BY444" i="7"/>
  <c r="BY408" i="7"/>
  <c r="AS385" i="7"/>
  <c r="AL371" i="7"/>
  <c r="BX339" i="7"/>
  <c r="BT250" i="7"/>
  <c r="BY198" i="7"/>
  <c r="BP190" i="7"/>
  <c r="BT182" i="7"/>
  <c r="AS173" i="7"/>
  <c r="AL136" i="7"/>
  <c r="J108" i="7"/>
  <c r="K86" i="7"/>
  <c r="L88" i="7" s="1"/>
  <c r="AL443" i="7"/>
  <c r="J379" i="7"/>
  <c r="AO366" i="7"/>
  <c r="AQ366" i="7"/>
  <c r="AO422" i="7"/>
  <c r="AQ422" i="7"/>
  <c r="AO414" i="7"/>
  <c r="BW332" i="7"/>
  <c r="BP335" i="7"/>
  <c r="BY266" i="7"/>
  <c r="BT266" i="7"/>
  <c r="BX195" i="7"/>
  <c r="BR198" i="7"/>
  <c r="BZ147" i="7"/>
  <c r="BV150" i="7"/>
  <c r="AO15" i="7"/>
  <c r="AQ15" i="7"/>
  <c r="AQ39" i="7"/>
  <c r="AO87" i="7"/>
  <c r="K428" i="7"/>
  <c r="J335" i="7"/>
  <c r="K364" i="7"/>
  <c r="BX266" i="7"/>
  <c r="BR266" i="7"/>
  <c r="AN222" i="7"/>
  <c r="AU163" i="7"/>
  <c r="K201" i="7"/>
  <c r="K297" i="7"/>
  <c r="K225" i="7"/>
  <c r="K169" i="7"/>
  <c r="K321" i="7"/>
  <c r="J154" i="7"/>
  <c r="K233" i="7"/>
  <c r="K265" i="7"/>
  <c r="K281" i="7"/>
  <c r="K249" i="7"/>
  <c r="AQ87" i="7"/>
  <c r="BX444" i="7"/>
  <c r="BX447" i="7"/>
  <c r="BR447" i="7"/>
  <c r="AO338" i="7"/>
  <c r="AQ338" i="7"/>
  <c r="BY279" i="7"/>
  <c r="BT282" i="7"/>
  <c r="AO244" i="7"/>
  <c r="AQ244" i="7"/>
  <c r="BR178" i="7"/>
  <c r="BX178" i="7"/>
  <c r="BX176" i="7"/>
  <c r="BW444" i="7"/>
  <c r="BP447" i="7"/>
  <c r="AS389" i="7"/>
  <c r="AU389" i="7"/>
  <c r="AS377" i="7"/>
  <c r="AU377" i="7"/>
  <c r="BY357" i="7"/>
  <c r="BT359" i="7"/>
  <c r="AL347" i="7"/>
  <c r="J222" i="7"/>
  <c r="BW176" i="7"/>
  <c r="BP178" i="7"/>
  <c r="BP48" i="7"/>
  <c r="BW45" i="7"/>
  <c r="AL32" i="7"/>
  <c r="AO21" i="7"/>
  <c r="AQ21" i="7"/>
  <c r="AS19" i="7"/>
  <c r="AU19" i="7"/>
  <c r="AS14" i="7"/>
  <c r="AU118" i="7"/>
  <c r="AS70" i="7"/>
  <c r="AS62" i="7"/>
  <c r="AS86" i="7"/>
  <c r="AU86" i="7"/>
  <c r="BW433" i="7"/>
  <c r="AQ381" i="7"/>
  <c r="BR359" i="7"/>
  <c r="BX357" i="7"/>
  <c r="J339" i="7"/>
  <c r="AM265" i="7"/>
  <c r="AU23" i="7"/>
  <c r="AS23" i="7"/>
  <c r="BZ21" i="7"/>
  <c r="BZ24" i="7"/>
  <c r="BV24" i="7"/>
  <c r="AQ22" i="7"/>
  <c r="AO22" i="7"/>
  <c r="AQ86" i="7"/>
  <c r="AO70" i="7"/>
  <c r="AQ70" i="7"/>
  <c r="AO62" i="7"/>
  <c r="AQ62" i="7"/>
  <c r="AO86" i="7"/>
  <c r="BP427" i="7"/>
  <c r="BW424" i="7"/>
  <c r="AO381" i="7"/>
  <c r="BW357" i="7"/>
  <c r="BP359" i="7"/>
  <c r="AS341" i="7"/>
  <c r="AU341" i="7"/>
  <c r="AL339" i="7"/>
  <c r="BX275" i="7"/>
  <c r="BX278" i="7"/>
  <c r="BR278" i="7"/>
  <c r="BX198" i="7"/>
  <c r="AS181" i="7"/>
  <c r="AU181" i="7"/>
  <c r="BR104" i="7"/>
  <c r="BX102" i="7"/>
  <c r="J100" i="7"/>
  <c r="AO23" i="7"/>
  <c r="AQ23" i="7"/>
  <c r="BY21" i="7"/>
  <c r="BY24" i="7"/>
  <c r="BT24" i="7"/>
  <c r="AS442" i="7"/>
  <c r="BR415" i="7"/>
  <c r="BX412" i="7"/>
  <c r="BP278" i="7"/>
  <c r="BW275" i="7"/>
  <c r="AQ253" i="7"/>
  <c r="AS220" i="7"/>
  <c r="AU220" i="7"/>
  <c r="BW102" i="7"/>
  <c r="BP104" i="7"/>
  <c r="K49" i="7"/>
  <c r="BX21" i="7"/>
  <c r="BR24" i="7"/>
  <c r="BW412" i="7"/>
  <c r="BP415" i="7"/>
  <c r="AO410" i="7"/>
  <c r="AQ410" i="7"/>
  <c r="AN387" i="7"/>
  <c r="BX320" i="7"/>
  <c r="BR322" i="7"/>
  <c r="BP218" i="7"/>
  <c r="BW215" i="7"/>
  <c r="BP24" i="7"/>
  <c r="AL419" i="7"/>
  <c r="BV403" i="7"/>
  <c r="BY403" i="7"/>
  <c r="BY400" i="7"/>
  <c r="BT403" i="7"/>
  <c r="AL387" i="7"/>
  <c r="BW320" i="7"/>
  <c r="BP322" i="7"/>
  <c r="BW205" i="7"/>
  <c r="BP206" i="7"/>
  <c r="J415" i="7"/>
  <c r="AU260" i="7"/>
  <c r="AS260" i="7"/>
  <c r="AO245" i="7"/>
  <c r="AQ245" i="7"/>
  <c r="K168" i="7"/>
  <c r="AK168" i="7"/>
  <c r="BV112" i="7"/>
  <c r="BZ109" i="7"/>
  <c r="AL214" i="7"/>
  <c r="BT112" i="7"/>
  <c r="BY109" i="7"/>
  <c r="BR399" i="7"/>
  <c r="BX396" i="7"/>
  <c r="AS394" i="7"/>
  <c r="AU394" i="7"/>
  <c r="BY362" i="7"/>
  <c r="BT363" i="7"/>
  <c r="AO260" i="7"/>
  <c r="BX109" i="7"/>
  <c r="BR112" i="7"/>
  <c r="BY35" i="7"/>
  <c r="BT36" i="7"/>
  <c r="AO31" i="7"/>
  <c r="AU27" i="7"/>
  <c r="K103" i="7"/>
  <c r="L104" i="7" s="1"/>
  <c r="K135" i="7"/>
  <c r="K63" i="7"/>
  <c r="K31" i="7"/>
  <c r="K87" i="7"/>
  <c r="K79" i="7"/>
  <c r="K95" i="7"/>
  <c r="K111" i="7"/>
  <c r="K71" i="7"/>
  <c r="L72" i="7" s="1"/>
  <c r="BV282" i="7"/>
  <c r="BP266" i="7"/>
  <c r="AU244" i="7"/>
  <c r="AS244" i="7"/>
  <c r="AL222" i="7"/>
  <c r="BX169" i="7"/>
  <c r="BR170" i="7"/>
  <c r="AN96" i="7"/>
  <c r="BX381" i="7"/>
  <c r="BR383" i="7"/>
  <c r="AO434" i="7"/>
  <c r="AQ434" i="7"/>
  <c r="BR407" i="7"/>
  <c r="BX406" i="7"/>
  <c r="BP399" i="7"/>
  <c r="BW396" i="7"/>
  <c r="BW364" i="7"/>
  <c r="BP367" i="7"/>
  <c r="BZ319" i="7"/>
  <c r="BV322" i="7"/>
  <c r="BX288" i="7"/>
  <c r="BR290" i="7"/>
  <c r="AS245" i="7"/>
  <c r="AU245" i="7"/>
  <c r="AN182" i="7"/>
  <c r="BY171" i="7"/>
  <c r="BY174" i="7"/>
  <c r="BT174" i="7"/>
  <c r="K127" i="7"/>
  <c r="J128" i="7"/>
  <c r="BW109" i="7"/>
  <c r="BP112" i="7"/>
  <c r="AO46" i="7"/>
  <c r="AQ46" i="7"/>
  <c r="AO417" i="7"/>
  <c r="AQ417" i="7"/>
  <c r="AL262" i="7"/>
  <c r="BW240" i="7"/>
  <c r="BP242" i="7"/>
  <c r="K185" i="7"/>
  <c r="AO35" i="7"/>
  <c r="AQ35" i="7"/>
  <c r="AS276" i="7"/>
  <c r="AU276" i="7"/>
  <c r="K217" i="7"/>
  <c r="AQ126" i="7"/>
  <c r="AO126" i="7"/>
  <c r="J116" i="7"/>
  <c r="BZ40" i="7"/>
  <c r="BZ37" i="7"/>
  <c r="BV40" i="7"/>
  <c r="AU35" i="7"/>
  <c r="BY27" i="7"/>
  <c r="BT28" i="7"/>
  <c r="BX415" i="7"/>
  <c r="BW388" i="7"/>
  <c r="BP391" i="7"/>
  <c r="BX331" i="7"/>
  <c r="BR331" i="7"/>
  <c r="BX328" i="7"/>
  <c r="AU416" i="7" s="1"/>
  <c r="BY263" i="7"/>
  <c r="BV128" i="7"/>
  <c r="BZ126" i="7"/>
  <c r="AS69" i="7"/>
  <c r="AU69" i="7"/>
  <c r="BY37" i="7"/>
  <c r="BT40" i="7"/>
  <c r="AO430" i="7"/>
  <c r="AQ430" i="7"/>
  <c r="BT355" i="7"/>
  <c r="BY352" i="7"/>
  <c r="BP331" i="7"/>
  <c r="BW328" i="7"/>
  <c r="BX263" i="7"/>
  <c r="AS261" i="7"/>
  <c r="AU261" i="7"/>
  <c r="BZ249" i="7"/>
  <c r="BZ250" i="7"/>
  <c r="BV250" i="7"/>
  <c r="BX233" i="7"/>
  <c r="BX234" i="7"/>
  <c r="BR234" i="7"/>
  <c r="BW227" i="7"/>
  <c r="K192" i="7"/>
  <c r="J194" i="7"/>
  <c r="K161" i="7"/>
  <c r="BY147" i="7"/>
  <c r="BX40" i="7"/>
  <c r="BX37" i="7"/>
  <c r="BR40" i="7"/>
  <c r="BP419" i="7"/>
  <c r="AS401" i="7"/>
  <c r="AU401" i="7"/>
  <c r="AQ398" i="7"/>
  <c r="AN379" i="7"/>
  <c r="BX352" i="7"/>
  <c r="BX355" i="7"/>
  <c r="BY332" i="7"/>
  <c r="BT335" i="7"/>
  <c r="BW263" i="7"/>
  <c r="AS197" i="7"/>
  <c r="AU197" i="7"/>
  <c r="J166" i="7"/>
  <c r="AU171" i="7"/>
  <c r="AQ71" i="7"/>
  <c r="BP40" i="7"/>
  <c r="BW37" i="7"/>
  <c r="BP435" i="7"/>
  <c r="AU417" i="7"/>
  <c r="AO401" i="7"/>
  <c r="AQ401" i="7"/>
  <c r="AL379" i="7"/>
  <c r="BP355" i="7"/>
  <c r="BW352" i="7"/>
  <c r="BX334" i="7"/>
  <c r="AS374" i="7" s="1"/>
  <c r="AS402" i="7"/>
  <c r="AS410" i="7"/>
  <c r="AU410" i="7"/>
  <c r="BV266" i="7"/>
  <c r="BZ263" i="7"/>
  <c r="AU135" i="7"/>
  <c r="AS135" i="7"/>
  <c r="AO71" i="7"/>
  <c r="AQ54" i="7"/>
  <c r="J52" i="7"/>
  <c r="BV443" i="7"/>
  <c r="AO386" i="7"/>
  <c r="AQ386" i="7"/>
  <c r="J290" i="7"/>
  <c r="K289" i="7"/>
  <c r="BW279" i="7"/>
  <c r="BP282" i="7"/>
  <c r="BP274" i="7"/>
  <c r="BW273" i="7"/>
  <c r="AM273" i="7" s="1"/>
  <c r="J254" i="7"/>
  <c r="BW220" i="7"/>
  <c r="BY184" i="7"/>
  <c r="BT186" i="7"/>
  <c r="AS118" i="7"/>
  <c r="K45" i="7"/>
  <c r="J48" i="7"/>
  <c r="BZ423" i="7"/>
  <c r="BV423" i="7"/>
  <c r="BZ420" i="7"/>
  <c r="AS409" i="7"/>
  <c r="AU409" i="7"/>
  <c r="AU380" i="7"/>
  <c r="AS380" i="7"/>
  <c r="AS365" i="7"/>
  <c r="AU365" i="7"/>
  <c r="BW118" i="7"/>
  <c r="BY54" i="7"/>
  <c r="BT56" i="7"/>
  <c r="BZ52" i="7"/>
  <c r="BZ50" i="7"/>
  <c r="BV52" i="7"/>
  <c r="K47" i="7"/>
  <c r="J44" i="7"/>
  <c r="AL435" i="7"/>
  <c r="J431" i="7"/>
  <c r="BY423" i="7"/>
  <c r="BT423" i="7"/>
  <c r="BV387" i="7"/>
  <c r="BV375" i="7"/>
  <c r="BZ372" i="7"/>
  <c r="BW369" i="7"/>
  <c r="AO365" i="7"/>
  <c r="AQ365" i="7"/>
  <c r="AO350" i="7"/>
  <c r="AQ350" i="7"/>
  <c r="BX314" i="7"/>
  <c r="BW311" i="7"/>
  <c r="BY269" i="7"/>
  <c r="BT270" i="7"/>
  <c r="AN246" i="7"/>
  <c r="K209" i="7"/>
  <c r="J210" i="7"/>
  <c r="BT206" i="7"/>
  <c r="BX200" i="7"/>
  <c r="BR202" i="7"/>
  <c r="BW184" i="7"/>
  <c r="AS180" i="7"/>
  <c r="AU180" i="7"/>
  <c r="AS171" i="7"/>
  <c r="BW156" i="7"/>
  <c r="BP158" i="7"/>
  <c r="BX54" i="7"/>
  <c r="BR56" i="7"/>
  <c r="BZ13" i="7"/>
  <c r="BV16" i="7"/>
  <c r="AO442" i="7"/>
  <c r="AQ442" i="7"/>
  <c r="BR423" i="7"/>
  <c r="AS393" i="7"/>
  <c r="AU393" i="7"/>
  <c r="AO390" i="7"/>
  <c r="AQ390" i="7"/>
  <c r="BR387" i="7"/>
  <c r="BX386" i="7"/>
  <c r="BT375" i="7"/>
  <c r="BV367" i="7"/>
  <c r="BZ365" i="7"/>
  <c r="BZ367" i="7"/>
  <c r="BP314" i="7"/>
  <c r="BX252" i="7"/>
  <c r="BX254" i="7"/>
  <c r="BR254" i="7"/>
  <c r="BX247" i="7"/>
  <c r="BR250" i="7"/>
  <c r="AL246" i="7"/>
  <c r="K236" i="7"/>
  <c r="J238" i="7"/>
  <c r="AS229" i="7"/>
  <c r="AU229" i="7"/>
  <c r="BW200" i="7"/>
  <c r="K200" i="7" s="1"/>
  <c r="BP202" i="7"/>
  <c r="AN190" i="7"/>
  <c r="AO54" i="7"/>
  <c r="BX52" i="7"/>
  <c r="BR52" i="7"/>
  <c r="AS42" i="7"/>
  <c r="AU42" i="7"/>
  <c r="K39" i="7"/>
  <c r="J40" i="7"/>
  <c r="AO30" i="7"/>
  <c r="BY16" i="7"/>
  <c r="BT16" i="7"/>
  <c r="BY13" i="7"/>
  <c r="J435" i="7"/>
  <c r="AS425" i="7"/>
  <c r="AU425" i="7"/>
  <c r="BW420" i="7"/>
  <c r="BP423" i="7"/>
  <c r="AU402" i="7"/>
  <c r="BP395" i="7"/>
  <c r="BW393" i="7"/>
  <c r="BR375" i="7"/>
  <c r="BV343" i="7"/>
  <c r="AN262" i="7"/>
  <c r="BP250" i="7"/>
  <c r="BW247" i="7"/>
  <c r="BY235" i="7"/>
  <c r="BR230" i="7"/>
  <c r="AS227" i="7"/>
  <c r="AL190" i="7"/>
  <c r="AN120" i="7"/>
  <c r="AU70" i="7"/>
  <c r="BR60" i="7"/>
  <c r="BX58" i="7"/>
  <c r="BP52" i="7"/>
  <c r="AS46" i="7"/>
  <c r="AU46" i="7"/>
  <c r="BZ44" i="7"/>
  <c r="BV44" i="7"/>
  <c r="J190" i="7"/>
  <c r="AN411" i="7"/>
  <c r="AO406" i="7"/>
  <c r="AO389" i="7"/>
  <c r="AQ389" i="7"/>
  <c r="J375" i="7"/>
  <c r="J355" i="7"/>
  <c r="BW344" i="7"/>
  <c r="BV258" i="7"/>
  <c r="BZ255" i="7"/>
  <c r="BY245" i="7"/>
  <c r="BT246" i="7"/>
  <c r="BZ235" i="7"/>
  <c r="BV238" i="7"/>
  <c r="BX211" i="7"/>
  <c r="BW125" i="7"/>
  <c r="BP128" i="7"/>
  <c r="AQ50" i="7"/>
  <c r="BY376" i="7"/>
  <c r="BT379" i="7"/>
  <c r="K313" i="7"/>
  <c r="BP214" i="7"/>
  <c r="BW211" i="7"/>
  <c r="J162" i="7"/>
  <c r="BV158" i="7"/>
  <c r="BZ155" i="7"/>
  <c r="AS119" i="7"/>
  <c r="AU119" i="7"/>
  <c r="J84" i="7"/>
  <c r="BR20" i="7"/>
  <c r="BX17" i="7"/>
  <c r="BY379" i="7"/>
  <c r="BX376" i="7"/>
  <c r="BY221" i="7"/>
  <c r="BT222" i="7"/>
  <c r="AM217" i="7"/>
  <c r="BY158" i="7"/>
  <c r="BY155" i="7"/>
  <c r="BX134" i="7"/>
  <c r="BR136" i="7"/>
  <c r="AO127" i="7"/>
  <c r="AQ127" i="7"/>
  <c r="AO93" i="7"/>
  <c r="AQ93" i="7"/>
  <c r="AO63" i="7"/>
  <c r="AQ63" i="7"/>
  <c r="BW17" i="7"/>
  <c r="BP20" i="7"/>
  <c r="AN435" i="7"/>
  <c r="BZ399" i="7"/>
  <c r="BV399" i="7"/>
  <c r="BZ396" i="7"/>
  <c r="BR379" i="7"/>
  <c r="AO370" i="7"/>
  <c r="AQ370" i="7"/>
  <c r="AU354" i="7"/>
  <c r="AO342" i="7"/>
  <c r="AN278" i="7"/>
  <c r="AS221" i="7"/>
  <c r="AU221" i="7"/>
  <c r="AO188" i="7"/>
  <c r="AQ188" i="7"/>
  <c r="BW134" i="7"/>
  <c r="BP136" i="7"/>
  <c r="J136" i="7"/>
  <c r="AO95" i="7"/>
  <c r="BZ96" i="7"/>
  <c r="BZ93" i="7"/>
  <c r="BV96" i="7"/>
  <c r="AO19" i="7"/>
  <c r="AQ19" i="7"/>
  <c r="AN419" i="7"/>
  <c r="BY399" i="7"/>
  <c r="BT399" i="7"/>
  <c r="BY396" i="7"/>
  <c r="BP379" i="7"/>
  <c r="BW349" i="7"/>
  <c r="BP351" i="7"/>
  <c r="BT331" i="7"/>
  <c r="AL278" i="7"/>
  <c r="BT258" i="7"/>
  <c r="AN214" i="7"/>
  <c r="AL72" i="7"/>
  <c r="BZ35" i="7"/>
  <c r="BV36" i="7"/>
  <c r="AO180" i="7"/>
  <c r="AL182" i="7"/>
  <c r="AN158" i="7"/>
  <c r="AO119" i="7"/>
  <c r="AQ119" i="7"/>
  <c r="J32" i="7"/>
  <c r="BR16" i="7"/>
  <c r="BX13" i="7"/>
  <c r="BX16" i="7"/>
  <c r="BR403" i="7"/>
  <c r="BX400" i="7"/>
  <c r="BY395" i="7"/>
  <c r="BP387" i="7"/>
  <c r="BW374" i="7"/>
  <c r="BP375" i="7"/>
  <c r="BX364" i="7"/>
  <c r="BR367" i="7"/>
  <c r="AN347" i="7"/>
  <c r="AO276" i="7"/>
  <c r="AQ276" i="7"/>
  <c r="J278" i="7"/>
  <c r="J274" i="7"/>
  <c r="BW252" i="7"/>
  <c r="BP254" i="7"/>
  <c r="J234" i="7"/>
  <c r="K195" i="7"/>
  <c r="J186" i="7"/>
  <c r="K179" i="7"/>
  <c r="AN112" i="7"/>
  <c r="AL104" i="7"/>
  <c r="K93" i="7"/>
  <c r="J96" i="7"/>
  <c r="J20" i="7"/>
  <c r="BZ268" i="7"/>
  <c r="BV270" i="7"/>
  <c r="AL270" i="7"/>
  <c r="BX257" i="7"/>
  <c r="BR258" i="7"/>
  <c r="BZ223" i="7"/>
  <c r="BZ226" i="7"/>
  <c r="BV226" i="7"/>
  <c r="J202" i="7"/>
  <c r="K174" i="7"/>
  <c r="J174" i="7"/>
  <c r="BP56" i="7"/>
  <c r="BW53" i="7"/>
  <c r="BP44" i="7"/>
  <c r="BW42" i="7"/>
  <c r="AU38" i="7"/>
  <c r="AS38" i="7"/>
  <c r="AU418" i="7"/>
  <c r="AS418" i="7"/>
  <c r="AU405" i="7"/>
  <c r="BT387" i="7"/>
  <c r="BT343" i="7"/>
  <c r="AS337" i="7"/>
  <c r="AU337" i="7"/>
  <c r="BX282" i="7"/>
  <c r="BR282" i="7"/>
  <c r="AU228" i="7"/>
  <c r="AS228" i="7"/>
  <c r="AS212" i="7"/>
  <c r="AU212" i="7"/>
  <c r="BZ207" i="7"/>
  <c r="BV210" i="7"/>
  <c r="AU188" i="7"/>
  <c r="J112" i="7"/>
  <c r="AS67" i="7"/>
  <c r="AU67" i="7"/>
  <c r="AO38" i="7"/>
  <c r="AQ38" i="7"/>
  <c r="AU31" i="7"/>
  <c r="AO29" i="7"/>
  <c r="AQ29" i="7"/>
  <c r="AS22" i="7"/>
  <c r="J443" i="7"/>
  <c r="AO418" i="7"/>
  <c r="AQ418" i="7"/>
  <c r="BV383" i="7"/>
  <c r="AS342" i="7"/>
  <c r="BR343" i="7"/>
  <c r="AO337" i="7"/>
  <c r="AQ337" i="7"/>
  <c r="BZ298" i="7"/>
  <c r="BZ296" i="7"/>
  <c r="AM288" i="7"/>
  <c r="J258" i="7"/>
  <c r="K257" i="7"/>
  <c r="K241" i="7"/>
  <c r="BX226" i="7"/>
  <c r="BR226" i="7"/>
  <c r="AO212" i="7"/>
  <c r="AQ212" i="7"/>
  <c r="BY210" i="7"/>
  <c r="BT210" i="7"/>
  <c r="BV194" i="7"/>
  <c r="AK313" i="7"/>
  <c r="AK281" i="7"/>
  <c r="AM313" i="7"/>
  <c r="AK177" i="7"/>
  <c r="AK209" i="7"/>
  <c r="AK241" i="7"/>
  <c r="AK233" i="7"/>
  <c r="AK257" i="7"/>
  <c r="AM297" i="7"/>
  <c r="AK321" i="7"/>
  <c r="AM233" i="7"/>
  <c r="AM257" i="7"/>
  <c r="AM321" i="7"/>
  <c r="AM177" i="7"/>
  <c r="AK161" i="7"/>
  <c r="AK185" i="7"/>
  <c r="AM289" i="7"/>
  <c r="AM161" i="7"/>
  <c r="AM185" i="7"/>
  <c r="AK201" i="7"/>
  <c r="AM201" i="7"/>
  <c r="AK297" i="7"/>
  <c r="AK225" i="7"/>
  <c r="AK169" i="7"/>
  <c r="AM225" i="7"/>
  <c r="AM169" i="7"/>
  <c r="AK249" i="7"/>
  <c r="BW151" i="7"/>
  <c r="BP154" i="7"/>
  <c r="AS110" i="7"/>
  <c r="AU110" i="7"/>
  <c r="AO103" i="7"/>
  <c r="AQ103" i="7"/>
  <c r="AL96" i="7"/>
  <c r="AO67" i="7"/>
  <c r="AQ67" i="7"/>
  <c r="AN64" i="7"/>
  <c r="BV32" i="7"/>
  <c r="BT411" i="7"/>
  <c r="J347" i="7"/>
  <c r="BW340" i="7"/>
  <c r="BP343" i="7"/>
  <c r="BZ306" i="7"/>
  <c r="BV306" i="7"/>
  <c r="AK288" i="7"/>
  <c r="AM281" i="7"/>
  <c r="BP226" i="7"/>
  <c r="J214" i="7"/>
  <c r="BT194" i="7"/>
  <c r="AS156" i="7"/>
  <c r="AU156" i="7"/>
  <c r="AL120" i="7"/>
  <c r="BR88" i="7"/>
  <c r="BX87" i="7"/>
  <c r="AU78" i="7"/>
  <c r="AL64" i="7"/>
  <c r="AQ31" i="7"/>
  <c r="BY29" i="7"/>
  <c r="BT32" i="7"/>
  <c r="BY441" i="7"/>
  <c r="BY443" i="7"/>
  <c r="BT443" i="7"/>
  <c r="BZ433" i="7"/>
  <c r="BZ435" i="7"/>
  <c r="BV435" i="7"/>
  <c r="AS426" i="7"/>
  <c r="BP411" i="7"/>
  <c r="BW408" i="7"/>
  <c r="AN403" i="7"/>
  <c r="J399" i="7"/>
  <c r="AN395" i="7"/>
  <c r="AO377" i="7"/>
  <c r="AQ377" i="7"/>
  <c r="K366" i="7"/>
  <c r="AU362" i="7"/>
  <c r="AO358" i="7"/>
  <c r="BZ348" i="7"/>
  <c r="BV351" i="7"/>
  <c r="AS340" i="7"/>
  <c r="K312" i="7"/>
  <c r="AK312" i="7"/>
  <c r="BY306" i="7"/>
  <c r="BT306" i="7"/>
  <c r="BX296" i="7"/>
  <c r="J282" i="7"/>
  <c r="BZ274" i="7"/>
  <c r="BV274" i="7"/>
  <c r="AS268" i="7"/>
  <c r="AS236" i="7"/>
  <c r="BV234" i="7"/>
  <c r="BX194" i="7"/>
  <c r="BR194" i="7"/>
  <c r="BW167" i="7"/>
  <c r="AS164" i="7"/>
  <c r="AO172" i="7"/>
  <c r="AO196" i="7"/>
  <c r="AQ196" i="7"/>
  <c r="AO268" i="7"/>
  <c r="AQ78" i="7"/>
  <c r="AO78" i="7"/>
  <c r="BV48" i="7"/>
  <c r="BZ45" i="7"/>
  <c r="BV447" i="7"/>
  <c r="AU441" i="7"/>
  <c r="BY433" i="7"/>
  <c r="BT435" i="7"/>
  <c r="AL395" i="7"/>
  <c r="AO373" i="7"/>
  <c r="AQ373" i="7"/>
  <c r="J371" i="7"/>
  <c r="AQ342" i="7"/>
  <c r="AM312" i="7"/>
  <c r="BR306" i="7"/>
  <c r="AQ268" i="7"/>
  <c r="BY253" i="7"/>
  <c r="BY254" i="7"/>
  <c r="BT254" i="7"/>
  <c r="K246" i="7"/>
  <c r="J246" i="7"/>
  <c r="AO236" i="7"/>
  <c r="J230" i="7"/>
  <c r="J198" i="7"/>
  <c r="AQ180" i="7"/>
  <c r="AO164" i="7"/>
  <c r="BR162" i="7"/>
  <c r="J158" i="7"/>
  <c r="BZ134" i="7"/>
  <c r="BV136" i="7"/>
  <c r="AN136" i="7"/>
  <c r="BY125" i="7"/>
  <c r="BT128" i="7"/>
  <c r="J120" i="7"/>
  <c r="BZ78" i="7"/>
  <c r="BV80" i="7"/>
  <c r="BY63" i="7"/>
  <c r="BZ58" i="7"/>
  <c r="K55" i="7"/>
  <c r="AO47" i="7"/>
  <c r="AQ47" i="7"/>
  <c r="BV20" i="7"/>
  <c r="AL16" i="7"/>
  <c r="AU433" i="7"/>
  <c r="AO413" i="7"/>
  <c r="AQ413" i="7"/>
  <c r="BY370" i="7"/>
  <c r="BT371" i="7"/>
  <c r="AQ361" i="7"/>
  <c r="AO345" i="7"/>
  <c r="AQ345" i="7"/>
  <c r="BR274" i="7"/>
  <c r="BX274" i="7"/>
  <c r="J266" i="7"/>
  <c r="BX215" i="7"/>
  <c r="BX218" i="7"/>
  <c r="BR218" i="7"/>
  <c r="J206" i="7"/>
  <c r="AU196" i="7"/>
  <c r="AS189" i="7"/>
  <c r="AU189" i="7"/>
  <c r="BP170" i="7"/>
  <c r="BX63" i="7"/>
  <c r="BX48" i="7"/>
  <c r="BX45" i="7"/>
  <c r="AO25" i="7"/>
  <c r="AN24" i="7"/>
  <c r="AS434" i="7"/>
  <c r="AU434" i="7"/>
  <c r="AL427" i="7"/>
  <c r="BP290" i="7"/>
  <c r="BW287" i="7"/>
  <c r="AS277" i="7"/>
  <c r="AU277" i="7"/>
  <c r="BT274" i="7"/>
  <c r="BT226" i="7"/>
  <c r="BV206" i="7"/>
  <c r="AO189" i="7"/>
  <c r="AQ189" i="7"/>
  <c r="AO79" i="7"/>
  <c r="AN56" i="7"/>
  <c r="AQ181" i="7"/>
  <c r="AO181" i="7"/>
  <c r="BY167" i="7"/>
  <c r="BT170" i="7"/>
  <c r="AL158" i="7"/>
  <c r="AO135" i="7"/>
  <c r="AQ135" i="7"/>
  <c r="AN128" i="7"/>
  <c r="BZ87" i="7"/>
  <c r="BV88" i="7"/>
  <c r="BX77" i="7"/>
  <c r="BR80" i="7"/>
  <c r="BY44" i="7"/>
  <c r="BT44" i="7"/>
  <c r="AO33" i="7"/>
  <c r="AQ27" i="7"/>
  <c r="AO27" i="7"/>
  <c r="AO425" i="7"/>
  <c r="AQ425" i="7"/>
  <c r="BR411" i="7"/>
  <c r="AQ405" i="7"/>
  <c r="J363" i="7"/>
  <c r="AS346" i="7"/>
  <c r="AQ164" i="7"/>
  <c r="AS126" i="7"/>
  <c r="AU126" i="7"/>
  <c r="AS94" i="7"/>
  <c r="AU94" i="7"/>
  <c r="BP80" i="7"/>
  <c r="BW77" i="7"/>
  <c r="J56" i="7"/>
  <c r="BR44" i="7"/>
  <c r="BX128" i="7"/>
  <c r="BR128" i="7"/>
  <c r="AL128" i="7"/>
  <c r="AQ110" i="7"/>
  <c r="BY69" i="7"/>
  <c r="BT72" i="7"/>
  <c r="BX68" i="7"/>
  <c r="BX65" i="7"/>
  <c r="AO18" i="7"/>
  <c r="AQ18" i="7"/>
  <c r="BX436" i="7"/>
  <c r="BR439" i="7"/>
  <c r="AS378" i="7"/>
  <c r="AU378" i="7"/>
  <c r="J331" i="7"/>
  <c r="BV298" i="7"/>
  <c r="AO277" i="7"/>
  <c r="AQ277" i="7"/>
  <c r="AS172" i="7"/>
  <c r="AU172" i="7"/>
  <c r="K160" i="7"/>
  <c r="J76" i="7"/>
  <c r="AS59" i="7"/>
  <c r="AU59" i="7"/>
  <c r="J36" i="7"/>
  <c r="K33" i="7"/>
  <c r="BP32" i="7"/>
  <c r="AO14" i="7"/>
  <c r="BP439" i="7"/>
  <c r="AO346" i="7"/>
  <c r="AQ346" i="7"/>
  <c r="J242" i="7"/>
  <c r="AQ172" i="7"/>
  <c r="J170" i="7"/>
  <c r="AM160" i="7"/>
  <c r="AM168" i="7"/>
  <c r="AM280" i="7"/>
  <c r="AK192" i="7"/>
  <c r="AK224" i="7"/>
  <c r="AK256" i="7"/>
  <c r="AM192" i="7"/>
  <c r="AM224" i="7"/>
  <c r="AM248" i="7"/>
  <c r="AK264" i="7"/>
  <c r="AM264" i="7"/>
  <c r="AK304" i="7"/>
  <c r="J150" i="7"/>
  <c r="K171" i="7"/>
  <c r="K180" i="7"/>
  <c r="K189" i="7"/>
  <c r="K260" i="7"/>
  <c r="L262" i="7" s="1"/>
  <c r="K203" i="7"/>
  <c r="K212" i="7"/>
  <c r="BY117" i="7"/>
  <c r="BT120" i="7"/>
  <c r="BW69" i="7"/>
  <c r="BP72" i="7"/>
  <c r="AO59" i="7"/>
  <c r="AQ59" i="7"/>
  <c r="AO55" i="7"/>
  <c r="AQ55" i="7"/>
  <c r="BT20" i="7"/>
  <c r="AS421" i="7"/>
  <c r="AS397" i="7"/>
  <c r="BR363" i="7"/>
  <c r="BV339" i="7"/>
  <c r="AS259" i="7"/>
  <c r="BP258" i="7"/>
  <c r="AM256" i="7"/>
  <c r="K253" i="7"/>
  <c r="BX243" i="7"/>
  <c r="AL238" i="7"/>
  <c r="AL230" i="7"/>
  <c r="K228" i="7"/>
  <c r="AK216" i="7"/>
  <c r="BX208" i="7"/>
  <c r="BX210" i="7"/>
  <c r="BR210" i="7"/>
  <c r="BV190" i="7"/>
  <c r="BZ187" i="7"/>
  <c r="AQ157" i="7"/>
  <c r="BT154" i="7"/>
  <c r="K304" i="7"/>
  <c r="K224" i="7"/>
  <c r="K78" i="7"/>
  <c r="K54" i="7"/>
  <c r="AU18" i="7"/>
  <c r="AS18" i="7"/>
  <c r="BP16" i="7"/>
  <c r="AQ14" i="7"/>
  <c r="BR443" i="7"/>
  <c r="BV431" i="7"/>
  <c r="BP431" i="7"/>
  <c r="J423" i="7"/>
  <c r="AO421" i="7"/>
  <c r="AQ421" i="7"/>
  <c r="BZ416" i="7"/>
  <c r="BV419" i="7"/>
  <c r="AQ406" i="7"/>
  <c r="AO402" i="7"/>
  <c r="AQ394" i="7"/>
  <c r="AU373" i="7"/>
  <c r="BW336" i="7"/>
  <c r="BP339" i="7"/>
  <c r="K318" i="7"/>
  <c r="BW295" i="7"/>
  <c r="K256" i="7"/>
  <c r="BZ254" i="7"/>
  <c r="BP246" i="7"/>
  <c r="BW243" i="7"/>
  <c r="AU236" i="7"/>
  <c r="K235" i="7"/>
  <c r="AQ229" i="7"/>
  <c r="K221" i="7"/>
  <c r="K216" i="7"/>
  <c r="AS213" i="7"/>
  <c r="BW208" i="7"/>
  <c r="AK208" i="7" s="1"/>
  <c r="BP210" i="7"/>
  <c r="BW199" i="7"/>
  <c r="BW197" i="7"/>
  <c r="BY190" i="7"/>
  <c r="BY187" i="7"/>
  <c r="BT190" i="7"/>
  <c r="BY183" i="7"/>
  <c r="BZ166" i="7"/>
  <c r="K119" i="7"/>
  <c r="BT52" i="7"/>
  <c r="BY49" i="7"/>
  <c r="AU47" i="7"/>
  <c r="AO39" i="7"/>
  <c r="BP443" i="7"/>
  <c r="BW440" i="7"/>
  <c r="BY416" i="7"/>
  <c r="BT419" i="7"/>
  <c r="AQ414" i="7"/>
  <c r="J411" i="7"/>
  <c r="BP363" i="7"/>
  <c r="AO361" i="7"/>
  <c r="BZ359" i="7"/>
  <c r="BV359" i="7"/>
  <c r="J351" i="7"/>
  <c r="BT339" i="7"/>
  <c r="BR335" i="7"/>
  <c r="K294" i="7"/>
  <c r="K276" i="7"/>
  <c r="AS267" i="7"/>
  <c r="BZ259" i="7"/>
  <c r="BV262" i="7"/>
  <c r="BR246" i="7"/>
  <c r="AU237" i="7"/>
  <c r="J218" i="7"/>
  <c r="AO213" i="7"/>
  <c r="AQ213" i="7"/>
  <c r="AN206" i="7"/>
  <c r="AL198" i="7"/>
  <c r="K196" i="7"/>
  <c r="BR190" i="7"/>
  <c r="BX187" i="7"/>
  <c r="BX183" i="7"/>
  <c r="BR186" i="7"/>
  <c r="BT166" i="7"/>
  <c r="K156" i="7"/>
  <c r="BR154" i="7"/>
  <c r="AU101" i="7"/>
  <c r="BZ66" i="7"/>
  <c r="BZ68" i="7"/>
  <c r="J68" i="7"/>
  <c r="AS53" i="7"/>
  <c r="AU53" i="7"/>
  <c r="K46" i="7"/>
  <c r="AU34" i="7"/>
  <c r="J24" i="7"/>
  <c r="BV8" i="7"/>
  <c r="BT431" i="7"/>
  <c r="BV395" i="7"/>
  <c r="AU353" i="7"/>
  <c r="BT278" i="7"/>
  <c r="K269" i="7"/>
  <c r="K261" i="7"/>
  <c r="BT262" i="7"/>
  <c r="AQ236" i="7"/>
  <c r="BX222" i="7"/>
  <c r="BR222" i="7"/>
  <c r="BP186" i="7"/>
  <c r="K172" i="7"/>
  <c r="AU164" i="7"/>
  <c r="AS127" i="7"/>
  <c r="AU127" i="7"/>
  <c r="AO111" i="7"/>
  <c r="AQ111" i="7"/>
  <c r="AO110" i="7"/>
  <c r="AU95" i="7"/>
  <c r="K94" i="7"/>
  <c r="AQ79" i="7"/>
  <c r="BP64" i="7"/>
  <c r="AS51" i="7"/>
  <c r="AN48" i="7"/>
  <c r="AS43" i="7"/>
  <c r="AU43" i="7"/>
  <c r="AS30" i="7"/>
  <c r="AU30" i="7"/>
  <c r="J16" i="7"/>
  <c r="BR12" i="7"/>
  <c r="AU426" i="7"/>
  <c r="J383" i="7"/>
  <c r="AQ378" i="7"/>
  <c r="BR371" i="7"/>
  <c r="AU346" i="7"/>
  <c r="AQ341" i="7"/>
  <c r="BR339" i="7"/>
  <c r="J306" i="7"/>
  <c r="AK248" i="7"/>
  <c r="BP222" i="7"/>
  <c r="BW219" i="7"/>
  <c r="AS204" i="7"/>
  <c r="K181" i="7"/>
  <c r="BX179" i="7"/>
  <c r="BR166" i="7"/>
  <c r="K126" i="7"/>
  <c r="BR120" i="7"/>
  <c r="AQ117" i="7"/>
  <c r="AL88" i="7"/>
  <c r="BY72" i="7"/>
  <c r="AU55" i="7"/>
  <c r="BZ53" i="7"/>
  <c r="BV56" i="7"/>
  <c r="AQ51" i="7"/>
  <c r="BP36" i="7"/>
  <c r="AQ34" i="7"/>
  <c r="AU22" i="7"/>
  <c r="BR431" i="7"/>
  <c r="BR419" i="7"/>
  <c r="AQ409" i="7"/>
  <c r="AU397" i="7"/>
  <c r="BT395" i="7"/>
  <c r="AS369" i="7"/>
  <c r="AN363" i="7"/>
  <c r="AQ358" i="7"/>
  <c r="AQ353" i="7"/>
  <c r="BY344" i="7"/>
  <c r="BT347" i="7"/>
  <c r="J322" i="7"/>
  <c r="BP306" i="7"/>
  <c r="AK280" i="7"/>
  <c r="BV278" i="7"/>
  <c r="BZ275" i="7"/>
  <c r="AM272" i="7"/>
  <c r="BR262" i="7"/>
  <c r="K248" i="7"/>
  <c r="BV246" i="7"/>
  <c r="BY242" i="7"/>
  <c r="BT242" i="7"/>
  <c r="K229" i="7"/>
  <c r="AO204" i="7"/>
  <c r="AQ204" i="7"/>
  <c r="BP182" i="7"/>
  <c r="BZ178" i="7"/>
  <c r="BV178" i="7"/>
  <c r="AN174" i="7"/>
  <c r="K163" i="7"/>
  <c r="AU157" i="7"/>
  <c r="BT136" i="7"/>
  <c r="BZ118" i="7"/>
  <c r="BV120" i="7"/>
  <c r="BZ102" i="7"/>
  <c r="BV104" i="7"/>
  <c r="AQ95" i="7"/>
  <c r="BT88" i="7"/>
  <c r="AL80" i="7"/>
  <c r="BR72" i="7"/>
  <c r="J72" i="7"/>
  <c r="AU62" i="7"/>
  <c r="AQ61" i="7"/>
  <c r="K38" i="7"/>
  <c r="BP12" i="7"/>
  <c r="AU421" i="7"/>
  <c r="BY415" i="7"/>
  <c r="BT415" i="7"/>
  <c r="BZ376" i="7"/>
  <c r="BV379" i="7"/>
  <c r="AL363" i="7"/>
  <c r="BR347" i="7"/>
  <c r="BX344" i="7"/>
  <c r="AN339" i="7"/>
  <c r="AM304" i="7"/>
  <c r="AK272" i="7"/>
  <c r="BV214" i="7"/>
  <c r="BZ211" i="7"/>
  <c r="AU204" i="7"/>
  <c r="BT178" i="7"/>
  <c r="BP120" i="7"/>
  <c r="AU26" i="7"/>
  <c r="BX384" i="7"/>
  <c r="BX387" i="7"/>
  <c r="BT322" i="7"/>
  <c r="K177" i="7"/>
  <c r="J132" i="7"/>
  <c r="BT96" i="7"/>
  <c r="BX93" i="7"/>
  <c r="BP88" i="7"/>
  <c r="BY36" i="7"/>
  <c r="AQ30" i="7"/>
  <c r="BR8" i="7"/>
  <c r="J314" i="7"/>
  <c r="BV222" i="7"/>
  <c r="K35" i="7"/>
  <c r="BR36" i="7"/>
  <c r="AU14" i="7"/>
  <c r="K245" i="7"/>
  <c r="BR96" i="7"/>
  <c r="K77" i="7"/>
  <c r="J80" i="7"/>
  <c r="BT68" i="7"/>
  <c r="AO43" i="7"/>
  <c r="BT8" i="7"/>
  <c r="AN16" i="7"/>
  <c r="BP8" i="7"/>
  <c r="BV154" i="7"/>
  <c r="AL24" i="7"/>
  <c r="AL166" i="7"/>
  <c r="M5" i="4"/>
  <c r="T5" i="4"/>
  <c r="U5" i="4"/>
  <c r="V5" i="4"/>
  <c r="W5" i="4"/>
  <c r="X5" i="4"/>
  <c r="C6" i="4"/>
  <c r="M6" i="4"/>
  <c r="T6" i="4"/>
  <c r="C7" i="4"/>
  <c r="M7" i="4"/>
  <c r="T7" i="4"/>
  <c r="C8" i="4"/>
  <c r="M8" i="4"/>
  <c r="T8" i="4"/>
  <c r="C9" i="4"/>
  <c r="M9" i="4"/>
  <c r="T9" i="4"/>
  <c r="C10" i="4"/>
  <c r="M10" i="4"/>
  <c r="T10" i="4"/>
  <c r="C11" i="4"/>
  <c r="M11" i="4"/>
  <c r="T11" i="4"/>
  <c r="C12" i="4"/>
  <c r="M12" i="4"/>
  <c r="T12" i="4"/>
  <c r="C13" i="4"/>
  <c r="M13" i="4"/>
  <c r="T13" i="4"/>
  <c r="C14" i="4"/>
  <c r="M14" i="4"/>
  <c r="T14" i="4"/>
  <c r="C15" i="4"/>
  <c r="M15" i="4"/>
  <c r="T15" i="4"/>
  <c r="C16" i="4"/>
  <c r="M16" i="4"/>
  <c r="T16" i="4"/>
  <c r="C17" i="4"/>
  <c r="M17" i="4"/>
  <c r="T17" i="4"/>
  <c r="C18" i="4"/>
  <c r="M18" i="4"/>
  <c r="T18" i="4"/>
  <c r="U18" i="4"/>
  <c r="V18" i="4"/>
  <c r="W18" i="4"/>
  <c r="X18" i="4"/>
  <c r="C19" i="4"/>
  <c r="M19" i="4"/>
  <c r="T19" i="4"/>
  <c r="C20" i="4"/>
  <c r="M20" i="4"/>
  <c r="T20" i="4"/>
  <c r="U20" i="4"/>
  <c r="V20" i="4"/>
  <c r="W20" i="4"/>
  <c r="X20" i="4"/>
  <c r="C21" i="4"/>
  <c r="M21" i="4"/>
  <c r="T21" i="4"/>
  <c r="C22" i="4"/>
  <c r="M22" i="4"/>
  <c r="T22" i="4"/>
  <c r="C23" i="4"/>
  <c r="M23" i="4"/>
  <c r="T23" i="4"/>
  <c r="U23" i="4"/>
  <c r="V23" i="4"/>
  <c r="W23" i="4"/>
  <c r="X23" i="4"/>
  <c r="C24" i="4"/>
  <c r="M24" i="4"/>
  <c r="T24" i="4"/>
  <c r="C25" i="4"/>
  <c r="M25" i="4"/>
  <c r="T25" i="4"/>
  <c r="U25" i="4"/>
  <c r="V25" i="4"/>
  <c r="W25" i="4"/>
  <c r="X25" i="4"/>
  <c r="C26" i="4"/>
  <c r="M26" i="4"/>
  <c r="T26" i="4"/>
  <c r="C27" i="4"/>
  <c r="M27" i="4"/>
  <c r="T27" i="4"/>
  <c r="C28" i="4"/>
  <c r="M28" i="4"/>
  <c r="T28" i="4"/>
  <c r="U28" i="4"/>
  <c r="V28" i="4"/>
  <c r="W28" i="4"/>
  <c r="X28" i="4"/>
  <c r="C29" i="4"/>
  <c r="M29" i="4"/>
  <c r="T29" i="4"/>
  <c r="C30" i="4"/>
  <c r="M30" i="4"/>
  <c r="T30" i="4"/>
  <c r="U30" i="4"/>
  <c r="V30" i="4"/>
  <c r="W30" i="4"/>
  <c r="X30" i="4"/>
  <c r="C31" i="4"/>
  <c r="M31" i="4"/>
  <c r="T31" i="4"/>
  <c r="C32" i="4"/>
  <c r="M32" i="4"/>
  <c r="T32" i="4"/>
  <c r="C33" i="4"/>
  <c r="M33" i="4"/>
  <c r="T33" i="4"/>
  <c r="U33" i="4"/>
  <c r="V33" i="4"/>
  <c r="W33" i="4"/>
  <c r="X33" i="4"/>
  <c r="C34" i="4"/>
  <c r="M34" i="4"/>
  <c r="T34" i="4"/>
  <c r="C35" i="4"/>
  <c r="M35" i="4"/>
  <c r="T35" i="4"/>
  <c r="U35" i="4"/>
  <c r="V35" i="4"/>
  <c r="W35" i="4"/>
  <c r="X35" i="4"/>
  <c r="C36" i="4"/>
  <c r="M36" i="4"/>
  <c r="T36" i="4"/>
  <c r="C37" i="4"/>
  <c r="M37" i="4"/>
  <c r="T37" i="4"/>
  <c r="C38" i="4"/>
  <c r="M38" i="4"/>
  <c r="T38" i="4"/>
  <c r="U38" i="4"/>
  <c r="V38" i="4"/>
  <c r="W38" i="4"/>
  <c r="X38" i="4"/>
  <c r="C39" i="4"/>
  <c r="M39" i="4"/>
  <c r="T39" i="4"/>
  <c r="C40" i="4"/>
  <c r="M40" i="4"/>
  <c r="T40" i="4"/>
  <c r="U40" i="4"/>
  <c r="V40" i="4"/>
  <c r="W40" i="4"/>
  <c r="X40" i="4"/>
  <c r="C41" i="4"/>
  <c r="M41" i="4"/>
  <c r="T41" i="4"/>
  <c r="C42" i="4"/>
  <c r="M42" i="4"/>
  <c r="T42" i="4"/>
  <c r="C43" i="4"/>
  <c r="M43" i="4"/>
  <c r="T43" i="4"/>
  <c r="U43" i="4"/>
  <c r="V43" i="4"/>
  <c r="W43" i="4"/>
  <c r="X43" i="4"/>
  <c r="C44" i="4"/>
  <c r="M44" i="4"/>
  <c r="T44" i="4"/>
  <c r="C45" i="4"/>
  <c r="M45" i="4"/>
  <c r="T45" i="4"/>
  <c r="U45" i="4"/>
  <c r="V45" i="4"/>
  <c r="W45" i="4"/>
  <c r="X45" i="4"/>
  <c r="C46" i="4"/>
  <c r="M46" i="4"/>
  <c r="T46" i="4"/>
  <c r="C47" i="4"/>
  <c r="M47" i="4"/>
  <c r="T47" i="4"/>
  <c r="U47" i="4"/>
  <c r="V47" i="4"/>
  <c r="W47" i="4"/>
  <c r="X47" i="4"/>
  <c r="C48" i="4"/>
  <c r="M48" i="4"/>
  <c r="T48" i="4"/>
  <c r="C49" i="4"/>
  <c r="M49" i="4"/>
  <c r="T49" i="4"/>
  <c r="U49" i="4"/>
  <c r="V49" i="4"/>
  <c r="W49" i="4"/>
  <c r="X49" i="4"/>
  <c r="C50" i="4"/>
  <c r="M50" i="4"/>
  <c r="T50" i="4"/>
  <c r="C51" i="4"/>
  <c r="M51" i="4"/>
  <c r="T51" i="4"/>
  <c r="C52" i="4"/>
  <c r="M52" i="4"/>
  <c r="T52" i="4"/>
  <c r="U52" i="4"/>
  <c r="V52" i="4"/>
  <c r="W52" i="4"/>
  <c r="X52" i="4"/>
  <c r="C53" i="4"/>
  <c r="M53" i="4"/>
  <c r="T53" i="4"/>
  <c r="C54" i="4"/>
  <c r="M54" i="4"/>
  <c r="T54" i="4"/>
  <c r="U54" i="4"/>
  <c r="V54" i="4"/>
  <c r="W54" i="4"/>
  <c r="X54" i="4"/>
  <c r="C55" i="4"/>
  <c r="M55" i="4"/>
  <c r="T55" i="4"/>
  <c r="C56" i="4"/>
  <c r="M56" i="4"/>
  <c r="T56" i="4"/>
  <c r="C57" i="4"/>
  <c r="M57" i="4"/>
  <c r="T57" i="4"/>
  <c r="C58" i="4"/>
  <c r="C59" i="4"/>
  <c r="U59" i="4"/>
  <c r="V59" i="4"/>
  <c r="W59" i="4"/>
  <c r="X59" i="4"/>
  <c r="C60" i="4"/>
  <c r="M60" i="4"/>
  <c r="T60" i="4"/>
  <c r="C61" i="4"/>
  <c r="M61" i="4"/>
  <c r="T61" i="4"/>
  <c r="C62" i="4"/>
  <c r="M62" i="4"/>
  <c r="T62" i="4"/>
  <c r="U62" i="4"/>
  <c r="V62" i="4"/>
  <c r="W62" i="4"/>
  <c r="X62" i="4"/>
  <c r="C63" i="4"/>
  <c r="M63" i="4"/>
  <c r="T63" i="4"/>
  <c r="C64" i="4"/>
  <c r="M64" i="4"/>
  <c r="T64" i="4"/>
  <c r="U64" i="4"/>
  <c r="V64" i="4"/>
  <c r="W64" i="4"/>
  <c r="X64" i="4"/>
  <c r="C65" i="4"/>
  <c r="M65" i="4"/>
  <c r="T65" i="4"/>
  <c r="C66" i="4"/>
  <c r="M66" i="4"/>
  <c r="T66" i="4"/>
  <c r="C67" i="4"/>
  <c r="M67" i="4"/>
  <c r="T67" i="4"/>
  <c r="U67" i="4"/>
  <c r="V67" i="4"/>
  <c r="W67" i="4"/>
  <c r="X67" i="4"/>
  <c r="C68" i="4"/>
  <c r="M68" i="4"/>
  <c r="T68" i="4"/>
  <c r="C69" i="4"/>
  <c r="M69" i="4"/>
  <c r="T69" i="4"/>
  <c r="U69" i="4"/>
  <c r="V69" i="4"/>
  <c r="W69" i="4"/>
  <c r="X69" i="4"/>
  <c r="C70" i="4"/>
  <c r="M70" i="4"/>
  <c r="T70" i="4"/>
  <c r="C71" i="4"/>
  <c r="M71" i="4"/>
  <c r="T71" i="4"/>
  <c r="C72" i="4"/>
  <c r="M72" i="4"/>
  <c r="T72" i="4"/>
  <c r="U72" i="4"/>
  <c r="V72" i="4"/>
  <c r="W72" i="4"/>
  <c r="X72" i="4"/>
  <c r="C73" i="4"/>
  <c r="M73" i="4"/>
  <c r="T73" i="4"/>
  <c r="C74" i="4"/>
  <c r="M74" i="4"/>
  <c r="T74" i="4"/>
  <c r="U74" i="4"/>
  <c r="V74" i="4"/>
  <c r="W74" i="4"/>
  <c r="X74" i="4"/>
  <c r="C75" i="4"/>
  <c r="M75" i="4"/>
  <c r="T75" i="4"/>
  <c r="C76" i="4"/>
  <c r="M76" i="4"/>
  <c r="T76" i="4"/>
  <c r="C77" i="4"/>
  <c r="M77" i="4"/>
  <c r="T77" i="4"/>
  <c r="U77" i="4"/>
  <c r="V77" i="4"/>
  <c r="W77" i="4"/>
  <c r="X77" i="4"/>
  <c r="C78" i="4"/>
  <c r="M78" i="4"/>
  <c r="T78" i="4"/>
  <c r="C79" i="4"/>
  <c r="U79" i="4"/>
  <c r="V79" i="4"/>
  <c r="W79" i="4"/>
  <c r="X79" i="4"/>
  <c r="C80" i="4"/>
  <c r="M80" i="4"/>
  <c r="T80" i="4"/>
  <c r="C81" i="4"/>
  <c r="M81" i="4"/>
  <c r="T81" i="4"/>
  <c r="C82" i="4"/>
  <c r="M82" i="4"/>
  <c r="T82" i="4"/>
  <c r="U82" i="4"/>
  <c r="V82" i="4"/>
  <c r="W82" i="4"/>
  <c r="X82" i="4"/>
  <c r="C83" i="4"/>
  <c r="M83" i="4"/>
  <c r="T83" i="4"/>
  <c r="C84" i="4"/>
  <c r="M84" i="4"/>
  <c r="T84" i="4"/>
  <c r="U84" i="4"/>
  <c r="V84" i="4"/>
  <c r="W84" i="4"/>
  <c r="X84" i="4"/>
  <c r="C85" i="4"/>
  <c r="M85" i="4"/>
  <c r="T85" i="4"/>
  <c r="C86" i="4"/>
  <c r="M86" i="4"/>
  <c r="T86" i="4"/>
  <c r="C87" i="4"/>
  <c r="M87" i="4"/>
  <c r="T87" i="4"/>
  <c r="U87" i="4"/>
  <c r="V87" i="4"/>
  <c r="W87" i="4"/>
  <c r="X87" i="4"/>
  <c r="C88" i="4"/>
  <c r="M88" i="4"/>
  <c r="T88" i="4"/>
  <c r="C89" i="4"/>
  <c r="M89" i="4"/>
  <c r="T89" i="4"/>
  <c r="U89" i="4"/>
  <c r="V89" i="4"/>
  <c r="W89" i="4"/>
  <c r="X89" i="4"/>
  <c r="C90" i="4"/>
  <c r="M90" i="4"/>
  <c r="T90" i="4"/>
  <c r="C91" i="4"/>
  <c r="M91" i="4"/>
  <c r="T91" i="4"/>
  <c r="C92" i="4"/>
  <c r="M92" i="4"/>
  <c r="T92" i="4"/>
  <c r="U92" i="4"/>
  <c r="V92" i="4"/>
  <c r="W92" i="4"/>
  <c r="X92" i="4"/>
  <c r="C93" i="4"/>
  <c r="M93" i="4"/>
  <c r="C94" i="4"/>
  <c r="M94" i="4"/>
  <c r="T94" i="4"/>
  <c r="U94" i="4"/>
  <c r="V94" i="4"/>
  <c r="W94" i="4"/>
  <c r="X94" i="4"/>
  <c r="C95" i="4"/>
  <c r="M95" i="4"/>
  <c r="T95" i="4"/>
  <c r="C96" i="4"/>
  <c r="M96" i="4"/>
  <c r="T96" i="4"/>
  <c r="C97" i="4"/>
  <c r="M97" i="4"/>
  <c r="T97" i="4"/>
  <c r="C98" i="4"/>
  <c r="M98" i="4"/>
  <c r="T98" i="4"/>
  <c r="C99" i="4"/>
  <c r="M99" i="4"/>
  <c r="T99" i="4"/>
  <c r="C100" i="4"/>
  <c r="M100" i="4"/>
  <c r="T100" i="4"/>
  <c r="U100" i="4"/>
  <c r="V100" i="4"/>
  <c r="W100" i="4"/>
  <c r="X100" i="4"/>
  <c r="C101" i="4"/>
  <c r="M101" i="4"/>
  <c r="T101" i="4"/>
  <c r="C102" i="4"/>
  <c r="M102" i="4"/>
  <c r="T102" i="4"/>
  <c r="C103" i="4"/>
  <c r="M103" i="4"/>
  <c r="T103" i="4"/>
  <c r="U103" i="4"/>
  <c r="V103" i="4"/>
  <c r="W103" i="4"/>
  <c r="X103" i="4"/>
  <c r="C104" i="4"/>
  <c r="M104" i="4"/>
  <c r="T104" i="4"/>
  <c r="C105" i="4"/>
  <c r="M105" i="4"/>
  <c r="T105" i="4"/>
  <c r="U105" i="4"/>
  <c r="V105" i="4"/>
  <c r="W105" i="4"/>
  <c r="X105" i="4"/>
  <c r="C106" i="4"/>
  <c r="C107" i="4"/>
  <c r="M107" i="4"/>
  <c r="T107" i="4"/>
  <c r="C108" i="4"/>
  <c r="M108" i="4"/>
  <c r="T108" i="4"/>
  <c r="U108" i="4"/>
  <c r="V108" i="4"/>
  <c r="W108" i="4"/>
  <c r="X108" i="4"/>
  <c r="C109" i="4"/>
  <c r="M109" i="4"/>
  <c r="T109" i="4"/>
  <c r="C110" i="4"/>
  <c r="M110" i="4"/>
  <c r="T110" i="4"/>
  <c r="U110" i="4"/>
  <c r="V110" i="4"/>
  <c r="W110" i="4"/>
  <c r="X110" i="4"/>
  <c r="C111" i="4"/>
  <c r="M111" i="4"/>
  <c r="T111" i="4"/>
  <c r="C112" i="4"/>
  <c r="M112" i="4"/>
  <c r="T112" i="4"/>
  <c r="C113" i="4"/>
  <c r="M113" i="4"/>
  <c r="T113" i="4"/>
  <c r="U113" i="4"/>
  <c r="V113" i="4"/>
  <c r="W113" i="4"/>
  <c r="X113" i="4"/>
  <c r="C114" i="4"/>
  <c r="M114" i="4"/>
  <c r="T114" i="4"/>
  <c r="C115" i="4"/>
  <c r="M115" i="4"/>
  <c r="T115" i="4"/>
  <c r="U115" i="4"/>
  <c r="V115" i="4"/>
  <c r="W115" i="4"/>
  <c r="X115" i="4"/>
  <c r="C116" i="4"/>
  <c r="M116" i="4"/>
  <c r="T116" i="4"/>
  <c r="C117" i="4"/>
  <c r="M117" i="4"/>
  <c r="T117" i="4"/>
  <c r="C118" i="4"/>
  <c r="M118" i="4"/>
  <c r="T118" i="4"/>
  <c r="U118" i="4"/>
  <c r="V118" i="4"/>
  <c r="W118" i="4"/>
  <c r="X118" i="4"/>
  <c r="C119" i="4"/>
  <c r="M119" i="4"/>
  <c r="T119" i="4"/>
  <c r="C120" i="4"/>
  <c r="C121" i="4"/>
  <c r="M121" i="4"/>
  <c r="T121" i="4"/>
  <c r="C122" i="4"/>
  <c r="M122" i="4"/>
  <c r="C123" i="4"/>
  <c r="M123" i="4"/>
  <c r="T123" i="4"/>
  <c r="U123" i="4"/>
  <c r="V123" i="4"/>
  <c r="W123" i="4"/>
  <c r="X123" i="4"/>
  <c r="C124" i="4"/>
  <c r="M124" i="4"/>
  <c r="T124" i="4"/>
  <c r="C125" i="4"/>
  <c r="M125" i="4"/>
  <c r="T125" i="4"/>
  <c r="U125" i="4"/>
  <c r="V125" i="4"/>
  <c r="W125" i="4"/>
  <c r="X125" i="4"/>
  <c r="C126" i="4"/>
  <c r="M126" i="4"/>
  <c r="T126" i="4"/>
  <c r="C127" i="4"/>
  <c r="M127" i="4"/>
  <c r="C128" i="4"/>
  <c r="M128" i="4"/>
  <c r="T128" i="4"/>
  <c r="U128" i="4"/>
  <c r="V128" i="4"/>
  <c r="W128" i="4"/>
  <c r="X128" i="4"/>
  <c r="C129" i="4"/>
  <c r="M129" i="4"/>
  <c r="T129" i="4"/>
  <c r="C130" i="4"/>
  <c r="M130" i="4"/>
  <c r="T130" i="4"/>
  <c r="U130" i="4"/>
  <c r="V130" i="4"/>
  <c r="W130" i="4"/>
  <c r="X130" i="4"/>
  <c r="C131" i="4"/>
  <c r="M131" i="4"/>
  <c r="T131" i="4"/>
  <c r="C132" i="4"/>
  <c r="M132" i="4"/>
  <c r="T132" i="4"/>
  <c r="C133" i="4"/>
  <c r="M133" i="4"/>
  <c r="T133" i="4"/>
  <c r="U133" i="4"/>
  <c r="V133" i="4"/>
  <c r="W133" i="4"/>
  <c r="X133" i="4"/>
  <c r="C134" i="4"/>
  <c r="M134" i="4"/>
  <c r="T134" i="4"/>
  <c r="C135" i="4"/>
  <c r="M135" i="4"/>
  <c r="T135" i="4"/>
  <c r="U135" i="4"/>
  <c r="V135" i="4"/>
  <c r="W135" i="4"/>
  <c r="X135" i="4"/>
  <c r="C136" i="4"/>
  <c r="M136" i="4"/>
  <c r="T136" i="4"/>
  <c r="C137" i="4"/>
  <c r="M137" i="4"/>
  <c r="T137" i="4"/>
  <c r="C138" i="4"/>
  <c r="M138" i="4"/>
  <c r="T138" i="4"/>
  <c r="U138" i="4"/>
  <c r="V138" i="4"/>
  <c r="W138" i="4"/>
  <c r="X138" i="4"/>
  <c r="C139" i="4"/>
  <c r="C140" i="4"/>
  <c r="C141" i="4"/>
  <c r="M141" i="4"/>
  <c r="T141" i="4"/>
  <c r="C142" i="4"/>
  <c r="M142" i="4"/>
  <c r="T142" i="4"/>
  <c r="C143" i="4"/>
  <c r="M143" i="4"/>
  <c r="T143" i="4"/>
  <c r="U143" i="4"/>
  <c r="V143" i="4"/>
  <c r="W143" i="4"/>
  <c r="X143" i="4"/>
  <c r="C144" i="4"/>
  <c r="M144" i="4"/>
  <c r="T144" i="4"/>
  <c r="C145" i="4"/>
  <c r="M145" i="4"/>
  <c r="T145" i="4"/>
  <c r="U145" i="4"/>
  <c r="V145" i="4"/>
  <c r="W145" i="4"/>
  <c r="X145" i="4"/>
  <c r="C146" i="4"/>
  <c r="M146" i="4"/>
  <c r="T146" i="4"/>
  <c r="C147" i="4"/>
  <c r="M147" i="4"/>
  <c r="T147" i="4"/>
  <c r="C148" i="4"/>
  <c r="M148" i="4"/>
  <c r="T148" i="4"/>
  <c r="U148" i="4"/>
  <c r="V148" i="4"/>
  <c r="W148" i="4"/>
  <c r="X148" i="4"/>
  <c r="C149" i="4"/>
  <c r="M149" i="4"/>
  <c r="T149" i="4"/>
  <c r="C150" i="4"/>
  <c r="M150" i="4"/>
  <c r="T150" i="4"/>
  <c r="U150" i="4"/>
  <c r="V150" i="4"/>
  <c r="W150" i="4"/>
  <c r="X150" i="4"/>
  <c r="C151" i="4"/>
  <c r="M151" i="4"/>
  <c r="T151" i="4"/>
  <c r="C152" i="4"/>
  <c r="E152" i="4"/>
  <c r="M152" i="4"/>
  <c r="T152" i="4"/>
  <c r="U152" i="4"/>
  <c r="V152" i="4"/>
  <c r="W152" i="4"/>
  <c r="X152" i="4"/>
  <c r="C153" i="4"/>
  <c r="M153" i="4"/>
  <c r="T153" i="4"/>
  <c r="C154" i="4"/>
  <c r="M154" i="4"/>
  <c r="T154" i="4"/>
  <c r="U154" i="4"/>
  <c r="V154" i="4"/>
  <c r="W154" i="4"/>
  <c r="X154" i="4"/>
  <c r="C155" i="4"/>
  <c r="T108" i="3"/>
  <c r="M108" i="3"/>
  <c r="C108" i="3"/>
  <c r="X107" i="3"/>
  <c r="W107" i="3"/>
  <c r="V107" i="3"/>
  <c r="U107" i="3"/>
  <c r="T107" i="3"/>
  <c r="M107" i="3"/>
  <c r="C107" i="3"/>
  <c r="T106" i="3"/>
  <c r="M106" i="3"/>
  <c r="C106" i="3"/>
  <c r="X105" i="3"/>
  <c r="W105" i="3"/>
  <c r="V105" i="3"/>
  <c r="U105" i="3"/>
  <c r="T105" i="3"/>
  <c r="M105" i="3"/>
  <c r="C105" i="3"/>
  <c r="T104" i="3"/>
  <c r="M104" i="3"/>
  <c r="C104" i="3"/>
  <c r="T103" i="3"/>
  <c r="M103" i="3"/>
  <c r="C103" i="3"/>
  <c r="X102" i="3"/>
  <c r="W102" i="3"/>
  <c r="V102" i="3"/>
  <c r="U102" i="3"/>
  <c r="T102" i="3"/>
  <c r="M102" i="3"/>
  <c r="C102" i="3"/>
  <c r="T101" i="3"/>
  <c r="M101" i="3"/>
  <c r="C101" i="3"/>
  <c r="X100" i="3"/>
  <c r="W100" i="3"/>
  <c r="V100" i="3"/>
  <c r="U100" i="3"/>
  <c r="T100" i="3"/>
  <c r="M100" i="3"/>
  <c r="C100" i="3"/>
  <c r="T99" i="3"/>
  <c r="M99" i="3"/>
  <c r="C99" i="3"/>
  <c r="T98" i="3"/>
  <c r="M98" i="3"/>
  <c r="C98" i="3"/>
  <c r="X97" i="3"/>
  <c r="W97" i="3"/>
  <c r="V97" i="3"/>
  <c r="U97" i="3"/>
  <c r="T97" i="3"/>
  <c r="M97" i="3"/>
  <c r="C97" i="3"/>
  <c r="T96" i="3"/>
  <c r="M96" i="3"/>
  <c r="C96" i="3"/>
  <c r="X95" i="3"/>
  <c r="W95" i="3"/>
  <c r="V95" i="3"/>
  <c r="U95" i="3"/>
  <c r="T95" i="3"/>
  <c r="M95" i="3"/>
  <c r="C95" i="3"/>
  <c r="T94" i="3"/>
  <c r="M94" i="3"/>
  <c r="C94" i="3"/>
  <c r="T93" i="3"/>
  <c r="M93" i="3"/>
  <c r="C93" i="3"/>
  <c r="X92" i="3"/>
  <c r="W92" i="3"/>
  <c r="V92" i="3"/>
  <c r="U92" i="3"/>
  <c r="T92" i="3"/>
  <c r="M92" i="3"/>
  <c r="C92" i="3"/>
  <c r="T91" i="3"/>
  <c r="M91" i="3"/>
  <c r="C91" i="3"/>
  <c r="X90" i="3"/>
  <c r="W90" i="3"/>
  <c r="V90" i="3"/>
  <c r="U90" i="3"/>
  <c r="T90" i="3"/>
  <c r="M90" i="3"/>
  <c r="C90" i="3"/>
  <c r="T89" i="3"/>
  <c r="M89" i="3"/>
  <c r="C89" i="3"/>
  <c r="T88" i="3"/>
  <c r="M88" i="3"/>
  <c r="C88" i="3"/>
  <c r="X87" i="3"/>
  <c r="W87" i="3"/>
  <c r="V87" i="3"/>
  <c r="U87" i="3"/>
  <c r="T87" i="3"/>
  <c r="M87" i="3"/>
  <c r="C87" i="3"/>
  <c r="T86" i="3"/>
  <c r="M86" i="3"/>
  <c r="C86" i="3"/>
  <c r="X85" i="3"/>
  <c r="W85" i="3"/>
  <c r="V85" i="3"/>
  <c r="U85" i="3"/>
  <c r="T85" i="3"/>
  <c r="M85" i="3"/>
  <c r="C85" i="3"/>
  <c r="T84" i="3"/>
  <c r="M84" i="3"/>
  <c r="C84" i="3"/>
  <c r="T83" i="3"/>
  <c r="M83" i="3"/>
  <c r="C83" i="3"/>
  <c r="X82" i="3"/>
  <c r="W82" i="3"/>
  <c r="V82" i="3"/>
  <c r="U82" i="3"/>
  <c r="T82" i="3"/>
  <c r="M82" i="3"/>
  <c r="C82" i="3"/>
  <c r="T81" i="3"/>
  <c r="M81" i="3"/>
  <c r="C81" i="3"/>
  <c r="X80" i="3"/>
  <c r="W80" i="3"/>
  <c r="V80" i="3"/>
  <c r="U80" i="3"/>
  <c r="T80" i="3"/>
  <c r="M80" i="3"/>
  <c r="C80" i="3"/>
  <c r="T79" i="3"/>
  <c r="M79" i="3"/>
  <c r="C79" i="3"/>
  <c r="T78" i="3"/>
  <c r="M78" i="3"/>
  <c r="C78" i="3"/>
  <c r="T77" i="3"/>
  <c r="M77" i="3"/>
  <c r="C77" i="3"/>
  <c r="T76" i="3"/>
  <c r="M76" i="3"/>
  <c r="C76" i="3"/>
  <c r="X75" i="3"/>
  <c r="W75" i="3"/>
  <c r="V75" i="3"/>
  <c r="U75" i="3"/>
  <c r="T75" i="3"/>
  <c r="M75" i="3"/>
  <c r="C75" i="3"/>
  <c r="T74" i="3"/>
  <c r="M74" i="3"/>
  <c r="C74" i="3"/>
  <c r="X73" i="3"/>
  <c r="W73" i="3"/>
  <c r="V73" i="3"/>
  <c r="U73" i="3"/>
  <c r="T73" i="3"/>
  <c r="M73" i="3"/>
  <c r="F73" i="3"/>
  <c r="C73" i="3"/>
  <c r="T72" i="3"/>
  <c r="M72" i="3"/>
  <c r="C72" i="3"/>
  <c r="X71" i="3"/>
  <c r="W71" i="3"/>
  <c r="V71" i="3"/>
  <c r="U71" i="3"/>
  <c r="T71" i="3"/>
  <c r="M71" i="3"/>
  <c r="C71" i="3"/>
  <c r="T70" i="3"/>
  <c r="M70" i="3"/>
  <c r="C70" i="3"/>
  <c r="X69" i="3"/>
  <c r="W69" i="3"/>
  <c r="V69" i="3"/>
  <c r="U69" i="3"/>
  <c r="T69" i="3"/>
  <c r="M69" i="3"/>
  <c r="C69" i="3"/>
  <c r="T68" i="3"/>
  <c r="M68" i="3"/>
  <c r="C68" i="3"/>
  <c r="T67" i="3"/>
  <c r="M67" i="3"/>
  <c r="C67" i="3"/>
  <c r="X66" i="3"/>
  <c r="W66" i="3"/>
  <c r="V66" i="3"/>
  <c r="U66" i="3"/>
  <c r="T66" i="3"/>
  <c r="M66" i="3"/>
  <c r="C66" i="3"/>
  <c r="T65" i="3"/>
  <c r="M65" i="3"/>
  <c r="C65" i="3"/>
  <c r="X64" i="3"/>
  <c r="W64" i="3"/>
  <c r="V64" i="3"/>
  <c r="U64" i="3"/>
  <c r="T64" i="3"/>
  <c r="M64" i="3"/>
  <c r="C64" i="3"/>
  <c r="T63" i="3"/>
  <c r="M63" i="3"/>
  <c r="C63" i="3"/>
  <c r="T62" i="3"/>
  <c r="M62" i="3"/>
  <c r="C62" i="3"/>
  <c r="C61" i="3"/>
  <c r="T60" i="3"/>
  <c r="M60" i="3"/>
  <c r="C60" i="3"/>
  <c r="X59" i="3"/>
  <c r="W59" i="3"/>
  <c r="V59" i="3"/>
  <c r="U59" i="3"/>
  <c r="T59" i="3"/>
  <c r="M59" i="3"/>
  <c r="C59" i="3"/>
  <c r="T58" i="3"/>
  <c r="M58" i="3"/>
  <c r="C58" i="3"/>
  <c r="T57" i="3"/>
  <c r="M57" i="3"/>
  <c r="C57" i="3"/>
  <c r="X56" i="3"/>
  <c r="W56" i="3"/>
  <c r="V56" i="3"/>
  <c r="U56" i="3"/>
  <c r="T56" i="3"/>
  <c r="M56" i="3"/>
  <c r="C56" i="3"/>
  <c r="T55" i="3"/>
  <c r="M55" i="3"/>
  <c r="C55" i="3"/>
  <c r="X54" i="3"/>
  <c r="W54" i="3"/>
  <c r="V54" i="3"/>
  <c r="U54" i="3"/>
  <c r="T54" i="3"/>
  <c r="M54" i="3"/>
  <c r="C54" i="3"/>
  <c r="T53" i="3"/>
  <c r="M53" i="3"/>
  <c r="C53" i="3"/>
  <c r="T52" i="3"/>
  <c r="M52" i="3"/>
  <c r="C52" i="3"/>
  <c r="X51" i="3"/>
  <c r="W51" i="3"/>
  <c r="V51" i="3"/>
  <c r="U51" i="3"/>
  <c r="T51" i="3"/>
  <c r="M51" i="3"/>
  <c r="C51" i="3"/>
  <c r="T50" i="3"/>
  <c r="M50" i="3"/>
  <c r="C50" i="3"/>
  <c r="X49" i="3"/>
  <c r="W49" i="3"/>
  <c r="V49" i="3"/>
  <c r="U49" i="3"/>
  <c r="T49" i="3"/>
  <c r="M49" i="3"/>
  <c r="C49" i="3"/>
  <c r="T48" i="3"/>
  <c r="M48" i="3"/>
  <c r="C48" i="3"/>
  <c r="T47" i="3"/>
  <c r="M47" i="3"/>
  <c r="C47" i="3"/>
  <c r="X46" i="3"/>
  <c r="W46" i="3"/>
  <c r="V46" i="3"/>
  <c r="U46" i="3"/>
  <c r="T46" i="3"/>
  <c r="M46" i="3"/>
  <c r="C46" i="3"/>
  <c r="T45" i="3"/>
  <c r="M45" i="3"/>
  <c r="C45" i="3"/>
  <c r="X44" i="3"/>
  <c r="W44" i="3"/>
  <c r="V44" i="3"/>
  <c r="U44" i="3"/>
  <c r="T44" i="3"/>
  <c r="C44" i="3"/>
  <c r="T43" i="3"/>
  <c r="C43" i="3"/>
  <c r="T42" i="3"/>
  <c r="C42" i="3"/>
  <c r="C41" i="3"/>
  <c r="T40" i="3"/>
  <c r="M40" i="3"/>
  <c r="C40" i="3"/>
  <c r="X39" i="3"/>
  <c r="W39" i="3"/>
  <c r="V39" i="3"/>
  <c r="U39" i="3"/>
  <c r="T39" i="3"/>
  <c r="M39" i="3"/>
  <c r="C39" i="3"/>
  <c r="T38" i="3"/>
  <c r="M38" i="3"/>
  <c r="C38" i="3"/>
  <c r="T37" i="3"/>
  <c r="M37" i="3"/>
  <c r="C37" i="3"/>
  <c r="X36" i="3"/>
  <c r="W36" i="3"/>
  <c r="V36" i="3"/>
  <c r="U36" i="3"/>
  <c r="T36" i="3"/>
  <c r="M36" i="3"/>
  <c r="C36" i="3"/>
  <c r="T35" i="3"/>
  <c r="M35" i="3"/>
  <c r="C35" i="3"/>
  <c r="X34" i="3"/>
  <c r="W34" i="3"/>
  <c r="V34" i="3"/>
  <c r="U34" i="3"/>
  <c r="T34" i="3"/>
  <c r="M34" i="3"/>
  <c r="C34" i="3"/>
  <c r="T33" i="3"/>
  <c r="M33" i="3"/>
  <c r="C33" i="3"/>
  <c r="T32" i="3"/>
  <c r="M32" i="3"/>
  <c r="C32" i="3"/>
  <c r="X31" i="3"/>
  <c r="W31" i="3"/>
  <c r="V31" i="3"/>
  <c r="U31" i="3"/>
  <c r="M31" i="3"/>
  <c r="C31" i="3"/>
  <c r="T30" i="3"/>
  <c r="M30" i="3"/>
  <c r="C30" i="3"/>
  <c r="X29" i="3"/>
  <c r="W29" i="3"/>
  <c r="V29" i="3"/>
  <c r="U29" i="3"/>
  <c r="T29" i="3"/>
  <c r="M29" i="3"/>
  <c r="C29" i="3"/>
  <c r="T28" i="3"/>
  <c r="M28" i="3"/>
  <c r="C28" i="3"/>
  <c r="T27" i="3"/>
  <c r="M27" i="3"/>
  <c r="C27" i="3"/>
  <c r="X26" i="3"/>
  <c r="W26" i="3"/>
  <c r="V26" i="3"/>
  <c r="U26" i="3"/>
  <c r="T26" i="3"/>
  <c r="M26" i="3"/>
  <c r="C26" i="3"/>
  <c r="T25" i="3"/>
  <c r="M25" i="3"/>
  <c r="C25" i="3"/>
  <c r="X24" i="3"/>
  <c r="W24" i="3"/>
  <c r="V24" i="3"/>
  <c r="U24" i="3"/>
  <c r="T24" i="3"/>
  <c r="M24" i="3"/>
  <c r="C24" i="3"/>
  <c r="T23" i="3"/>
  <c r="M23" i="3"/>
  <c r="C23" i="3"/>
  <c r="T22" i="3"/>
  <c r="M22" i="3"/>
  <c r="C22" i="3"/>
  <c r="X21" i="3"/>
  <c r="W21" i="3"/>
  <c r="V21" i="3"/>
  <c r="U21" i="3"/>
  <c r="T21" i="3"/>
  <c r="M21" i="3"/>
  <c r="C21" i="3"/>
  <c r="T20" i="3"/>
  <c r="M20" i="3"/>
  <c r="C20" i="3"/>
  <c r="T19" i="3"/>
  <c r="M19" i="3"/>
  <c r="C19" i="3"/>
  <c r="T18" i="3"/>
  <c r="M18" i="3"/>
  <c r="C18" i="3"/>
  <c r="T17" i="3"/>
  <c r="M17" i="3"/>
  <c r="C17" i="3"/>
  <c r="T16" i="3"/>
  <c r="M16" i="3"/>
  <c r="C16" i="3"/>
  <c r="X15" i="3"/>
  <c r="W15" i="3"/>
  <c r="V15" i="3"/>
  <c r="U15" i="3"/>
  <c r="T15" i="3"/>
  <c r="M15" i="3"/>
  <c r="C15" i="3"/>
  <c r="T14" i="3"/>
  <c r="M14" i="3"/>
  <c r="C14" i="3"/>
  <c r="X13" i="3"/>
  <c r="W13" i="3"/>
  <c r="V13" i="3"/>
  <c r="U13" i="3"/>
  <c r="T13" i="3"/>
  <c r="M13" i="3"/>
  <c r="C13" i="3"/>
  <c r="T12" i="3"/>
  <c r="M12" i="3"/>
  <c r="C12" i="3"/>
  <c r="T11" i="3"/>
  <c r="M11" i="3"/>
  <c r="C11" i="3"/>
  <c r="X10" i="3"/>
  <c r="W10" i="3"/>
  <c r="V10" i="3"/>
  <c r="U10" i="3"/>
  <c r="T10" i="3"/>
  <c r="M10" i="3"/>
  <c r="C10" i="3"/>
  <c r="T9" i="3"/>
  <c r="M9" i="3"/>
  <c r="C9" i="3"/>
  <c r="X8" i="3"/>
  <c r="W8" i="3"/>
  <c r="V8" i="3"/>
  <c r="U8" i="3"/>
  <c r="T8" i="3"/>
  <c r="M8" i="3"/>
  <c r="C8" i="3"/>
  <c r="T7" i="3"/>
  <c r="M7" i="3"/>
  <c r="C7" i="3"/>
  <c r="T6" i="3"/>
  <c r="M6" i="3"/>
  <c r="C6" i="3"/>
  <c r="X5" i="3"/>
  <c r="W5" i="3"/>
  <c r="V5" i="3"/>
  <c r="U5" i="3"/>
  <c r="T5" i="3"/>
  <c r="M5" i="3"/>
  <c r="E3" i="2"/>
  <c r="D3" i="2"/>
  <c r="AU408" i="7" l="1"/>
  <c r="AQ25" i="7"/>
  <c r="AQ33" i="7"/>
  <c r="AR36" i="7" s="1"/>
  <c r="AU348" i="7"/>
  <c r="L190" i="7"/>
  <c r="L44" i="7"/>
  <c r="AU227" i="7"/>
  <c r="AV230" i="7" s="1"/>
  <c r="AU368" i="7"/>
  <c r="AS61" i="7"/>
  <c r="AS356" i="7"/>
  <c r="AT120" i="7"/>
  <c r="L270" i="7"/>
  <c r="AU392" i="7"/>
  <c r="AS336" i="7"/>
  <c r="AO13" i="7"/>
  <c r="L68" i="7"/>
  <c r="L214" i="7"/>
  <c r="AU358" i="7"/>
  <c r="AU382" i="7"/>
  <c r="AV383" i="7" s="1"/>
  <c r="AO428" i="7"/>
  <c r="L435" i="7"/>
  <c r="AQ428" i="7"/>
  <c r="AU388" i="7"/>
  <c r="AS404" i="7"/>
  <c r="AQ13" i="7"/>
  <c r="AO41" i="7"/>
  <c r="AQ41" i="7"/>
  <c r="AQ179" i="7"/>
  <c r="AQ187" i="7"/>
  <c r="L206" i="7"/>
  <c r="AQ163" i="7"/>
  <c r="AS424" i="7"/>
  <c r="AU41" i="7"/>
  <c r="AQ57" i="7"/>
  <c r="AQ101" i="7"/>
  <c r="AO163" i="7"/>
  <c r="AO235" i="7"/>
  <c r="AO267" i="7"/>
  <c r="AO360" i="7"/>
  <c r="AQ235" i="7"/>
  <c r="AO101" i="7"/>
  <c r="AU49" i="7"/>
  <c r="AQ380" i="7"/>
  <c r="AQ155" i="7"/>
  <c r="AQ203" i="7"/>
  <c r="K193" i="7"/>
  <c r="AY36" i="7"/>
  <c r="AO155" i="7"/>
  <c r="AO203" i="7"/>
  <c r="AQ356" i="7"/>
  <c r="L222" i="7"/>
  <c r="AO259" i="7"/>
  <c r="AY262" i="7" s="1"/>
  <c r="AO179" i="7"/>
  <c r="AQ382" i="7"/>
  <c r="AY174" i="7"/>
  <c r="AQ171" i="7"/>
  <c r="AO57" i="7"/>
  <c r="AQ65" i="7"/>
  <c r="AO251" i="7"/>
  <c r="L112" i="7"/>
  <c r="AQ259" i="7"/>
  <c r="AU428" i="7"/>
  <c r="AU235" i="7"/>
  <c r="AS163" i="7"/>
  <c r="AO65" i="7"/>
  <c r="AO404" i="7"/>
  <c r="AQ404" i="7"/>
  <c r="AS29" i="7"/>
  <c r="AU117" i="7"/>
  <c r="AQ85" i="7"/>
  <c r="AQ195" i="7"/>
  <c r="AO171" i="7"/>
  <c r="AS133" i="7"/>
  <c r="L278" i="7"/>
  <c r="AO85" i="7"/>
  <c r="AO195" i="7"/>
  <c r="AQ49" i="7"/>
  <c r="AO49" i="7"/>
  <c r="AU85" i="7"/>
  <c r="L166" i="7"/>
  <c r="AS49" i="7"/>
  <c r="AT44" i="7"/>
  <c r="AO187" i="7"/>
  <c r="AQ251" i="7"/>
  <c r="AU404" i="7"/>
  <c r="AU372" i="7"/>
  <c r="AS33" i="7"/>
  <c r="L254" i="7"/>
  <c r="AS25" i="7"/>
  <c r="AU336" i="7"/>
  <c r="L158" i="7"/>
  <c r="AT36" i="7"/>
  <c r="AP174" i="7"/>
  <c r="AZ174" i="7" s="1"/>
  <c r="AS349" i="7"/>
  <c r="AU349" i="7"/>
  <c r="AS57" i="7"/>
  <c r="AO58" i="7"/>
  <c r="AQ58" i="7"/>
  <c r="L64" i="7"/>
  <c r="L136" i="7"/>
  <c r="AK273" i="7"/>
  <c r="K273" i="7"/>
  <c r="L32" i="7"/>
  <c r="AS416" i="7"/>
  <c r="L40" i="7"/>
  <c r="AU398" i="7"/>
  <c r="AQ261" i="7"/>
  <c r="AU251" i="7"/>
  <c r="AO94" i="7"/>
  <c r="AP96" i="7" s="1"/>
  <c r="L120" i="7"/>
  <c r="AU219" i="7"/>
  <c r="AS251" i="7"/>
  <c r="AU155" i="7"/>
  <c r="L230" i="7"/>
  <c r="AU57" i="7"/>
  <c r="AM193" i="7"/>
  <c r="L128" i="7"/>
  <c r="AS155" i="7"/>
  <c r="AS219" i="7"/>
  <c r="AU25" i="7"/>
  <c r="AS368" i="7"/>
  <c r="AQ267" i="7"/>
  <c r="AQ400" i="7"/>
  <c r="AO380" i="7"/>
  <c r="AQ269" i="7"/>
  <c r="AU203" i="7"/>
  <c r="AU33" i="7"/>
  <c r="AS203" i="7"/>
  <c r="AS400" i="7"/>
  <c r="AU400" i="7"/>
  <c r="AP363" i="7"/>
  <c r="AS13" i="7"/>
  <c r="AU13" i="7"/>
  <c r="AO396" i="7"/>
  <c r="AQ396" i="7"/>
  <c r="AS243" i="7"/>
  <c r="AU243" i="7"/>
  <c r="AV166" i="7"/>
  <c r="AS179" i="7"/>
  <c r="AU179" i="7"/>
  <c r="AT166" i="7"/>
  <c r="AS187" i="7"/>
  <c r="AU187" i="7"/>
  <c r="AR24" i="7"/>
  <c r="K208" i="7"/>
  <c r="AU376" i="7"/>
  <c r="AS376" i="7"/>
  <c r="AR52" i="7"/>
  <c r="AO357" i="7"/>
  <c r="AQ357" i="7"/>
  <c r="AP24" i="7"/>
  <c r="AQ219" i="7"/>
  <c r="AO219" i="7"/>
  <c r="AO227" i="7"/>
  <c r="AQ227" i="7"/>
  <c r="AV72" i="7"/>
  <c r="L80" i="7"/>
  <c r="AR96" i="7"/>
  <c r="AS17" i="7"/>
  <c r="AU17" i="7"/>
  <c r="AS352" i="7"/>
  <c r="AU352" i="7"/>
  <c r="AT72" i="7"/>
  <c r="AO424" i="7"/>
  <c r="AQ424" i="7"/>
  <c r="AU344" i="7"/>
  <c r="AS344" i="7"/>
  <c r="AV222" i="7"/>
  <c r="AP182" i="7"/>
  <c r="AU357" i="7"/>
  <c r="AV359" i="7" s="1"/>
  <c r="AS357" i="7"/>
  <c r="AM208" i="7"/>
  <c r="AO211" i="7"/>
  <c r="AQ211" i="7"/>
  <c r="AT270" i="7"/>
  <c r="AV128" i="7"/>
  <c r="AT158" i="7"/>
  <c r="L56" i="7"/>
  <c r="AV419" i="7"/>
  <c r="L48" i="7"/>
  <c r="AO252" i="7"/>
  <c r="AQ252" i="7"/>
  <c r="AR254" i="7" s="1"/>
  <c r="AO364" i="7"/>
  <c r="AQ364" i="7"/>
  <c r="AS195" i="7"/>
  <c r="AU195" i="7"/>
  <c r="AO109" i="7"/>
  <c r="AQ109" i="7"/>
  <c r="AP238" i="7"/>
  <c r="AQ17" i="7"/>
  <c r="AO17" i="7"/>
  <c r="AP36" i="7"/>
  <c r="AU21" i="7"/>
  <c r="AS21" i="7"/>
  <c r="AT128" i="7"/>
  <c r="AO37" i="7"/>
  <c r="AQ37" i="7"/>
  <c r="AV270" i="7"/>
  <c r="AV174" i="7"/>
  <c r="AO356" i="7"/>
  <c r="AQ372" i="7"/>
  <c r="L36" i="7"/>
  <c r="AS77" i="7"/>
  <c r="AU77" i="7"/>
  <c r="AO344" i="7"/>
  <c r="AQ344" i="7"/>
  <c r="AS109" i="7"/>
  <c r="AU109" i="7"/>
  <c r="L238" i="7"/>
  <c r="AU58" i="7"/>
  <c r="AS58" i="7"/>
  <c r="AP64" i="7"/>
  <c r="AU93" i="7"/>
  <c r="AS93" i="7"/>
  <c r="AT262" i="7"/>
  <c r="AO340" i="7"/>
  <c r="AQ340" i="7"/>
  <c r="AO243" i="7"/>
  <c r="AQ243" i="7"/>
  <c r="AV32" i="7"/>
  <c r="AO393" i="7"/>
  <c r="AQ393" i="7"/>
  <c r="AO372" i="7"/>
  <c r="AS366" i="7"/>
  <c r="AS414" i="7"/>
  <c r="AU430" i="7"/>
  <c r="AS350" i="7"/>
  <c r="AU350" i="7"/>
  <c r="AU414" i="7"/>
  <c r="AS422" i="7"/>
  <c r="AU422" i="7"/>
  <c r="AS390" i="7"/>
  <c r="AT391" i="7" s="1"/>
  <c r="L182" i="7"/>
  <c r="AU87" i="7"/>
  <c r="AS87" i="7"/>
  <c r="AT88" i="7" s="1"/>
  <c r="AQ125" i="7"/>
  <c r="AO125" i="7"/>
  <c r="AS440" i="7"/>
  <c r="K320" i="7"/>
  <c r="AK320" i="7"/>
  <c r="AM320" i="7"/>
  <c r="AO433" i="7"/>
  <c r="AQ433" i="7"/>
  <c r="AP270" i="7"/>
  <c r="AZ270" i="7" s="1"/>
  <c r="AO368" i="7"/>
  <c r="AS134" i="7"/>
  <c r="AU134" i="7"/>
  <c r="AO220" i="7"/>
  <c r="AQ220" i="7"/>
  <c r="AO408" i="7"/>
  <c r="AQ408" i="7"/>
  <c r="AR32" i="7"/>
  <c r="L198" i="7"/>
  <c r="AO420" i="7"/>
  <c r="AQ420" i="7"/>
  <c r="AK200" i="7"/>
  <c r="AM200" i="7"/>
  <c r="AQ156" i="7"/>
  <c r="AO156" i="7"/>
  <c r="AQ360" i="7"/>
  <c r="AU384" i="7"/>
  <c r="AS384" i="7"/>
  <c r="AR88" i="7"/>
  <c r="AS45" i="7"/>
  <c r="AU45" i="7"/>
  <c r="AP32" i="7"/>
  <c r="AO374" i="7"/>
  <c r="AQ374" i="7"/>
  <c r="AS386" i="7"/>
  <c r="AU386" i="7"/>
  <c r="AT174" i="7"/>
  <c r="AR16" i="7"/>
  <c r="AU366" i="7"/>
  <c r="AO275" i="7"/>
  <c r="AQ275" i="7"/>
  <c r="AV52" i="7"/>
  <c r="L96" i="7"/>
  <c r="AS406" i="7"/>
  <c r="AU406" i="7"/>
  <c r="L367" i="7"/>
  <c r="AO45" i="7"/>
  <c r="AQ45" i="7"/>
  <c r="AO69" i="7"/>
  <c r="AQ69" i="7"/>
  <c r="AU252" i="7"/>
  <c r="AS252" i="7"/>
  <c r="AT375" i="7"/>
  <c r="K240" i="7"/>
  <c r="AK240" i="7"/>
  <c r="AM240" i="7"/>
  <c r="L52" i="7"/>
  <c r="AS102" i="7"/>
  <c r="AU102" i="7"/>
  <c r="AP190" i="7"/>
  <c r="AQ205" i="7"/>
  <c r="AO205" i="7"/>
  <c r="L431" i="7"/>
  <c r="AU37" i="7"/>
  <c r="AS37" i="7"/>
  <c r="AO416" i="7"/>
  <c r="AO432" i="7"/>
  <c r="AQ432" i="7"/>
  <c r="AO392" i="7"/>
  <c r="AO400" i="7"/>
  <c r="AQ392" i="7"/>
  <c r="AQ416" i="7"/>
  <c r="AO376" i="7"/>
  <c r="AQ376" i="7"/>
  <c r="AV395" i="7"/>
  <c r="AQ348" i="7"/>
  <c r="AS382" i="7"/>
  <c r="AU54" i="7"/>
  <c r="AV56" i="7" s="1"/>
  <c r="AS54" i="7"/>
  <c r="AO352" i="7"/>
  <c r="AQ352" i="7"/>
  <c r="AS432" i="7"/>
  <c r="AU432" i="7"/>
  <c r="AU424" i="7"/>
  <c r="AS381" i="7"/>
  <c r="AU381" i="7"/>
  <c r="AQ102" i="7"/>
  <c r="AO102" i="7"/>
  <c r="AS408" i="7"/>
  <c r="AU390" i="7"/>
  <c r="AQ368" i="7"/>
  <c r="AO348" i="7"/>
  <c r="AK295" i="7"/>
  <c r="AM303" i="7"/>
  <c r="K175" i="7"/>
  <c r="AK271" i="7"/>
  <c r="AK175" i="7"/>
  <c r="AM271" i="7"/>
  <c r="AM175" i="7"/>
  <c r="K207" i="7"/>
  <c r="AK207" i="7"/>
  <c r="K183" i="7"/>
  <c r="AK159" i="7"/>
  <c r="AK183" i="7"/>
  <c r="AM159" i="7"/>
  <c r="AM183" i="7"/>
  <c r="K199" i="7"/>
  <c r="AK199" i="7"/>
  <c r="K295" i="7"/>
  <c r="AM199" i="7"/>
  <c r="AM295" i="7"/>
  <c r="K319" i="7"/>
  <c r="K191" i="7"/>
  <c r="K231" i="7"/>
  <c r="AK319" i="7"/>
  <c r="AK191" i="7"/>
  <c r="K223" i="7"/>
  <c r="AK231" i="7"/>
  <c r="AM319" i="7"/>
  <c r="AM191" i="7"/>
  <c r="AK223" i="7"/>
  <c r="AM231" i="7"/>
  <c r="K263" i="7"/>
  <c r="K167" i="7"/>
  <c r="AM223" i="7"/>
  <c r="AK263" i="7"/>
  <c r="AK167" i="7"/>
  <c r="K271" i="7"/>
  <c r="K287" i="7"/>
  <c r="AM255" i="7"/>
  <c r="AM167" i="7"/>
  <c r="AM207" i="7"/>
  <c r="K279" i="7"/>
  <c r="K239" i="7"/>
  <c r="AK279" i="7"/>
  <c r="AK239" i="7"/>
  <c r="AM279" i="7"/>
  <c r="AM239" i="7"/>
  <c r="K255" i="7"/>
  <c r="AK255" i="7"/>
  <c r="K215" i="7"/>
  <c r="AK215" i="7"/>
  <c r="K247" i="7"/>
  <c r="AK311" i="7"/>
  <c r="AM311" i="7"/>
  <c r="AK247" i="7"/>
  <c r="AM247" i="7"/>
  <c r="AM215" i="7"/>
  <c r="K303" i="7"/>
  <c r="AK303" i="7"/>
  <c r="AK287" i="7"/>
  <c r="AM263" i="7"/>
  <c r="AM287" i="7"/>
  <c r="K311" i="7"/>
  <c r="AU364" i="7"/>
  <c r="AS364" i="7"/>
  <c r="AS392" i="7"/>
  <c r="K176" i="7"/>
  <c r="AK176" i="7"/>
  <c r="AM176" i="7"/>
  <c r="AP28" i="7"/>
  <c r="AO42" i="7"/>
  <c r="AQ42" i="7"/>
  <c r="AS358" i="7"/>
  <c r="AQ77" i="7"/>
  <c r="AO77" i="7"/>
  <c r="AO53" i="7"/>
  <c r="AQ53" i="7"/>
  <c r="AO134" i="7"/>
  <c r="AQ134" i="7"/>
  <c r="AS211" i="7"/>
  <c r="AU211" i="7"/>
  <c r="AS275" i="7"/>
  <c r="AU275" i="7"/>
  <c r="AY238" i="7"/>
  <c r="AT238" i="7"/>
  <c r="AZ238" i="7" s="1"/>
  <c r="AS398" i="7"/>
  <c r="AV262" i="7"/>
  <c r="AU65" i="7"/>
  <c r="AS65" i="7"/>
  <c r="AQ384" i="7"/>
  <c r="AT230" i="7"/>
  <c r="AU360" i="7"/>
  <c r="AS396" i="7"/>
  <c r="AU396" i="7"/>
  <c r="AO118" i="7"/>
  <c r="AQ118" i="7"/>
  <c r="AO440" i="7"/>
  <c r="AQ440" i="7"/>
  <c r="L174" i="7"/>
  <c r="AT343" i="7"/>
  <c r="AO384" i="7"/>
  <c r="AO349" i="7"/>
  <c r="AQ349" i="7"/>
  <c r="K159" i="7"/>
  <c r="AS360" i="7"/>
  <c r="AR238" i="7"/>
  <c r="AS412" i="7"/>
  <c r="AU412" i="7"/>
  <c r="AR64" i="7"/>
  <c r="AU440" i="7"/>
  <c r="AO197" i="7"/>
  <c r="AQ197" i="7"/>
  <c r="AO336" i="7"/>
  <c r="AQ336" i="7"/>
  <c r="AS63" i="7"/>
  <c r="AT64" i="7" s="1"/>
  <c r="AU63" i="7"/>
  <c r="AV64" i="7" s="1"/>
  <c r="AU342" i="7"/>
  <c r="AU374" i="7"/>
  <c r="K184" i="7"/>
  <c r="AK184" i="7"/>
  <c r="AM184" i="7"/>
  <c r="AQ369" i="7"/>
  <c r="AO369" i="7"/>
  <c r="AS430" i="7"/>
  <c r="AT431" i="7" s="1"/>
  <c r="AO388" i="7"/>
  <c r="AQ388" i="7"/>
  <c r="AQ412" i="7"/>
  <c r="AO412" i="7"/>
  <c r="AT32" i="7" l="1"/>
  <c r="AZ32" i="7" s="1"/>
  <c r="AR28" i="7"/>
  <c r="AT339" i="7"/>
  <c r="AY391" i="7"/>
  <c r="AY367" i="7"/>
  <c r="AY322" i="7"/>
  <c r="AR60" i="7"/>
  <c r="AV411" i="7"/>
  <c r="AY32" i="7"/>
  <c r="AR174" i="7"/>
  <c r="AP407" i="7"/>
  <c r="AP16" i="7"/>
  <c r="AV371" i="7"/>
  <c r="AY270" i="7"/>
  <c r="AP88" i="7"/>
  <c r="AV120" i="7"/>
  <c r="AR431" i="7"/>
  <c r="AP431" i="7"/>
  <c r="AZ431" i="7" s="1"/>
  <c r="AY254" i="7"/>
  <c r="AZ36" i="7"/>
  <c r="AY96" i="7"/>
  <c r="AV238" i="7"/>
  <c r="AT351" i="7"/>
  <c r="AY206" i="7"/>
  <c r="AV206" i="7"/>
  <c r="AV36" i="7"/>
  <c r="AR68" i="7"/>
  <c r="AT52" i="7"/>
  <c r="AP383" i="7"/>
  <c r="AY383" i="7"/>
  <c r="AV254" i="7"/>
  <c r="AR182" i="7"/>
  <c r="AP104" i="7"/>
  <c r="AT254" i="7"/>
  <c r="AT206" i="7"/>
  <c r="AY186" i="7"/>
  <c r="AT222" i="7"/>
  <c r="AY64" i="7"/>
  <c r="AR262" i="7"/>
  <c r="AP262" i="7"/>
  <c r="AZ262" i="7" s="1"/>
  <c r="AY136" i="7"/>
  <c r="AT28" i="7"/>
  <c r="AR407" i="7"/>
  <c r="AV28" i="7"/>
  <c r="AR383" i="7"/>
  <c r="AY68" i="7"/>
  <c r="AP68" i="7"/>
  <c r="AR166" i="7"/>
  <c r="AV44" i="7"/>
  <c r="AY351" i="7"/>
  <c r="AR190" i="7"/>
  <c r="AV158" i="7"/>
  <c r="AY52" i="7"/>
  <c r="AP52" i="7"/>
  <c r="AY158" i="7"/>
  <c r="AP254" i="7"/>
  <c r="AY120" i="7"/>
  <c r="AY359" i="7"/>
  <c r="AT371" i="7"/>
  <c r="AT427" i="7"/>
  <c r="AP166" i="7"/>
  <c r="AZ166" i="7" s="1"/>
  <c r="AV339" i="7"/>
  <c r="AP60" i="7"/>
  <c r="AY60" i="7"/>
  <c r="AV88" i="7"/>
  <c r="AR270" i="7"/>
  <c r="AZ88" i="7"/>
  <c r="AZ28" i="7"/>
  <c r="AY28" i="7"/>
  <c r="AR403" i="7"/>
  <c r="AR359" i="7"/>
  <c r="AT136" i="7"/>
  <c r="AP120" i="7"/>
  <c r="AZ120" i="7" s="1"/>
  <c r="AT56" i="7"/>
  <c r="AT419" i="7"/>
  <c r="AR158" i="7"/>
  <c r="AZ64" i="7"/>
  <c r="AP198" i="7"/>
  <c r="AY431" i="7"/>
  <c r="AP206" i="7"/>
  <c r="AR206" i="7"/>
  <c r="AY88" i="7"/>
  <c r="AR198" i="7"/>
  <c r="AT359" i="7"/>
  <c r="AY306" i="7"/>
  <c r="AL306" i="7"/>
  <c r="AZ306" i="7" s="1"/>
  <c r="AT40" i="7"/>
  <c r="AY72" i="7"/>
  <c r="AP72" i="7"/>
  <c r="AZ72" i="7" s="1"/>
  <c r="AR367" i="7"/>
  <c r="AR214" i="7"/>
  <c r="AR399" i="7"/>
  <c r="AV415" i="7"/>
  <c r="L306" i="7"/>
  <c r="AV40" i="7"/>
  <c r="AT387" i="7"/>
  <c r="AV80" i="7"/>
  <c r="AP367" i="7"/>
  <c r="AP214" i="7"/>
  <c r="AT415" i="7"/>
  <c r="AN218" i="7"/>
  <c r="L298" i="7"/>
  <c r="AV387" i="7"/>
  <c r="AT96" i="7"/>
  <c r="AZ96" i="7" s="1"/>
  <c r="AT80" i="7"/>
  <c r="AP399" i="7"/>
  <c r="AY202" i="7"/>
  <c r="AL202" i="7"/>
  <c r="AZ202" i="7" s="1"/>
  <c r="AV96" i="7"/>
  <c r="AP20" i="7"/>
  <c r="L202" i="7"/>
  <c r="AP443" i="7"/>
  <c r="AN258" i="7"/>
  <c r="AN202" i="7"/>
  <c r="L274" i="7"/>
  <c r="AT278" i="7"/>
  <c r="AY170" i="7"/>
  <c r="AL170" i="7"/>
  <c r="AZ170" i="7" s="1"/>
  <c r="AT443" i="7"/>
  <c r="AY250" i="7"/>
  <c r="AL250" i="7"/>
  <c r="AZ250" i="7" s="1"/>
  <c r="AR40" i="7"/>
  <c r="AY363" i="7"/>
  <c r="AT363" i="7"/>
  <c r="AZ363" i="7" s="1"/>
  <c r="AN186" i="7"/>
  <c r="AT104" i="7"/>
  <c r="AZ104" i="7" s="1"/>
  <c r="AR128" i="7"/>
  <c r="AT214" i="7"/>
  <c r="AY314" i="7"/>
  <c r="AL314" i="7"/>
  <c r="AZ314" i="7" s="1"/>
  <c r="AN162" i="7"/>
  <c r="AR411" i="7"/>
  <c r="AR375" i="7"/>
  <c r="AY427" i="7"/>
  <c r="AP427" i="7"/>
  <c r="AZ427" i="7" s="1"/>
  <c r="AR136" i="7"/>
  <c r="L250" i="7"/>
  <c r="AL186" i="7"/>
  <c r="AZ186" i="7" s="1"/>
  <c r="AR351" i="7"/>
  <c r="AP411" i="7"/>
  <c r="AP359" i="7"/>
  <c r="L162" i="7"/>
  <c r="AP136" i="7"/>
  <c r="AY218" i="7"/>
  <c r="AL218" i="7"/>
  <c r="AZ218" i="7" s="1"/>
  <c r="AL162" i="7"/>
  <c r="AZ162" i="7" s="1"/>
  <c r="AY162" i="7"/>
  <c r="AR48" i="7"/>
  <c r="AV407" i="7"/>
  <c r="AT60" i="7"/>
  <c r="AN234" i="7"/>
  <c r="AT411" i="7"/>
  <c r="AY166" i="7"/>
  <c r="AP48" i="7"/>
  <c r="AT407" i="7"/>
  <c r="AV355" i="7"/>
  <c r="AR56" i="7"/>
  <c r="AY226" i="7"/>
  <c r="AL226" i="7"/>
  <c r="AZ226" i="7" s="1"/>
  <c r="AR379" i="7"/>
  <c r="AT355" i="7"/>
  <c r="AR278" i="7"/>
  <c r="AP371" i="7"/>
  <c r="AZ371" i="7" s="1"/>
  <c r="AY24" i="7"/>
  <c r="AT24" i="7"/>
  <c r="AZ24" i="7" s="1"/>
  <c r="AV20" i="7"/>
  <c r="AR339" i="7"/>
  <c r="AN322" i="7"/>
  <c r="AR419" i="7"/>
  <c r="AV375" i="7"/>
  <c r="AT48" i="7"/>
  <c r="AR112" i="7"/>
  <c r="AT20" i="7"/>
  <c r="AP391" i="7"/>
  <c r="AZ391" i="7" s="1"/>
  <c r="AR387" i="7"/>
  <c r="AN274" i="7"/>
  <c r="AT367" i="7"/>
  <c r="AV427" i="7"/>
  <c r="AR80" i="7"/>
  <c r="AY282" i="7"/>
  <c r="AL282" i="7"/>
  <c r="AZ282" i="7" s="1"/>
  <c r="AY274" i="7"/>
  <c r="AL274" i="7"/>
  <c r="AZ274" i="7" s="1"/>
  <c r="AP403" i="7"/>
  <c r="AR120" i="7"/>
  <c r="AV379" i="7"/>
  <c r="AV68" i="7"/>
  <c r="L242" i="7"/>
  <c r="AL322" i="7"/>
  <c r="AZ322" i="7" s="1"/>
  <c r="L178" i="7"/>
  <c r="AT435" i="7"/>
  <c r="AP395" i="7"/>
  <c r="AV60" i="7"/>
  <c r="AP423" i="7"/>
  <c r="AR343" i="7"/>
  <c r="AT112" i="7"/>
  <c r="AV351" i="7"/>
  <c r="AV443" i="7"/>
  <c r="AN290" i="7"/>
  <c r="L282" i="7"/>
  <c r="L234" i="7"/>
  <c r="AN306" i="7"/>
  <c r="AR435" i="7"/>
  <c r="AR104" i="7"/>
  <c r="AY343" i="7"/>
  <c r="AP343" i="7"/>
  <c r="AZ343" i="7" s="1"/>
  <c r="AR347" i="7"/>
  <c r="AV198" i="7"/>
  <c r="AT347" i="7"/>
  <c r="AV391" i="7"/>
  <c r="AV403" i="7"/>
  <c r="AN298" i="7"/>
  <c r="AV278" i="7"/>
  <c r="AY44" i="7"/>
  <c r="AP44" i="7"/>
  <c r="AZ44" i="7" s="1"/>
  <c r="AR371" i="7"/>
  <c r="AY266" i="7"/>
  <c r="AL266" i="7"/>
  <c r="AZ266" i="7" s="1"/>
  <c r="AN314" i="7"/>
  <c r="AR20" i="7"/>
  <c r="AP222" i="7"/>
  <c r="AZ222" i="7" s="1"/>
  <c r="AT383" i="7"/>
  <c r="AY210" i="7"/>
  <c r="AL210" i="7"/>
  <c r="AZ210" i="7" s="1"/>
  <c r="AY16" i="7"/>
  <c r="AT16" i="7"/>
  <c r="AP56" i="7"/>
  <c r="AZ56" i="7" s="1"/>
  <c r="AY56" i="7"/>
  <c r="L258" i="7"/>
  <c r="AN194" i="7"/>
  <c r="L210" i="7"/>
  <c r="AY379" i="7"/>
  <c r="AP379" i="7"/>
  <c r="AV48" i="7"/>
  <c r="AV104" i="7"/>
  <c r="AN178" i="7"/>
  <c r="AL234" i="7"/>
  <c r="AZ234" i="7" s="1"/>
  <c r="AY234" i="7"/>
  <c r="AR246" i="7"/>
  <c r="L226" i="7"/>
  <c r="AT379" i="7"/>
  <c r="AT68" i="7"/>
  <c r="AZ68" i="7" s="1"/>
  <c r="AV367" i="7"/>
  <c r="AY194" i="7"/>
  <c r="AL194" i="7"/>
  <c r="AZ194" i="7" s="1"/>
  <c r="AV435" i="7"/>
  <c r="AR423" i="7"/>
  <c r="AV112" i="7"/>
  <c r="L314" i="7"/>
  <c r="AN266" i="7"/>
  <c r="AN210" i="7"/>
  <c r="L194" i="7"/>
  <c r="AY298" i="7"/>
  <c r="AL298" i="7"/>
  <c r="AZ298" i="7" s="1"/>
  <c r="AR355" i="7"/>
  <c r="AP435" i="7"/>
  <c r="AP158" i="7"/>
  <c r="AZ158" i="7" s="1"/>
  <c r="AV431" i="7"/>
  <c r="AV423" i="7"/>
  <c r="AY347" i="7"/>
  <c r="AP347" i="7"/>
  <c r="AY407" i="7"/>
  <c r="AY198" i="7"/>
  <c r="AT198" i="7"/>
  <c r="AV347" i="7"/>
  <c r="AV246" i="7"/>
  <c r="AT403" i="7"/>
  <c r="L290" i="7"/>
  <c r="AR230" i="7"/>
  <c r="AR44" i="7"/>
  <c r="AN250" i="7"/>
  <c r="AY230" i="7"/>
  <c r="AP230" i="7"/>
  <c r="AZ230" i="7" s="1"/>
  <c r="AV343" i="7"/>
  <c r="AY128" i="7"/>
  <c r="AP128" i="7"/>
  <c r="AZ128" i="7" s="1"/>
  <c r="AV214" i="7"/>
  <c r="AN226" i="7"/>
  <c r="AP40" i="7"/>
  <c r="AZ40" i="7" s="1"/>
  <c r="AY40" i="7"/>
  <c r="AR427" i="7"/>
  <c r="AP415" i="7"/>
  <c r="AV399" i="7"/>
  <c r="L170" i="7"/>
  <c r="AY375" i="7"/>
  <c r="AP375" i="7"/>
  <c r="AZ375" i="7" s="1"/>
  <c r="AV190" i="7"/>
  <c r="AR415" i="7"/>
  <c r="AT399" i="7"/>
  <c r="AR222" i="7"/>
  <c r="AY190" i="7"/>
  <c r="AT190" i="7"/>
  <c r="AZ190" i="7" s="1"/>
  <c r="AV363" i="7"/>
  <c r="L266" i="7"/>
  <c r="AR363" i="7"/>
  <c r="L218" i="7"/>
  <c r="L186" i="7"/>
  <c r="AV136" i="7"/>
  <c r="AV16" i="7"/>
  <c r="AY258" i="7"/>
  <c r="AL258" i="7"/>
  <c r="AZ258" i="7" s="1"/>
  <c r="AR391" i="7"/>
  <c r="AP387" i="7"/>
  <c r="AT395" i="7"/>
  <c r="AN242" i="7"/>
  <c r="AP278" i="7"/>
  <c r="AY278" i="7"/>
  <c r="AV24" i="7"/>
  <c r="AV182" i="7"/>
  <c r="AY339" i="7"/>
  <c r="AP339" i="7"/>
  <c r="AZ339" i="7" s="1"/>
  <c r="AN282" i="7"/>
  <c r="AP112" i="7"/>
  <c r="AY182" i="7"/>
  <c r="AT182" i="7"/>
  <c r="AZ182" i="7" s="1"/>
  <c r="AP80" i="7"/>
  <c r="AY242" i="7"/>
  <c r="AL242" i="7"/>
  <c r="AZ242" i="7" s="1"/>
  <c r="AY178" i="7"/>
  <c r="AL178" i="7"/>
  <c r="AZ178" i="7" s="1"/>
  <c r="AR395" i="7"/>
  <c r="AP246" i="7"/>
  <c r="AR443" i="7"/>
  <c r="AY290" i="7"/>
  <c r="AL290" i="7"/>
  <c r="AZ290" i="7" s="1"/>
  <c r="AN170" i="7"/>
  <c r="L322" i="7"/>
  <c r="AP351" i="7"/>
  <c r="AP355" i="7"/>
  <c r="AY419" i="7"/>
  <c r="AP419" i="7"/>
  <c r="AR72" i="7"/>
  <c r="AT423" i="7"/>
  <c r="AT246" i="7"/>
  <c r="AZ206" i="7" l="1"/>
  <c r="AZ16" i="7"/>
  <c r="AZ254" i="7"/>
  <c r="AZ407" i="7"/>
  <c r="AY222" i="7"/>
  <c r="AZ443" i="7"/>
  <c r="AY371" i="7"/>
  <c r="AZ60" i="7"/>
  <c r="AZ52" i="7"/>
  <c r="AZ383" i="7"/>
  <c r="AZ403" i="7"/>
  <c r="AZ419" i="7"/>
  <c r="AZ136" i="7"/>
  <c r="AZ351" i="7"/>
  <c r="AZ423" i="7"/>
  <c r="AY443" i="7"/>
  <c r="AY403" i="7"/>
  <c r="AY423" i="7"/>
  <c r="AZ278" i="7"/>
  <c r="AZ395" i="7"/>
  <c r="AZ214" i="7"/>
  <c r="AZ112" i="7"/>
  <c r="AY395" i="7"/>
  <c r="AZ367" i="7"/>
  <c r="AY112" i="7"/>
  <c r="AY214" i="7"/>
  <c r="AZ198" i="7"/>
  <c r="AZ347" i="7"/>
  <c r="AZ359" i="7"/>
  <c r="AY411" i="7"/>
  <c r="AY435" i="7"/>
  <c r="AY20" i="7"/>
  <c r="AZ20" i="7"/>
  <c r="AY104" i="7"/>
  <c r="AY246" i="7"/>
  <c r="AZ246" i="7"/>
  <c r="AZ48" i="7"/>
  <c r="AZ399" i="7"/>
  <c r="AY48" i="7"/>
  <c r="AY399" i="7"/>
  <c r="AZ411" i="7"/>
  <c r="AZ355" i="7"/>
  <c r="AZ80" i="7"/>
  <c r="AY387" i="7"/>
  <c r="AY415" i="7"/>
  <c r="AZ435" i="7"/>
  <c r="AY355" i="7"/>
  <c r="AY80" i="7"/>
  <c r="AZ387" i="7"/>
  <c r="AZ415" i="7"/>
  <c r="AZ379" i="7"/>
</calcChain>
</file>

<file path=xl/sharedStrings.xml><?xml version="1.0" encoding="utf-8"?>
<sst xmlns="http://schemas.openxmlformats.org/spreadsheetml/2006/main" count="1505" uniqueCount="124">
  <si>
    <t>pH</t>
  </si>
  <si>
    <t>Reactor inoculum</t>
  </si>
  <si>
    <t>TS (g/Kg)</t>
  </si>
  <si>
    <t>TS (g/L)</t>
  </si>
  <si>
    <t>VS (g/L)</t>
  </si>
  <si>
    <t>VS (g/Kg)</t>
  </si>
  <si>
    <t>T (ºC)</t>
  </si>
  <si>
    <t>TS/VS</t>
  </si>
  <si>
    <t>GC-TCD</t>
  </si>
  <si>
    <t>TOC/TN</t>
  </si>
  <si>
    <t>GC-FID</t>
  </si>
  <si>
    <t>Gas input</t>
  </si>
  <si>
    <t>Gas output</t>
  </si>
  <si>
    <t>VFAs (mg/L)</t>
  </si>
  <si>
    <t>Observations</t>
  </si>
  <si>
    <t>Date</t>
  </si>
  <si>
    <t>t (d)</t>
  </si>
  <si>
    <t>TS (g/kg)</t>
  </si>
  <si>
    <t>VS (g/kg)</t>
  </si>
  <si>
    <t>CO2 (%)</t>
  </si>
  <si>
    <t>H2 (%)</t>
  </si>
  <si>
    <t>O2 (%)</t>
  </si>
  <si>
    <t>N2 (%)</t>
  </si>
  <si>
    <t>CH4 (%)</t>
  </si>
  <si>
    <t>CO (%)</t>
  </si>
  <si>
    <t>Total %</t>
  </si>
  <si>
    <t>TOC (mg/L)</t>
  </si>
  <si>
    <t>TC (mg/L)</t>
  </si>
  <si>
    <t>IC (mg/L)</t>
  </si>
  <si>
    <t>TN(mg/L)</t>
  </si>
  <si>
    <t>Acetic acid</t>
  </si>
  <si>
    <t>Propionic acid</t>
  </si>
  <si>
    <t>Isobutyric acid</t>
  </si>
  <si>
    <t>Butyric acid</t>
  </si>
  <si>
    <t>Isovaleric acid</t>
  </si>
  <si>
    <t>Valeric acid</t>
  </si>
  <si>
    <t>Isocaproic acid</t>
  </si>
  <si>
    <t>Hexanoic acid</t>
  </si>
  <si>
    <t>Heptanoic acid</t>
  </si>
  <si>
    <t>Robustness</t>
  </si>
  <si>
    <t>Phase II</t>
  </si>
  <si>
    <t>Phase III</t>
  </si>
  <si>
    <t>Phase I</t>
  </si>
  <si>
    <t>M</t>
  </si>
  <si>
    <t>Biomass yield (g VSS/mol)</t>
  </si>
  <si>
    <t>Y emol</t>
  </si>
  <si>
    <t>Initial</t>
  </si>
  <si>
    <t>SD</t>
  </si>
  <si>
    <t>Final</t>
  </si>
  <si>
    <t>Yx/s</t>
  </si>
  <si>
    <t>Y emol ch4</t>
  </si>
  <si>
    <t>Y emol Acet</t>
  </si>
  <si>
    <t>Y emol Pro</t>
  </si>
  <si>
    <t>Y emol H2</t>
  </si>
  <si>
    <t>TOTAL Y emol</t>
  </si>
  <si>
    <t>Syngas</t>
  </si>
  <si>
    <t>-</t>
  </si>
  <si>
    <t>CO2+H2</t>
  </si>
  <si>
    <t>CO2+H2+BES</t>
  </si>
  <si>
    <t>CO</t>
  </si>
  <si>
    <t>CO+BES</t>
  </si>
  <si>
    <t>Acetate</t>
  </si>
  <si>
    <t>T</t>
  </si>
  <si>
    <t>Promedio</t>
  </si>
  <si>
    <t>M12</t>
  </si>
  <si>
    <t>M11</t>
  </si>
  <si>
    <t>M10</t>
  </si>
  <si>
    <t>M9</t>
  </si>
  <si>
    <t>M8</t>
  </si>
  <si>
    <t>M7</t>
  </si>
  <si>
    <t>Max. CH4 prod</t>
  </si>
  <si>
    <t>Max. CO act</t>
  </si>
  <si>
    <t>Max. H2 act</t>
  </si>
  <si>
    <t>Y mol Pro</t>
  </si>
  <si>
    <t>Y mol Acet</t>
  </si>
  <si>
    <t>Y mol ch4</t>
  </si>
  <si>
    <r>
      <t>CH</t>
    </r>
    <r>
      <rPr>
        <b/>
        <vertAlign val="subscript"/>
        <sz val="11"/>
        <color theme="1"/>
        <rFont val="Calibri"/>
        <family val="2"/>
        <scheme val="minor"/>
      </rPr>
      <t>4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</si>
  <si>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</si>
  <si>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</si>
  <si>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</si>
  <si>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</si>
  <si>
    <t>VSS (g/L)</t>
  </si>
  <si>
    <t>Abs</t>
  </si>
  <si>
    <t>Pressure (atm)</t>
  </si>
  <si>
    <t>Flask</t>
  </si>
  <si>
    <t>Assay</t>
  </si>
  <si>
    <t>VFAs (mmol)</t>
  </si>
  <si>
    <t>VFAs (mM)</t>
  </si>
  <si>
    <t>Gas (mmol)</t>
  </si>
  <si>
    <t>Gas (%)</t>
  </si>
  <si>
    <t>VSS</t>
  </si>
  <si>
    <r>
      <t>OD</t>
    </r>
    <r>
      <rPr>
        <b/>
        <vertAlign val="subscript"/>
        <sz val="11"/>
        <color theme="1"/>
        <rFont val="Calibri"/>
        <family val="2"/>
        <scheme val="minor"/>
      </rPr>
      <t>600</t>
    </r>
  </si>
  <si>
    <t>M18</t>
  </si>
  <si>
    <t>M17</t>
  </si>
  <si>
    <t>M16</t>
  </si>
  <si>
    <t>M3</t>
  </si>
  <si>
    <t>M2</t>
  </si>
  <si>
    <t>M1</t>
  </si>
  <si>
    <t>Syngas + H2</t>
  </si>
  <si>
    <t>M15</t>
  </si>
  <si>
    <t>M14</t>
  </si>
  <si>
    <t>M13</t>
  </si>
  <si>
    <t>M6</t>
  </si>
  <si>
    <t>M5</t>
  </si>
  <si>
    <t>M4</t>
  </si>
  <si>
    <t>Syngas+H2</t>
  </si>
  <si>
    <t>T1</t>
  </si>
  <si>
    <t>T2</t>
  </si>
  <si>
    <t>T3</t>
  </si>
  <si>
    <t>T4</t>
  </si>
  <si>
    <t>T5</t>
  </si>
  <si>
    <t>T6</t>
  </si>
  <si>
    <t>T13</t>
  </si>
  <si>
    <t>T14</t>
  </si>
  <si>
    <t>T15</t>
  </si>
  <si>
    <t>T16</t>
  </si>
  <si>
    <t>T17</t>
  </si>
  <si>
    <t>T18</t>
  </si>
  <si>
    <t>T7</t>
  </si>
  <si>
    <t>T8</t>
  </si>
  <si>
    <t>T9</t>
  </si>
  <si>
    <t>T10</t>
  </si>
  <si>
    <t>T11</t>
  </si>
  <si>
    <t>T12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</si>
</sst>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0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C979"/>
        <bgColor indexed="64"/>
      </patternFill>
    </fill>
    <fill>
      <patternFill patternType="solid">
        <fgColor rgb="FFF3E6D9"/>
        <bgColor indexed="64"/>
      </patternFill>
    </fill>
    <fill>
      <patternFill patternType="solid">
        <fgColor rgb="FF7D9CFF"/>
        <bgColor indexed="64"/>
      </patternFill>
    </fill>
    <fill>
      <patternFill patternType="solid">
        <fgColor rgb="FFFFEB97"/>
        <bgColor indexed="64"/>
      </patternFill>
    </fill>
    <fill>
      <patternFill patternType="solid">
        <fgColor rgb="FF7CBA56"/>
        <bgColor indexed="64"/>
      </patternFill>
    </fill>
    <fill>
      <patternFill patternType="solid">
        <fgColor rgb="FFC1D0FF"/>
        <bgColor indexed="64"/>
      </patternFill>
    </fill>
    <fill>
      <patternFill patternType="solid">
        <fgColor rgb="FFA2D59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BEEC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rgb="FFF9F2EB"/>
        <bgColor indexed="64"/>
      </patternFill>
    </fill>
    <fill>
      <patternFill patternType="solid">
        <fgColor rgb="FFE5EBFF"/>
        <bgColor indexed="64"/>
      </patternFill>
    </fill>
    <fill>
      <patternFill patternType="solid">
        <fgColor rgb="FFFFFCEF"/>
        <bgColor indexed="64"/>
      </patternFill>
    </fill>
    <fill>
      <patternFill patternType="solid">
        <fgColor rgb="FFE5FBE5"/>
        <bgColor indexed="64"/>
      </patternFill>
    </fill>
    <fill>
      <patternFill patternType="solid">
        <fgColor rgb="FFF3ECD9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F9F5EB"/>
        <bgColor indexed="64"/>
      </patternFill>
    </fill>
    <fill>
      <patternFill patternType="solid">
        <fgColor rgb="FFF3F7AB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1" fontId="0" fillId="0" borderId="12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14" fontId="0" fillId="0" borderId="1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0" fontId="2" fillId="10" borderId="7" xfId="0" applyFont="1" applyFill="1" applyBorder="1" applyAlignment="1">
      <alignment horizontal="center" vertical="center"/>
    </xf>
    <xf numFmtId="0" fontId="0" fillId="0" borderId="11" xfId="0" applyBorder="1"/>
    <xf numFmtId="0" fontId="0" fillId="0" borderId="3" xfId="0" applyBorder="1"/>
    <xf numFmtId="165" fontId="2" fillId="20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166" fontId="0" fillId="0" borderId="0" xfId="0" applyNumberFormat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6" fontId="2" fillId="17" borderId="7" xfId="0" applyNumberFormat="1" applyFont="1" applyFill="1" applyBorder="1" applyAlignment="1">
      <alignment horizontal="center" vertical="center"/>
    </xf>
    <xf numFmtId="2" fontId="2" fillId="17" borderId="7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2" fontId="2" fillId="15" borderId="7" xfId="0" applyNumberFormat="1" applyFont="1" applyFill="1" applyBorder="1" applyAlignment="1">
      <alignment horizontal="center" vertical="center"/>
    </xf>
    <xf numFmtId="2" fontId="2" fillId="15" borderId="1" xfId="0" applyNumberFormat="1" applyFont="1" applyFill="1" applyBorder="1" applyAlignment="1">
      <alignment horizontal="center" vertical="center"/>
    </xf>
    <xf numFmtId="166" fontId="2" fillId="21" borderId="7" xfId="0" applyNumberFormat="1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6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5" fontId="0" fillId="0" borderId="10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1" xfId="0" quotePrefix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19" borderId="20" xfId="0" applyFont="1" applyFill="1" applyBorder="1" applyAlignment="1">
      <alignment horizontal="center" vertical="center"/>
    </xf>
    <xf numFmtId="165" fontId="2" fillId="20" borderId="3" xfId="0" applyNumberFormat="1" applyFont="1" applyFill="1" applyBorder="1" applyAlignment="1">
      <alignment horizontal="center" vertical="center"/>
    </xf>
    <xf numFmtId="165" fontId="2" fillId="20" borderId="20" xfId="0" applyNumberFormat="1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0" fontId="2" fillId="15" borderId="20" xfId="0" applyFont="1" applyFill="1" applyBorder="1" applyAlignment="1">
      <alignment horizontal="center" vertical="center"/>
    </xf>
    <xf numFmtId="2" fontId="0" fillId="0" borderId="23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0" fillId="0" borderId="17" xfId="0" applyNumberFormat="1" applyBorder="1"/>
    <xf numFmtId="0" fontId="0" fillId="0" borderId="17" xfId="0" applyBorder="1" applyAlignment="1">
      <alignment horizontal="center"/>
    </xf>
    <xf numFmtId="2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6" fontId="0" fillId="0" borderId="23" xfId="0" applyNumberFormat="1" applyBorder="1"/>
    <xf numFmtId="166" fontId="0" fillId="0" borderId="0" xfId="0" applyNumberFormat="1"/>
    <xf numFmtId="166" fontId="0" fillId="0" borderId="17" xfId="0" applyNumberFormat="1" applyBorder="1"/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2" fillId="7" borderId="5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6" fontId="2" fillId="8" borderId="1" xfId="0" applyNumberFormat="1" applyFont="1" applyFill="1" applyBorder="1" applyAlignment="1">
      <alignment horizontal="center" vertical="center"/>
    </xf>
    <xf numFmtId="166" fontId="2" fillId="8" borderId="5" xfId="0" applyNumberFormat="1" applyFont="1" applyFill="1" applyBorder="1" applyAlignment="1">
      <alignment horizontal="center" vertical="center"/>
    </xf>
    <xf numFmtId="166" fontId="2" fillId="8" borderId="2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65" fontId="2" fillId="18" borderId="1" xfId="0" applyNumberFormat="1" applyFont="1" applyFill="1" applyBorder="1" applyAlignment="1">
      <alignment horizontal="center" vertical="center"/>
    </xf>
    <xf numFmtId="165" fontId="2" fillId="18" borderId="2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165" fontId="2" fillId="18" borderId="8" xfId="0" applyNumberFormat="1" applyFont="1" applyFill="1" applyBorder="1" applyAlignment="1">
      <alignment horizontal="center" vertical="center"/>
    </xf>
    <xf numFmtId="165" fontId="2" fillId="18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A1D87-EABF-4690-8E55-E848EEC5E547}">
  <dimension ref="A1:E3"/>
  <sheetViews>
    <sheetView zoomScale="80" zoomScaleNormal="80" workbookViewId="0">
      <selection activeCell="I30" sqref="I30"/>
    </sheetView>
  </sheetViews>
  <sheetFormatPr baseColWidth="10" defaultColWidth="11.44140625" defaultRowHeight="14.4" x14ac:dyDescent="0.3"/>
  <cols>
    <col min="5" max="5" width="15.44140625" bestFit="1" customWidth="1"/>
  </cols>
  <sheetData>
    <row r="1" spans="1:5" x14ac:dyDescent="0.3">
      <c r="A1" t="s">
        <v>0</v>
      </c>
      <c r="B1">
        <v>8.2799999999999994</v>
      </c>
      <c r="D1" s="151" t="s">
        <v>1</v>
      </c>
      <c r="E1" s="151"/>
    </row>
    <row r="2" spans="1:5" x14ac:dyDescent="0.3">
      <c r="A2" t="s">
        <v>2</v>
      </c>
      <c r="B2">
        <v>77.73</v>
      </c>
      <c r="D2" t="s">
        <v>3</v>
      </c>
      <c r="E2" t="s">
        <v>4</v>
      </c>
    </row>
    <row r="3" spans="1:5" x14ac:dyDescent="0.3">
      <c r="A3" t="s">
        <v>5</v>
      </c>
      <c r="B3">
        <v>47.93</v>
      </c>
      <c r="D3">
        <f>B2*0.1/5</f>
        <v>1.5546000000000002</v>
      </c>
      <c r="E3">
        <f>B3*0.1/5</f>
        <v>0.95860000000000001</v>
      </c>
    </row>
  </sheetData>
  <mergeCells count="1"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28A7-4D32-42EF-8391-2427C13BEE73}">
  <dimension ref="A1:AG108"/>
  <sheetViews>
    <sheetView zoomScale="70" zoomScaleNormal="70" workbookViewId="0"/>
  </sheetViews>
  <sheetFormatPr baseColWidth="10" defaultColWidth="8.6640625" defaultRowHeight="14.4" x14ac:dyDescent="0.3"/>
  <cols>
    <col min="1" max="1" width="12.44140625" style="18" customWidth="1"/>
    <col min="2" max="2" width="11.5546875" style="2" bestFit="1" customWidth="1"/>
    <col min="3" max="3" width="8" style="20" customWidth="1"/>
    <col min="4" max="4" width="8.44140625" style="20" customWidth="1"/>
    <col min="5" max="6" width="8.6640625" style="2"/>
    <col min="7" max="7" width="8.6640625" style="37"/>
    <col min="8" max="13" width="8.6640625" style="2"/>
    <col min="14" max="14" width="8.6640625" style="37"/>
    <col min="15" max="18" width="8.6640625" style="2"/>
    <col min="19" max="19" width="9.5546875" style="2" bestFit="1" customWidth="1"/>
    <col min="20" max="20" width="9.5546875" style="18" customWidth="1"/>
    <col min="21" max="21" width="10.5546875" style="1" customWidth="1"/>
    <col min="22" max="22" width="9" style="1" customWidth="1"/>
    <col min="23" max="23" width="9.44140625" style="1" customWidth="1"/>
    <col min="24" max="24" width="10" style="25" customWidth="1"/>
    <col min="25" max="25" width="10.33203125" style="2" bestFit="1" customWidth="1"/>
    <col min="26" max="26" width="13" style="2" bestFit="1" customWidth="1"/>
    <col min="27" max="27" width="13.44140625" style="2" bestFit="1" customWidth="1"/>
    <col min="28" max="28" width="10.5546875" style="2" bestFit="1" customWidth="1"/>
    <col min="29" max="29" width="13" style="2" bestFit="1" customWidth="1"/>
    <col min="30" max="30" width="10.5546875" style="2" bestFit="1" customWidth="1"/>
    <col min="31" max="31" width="13.44140625" style="2" bestFit="1" customWidth="1"/>
    <col min="32" max="32" width="12.5546875" style="2" bestFit="1" customWidth="1"/>
    <col min="33" max="33" width="13.5546875" style="18" bestFit="1" customWidth="1"/>
  </cols>
  <sheetData>
    <row r="1" spans="1:33" ht="15" thickBot="1" x14ac:dyDescent="0.35">
      <c r="A1" s="2"/>
      <c r="C1" s="2"/>
      <c r="D1" s="2"/>
      <c r="G1" s="2"/>
      <c r="N1" s="2"/>
      <c r="T1" s="2"/>
      <c r="X1" s="1"/>
      <c r="AG1" s="2"/>
    </row>
    <row r="2" spans="1:33" ht="15" thickBot="1" x14ac:dyDescent="0.35">
      <c r="B2" s="3" t="s">
        <v>6</v>
      </c>
      <c r="C2" s="4">
        <v>30</v>
      </c>
      <c r="D2" s="2"/>
      <c r="E2" s="152" t="s">
        <v>7</v>
      </c>
      <c r="F2" s="153"/>
      <c r="G2" s="156" t="s">
        <v>8</v>
      </c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8"/>
      <c r="U2" s="159" t="s">
        <v>9</v>
      </c>
      <c r="V2" s="160"/>
      <c r="W2" s="160"/>
      <c r="X2" s="161"/>
      <c r="Y2" s="165" t="s">
        <v>10</v>
      </c>
      <c r="Z2" s="165"/>
      <c r="AA2" s="165"/>
      <c r="AB2" s="165"/>
      <c r="AC2" s="165"/>
      <c r="AD2" s="165"/>
      <c r="AE2" s="165"/>
      <c r="AF2" s="165"/>
      <c r="AG2" s="165"/>
    </row>
    <row r="3" spans="1:33" ht="15" thickBot="1" x14ac:dyDescent="0.35">
      <c r="A3" s="2"/>
      <c r="C3" s="2"/>
      <c r="D3" s="2"/>
      <c r="E3" s="154"/>
      <c r="F3" s="155"/>
      <c r="G3" s="166" t="s">
        <v>11</v>
      </c>
      <c r="H3" s="166"/>
      <c r="I3" s="166"/>
      <c r="J3" s="166"/>
      <c r="K3" s="166"/>
      <c r="L3" s="166"/>
      <c r="M3" s="166"/>
      <c r="N3" s="167" t="s">
        <v>12</v>
      </c>
      <c r="O3" s="168"/>
      <c r="P3" s="168"/>
      <c r="Q3" s="168"/>
      <c r="R3" s="168"/>
      <c r="S3" s="168"/>
      <c r="T3" s="169"/>
      <c r="U3" s="162"/>
      <c r="V3" s="163"/>
      <c r="W3" s="163"/>
      <c r="X3" s="164"/>
      <c r="Y3" s="170" t="s">
        <v>13</v>
      </c>
      <c r="Z3" s="171"/>
      <c r="AA3" s="171"/>
      <c r="AB3" s="171"/>
      <c r="AC3" s="171"/>
      <c r="AD3" s="171"/>
      <c r="AE3" s="171"/>
      <c r="AF3" s="171"/>
      <c r="AG3" s="171"/>
    </row>
    <row r="4" spans="1:33" ht="15" thickBot="1" x14ac:dyDescent="0.35">
      <c r="A4" s="8" t="s">
        <v>14</v>
      </c>
      <c r="B4" s="9" t="s">
        <v>15</v>
      </c>
      <c r="C4" s="11" t="s">
        <v>16</v>
      </c>
      <c r="D4" s="12" t="s">
        <v>0</v>
      </c>
      <c r="E4" s="13" t="s">
        <v>17</v>
      </c>
      <c r="F4" s="14" t="s">
        <v>18</v>
      </c>
      <c r="G4" s="15" t="s">
        <v>19</v>
      </c>
      <c r="H4" s="15" t="s">
        <v>20</v>
      </c>
      <c r="I4" s="15" t="s">
        <v>21</v>
      </c>
      <c r="J4" s="15" t="s">
        <v>22</v>
      </c>
      <c r="K4" s="15" t="s">
        <v>23</v>
      </c>
      <c r="L4" s="15" t="s">
        <v>24</v>
      </c>
      <c r="M4" s="15" t="s">
        <v>25</v>
      </c>
      <c r="N4" s="15" t="s">
        <v>19</v>
      </c>
      <c r="O4" s="15" t="s">
        <v>20</v>
      </c>
      <c r="P4" s="15" t="s">
        <v>21</v>
      </c>
      <c r="Q4" s="15" t="s">
        <v>22</v>
      </c>
      <c r="R4" s="15" t="s">
        <v>23</v>
      </c>
      <c r="S4" s="15" t="s">
        <v>24</v>
      </c>
      <c r="T4" s="15" t="s">
        <v>25</v>
      </c>
      <c r="U4" s="16" t="s">
        <v>26</v>
      </c>
      <c r="V4" s="16" t="s">
        <v>27</v>
      </c>
      <c r="W4" s="16" t="s">
        <v>28</v>
      </c>
      <c r="X4" s="16" t="s">
        <v>29</v>
      </c>
      <c r="Y4" s="17" t="s">
        <v>30</v>
      </c>
      <c r="Z4" s="17" t="s">
        <v>31</v>
      </c>
      <c r="AA4" s="17" t="s">
        <v>32</v>
      </c>
      <c r="AB4" s="17" t="s">
        <v>33</v>
      </c>
      <c r="AC4" s="17" t="s">
        <v>34</v>
      </c>
      <c r="AD4" s="17" t="s">
        <v>35</v>
      </c>
      <c r="AE4" s="17" t="s">
        <v>36</v>
      </c>
      <c r="AF4" s="17" t="s">
        <v>37</v>
      </c>
      <c r="AG4" s="17" t="s">
        <v>38</v>
      </c>
    </row>
    <row r="5" spans="1:33" x14ac:dyDescent="0.3">
      <c r="A5" s="18" t="s">
        <v>42</v>
      </c>
      <c r="B5" s="19">
        <v>45267</v>
      </c>
      <c r="C5" s="20">
        <v>0</v>
      </c>
      <c r="D5" s="20">
        <v>7.02</v>
      </c>
      <c r="E5" s="21">
        <v>1.5546000000000002</v>
      </c>
      <c r="F5" s="21">
        <v>0.95860000000000001</v>
      </c>
      <c r="G5" s="22">
        <v>24.452679257475463</v>
      </c>
      <c r="H5" s="21">
        <v>35.445816378328018</v>
      </c>
      <c r="I5" s="21">
        <v>0.33080287759004001</v>
      </c>
      <c r="J5" s="21">
        <v>1.1055670565843647</v>
      </c>
      <c r="K5" s="21">
        <v>9.5301533570208452</v>
      </c>
      <c r="L5" s="21">
        <v>29.134981073001263</v>
      </c>
      <c r="M5" s="23">
        <f t="shared" ref="M5" si="0">SUM(G5:L5)</f>
        <v>100</v>
      </c>
      <c r="N5" s="24">
        <v>19.571715311603903</v>
      </c>
      <c r="O5" s="24">
        <v>38.9270528490297</v>
      </c>
      <c r="P5" s="24">
        <v>0.5717737602213917</v>
      </c>
      <c r="Q5" s="24">
        <v>3.7832008495547567</v>
      </c>
      <c r="R5" s="24">
        <v>9.460520046512702</v>
      </c>
      <c r="S5" s="24">
        <v>27.685737183077546</v>
      </c>
      <c r="T5" s="18">
        <f>SUM(N5:S5)</f>
        <v>100</v>
      </c>
      <c r="U5" s="1">
        <f>3.071*10</f>
        <v>30.71</v>
      </c>
      <c r="V5" s="1">
        <f>42.18*10</f>
        <v>421.8</v>
      </c>
      <c r="W5" s="1">
        <f>39.11*10</f>
        <v>391.1</v>
      </c>
      <c r="X5" s="25">
        <f>29.6*10</f>
        <v>296</v>
      </c>
      <c r="Y5" s="2">
        <v>4.2380000000000004</v>
      </c>
      <c r="Z5" s="2">
        <v>16.408999999999999</v>
      </c>
      <c r="AA5" s="2">
        <v>4.6989999999999998</v>
      </c>
      <c r="AB5" s="2">
        <v>0</v>
      </c>
      <c r="AC5" s="2">
        <v>1.044</v>
      </c>
      <c r="AD5" s="2">
        <v>0</v>
      </c>
      <c r="AE5" s="2">
        <v>0</v>
      </c>
      <c r="AF5" s="2">
        <v>0.97299999999999998</v>
      </c>
      <c r="AG5" s="18">
        <v>3.6970000000000001</v>
      </c>
    </row>
    <row r="6" spans="1:33" x14ac:dyDescent="0.3">
      <c r="B6" s="19">
        <v>45268</v>
      </c>
      <c r="C6" s="20">
        <f t="shared" ref="C6:C37" si="1">B6-$B$5</f>
        <v>1</v>
      </c>
      <c r="D6" s="20">
        <v>7.32</v>
      </c>
      <c r="E6" s="21"/>
      <c r="G6" s="22">
        <v>23.56067234438861</v>
      </c>
      <c r="H6" s="21">
        <v>37.186991199268284</v>
      </c>
      <c r="I6" s="21">
        <v>0.48783379807921279</v>
      </c>
      <c r="J6" s="21">
        <v>1.6252369878301391</v>
      </c>
      <c r="K6" s="21">
        <v>9.1932777096811247</v>
      </c>
      <c r="L6" s="21">
        <v>27.945987960752628</v>
      </c>
      <c r="M6" s="26">
        <f>SUM(G6:L6)</f>
        <v>100.00000000000001</v>
      </c>
      <c r="N6" s="21">
        <v>22.496251464959169</v>
      </c>
      <c r="O6" s="21">
        <v>38.29587184677726</v>
      </c>
      <c r="P6" s="21">
        <v>0.22435258168695435</v>
      </c>
      <c r="Q6" s="21">
        <v>2.366451004065373</v>
      </c>
      <c r="R6" s="21">
        <v>9.1837161187452789</v>
      </c>
      <c r="S6" s="21">
        <v>27.433356983765961</v>
      </c>
      <c r="T6" s="26">
        <f>SUM(N6:S6)</f>
        <v>100</v>
      </c>
    </row>
    <row r="7" spans="1:33" x14ac:dyDescent="0.3">
      <c r="B7" s="19">
        <v>45271</v>
      </c>
      <c r="C7" s="20">
        <f t="shared" si="1"/>
        <v>4</v>
      </c>
      <c r="D7" s="20">
        <v>7.05</v>
      </c>
      <c r="G7" s="22">
        <v>23.47537750480048</v>
      </c>
      <c r="H7" s="21">
        <v>38.905581786957697</v>
      </c>
      <c r="I7" s="21">
        <v>0.23129128445060718</v>
      </c>
      <c r="J7" s="21">
        <v>0.69532470980580108</v>
      </c>
      <c r="K7" s="21">
        <v>9.200056198295286</v>
      </c>
      <c r="L7" s="21">
        <v>27.492368515690142</v>
      </c>
      <c r="M7" s="26">
        <f>SUM(G7:L7)</f>
        <v>100.00000000000001</v>
      </c>
      <c r="N7" s="22">
        <v>61.652001642458956</v>
      </c>
      <c r="O7" s="21">
        <v>3.682508633206484</v>
      </c>
      <c r="P7" s="21">
        <v>0.23777891063389905</v>
      </c>
      <c r="Q7" s="21">
        <v>6.4035070148130462</v>
      </c>
      <c r="R7" s="21">
        <v>26.057711518777733</v>
      </c>
      <c r="S7" s="21">
        <v>1.9664922801098983</v>
      </c>
      <c r="T7" s="26">
        <f>SUM(N7:S7)</f>
        <v>100.00000000000001</v>
      </c>
    </row>
    <row r="8" spans="1:33" x14ac:dyDescent="0.3">
      <c r="B8" s="19">
        <v>45272</v>
      </c>
      <c r="C8" s="20">
        <f t="shared" si="1"/>
        <v>5</v>
      </c>
      <c r="D8" s="20">
        <v>7.08</v>
      </c>
      <c r="E8" s="2">
        <v>8.1300000000000008</v>
      </c>
      <c r="F8" s="27">
        <v>2.73</v>
      </c>
      <c r="G8" s="22">
        <v>23.336440560470393</v>
      </c>
      <c r="H8" s="21">
        <v>38.700037148350638</v>
      </c>
      <c r="I8" s="21">
        <v>0.36183175860935712</v>
      </c>
      <c r="J8" s="21">
        <v>1.0717060788936534</v>
      </c>
      <c r="K8" s="21">
        <v>9.1530782281567529</v>
      </c>
      <c r="L8" s="21">
        <v>27.3769062255192</v>
      </c>
      <c r="M8" s="26">
        <f>SUM(G8:L8)</f>
        <v>100</v>
      </c>
      <c r="N8" s="22">
        <v>61.678162727708639</v>
      </c>
      <c r="O8" s="21">
        <v>2.073128691037299</v>
      </c>
      <c r="P8" s="21">
        <v>0.20261138908693102</v>
      </c>
      <c r="Q8" s="21">
        <v>2.2125123023885123</v>
      </c>
      <c r="R8" s="21">
        <v>32.57581129806708</v>
      </c>
      <c r="S8" s="21">
        <v>1.2577735917115263</v>
      </c>
      <c r="T8" s="26">
        <f>SUM(N8:S8)</f>
        <v>99.999999999999986</v>
      </c>
      <c r="U8" s="1">
        <f>109.7*10</f>
        <v>1097</v>
      </c>
      <c r="V8" s="1">
        <f>147.5*10</f>
        <v>1475</v>
      </c>
      <c r="W8" s="1">
        <f>37.37*10</f>
        <v>373.7</v>
      </c>
      <c r="X8" s="25">
        <f>29.59*10</f>
        <v>295.89999999999998</v>
      </c>
      <c r="Y8" s="21">
        <v>2269.1749999999997</v>
      </c>
      <c r="Z8" s="21">
        <v>7.2350000000000003</v>
      </c>
      <c r="AA8" s="21">
        <v>15.095000000000001</v>
      </c>
      <c r="AB8" s="21">
        <v>0</v>
      </c>
      <c r="AC8" s="21">
        <v>5.17</v>
      </c>
      <c r="AD8" s="21">
        <v>0</v>
      </c>
      <c r="AE8" s="21">
        <v>0</v>
      </c>
      <c r="AF8" s="21">
        <v>4.6899999999999995</v>
      </c>
      <c r="AG8" s="28">
        <v>19.274999999999999</v>
      </c>
    </row>
    <row r="9" spans="1:33" x14ac:dyDescent="0.3">
      <c r="B9" s="19">
        <v>45273</v>
      </c>
      <c r="C9" s="20">
        <f t="shared" si="1"/>
        <v>6</v>
      </c>
      <c r="D9" s="20">
        <v>7.03</v>
      </c>
      <c r="G9" s="22">
        <v>23.502079062948258</v>
      </c>
      <c r="H9" s="21">
        <v>38.073174917745931</v>
      </c>
      <c r="I9" s="21">
        <v>0.43111050257009537</v>
      </c>
      <c r="J9" s="21">
        <v>1.3739794359094191</v>
      </c>
      <c r="K9" s="21">
        <v>9.1777525328340754</v>
      </c>
      <c r="L9" s="21">
        <v>27.441903547992215</v>
      </c>
      <c r="M9" s="26">
        <f t="shared" ref="M9:M73" si="2">SUM(G9:L9)</f>
        <v>99.999999999999986</v>
      </c>
      <c r="N9" s="22">
        <v>59.442349489426448</v>
      </c>
      <c r="O9" s="21">
        <v>2.1810070539025737</v>
      </c>
      <c r="P9" s="21">
        <v>0.18807208910148152</v>
      </c>
      <c r="Q9" s="21">
        <v>2.0247851566221251</v>
      </c>
      <c r="R9" s="21">
        <v>35.540845745202624</v>
      </c>
      <c r="S9" s="21">
        <v>0.62294046574473239</v>
      </c>
      <c r="T9" s="26">
        <f t="shared" ref="T9:T73" si="3">SUM(N9:S9)</f>
        <v>99.999999999999986</v>
      </c>
      <c r="Y9" s="21"/>
      <c r="Z9" s="21"/>
      <c r="AA9" s="21"/>
      <c r="AB9" s="21"/>
      <c r="AC9" s="21"/>
      <c r="AD9" s="21"/>
      <c r="AE9" s="21"/>
      <c r="AF9" s="21"/>
      <c r="AG9" s="28"/>
    </row>
    <row r="10" spans="1:33" x14ac:dyDescent="0.3">
      <c r="B10" s="19">
        <v>45274</v>
      </c>
      <c r="C10" s="20">
        <f t="shared" si="1"/>
        <v>7</v>
      </c>
      <c r="D10" s="20">
        <v>7.12</v>
      </c>
      <c r="G10" s="22">
        <v>23.48490854432735</v>
      </c>
      <c r="H10" s="21">
        <v>38.825091619218846</v>
      </c>
      <c r="I10" s="21">
        <v>0.25505834420362372</v>
      </c>
      <c r="J10" s="21">
        <v>0.75146655892701142</v>
      </c>
      <c r="K10" s="21">
        <v>9.1941272912345156</v>
      </c>
      <c r="L10" s="21">
        <v>27.489347642088667</v>
      </c>
      <c r="M10" s="26">
        <f t="shared" si="2"/>
        <v>100</v>
      </c>
      <c r="N10" s="22">
        <v>58.083532349774636</v>
      </c>
      <c r="O10" s="21">
        <v>2.3603946637837598</v>
      </c>
      <c r="P10" s="21">
        <v>0.20257842539632376</v>
      </c>
      <c r="Q10" s="21">
        <v>1.0517608582677438</v>
      </c>
      <c r="R10" s="21">
        <v>37.506477759944971</v>
      </c>
      <c r="S10" s="21">
        <v>0.79525594283256229</v>
      </c>
      <c r="T10" s="26">
        <f t="shared" si="3"/>
        <v>100</v>
      </c>
      <c r="U10" s="1">
        <f>111.8*10</f>
        <v>1118</v>
      </c>
      <c r="V10" s="1">
        <f>148.8*10</f>
        <v>1488</v>
      </c>
      <c r="W10" s="1">
        <f>36.93*10</f>
        <v>369.3</v>
      </c>
      <c r="X10" s="25">
        <f>27.27*10</f>
        <v>272.7</v>
      </c>
      <c r="Y10" s="21">
        <v>2229.9049999999997</v>
      </c>
      <c r="Z10" s="21">
        <v>18.715</v>
      </c>
      <c r="AA10" s="21">
        <v>16.434999999999999</v>
      </c>
      <c r="AB10" s="21">
        <v>23.83</v>
      </c>
      <c r="AC10" s="21">
        <v>5.48</v>
      </c>
      <c r="AD10" s="21">
        <v>0</v>
      </c>
      <c r="AE10" s="21">
        <v>0</v>
      </c>
      <c r="AF10" s="21">
        <v>4.9349999999999996</v>
      </c>
      <c r="AG10" s="28">
        <v>5.0000000000000001E-3</v>
      </c>
    </row>
    <row r="11" spans="1:33" x14ac:dyDescent="0.3">
      <c r="B11" s="19">
        <v>45275</v>
      </c>
      <c r="C11" s="20">
        <f t="shared" si="1"/>
        <v>8</v>
      </c>
      <c r="D11" s="20">
        <v>7.08</v>
      </c>
      <c r="G11" s="22">
        <v>23.222962921437151</v>
      </c>
      <c r="H11" s="21">
        <v>38.493824369136817</v>
      </c>
      <c r="I11" s="21">
        <v>0.43698438260447309</v>
      </c>
      <c r="J11" s="21">
        <v>1.3275861545784093</v>
      </c>
      <c r="K11" s="21">
        <v>9.1565475620527579</v>
      </c>
      <c r="L11" s="21">
        <v>27.362094610190386</v>
      </c>
      <c r="M11" s="26">
        <f t="shared" si="2"/>
        <v>100</v>
      </c>
      <c r="N11" s="22">
        <v>57.422415305680353</v>
      </c>
      <c r="O11" s="21">
        <v>2.2432679280089434</v>
      </c>
      <c r="P11" s="21">
        <v>0.21371390286579181</v>
      </c>
      <c r="Q11" s="21">
        <v>1.735126689909696</v>
      </c>
      <c r="R11" s="21">
        <v>37.674051711581292</v>
      </c>
      <c r="S11" s="21">
        <v>0.71142446195391196</v>
      </c>
      <c r="T11" s="26">
        <f t="shared" si="3"/>
        <v>99.999999999999986</v>
      </c>
      <c r="Y11" s="21"/>
      <c r="Z11" s="21"/>
      <c r="AA11" s="21"/>
      <c r="AB11" s="21"/>
      <c r="AC11" s="21"/>
      <c r="AD11" s="21"/>
      <c r="AE11" s="21"/>
      <c r="AF11" s="21"/>
      <c r="AG11" s="28"/>
    </row>
    <row r="12" spans="1:33" x14ac:dyDescent="0.3">
      <c r="B12" s="19">
        <v>45278</v>
      </c>
      <c r="C12" s="20">
        <f t="shared" si="1"/>
        <v>11</v>
      </c>
      <c r="D12" s="20">
        <v>6.99</v>
      </c>
      <c r="G12" s="22">
        <v>24.315910009676461</v>
      </c>
      <c r="H12" s="21">
        <v>38.3429833722629</v>
      </c>
      <c r="I12" s="21">
        <v>1.6097724062729684</v>
      </c>
      <c r="J12" s="21">
        <v>5.5181802988697024</v>
      </c>
      <c r="K12" s="21">
        <v>9.565246835205965</v>
      </c>
      <c r="L12" s="21">
        <v>20.647907077711995</v>
      </c>
      <c r="M12" s="26">
        <f t="shared" si="2"/>
        <v>100</v>
      </c>
      <c r="N12" s="22">
        <v>52.150594893142554</v>
      </c>
      <c r="O12" s="21">
        <v>5.4253608971379581</v>
      </c>
      <c r="P12" s="21">
        <v>0.64193802324808669</v>
      </c>
      <c r="Q12" s="21">
        <v>6.7174504923361393</v>
      </c>
      <c r="R12" s="21">
        <v>34.717297653760248</v>
      </c>
      <c r="S12" s="21">
        <v>0.34735804037501283</v>
      </c>
      <c r="T12" s="26">
        <f t="shared" si="3"/>
        <v>100</v>
      </c>
      <c r="Y12" s="21"/>
      <c r="Z12" s="21"/>
      <c r="AA12" s="21"/>
      <c r="AB12" s="21"/>
      <c r="AC12" s="21"/>
      <c r="AD12" s="21"/>
      <c r="AE12" s="21"/>
      <c r="AF12" s="21"/>
      <c r="AG12" s="28"/>
    </row>
    <row r="13" spans="1:33" x14ac:dyDescent="0.3">
      <c r="B13" s="19">
        <v>45279</v>
      </c>
      <c r="C13" s="20">
        <f t="shared" si="1"/>
        <v>12</v>
      </c>
      <c r="D13" s="20">
        <v>7.12</v>
      </c>
      <c r="E13" s="2">
        <v>8.6999999999999993</v>
      </c>
      <c r="F13" s="2">
        <v>2.9</v>
      </c>
      <c r="G13" s="22">
        <v>23.202675188428927</v>
      </c>
      <c r="H13" s="21">
        <v>38.749215899079594</v>
      </c>
      <c r="I13" s="21">
        <v>0.36391643885148889</v>
      </c>
      <c r="J13" s="21">
        <v>1.2030695394213986</v>
      </c>
      <c r="K13" s="21">
        <v>9.0643688700471703</v>
      </c>
      <c r="L13" s="21">
        <v>27.416754064171421</v>
      </c>
      <c r="M13" s="26">
        <f t="shared" si="2"/>
        <v>100</v>
      </c>
      <c r="N13" s="22">
        <v>53.892923974636339</v>
      </c>
      <c r="O13" s="21">
        <v>2.4644425198600568</v>
      </c>
      <c r="P13" s="21">
        <v>0.18002348929812301</v>
      </c>
      <c r="Q13" s="21">
        <v>1.5603255680024171</v>
      </c>
      <c r="R13" s="21">
        <v>41.097533667897842</v>
      </c>
      <c r="S13" s="21">
        <v>0.80475078030522085</v>
      </c>
      <c r="T13" s="26">
        <f t="shared" si="3"/>
        <v>100</v>
      </c>
      <c r="U13" s="1">
        <f>84.78*10</f>
        <v>847.8</v>
      </c>
      <c r="V13" s="1">
        <f>129.4*10</f>
        <v>1294</v>
      </c>
      <c r="W13" s="1">
        <f>44.63*10</f>
        <v>446.3</v>
      </c>
      <c r="X13" s="25">
        <f>26.01*10</f>
        <v>260.10000000000002</v>
      </c>
      <c r="Y13" s="21">
        <v>1722.6599999999999</v>
      </c>
      <c r="Z13" s="21">
        <v>35.57</v>
      </c>
      <c r="AA13" s="21">
        <v>24.47</v>
      </c>
      <c r="AB13" s="21">
        <v>45.384999999999998</v>
      </c>
      <c r="AC13" s="21">
        <v>6.25</v>
      </c>
      <c r="AD13" s="21">
        <v>0</v>
      </c>
      <c r="AE13" s="21">
        <v>0</v>
      </c>
      <c r="AF13" s="21">
        <v>5.48</v>
      </c>
      <c r="AG13" s="28">
        <v>5.0000000000000001E-3</v>
      </c>
    </row>
    <row r="14" spans="1:33" x14ac:dyDescent="0.3">
      <c r="B14" s="19">
        <v>45280</v>
      </c>
      <c r="C14" s="20">
        <f t="shared" si="1"/>
        <v>13</v>
      </c>
      <c r="D14" s="20">
        <v>7.21</v>
      </c>
      <c r="G14" s="22">
        <v>23.434264711568574</v>
      </c>
      <c r="H14" s="21">
        <v>36.968137745315886</v>
      </c>
      <c r="I14" s="21">
        <v>0.51552345088938534</v>
      </c>
      <c r="J14" s="21">
        <v>1.8295907945435161</v>
      </c>
      <c r="K14" s="21">
        <v>9.2195924901806734</v>
      </c>
      <c r="L14" s="21">
        <v>28.032890807501953</v>
      </c>
      <c r="M14" s="26">
        <f t="shared" si="2"/>
        <v>99.999999999999986</v>
      </c>
      <c r="N14" s="22">
        <v>54.213580796541869</v>
      </c>
      <c r="O14" s="21">
        <v>0.90676318681029411</v>
      </c>
      <c r="P14" s="21">
        <v>0.15842315361153453</v>
      </c>
      <c r="Q14" s="21">
        <v>2.2818466018454853</v>
      </c>
      <c r="R14" s="21">
        <v>41.645324653750393</v>
      </c>
      <c r="S14" s="21">
        <v>0.79406160744041787</v>
      </c>
      <c r="T14" s="26">
        <f t="shared" si="3"/>
        <v>99.999999999999986</v>
      </c>
      <c r="Y14" s="21"/>
      <c r="Z14" s="21"/>
      <c r="AA14" s="21"/>
      <c r="AB14" s="21"/>
      <c r="AC14" s="21"/>
      <c r="AD14" s="21"/>
      <c r="AE14" s="21"/>
      <c r="AF14" s="21"/>
      <c r="AG14" s="28"/>
    </row>
    <row r="15" spans="1:33" x14ac:dyDescent="0.3">
      <c r="B15" s="19">
        <v>45281</v>
      </c>
      <c r="C15" s="20">
        <f t="shared" si="1"/>
        <v>14</v>
      </c>
      <c r="D15" s="20">
        <v>7.2</v>
      </c>
      <c r="G15" s="22">
        <v>23.504309179677918</v>
      </c>
      <c r="H15" s="21">
        <v>37.503105709529301</v>
      </c>
      <c r="I15" s="21">
        <v>0.38851066253739275</v>
      </c>
      <c r="J15" s="21">
        <v>1.4364594442840226</v>
      </c>
      <c r="K15" s="21">
        <v>9.2045310882892473</v>
      </c>
      <c r="L15" s="21">
        <v>27.96308391568213</v>
      </c>
      <c r="M15" s="26">
        <f t="shared" si="2"/>
        <v>100.00000000000001</v>
      </c>
      <c r="N15" s="22">
        <v>52.277606327607096</v>
      </c>
      <c r="O15" s="21">
        <v>0</v>
      </c>
      <c r="P15" s="21">
        <v>0.27778207249132902</v>
      </c>
      <c r="Q15" s="21">
        <v>2.3911460128638953</v>
      </c>
      <c r="R15" s="21">
        <v>44.298958952443499</v>
      </c>
      <c r="S15" s="21">
        <v>0.75450663459417178</v>
      </c>
      <c r="T15" s="26">
        <f t="shared" si="3"/>
        <v>99.999999999999986</v>
      </c>
      <c r="U15" s="1">
        <f>40.3*10</f>
        <v>403</v>
      </c>
      <c r="V15" s="1">
        <f>93.34*10</f>
        <v>933.40000000000009</v>
      </c>
      <c r="W15" s="1">
        <f>53.04*10</f>
        <v>530.4</v>
      </c>
      <c r="X15" s="25">
        <f>16.25*10</f>
        <v>162.5</v>
      </c>
      <c r="Y15" s="21">
        <v>677.745</v>
      </c>
      <c r="Z15" s="21">
        <v>47.39</v>
      </c>
      <c r="AA15" s="21">
        <v>16.36</v>
      </c>
      <c r="AB15" s="21">
        <v>36.215000000000003</v>
      </c>
      <c r="AC15" s="21">
        <v>5.8699999999999992</v>
      </c>
      <c r="AD15" s="21">
        <v>0</v>
      </c>
      <c r="AE15" s="21">
        <v>0</v>
      </c>
      <c r="AF15" s="21">
        <v>4.9450000000000003</v>
      </c>
      <c r="AG15" s="28">
        <v>18.779999999999998</v>
      </c>
    </row>
    <row r="16" spans="1:33" x14ac:dyDescent="0.3">
      <c r="B16" s="19">
        <v>45282</v>
      </c>
      <c r="C16" s="20">
        <f t="shared" si="1"/>
        <v>15</v>
      </c>
      <c r="D16" s="20">
        <v>7.34</v>
      </c>
      <c r="G16" s="22">
        <v>23.363328830040032</v>
      </c>
      <c r="H16" s="21">
        <v>36.760306234975445</v>
      </c>
      <c r="I16" s="21">
        <v>0.64685418858079902</v>
      </c>
      <c r="J16" s="21">
        <v>2.2837527219663611</v>
      </c>
      <c r="K16" s="21">
        <v>9.1535793659111402</v>
      </c>
      <c r="L16" s="21">
        <v>27.79217865852624</v>
      </c>
      <c r="M16" s="26">
        <f t="shared" si="2"/>
        <v>100.00000000000001</v>
      </c>
      <c r="N16" s="22">
        <v>51.227045174375029</v>
      </c>
      <c r="O16" s="21">
        <v>0.66476624208422841</v>
      </c>
      <c r="P16" s="21">
        <v>0.17089110112136685</v>
      </c>
      <c r="Q16" s="21">
        <v>3.8973082383151807</v>
      </c>
      <c r="R16" s="21">
        <v>43.330449760482253</v>
      </c>
      <c r="S16" s="21">
        <v>0.70953948362193464</v>
      </c>
      <c r="T16" s="26">
        <f t="shared" si="3"/>
        <v>100</v>
      </c>
      <c r="Y16" s="21"/>
      <c r="Z16" s="21"/>
      <c r="AA16" s="21"/>
      <c r="AB16" s="21"/>
      <c r="AC16" s="21"/>
      <c r="AD16" s="21"/>
      <c r="AE16" s="21"/>
      <c r="AF16" s="21"/>
      <c r="AG16" s="28"/>
    </row>
    <row r="17" spans="1:33" x14ac:dyDescent="0.3">
      <c r="B17" s="19">
        <v>45287</v>
      </c>
      <c r="C17" s="20">
        <f t="shared" si="1"/>
        <v>20</v>
      </c>
      <c r="G17" s="22">
        <v>22.777723047250522</v>
      </c>
      <c r="H17" s="21">
        <v>36.244179312370477</v>
      </c>
      <c r="I17" s="21">
        <v>1.1834232143685606</v>
      </c>
      <c r="J17" s="21">
        <v>4.1983799915586237</v>
      </c>
      <c r="K17" s="21">
        <v>8.7670158784042762</v>
      </c>
      <c r="L17" s="21">
        <v>26.829278556047537</v>
      </c>
      <c r="M17" s="26">
        <f t="shared" si="2"/>
        <v>100</v>
      </c>
      <c r="N17" s="22">
        <v>55.662696594391093</v>
      </c>
      <c r="O17" s="21">
        <v>2.5069931249492439</v>
      </c>
      <c r="P17" s="21">
        <v>0.69236489890223796</v>
      </c>
      <c r="Q17" s="21">
        <v>4.264820923602719</v>
      </c>
      <c r="R17" s="21">
        <v>35.881271136683473</v>
      </c>
      <c r="S17" s="21">
        <v>0.99185332147122918</v>
      </c>
      <c r="T17" s="26">
        <f t="shared" si="3"/>
        <v>100</v>
      </c>
      <c r="Y17" s="21"/>
      <c r="Z17" s="21"/>
      <c r="AA17" s="21"/>
      <c r="AB17" s="21"/>
      <c r="AC17" s="21"/>
      <c r="AD17" s="21"/>
      <c r="AE17" s="21"/>
      <c r="AF17" s="21"/>
      <c r="AG17" s="28"/>
    </row>
    <row r="18" spans="1:33" x14ac:dyDescent="0.3">
      <c r="B18" s="19">
        <v>45290</v>
      </c>
      <c r="C18" s="20">
        <f t="shared" si="1"/>
        <v>23</v>
      </c>
      <c r="G18" s="22">
        <v>23.24093408602139</v>
      </c>
      <c r="H18" s="21">
        <v>37.174721623549125</v>
      </c>
      <c r="I18" s="21">
        <v>0.72016421786231422</v>
      </c>
      <c r="J18" s="21">
        <v>2.5405621822559707</v>
      </c>
      <c r="K18" s="21">
        <v>8.9247338254434432</v>
      </c>
      <c r="L18" s="21">
        <v>27.398884064867758</v>
      </c>
      <c r="M18" s="26">
        <f t="shared" si="2"/>
        <v>100</v>
      </c>
      <c r="N18" s="22">
        <v>53.357914321435139</v>
      </c>
      <c r="O18" s="21">
        <v>1.5712877217396559</v>
      </c>
      <c r="P18" s="21">
        <v>1.1398854773131173</v>
      </c>
      <c r="Q18" s="21">
        <v>7.1086933553650855</v>
      </c>
      <c r="R18" s="21">
        <v>35.890028568586388</v>
      </c>
      <c r="S18" s="21">
        <v>0.93219055556060126</v>
      </c>
      <c r="T18" s="26">
        <f t="shared" si="3"/>
        <v>99.999999999999972</v>
      </c>
      <c r="Y18" s="21"/>
      <c r="Z18" s="21"/>
      <c r="AA18" s="21"/>
      <c r="AB18" s="21"/>
      <c r="AC18" s="21"/>
      <c r="AD18" s="21"/>
      <c r="AE18" s="21"/>
      <c r="AF18" s="21"/>
      <c r="AG18" s="28"/>
    </row>
    <row r="19" spans="1:33" x14ac:dyDescent="0.3">
      <c r="B19" s="19">
        <v>45293</v>
      </c>
      <c r="C19" s="20">
        <f t="shared" si="1"/>
        <v>26</v>
      </c>
      <c r="D19" s="20">
        <v>7.23</v>
      </c>
      <c r="G19" s="22">
        <v>22.993022822430092</v>
      </c>
      <c r="H19" s="21">
        <v>39.34807221754803</v>
      </c>
      <c r="I19" s="21">
        <v>0.28328968508200181</v>
      </c>
      <c r="J19" s="21">
        <v>0.8468582631928907</v>
      </c>
      <c r="K19" s="21">
        <v>8.9929932702666644</v>
      </c>
      <c r="L19" s="21">
        <v>27.535763741480324</v>
      </c>
      <c r="M19" s="26">
        <f t="shared" si="2"/>
        <v>100</v>
      </c>
      <c r="N19" s="22">
        <v>56.92701276212744</v>
      </c>
      <c r="O19" s="21">
        <v>1.1319991901044448</v>
      </c>
      <c r="P19" s="21">
        <v>0.18662657975447883</v>
      </c>
      <c r="Q19" s="21">
        <v>3.1521535687795788</v>
      </c>
      <c r="R19" s="21">
        <v>37.616170593156745</v>
      </c>
      <c r="S19" s="21">
        <v>0.98603730607730367</v>
      </c>
      <c r="T19" s="26">
        <f t="shared" si="3"/>
        <v>100</v>
      </c>
      <c r="Y19" s="21"/>
      <c r="Z19" s="21"/>
      <c r="AA19" s="21"/>
      <c r="AB19" s="21"/>
      <c r="AC19" s="21"/>
      <c r="AD19" s="21"/>
      <c r="AE19" s="21"/>
      <c r="AF19" s="21"/>
      <c r="AG19" s="28"/>
    </row>
    <row r="20" spans="1:33" x14ac:dyDescent="0.3">
      <c r="B20" s="19">
        <v>45294</v>
      </c>
      <c r="C20" s="20">
        <f t="shared" si="1"/>
        <v>27</v>
      </c>
      <c r="D20" s="20">
        <v>7.12</v>
      </c>
      <c r="G20" s="22">
        <v>2.9874019596296413</v>
      </c>
      <c r="H20" s="21">
        <v>47.165110167713692</v>
      </c>
      <c r="I20" s="21">
        <v>0.5015246461509052</v>
      </c>
      <c r="J20" s="21">
        <v>1.8446940738207078</v>
      </c>
      <c r="K20" s="21">
        <v>11.717399295073928</v>
      </c>
      <c r="L20" s="21">
        <v>35.783869857611109</v>
      </c>
      <c r="M20" s="26">
        <f t="shared" si="2"/>
        <v>99.999999999999986</v>
      </c>
      <c r="N20" s="22">
        <v>57.876409185146152</v>
      </c>
      <c r="O20" s="21">
        <v>0.90146241523371329</v>
      </c>
      <c r="P20" s="21">
        <v>0.13656556464668765</v>
      </c>
      <c r="Q20" s="21">
        <v>1.8202320616347547</v>
      </c>
      <c r="R20" s="21">
        <v>38.228943879577265</v>
      </c>
      <c r="S20" s="21">
        <v>1.036386893761424</v>
      </c>
      <c r="T20" s="26">
        <f t="shared" si="3"/>
        <v>99.999999999999986</v>
      </c>
      <c r="Y20" s="21"/>
      <c r="Z20" s="21"/>
      <c r="AA20" s="21"/>
      <c r="AB20" s="21"/>
      <c r="AC20" s="21"/>
      <c r="AD20" s="21"/>
      <c r="AE20" s="21"/>
      <c r="AF20" s="21"/>
      <c r="AG20" s="28"/>
    </row>
    <row r="21" spans="1:33" x14ac:dyDescent="0.3">
      <c r="B21" s="19">
        <v>45295</v>
      </c>
      <c r="C21" s="20">
        <f t="shared" si="1"/>
        <v>28</v>
      </c>
      <c r="D21" s="20">
        <v>7.05</v>
      </c>
      <c r="G21" s="22">
        <v>23.420527978774576</v>
      </c>
      <c r="H21" s="21">
        <v>36.544882258507549</v>
      </c>
      <c r="I21" s="21">
        <v>0.64106585486132384</v>
      </c>
      <c r="J21" s="21">
        <v>2.201185594402975</v>
      </c>
      <c r="K21" s="21">
        <v>9.192841447288</v>
      </c>
      <c r="L21" s="21">
        <v>27.999496866165575</v>
      </c>
      <c r="M21" s="26">
        <f t="shared" si="2"/>
        <v>100</v>
      </c>
      <c r="N21" s="22">
        <v>56.74611740719606</v>
      </c>
      <c r="O21" s="21">
        <v>2.3095269712976898</v>
      </c>
      <c r="P21" s="21">
        <v>0.18647865052895007</v>
      </c>
      <c r="Q21" s="21">
        <v>2.9060208235032898</v>
      </c>
      <c r="R21" s="21">
        <v>36.792022816642138</v>
      </c>
      <c r="S21" s="21">
        <v>1.0598333308318577</v>
      </c>
      <c r="T21" s="26">
        <f t="shared" si="3"/>
        <v>99.999999999999986</v>
      </c>
      <c r="U21" s="1">
        <f>4.064*10</f>
        <v>40.64</v>
      </c>
      <c r="V21" s="1">
        <f>59.93*10</f>
        <v>599.29999999999995</v>
      </c>
      <c r="W21" s="1">
        <f>55.86*10</f>
        <v>558.6</v>
      </c>
      <c r="X21" s="25">
        <f>16.06*10</f>
        <v>160.6</v>
      </c>
      <c r="Y21" s="21">
        <v>24.93</v>
      </c>
      <c r="Z21" s="21">
        <v>13.055000000000001</v>
      </c>
      <c r="AA21" s="21">
        <v>8.92</v>
      </c>
      <c r="AB21" s="21">
        <v>0</v>
      </c>
      <c r="AC21" s="21">
        <v>220.21999999999997</v>
      </c>
      <c r="AD21" s="21">
        <v>0</v>
      </c>
      <c r="AE21" s="21">
        <v>0</v>
      </c>
      <c r="AF21" s="21">
        <v>0</v>
      </c>
      <c r="AG21" s="28">
        <v>0</v>
      </c>
    </row>
    <row r="22" spans="1:33" x14ac:dyDescent="0.3">
      <c r="B22" s="19">
        <v>45296</v>
      </c>
      <c r="C22" s="20">
        <f t="shared" si="1"/>
        <v>29</v>
      </c>
      <c r="D22" s="20">
        <v>7.13</v>
      </c>
      <c r="G22" s="22">
        <v>23.725584621292064</v>
      </c>
      <c r="H22" s="21">
        <v>37.500469938102277</v>
      </c>
      <c r="I22" s="21">
        <v>0.27959623826326896</v>
      </c>
      <c r="J22" s="21">
        <v>0.92749186510362369</v>
      </c>
      <c r="K22" s="21">
        <v>9.2985451069076674</v>
      </c>
      <c r="L22" s="21">
        <v>28.268312230331087</v>
      </c>
      <c r="M22" s="26">
        <f t="shared" si="2"/>
        <v>99.999999999999986</v>
      </c>
      <c r="N22" s="22">
        <v>57.634002672975392</v>
      </c>
      <c r="O22" s="21">
        <v>1.0917563430195973</v>
      </c>
      <c r="P22" s="21">
        <v>0.16017765786406504</v>
      </c>
      <c r="Q22" s="21">
        <v>1.5793000385293916</v>
      </c>
      <c r="R22" s="21">
        <v>38.542584588414563</v>
      </c>
      <c r="S22" s="21">
        <v>0.99217869919699886</v>
      </c>
      <c r="T22" s="26">
        <f t="shared" si="3"/>
        <v>100.00000000000001</v>
      </c>
      <c r="Y22" s="21"/>
      <c r="Z22" s="21"/>
      <c r="AA22" s="21"/>
      <c r="AB22" s="21"/>
      <c r="AC22" s="21"/>
      <c r="AD22" s="21"/>
      <c r="AE22" s="21"/>
      <c r="AF22" s="21"/>
      <c r="AG22" s="28"/>
    </row>
    <row r="23" spans="1:33" x14ac:dyDescent="0.3">
      <c r="B23" s="19">
        <v>45299</v>
      </c>
      <c r="C23" s="20">
        <f t="shared" si="1"/>
        <v>32</v>
      </c>
      <c r="D23" s="20">
        <v>7.21</v>
      </c>
      <c r="G23" s="22">
        <v>23.622644002371882</v>
      </c>
      <c r="H23" s="21">
        <v>38.133430875345539</v>
      </c>
      <c r="I23" s="21">
        <v>0.202911575128816</v>
      </c>
      <c r="J23" s="21">
        <v>0.64664674619381846</v>
      </c>
      <c r="K23" s="21">
        <v>9.1909067408679324</v>
      </c>
      <c r="L23" s="21">
        <v>28.203460060092024</v>
      </c>
      <c r="M23" s="26">
        <f t="shared" si="2"/>
        <v>100.00000000000001</v>
      </c>
      <c r="N23" s="22">
        <v>56.876331173274068</v>
      </c>
      <c r="O23" s="21">
        <v>1.5279054793221829</v>
      </c>
      <c r="P23" s="21">
        <v>0.25074228649542984</v>
      </c>
      <c r="Q23" s="21">
        <v>9.6143706317601243</v>
      </c>
      <c r="R23" s="21">
        <v>30.581032596182744</v>
      </c>
      <c r="S23" s="21">
        <v>1.1496178329654512</v>
      </c>
      <c r="T23" s="26">
        <f t="shared" si="3"/>
        <v>100</v>
      </c>
      <c r="Y23" s="21"/>
      <c r="Z23" s="21"/>
      <c r="AA23" s="21"/>
      <c r="AB23" s="21"/>
      <c r="AC23" s="21"/>
      <c r="AD23" s="21"/>
      <c r="AE23" s="21"/>
      <c r="AF23" s="21"/>
      <c r="AG23" s="28"/>
    </row>
    <row r="24" spans="1:33" x14ac:dyDescent="0.3">
      <c r="B24" s="19">
        <v>45300</v>
      </c>
      <c r="C24" s="20">
        <f t="shared" si="1"/>
        <v>33</v>
      </c>
      <c r="D24" s="20">
        <v>7.73</v>
      </c>
      <c r="E24" s="2">
        <v>7.62</v>
      </c>
      <c r="F24" s="2">
        <v>2.6</v>
      </c>
      <c r="G24" s="22">
        <v>23.552592506811973</v>
      </c>
      <c r="H24" s="21">
        <v>38.131532863242597</v>
      </c>
      <c r="I24" s="21">
        <v>0.27925773910505902</v>
      </c>
      <c r="J24" s="21">
        <v>0.93655309620514793</v>
      </c>
      <c r="K24" s="21">
        <v>9.1540108615144415</v>
      </c>
      <c r="L24" s="21">
        <v>27.946052933120786</v>
      </c>
      <c r="M24" s="26">
        <f t="shared" si="2"/>
        <v>100</v>
      </c>
      <c r="N24" s="22">
        <v>57.702434323403153</v>
      </c>
      <c r="O24" s="21">
        <v>0.93698871860992816</v>
      </c>
      <c r="P24" s="21">
        <v>0.14205798522601124</v>
      </c>
      <c r="Q24" s="21">
        <v>1.4984471009007982</v>
      </c>
      <c r="R24" s="21">
        <v>38.666651979800605</v>
      </c>
      <c r="S24" s="21">
        <v>1.0534198920594973</v>
      </c>
      <c r="T24" s="26">
        <f t="shared" si="3"/>
        <v>99.999999999999986</v>
      </c>
      <c r="U24" s="1">
        <f>2.74*10</f>
        <v>27.400000000000002</v>
      </c>
      <c r="V24" s="1">
        <f>54.62*10</f>
        <v>546.19999999999993</v>
      </c>
      <c r="W24" s="1">
        <f>51.88*10</f>
        <v>518.80000000000007</v>
      </c>
      <c r="X24" s="25">
        <f>14.68*10</f>
        <v>146.80000000000001</v>
      </c>
      <c r="Y24" s="21">
        <v>27.029999999999998</v>
      </c>
      <c r="Z24" s="21">
        <v>13.440000000000001</v>
      </c>
      <c r="AA24" s="21">
        <v>9.51</v>
      </c>
      <c r="AB24" s="21">
        <v>0</v>
      </c>
      <c r="AC24" s="21">
        <v>189.42499999999998</v>
      </c>
      <c r="AD24" s="21">
        <v>0</v>
      </c>
      <c r="AE24" s="21">
        <v>0</v>
      </c>
      <c r="AF24" s="21">
        <v>0</v>
      </c>
      <c r="AG24" s="28">
        <v>0</v>
      </c>
    </row>
    <row r="25" spans="1:33" x14ac:dyDescent="0.3">
      <c r="B25" s="19">
        <v>45301</v>
      </c>
      <c r="C25" s="20">
        <f t="shared" si="1"/>
        <v>34</v>
      </c>
      <c r="D25" s="20">
        <v>7.32</v>
      </c>
      <c r="G25" s="22">
        <v>27.142606090742085</v>
      </c>
      <c r="H25" s="21">
        <v>39.161829557470774</v>
      </c>
      <c r="I25" s="21">
        <v>0.6679372070391334</v>
      </c>
      <c r="J25" s="21">
        <v>0.72941002607954175</v>
      </c>
      <c r="K25" s="21">
        <v>9.7648467031730704</v>
      </c>
      <c r="L25" s="21">
        <v>22.533370415495408</v>
      </c>
      <c r="M25" s="26">
        <f t="shared" si="2"/>
        <v>100.00000000000001</v>
      </c>
      <c r="N25" s="22">
        <v>58.676602862295788</v>
      </c>
      <c r="O25" s="21">
        <v>1.3955146507709424</v>
      </c>
      <c r="P25" s="21">
        <v>0.20487239381311273</v>
      </c>
      <c r="Q25" s="21">
        <v>2.6187845138577694</v>
      </c>
      <c r="R25" s="21">
        <v>35.928764801276266</v>
      </c>
      <c r="S25" s="21">
        <v>1.1754607779861228</v>
      </c>
      <c r="T25" s="26">
        <f t="shared" si="3"/>
        <v>99.999999999999986</v>
      </c>
      <c r="Y25" s="21"/>
      <c r="Z25" s="21"/>
      <c r="AA25" s="21"/>
      <c r="AB25" s="21"/>
      <c r="AC25" s="21"/>
      <c r="AD25" s="21"/>
      <c r="AE25" s="21"/>
      <c r="AF25" s="21"/>
      <c r="AG25" s="28"/>
    </row>
    <row r="26" spans="1:33" x14ac:dyDescent="0.3">
      <c r="B26" s="19">
        <v>45302</v>
      </c>
      <c r="C26" s="20">
        <f t="shared" si="1"/>
        <v>35</v>
      </c>
      <c r="D26" s="20">
        <v>7.63</v>
      </c>
      <c r="E26" s="21"/>
      <c r="G26" s="22">
        <v>23.303866276431428</v>
      </c>
      <c r="H26" s="21">
        <v>38.520518093858918</v>
      </c>
      <c r="I26" s="21">
        <v>0.27282539889545776</v>
      </c>
      <c r="J26" s="21">
        <v>0.89628690193624538</v>
      </c>
      <c r="K26" s="21">
        <v>9.1325822597005946</v>
      </c>
      <c r="L26" s="21">
        <v>27.873921069177349</v>
      </c>
      <c r="M26" s="26">
        <f t="shared" si="2"/>
        <v>100</v>
      </c>
      <c r="N26" s="22">
        <v>57.524928961024955</v>
      </c>
      <c r="O26" s="21">
        <v>1.3396830274041791</v>
      </c>
      <c r="P26" s="21">
        <v>6.9513831800439088E-2</v>
      </c>
      <c r="Q26" s="21">
        <v>1.6498629595241547</v>
      </c>
      <c r="R26" s="21">
        <v>38.305743381953164</v>
      </c>
      <c r="S26" s="21">
        <v>1.1102678382931022</v>
      </c>
      <c r="T26" s="26">
        <f t="shared" si="3"/>
        <v>99.999999999999986</v>
      </c>
      <c r="U26" s="1">
        <f>6.411*10</f>
        <v>64.11</v>
      </c>
      <c r="V26" s="1">
        <f>49.8*10</f>
        <v>498</v>
      </c>
      <c r="W26" s="1">
        <f>43.39*10</f>
        <v>433.9</v>
      </c>
      <c r="X26" s="25">
        <f>14.27*10</f>
        <v>142.69999999999999</v>
      </c>
      <c r="Y26" s="21">
        <v>31.74</v>
      </c>
      <c r="Z26" s="21">
        <v>5.835</v>
      </c>
      <c r="AA26" s="21">
        <v>11.775</v>
      </c>
      <c r="AB26" s="21">
        <v>0</v>
      </c>
      <c r="AC26" s="21">
        <v>151.57500000000002</v>
      </c>
      <c r="AD26" s="21">
        <v>0</v>
      </c>
      <c r="AE26" s="21">
        <v>0</v>
      </c>
      <c r="AF26" s="21">
        <v>0</v>
      </c>
      <c r="AG26" s="28">
        <v>0</v>
      </c>
    </row>
    <row r="27" spans="1:33" x14ac:dyDescent="0.3">
      <c r="B27" s="19">
        <v>45303</v>
      </c>
      <c r="C27" s="20">
        <f t="shared" si="1"/>
        <v>36</v>
      </c>
      <c r="D27" s="20">
        <v>7.16</v>
      </c>
      <c r="E27" s="21"/>
      <c r="G27" s="22">
        <v>23.487572105023922</v>
      </c>
      <c r="H27" s="21">
        <v>36.897643756124054</v>
      </c>
      <c r="I27" s="21">
        <v>0.50776626683789405</v>
      </c>
      <c r="J27" s="21">
        <v>1.6802957725368703</v>
      </c>
      <c r="K27" s="21">
        <v>9.2562136404691255</v>
      </c>
      <c r="L27" s="21">
        <v>28.170508459008143</v>
      </c>
      <c r="M27" s="26">
        <f t="shared" si="2"/>
        <v>100.00000000000001</v>
      </c>
      <c r="N27" s="22">
        <v>57.101463571303711</v>
      </c>
      <c r="O27" s="21">
        <v>2.1439850151693212</v>
      </c>
      <c r="P27" s="21">
        <v>0.18544860660780105</v>
      </c>
      <c r="Q27" s="21">
        <v>2.1716730850543389</v>
      </c>
      <c r="R27" s="21">
        <v>37.287851157034339</v>
      </c>
      <c r="S27" s="21">
        <v>1.1095785648304932</v>
      </c>
      <c r="T27" s="26">
        <f t="shared" si="3"/>
        <v>100.00000000000001</v>
      </c>
    </row>
    <row r="28" spans="1:33" x14ac:dyDescent="0.3">
      <c r="B28" s="19">
        <v>45306</v>
      </c>
      <c r="C28" s="20">
        <f t="shared" si="1"/>
        <v>39</v>
      </c>
      <c r="D28" s="20">
        <v>7.22</v>
      </c>
      <c r="E28" s="21"/>
      <c r="G28" s="22">
        <v>23.060557451065232</v>
      </c>
      <c r="H28" s="21">
        <v>36.160139906418827</v>
      </c>
      <c r="I28" s="21">
        <v>1.2308106539639836</v>
      </c>
      <c r="J28" s="21">
        <v>2.3417426093852129</v>
      </c>
      <c r="K28" s="21">
        <v>9.2904447675841109</v>
      </c>
      <c r="L28" s="21">
        <v>27.916304611582632</v>
      </c>
      <c r="M28" s="26">
        <f t="shared" si="2"/>
        <v>100</v>
      </c>
      <c r="N28" s="22">
        <v>56.006308288582687</v>
      </c>
      <c r="O28" s="21">
        <v>2.0155753260394986</v>
      </c>
      <c r="P28" s="21">
        <v>0.2266356270610182</v>
      </c>
      <c r="Q28" s="21">
        <v>5.5186398051923007</v>
      </c>
      <c r="R28" s="21">
        <v>35.407475476554275</v>
      </c>
      <c r="S28" s="21">
        <v>0.82536547657023462</v>
      </c>
      <c r="T28" s="26">
        <f t="shared" si="3"/>
        <v>100.00000000000001</v>
      </c>
    </row>
    <row r="29" spans="1:33" x14ac:dyDescent="0.3">
      <c r="B29" s="19">
        <v>45307</v>
      </c>
      <c r="C29" s="20">
        <f t="shared" si="1"/>
        <v>40</v>
      </c>
      <c r="D29" s="20">
        <v>7.5</v>
      </c>
      <c r="E29" s="21">
        <v>7.79</v>
      </c>
      <c r="F29" s="2">
        <v>3.25</v>
      </c>
      <c r="G29" s="22">
        <v>23.519504771883305</v>
      </c>
      <c r="H29" s="21">
        <v>37.805112124453814</v>
      </c>
      <c r="I29" s="21">
        <v>0.32004231173923903</v>
      </c>
      <c r="J29" s="21">
        <v>1.0334427219397193</v>
      </c>
      <c r="K29" s="21">
        <v>9.2075563392002184</v>
      </c>
      <c r="L29" s="21">
        <v>28.114341730783703</v>
      </c>
      <c r="M29" s="26">
        <f t="shared" si="2"/>
        <v>100</v>
      </c>
      <c r="N29" s="22">
        <v>57.725937273825735</v>
      </c>
      <c r="O29" s="21">
        <v>1.1050759666316345</v>
      </c>
      <c r="P29" s="21">
        <v>0.1849110358812816</v>
      </c>
      <c r="Q29" s="21">
        <v>1.7148282462034752</v>
      </c>
      <c r="R29" s="21">
        <v>38.228385254884955</v>
      </c>
      <c r="S29" s="21">
        <v>1.0408622225729303</v>
      </c>
      <c r="T29" s="26">
        <f t="shared" si="3"/>
        <v>100.00000000000001</v>
      </c>
      <c r="U29" s="1">
        <f>12.65*10</f>
        <v>126.5</v>
      </c>
      <c r="V29" s="1">
        <f>54.85*10</f>
        <v>548.5</v>
      </c>
      <c r="W29" s="1">
        <f>42.19*10</f>
        <v>421.9</v>
      </c>
      <c r="X29" s="25">
        <f>8.76*10</f>
        <v>87.6</v>
      </c>
      <c r="Y29" s="2">
        <v>1166.9649999999999</v>
      </c>
      <c r="Z29" s="2">
        <v>0</v>
      </c>
      <c r="AA29" s="2">
        <v>5.0000000000000001E-3</v>
      </c>
      <c r="AB29" s="2">
        <v>0</v>
      </c>
      <c r="AC29" s="2">
        <v>0</v>
      </c>
      <c r="AD29" s="21">
        <v>0</v>
      </c>
      <c r="AE29" s="21">
        <v>0</v>
      </c>
      <c r="AF29" s="21">
        <v>0</v>
      </c>
      <c r="AG29" s="28">
        <v>0</v>
      </c>
    </row>
    <row r="30" spans="1:33" x14ac:dyDescent="0.3">
      <c r="B30" s="19">
        <v>45308</v>
      </c>
      <c r="C30" s="20">
        <f t="shared" si="1"/>
        <v>41</v>
      </c>
      <c r="D30" s="20">
        <v>7.29</v>
      </c>
      <c r="E30" s="21"/>
      <c r="G30" s="22">
        <v>15.856343942367515</v>
      </c>
      <c r="H30" s="21">
        <v>57.852247838302937</v>
      </c>
      <c r="I30" s="21">
        <v>0.28585167824640501</v>
      </c>
      <c r="J30" s="21">
        <v>0.96868092389662908</v>
      </c>
      <c r="K30" s="21">
        <v>6.1806717817744623</v>
      </c>
      <c r="L30" s="21">
        <v>18.85620383541206</v>
      </c>
      <c r="M30" s="26">
        <f t="shared" si="2"/>
        <v>100</v>
      </c>
      <c r="N30" s="22">
        <v>57.091162099392221</v>
      </c>
      <c r="O30" s="21">
        <v>4.4853445958415037</v>
      </c>
      <c r="P30" s="21">
        <v>4.2938393177051053E-2</v>
      </c>
      <c r="Q30" s="21">
        <v>8.994585326396729</v>
      </c>
      <c r="R30" s="21">
        <v>27.572753500741261</v>
      </c>
      <c r="S30" s="21">
        <v>1.8132160844512295</v>
      </c>
      <c r="T30" s="26">
        <f t="shared" si="3"/>
        <v>99.999999999999986</v>
      </c>
    </row>
    <row r="31" spans="1:33" x14ac:dyDescent="0.3">
      <c r="A31" s="18" t="s">
        <v>40</v>
      </c>
      <c r="B31" s="19">
        <v>45309</v>
      </c>
      <c r="C31" s="20">
        <f t="shared" si="1"/>
        <v>42</v>
      </c>
      <c r="D31" s="20">
        <v>7.45</v>
      </c>
      <c r="E31" s="21"/>
      <c r="G31" s="22">
        <v>12.969765927013437</v>
      </c>
      <c r="H31" s="21">
        <v>61.868505124083285</v>
      </c>
      <c r="I31" s="21">
        <v>1.1933933540824595</v>
      </c>
      <c r="J31" s="21">
        <v>5.0315134249544835</v>
      </c>
      <c r="K31" s="21">
        <v>5.4392086088520584</v>
      </c>
      <c r="L31" s="21">
        <v>13.497613561014274</v>
      </c>
      <c r="M31" s="26">
        <f t="shared" si="2"/>
        <v>100</v>
      </c>
      <c r="N31" s="22"/>
      <c r="O31" s="21"/>
      <c r="P31" s="21"/>
      <c r="Q31" s="21"/>
      <c r="R31" s="21"/>
      <c r="S31" s="21"/>
      <c r="T31" s="26"/>
      <c r="U31" s="1">
        <f>12.4*10</f>
        <v>124</v>
      </c>
      <c r="V31" s="1">
        <f>40.08*10</f>
        <v>400.79999999999995</v>
      </c>
      <c r="W31" s="1">
        <f>27.68*10</f>
        <v>276.8</v>
      </c>
      <c r="X31" s="25">
        <f>7.297*10</f>
        <v>72.97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1">
        <v>0</v>
      </c>
      <c r="AE31" s="21">
        <v>0</v>
      </c>
      <c r="AF31" s="21">
        <v>7.7050000000000001</v>
      </c>
      <c r="AG31" s="28">
        <v>0</v>
      </c>
    </row>
    <row r="32" spans="1:33" x14ac:dyDescent="0.3">
      <c r="B32" s="19">
        <v>45310</v>
      </c>
      <c r="C32" s="20">
        <f t="shared" si="1"/>
        <v>43</v>
      </c>
      <c r="D32" s="20">
        <v>7.23</v>
      </c>
      <c r="G32" s="22">
        <v>23.064728133409034</v>
      </c>
      <c r="H32" s="21">
        <v>39.47750816243159</v>
      </c>
      <c r="I32" s="21">
        <v>0.25502711795979993</v>
      </c>
      <c r="J32" s="21">
        <v>0.8063880629416792</v>
      </c>
      <c r="K32" s="21">
        <v>8.9797473696870078</v>
      </c>
      <c r="L32" s="21">
        <v>27.416601153570891</v>
      </c>
      <c r="M32" s="26">
        <f t="shared" si="2"/>
        <v>100</v>
      </c>
      <c r="N32" s="22">
        <v>55.176969039472887</v>
      </c>
      <c r="O32" s="21">
        <v>1.2026476317209949</v>
      </c>
      <c r="P32" s="21">
        <v>9.8781975166299635E-2</v>
      </c>
      <c r="Q32" s="21">
        <v>7.7966219716456369</v>
      </c>
      <c r="R32" s="21">
        <v>33.473661256368501</v>
      </c>
      <c r="S32" s="21">
        <v>2.2513181256256787</v>
      </c>
      <c r="T32" s="26">
        <f t="shared" si="3"/>
        <v>99.999999999999986</v>
      </c>
    </row>
    <row r="33" spans="1:33" x14ac:dyDescent="0.3">
      <c r="B33" s="19">
        <v>45313</v>
      </c>
      <c r="C33" s="20">
        <f t="shared" si="1"/>
        <v>46</v>
      </c>
      <c r="D33" s="20">
        <v>7.24</v>
      </c>
      <c r="G33" s="22">
        <v>13.493114783739721</v>
      </c>
      <c r="H33" s="21">
        <v>58.699095892195331</v>
      </c>
      <c r="I33" s="21">
        <v>0.17013966181878129</v>
      </c>
      <c r="J33" s="21">
        <v>6.2594348031073004</v>
      </c>
      <c r="K33" s="21">
        <v>5.2904555056149842</v>
      </c>
      <c r="L33" s="21">
        <v>16.087759353523893</v>
      </c>
      <c r="M33" s="26">
        <f t="shared" si="2"/>
        <v>100.00000000000001</v>
      </c>
      <c r="N33" s="22">
        <v>30.419720871038468</v>
      </c>
      <c r="O33" s="21">
        <v>5.5390691029922356</v>
      </c>
      <c r="P33" s="21">
        <v>0.41341075460280219</v>
      </c>
      <c r="Q33" s="21">
        <v>13.136647898872944</v>
      </c>
      <c r="R33" s="21">
        <v>49.107560849808692</v>
      </c>
      <c r="S33" s="21">
        <v>1.3835905226848511</v>
      </c>
      <c r="T33" s="26">
        <f t="shared" si="3"/>
        <v>99.999999999999986</v>
      </c>
    </row>
    <row r="34" spans="1:33" x14ac:dyDescent="0.3">
      <c r="B34" s="19">
        <v>45314</v>
      </c>
      <c r="C34" s="20">
        <f t="shared" si="1"/>
        <v>47</v>
      </c>
      <c r="D34" s="20">
        <v>7.32</v>
      </c>
      <c r="E34" s="2">
        <v>7.89</v>
      </c>
      <c r="F34" s="2">
        <v>3.27</v>
      </c>
      <c r="G34" s="22">
        <v>14.247376037274318</v>
      </c>
      <c r="H34" s="21">
        <v>61.376666037329919</v>
      </c>
      <c r="I34" s="21">
        <v>0.39143640664261764</v>
      </c>
      <c r="J34" s="21">
        <v>1.4545934038250989</v>
      </c>
      <c r="K34" s="21">
        <v>5.5611607597620276</v>
      </c>
      <c r="L34" s="21">
        <v>16.968767355166033</v>
      </c>
      <c r="M34" s="26">
        <f t="shared" si="2"/>
        <v>100.00000000000001</v>
      </c>
      <c r="N34" s="22">
        <v>30.239467480711134</v>
      </c>
      <c r="O34" s="21">
        <v>4.6851847996943228</v>
      </c>
      <c r="P34" s="21">
        <v>0.16078603165497996</v>
      </c>
      <c r="Q34" s="21">
        <v>2.5817874630752886</v>
      </c>
      <c r="R34" s="21">
        <v>61.078034614803158</v>
      </c>
      <c r="S34" s="21">
        <v>1.2547396100611317</v>
      </c>
      <c r="T34" s="26">
        <f t="shared" si="3"/>
        <v>100.00000000000001</v>
      </c>
      <c r="U34" s="1">
        <f>21.12*10</f>
        <v>211.20000000000002</v>
      </c>
      <c r="V34" s="1">
        <f>26.41*10</f>
        <v>264.10000000000002</v>
      </c>
      <c r="W34" s="1">
        <f>3.822*10</f>
        <v>38.22</v>
      </c>
      <c r="X34" s="25">
        <f>3.259*10</f>
        <v>32.589999999999996</v>
      </c>
      <c r="Y34" s="2">
        <v>2782.61</v>
      </c>
      <c r="Z34" s="2">
        <v>0</v>
      </c>
      <c r="AA34" s="2">
        <v>0</v>
      </c>
      <c r="AB34" s="2">
        <v>0</v>
      </c>
      <c r="AC34" s="2">
        <v>0</v>
      </c>
      <c r="AD34" s="21">
        <v>0</v>
      </c>
      <c r="AE34" s="21">
        <v>0</v>
      </c>
      <c r="AF34" s="21">
        <v>38.765000000000001</v>
      </c>
      <c r="AG34" s="28">
        <v>0</v>
      </c>
    </row>
    <row r="35" spans="1:33" x14ac:dyDescent="0.3">
      <c r="B35" s="19">
        <v>45315</v>
      </c>
      <c r="C35" s="20">
        <f t="shared" si="1"/>
        <v>48</v>
      </c>
      <c r="D35" s="20">
        <v>7.19</v>
      </c>
      <c r="G35" s="22">
        <v>14.983035376560755</v>
      </c>
      <c r="H35" s="21">
        <v>57.24538865982931</v>
      </c>
      <c r="I35" s="21">
        <v>0.83632325437313382</v>
      </c>
      <c r="J35" s="21">
        <v>3.0352410783371879</v>
      </c>
      <c r="K35" s="21">
        <v>5.8820374475332864</v>
      </c>
      <c r="L35" s="21">
        <v>18.017974183366324</v>
      </c>
      <c r="M35" s="26">
        <f t="shared" si="2"/>
        <v>100</v>
      </c>
      <c r="N35" s="22">
        <v>34.574860936775352</v>
      </c>
      <c r="O35" s="21">
        <v>5.145101032093887</v>
      </c>
      <c r="P35" s="21">
        <v>0.19429545067199161</v>
      </c>
      <c r="Q35" s="21">
        <v>5.3394230887190419</v>
      </c>
      <c r="R35" s="21">
        <v>53.613519388957577</v>
      </c>
      <c r="S35" s="21">
        <v>1.1328001027821508</v>
      </c>
      <c r="T35" s="26">
        <f t="shared" si="3"/>
        <v>100.00000000000001</v>
      </c>
    </row>
    <row r="36" spans="1:33" x14ac:dyDescent="0.3">
      <c r="B36" s="19">
        <v>45316</v>
      </c>
      <c r="C36" s="20">
        <f t="shared" si="1"/>
        <v>49</v>
      </c>
      <c r="D36" s="20">
        <v>7.13</v>
      </c>
      <c r="E36" s="21"/>
      <c r="G36" s="22">
        <v>14.004545948439326</v>
      </c>
      <c r="H36" s="21">
        <v>61.826094928063604</v>
      </c>
      <c r="I36" s="21">
        <v>0.41247876555044705</v>
      </c>
      <c r="J36" s="21">
        <v>1.4347943022829663</v>
      </c>
      <c r="K36" s="21">
        <v>5.497135318130864</v>
      </c>
      <c r="L36" s="21">
        <v>16.824950737532802</v>
      </c>
      <c r="M36" s="26">
        <f t="shared" si="2"/>
        <v>100</v>
      </c>
      <c r="N36" s="22">
        <v>31.123140420731797</v>
      </c>
      <c r="O36" s="21">
        <v>4.2275094053037616</v>
      </c>
      <c r="P36" s="21">
        <v>0.19096716204985753</v>
      </c>
      <c r="Q36" s="21">
        <v>2.7464604165441884</v>
      </c>
      <c r="R36" s="21">
        <v>60.531237790156837</v>
      </c>
      <c r="S36" s="21">
        <v>1.1806848052135601</v>
      </c>
      <c r="T36" s="26">
        <f t="shared" si="3"/>
        <v>100</v>
      </c>
      <c r="U36" s="1">
        <f>16.07*10</f>
        <v>160.69999999999999</v>
      </c>
      <c r="V36" s="1">
        <f>30.28*10</f>
        <v>302.8</v>
      </c>
      <c r="W36" s="1">
        <f>14.21*10</f>
        <v>142.10000000000002</v>
      </c>
      <c r="X36" s="25">
        <f>1.658*10</f>
        <v>16.579999999999998</v>
      </c>
      <c r="Y36" s="2">
        <v>0</v>
      </c>
      <c r="Z36" s="2">
        <v>0</v>
      </c>
      <c r="AA36" s="2">
        <v>0</v>
      </c>
      <c r="AB36" s="2">
        <v>500.17</v>
      </c>
      <c r="AC36" s="2">
        <v>0</v>
      </c>
      <c r="AD36" s="21">
        <v>0</v>
      </c>
      <c r="AE36" s="21">
        <v>0</v>
      </c>
      <c r="AF36" s="21">
        <v>0.01</v>
      </c>
      <c r="AG36" s="28">
        <v>0</v>
      </c>
    </row>
    <row r="37" spans="1:33" s="36" customFormat="1" x14ac:dyDescent="0.3">
      <c r="A37" s="29"/>
      <c r="B37" s="19">
        <v>45317</v>
      </c>
      <c r="C37" s="20">
        <f t="shared" si="1"/>
        <v>50</v>
      </c>
      <c r="D37" s="30">
        <v>7.23</v>
      </c>
      <c r="E37" s="31"/>
      <c r="F37" s="31"/>
      <c r="G37" s="32">
        <v>14.061411960281264</v>
      </c>
      <c r="H37" s="33">
        <v>59.875569765560158</v>
      </c>
      <c r="I37" s="33">
        <v>0.81434532433234985</v>
      </c>
      <c r="J37" s="33">
        <v>2.9779748710162344</v>
      </c>
      <c r="K37" s="33">
        <v>5.5125243709256484</v>
      </c>
      <c r="L37" s="33">
        <v>16.758173707884342</v>
      </c>
      <c r="M37" s="26">
        <f t="shared" si="2"/>
        <v>99.999999999999986</v>
      </c>
      <c r="N37" s="32">
        <v>32.142280161255847</v>
      </c>
      <c r="O37" s="33">
        <v>3.2654004879755276</v>
      </c>
      <c r="P37" s="33">
        <v>0.22595024680232817</v>
      </c>
      <c r="Q37" s="33">
        <v>5.7194745360801127</v>
      </c>
      <c r="R37" s="33">
        <v>57.574466437128144</v>
      </c>
      <c r="S37" s="33">
        <v>1.0724281307580341</v>
      </c>
      <c r="T37" s="26">
        <f t="shared" si="3"/>
        <v>100</v>
      </c>
      <c r="U37" s="34"/>
      <c r="V37" s="34"/>
      <c r="W37" s="34"/>
      <c r="X37" s="35"/>
      <c r="Y37" s="31"/>
      <c r="Z37" s="31"/>
      <c r="AA37" s="31"/>
      <c r="AB37" s="31"/>
      <c r="AC37" s="31"/>
      <c r="AD37" s="31"/>
      <c r="AE37" s="31"/>
      <c r="AF37" s="31"/>
      <c r="AG37" s="29"/>
    </row>
    <row r="38" spans="1:33" x14ac:dyDescent="0.3">
      <c r="B38" s="19">
        <v>45320</v>
      </c>
      <c r="C38" s="20">
        <f t="shared" ref="C38:C69" si="4">B38-$B$5</f>
        <v>53</v>
      </c>
      <c r="D38" s="20">
        <v>7.34</v>
      </c>
      <c r="G38" s="22">
        <v>14.026768673227386</v>
      </c>
      <c r="H38" s="21">
        <v>59.158227366180817</v>
      </c>
      <c r="I38" s="21">
        <v>0.94481860681304397</v>
      </c>
      <c r="J38" s="21">
        <v>3.4407848794253413</v>
      </c>
      <c r="K38" s="21">
        <v>5.5908240942496095</v>
      </c>
      <c r="L38" s="21">
        <v>16.83857638010381</v>
      </c>
      <c r="M38" s="26">
        <f t="shared" si="2"/>
        <v>100</v>
      </c>
      <c r="N38" s="22">
        <v>32.054226302022442</v>
      </c>
      <c r="O38" s="21">
        <v>3.065493051479014</v>
      </c>
      <c r="P38" s="21">
        <v>0.22038852029432626</v>
      </c>
      <c r="Q38" s="21">
        <v>6.5065561901673545</v>
      </c>
      <c r="R38" s="21">
        <v>57.404006673479067</v>
      </c>
      <c r="S38" s="21">
        <v>0.74932926255779708</v>
      </c>
      <c r="T38" s="26">
        <f t="shared" si="3"/>
        <v>100</v>
      </c>
    </row>
    <row r="39" spans="1:33" x14ac:dyDescent="0.3">
      <c r="B39" s="19">
        <v>45321</v>
      </c>
      <c r="C39" s="20">
        <f t="shared" si="4"/>
        <v>54</v>
      </c>
      <c r="D39" s="20">
        <v>7.29</v>
      </c>
      <c r="E39" s="21">
        <v>7.3</v>
      </c>
      <c r="F39" s="2">
        <v>2.84</v>
      </c>
      <c r="G39" s="22">
        <v>14.517256986733548</v>
      </c>
      <c r="H39" s="21">
        <v>60.81348037932797</v>
      </c>
      <c r="I39" s="21">
        <v>0.35489843627547701</v>
      </c>
      <c r="J39" s="21">
        <v>1.1831744341978394</v>
      </c>
      <c r="K39" s="21">
        <v>5.7188003826587517</v>
      </c>
      <c r="L39" s="21">
        <v>17.412389380806406</v>
      </c>
      <c r="M39" s="26">
        <f t="shared" si="2"/>
        <v>99.999999999999986</v>
      </c>
      <c r="N39" s="22">
        <v>33.677610909740615</v>
      </c>
      <c r="O39" s="21">
        <v>3.3845779763288162</v>
      </c>
      <c r="P39" s="21">
        <v>0.1821494746661827</v>
      </c>
      <c r="Q39" s="21">
        <v>2.3257038871426405</v>
      </c>
      <c r="R39" s="21">
        <v>59.423229379733122</v>
      </c>
      <c r="S39" s="21">
        <v>1.0067283723886089</v>
      </c>
      <c r="T39" s="26">
        <f t="shared" si="3"/>
        <v>99.999999999999972</v>
      </c>
      <c r="U39" s="1">
        <f>22.38*10</f>
        <v>223.79999999999998</v>
      </c>
      <c r="V39" s="1">
        <f>34.89*10</f>
        <v>348.9</v>
      </c>
      <c r="W39" s="1">
        <f>12.49*10</f>
        <v>124.9</v>
      </c>
      <c r="X39" s="25">
        <f>11.93*10</f>
        <v>119.3</v>
      </c>
      <c r="Y39" s="2">
        <v>160.75</v>
      </c>
      <c r="Z39" s="2">
        <v>33.675000000000004</v>
      </c>
      <c r="AA39" s="2">
        <v>5.34</v>
      </c>
      <c r="AB39" s="2">
        <v>37.770000000000003</v>
      </c>
      <c r="AC39" s="2">
        <v>87.605000000000004</v>
      </c>
      <c r="AD39" s="21">
        <v>0</v>
      </c>
      <c r="AE39" s="21">
        <v>0</v>
      </c>
      <c r="AF39" s="21">
        <v>5.0000000000000001E-3</v>
      </c>
      <c r="AG39" s="28">
        <v>0</v>
      </c>
    </row>
    <row r="40" spans="1:33" x14ac:dyDescent="0.3">
      <c r="B40" s="19">
        <v>45322</v>
      </c>
      <c r="C40" s="20">
        <f t="shared" si="4"/>
        <v>55</v>
      </c>
      <c r="D40" s="20">
        <v>7.08</v>
      </c>
      <c r="G40" s="22">
        <v>13.607838711887773</v>
      </c>
      <c r="H40" s="21">
        <v>60.480180971856065</v>
      </c>
      <c r="I40" s="21">
        <v>0.87490525120044926</v>
      </c>
      <c r="J40" s="21">
        <v>3.1931933932287744</v>
      </c>
      <c r="K40" s="21">
        <v>5.3875007446721241</v>
      </c>
      <c r="L40" s="21">
        <v>16.456380927154832</v>
      </c>
      <c r="M40" s="26">
        <f t="shared" si="2"/>
        <v>100</v>
      </c>
      <c r="N40" s="22">
        <v>29.972688458332104</v>
      </c>
      <c r="O40" s="21">
        <v>3.5699488906301444</v>
      </c>
      <c r="P40" s="21">
        <v>0.21632611081686082</v>
      </c>
      <c r="Q40" s="21">
        <v>6.0131366771933354</v>
      </c>
      <c r="R40" s="21">
        <v>59.379508407788286</v>
      </c>
      <c r="S40" s="21">
        <v>0.84839145523927306</v>
      </c>
      <c r="T40" s="26">
        <f t="shared" si="3"/>
        <v>100</v>
      </c>
    </row>
    <row r="41" spans="1:33" x14ac:dyDescent="0.3">
      <c r="B41" s="19">
        <v>45323</v>
      </c>
      <c r="C41" s="20">
        <f t="shared" si="4"/>
        <v>56</v>
      </c>
      <c r="G41" s="22"/>
      <c r="H41" s="21"/>
      <c r="I41" s="21"/>
      <c r="J41" s="21"/>
      <c r="K41" s="21"/>
      <c r="L41" s="21"/>
      <c r="M41" s="26"/>
      <c r="N41" s="22"/>
      <c r="O41" s="21"/>
      <c r="P41" s="21"/>
      <c r="Q41" s="21"/>
      <c r="R41" s="21"/>
      <c r="S41" s="21"/>
      <c r="T41" s="26"/>
    </row>
    <row r="42" spans="1:33" x14ac:dyDescent="0.3">
      <c r="B42" s="19">
        <v>45324</v>
      </c>
      <c r="C42" s="20">
        <f t="shared" si="4"/>
        <v>57</v>
      </c>
      <c r="D42" s="20">
        <v>7.22</v>
      </c>
      <c r="G42" s="22"/>
      <c r="H42" s="21"/>
      <c r="I42" s="21"/>
      <c r="J42" s="21"/>
      <c r="K42" s="21"/>
      <c r="L42" s="21"/>
      <c r="M42" s="26"/>
      <c r="N42" s="22"/>
      <c r="O42" s="21"/>
      <c r="P42" s="21"/>
      <c r="Q42" s="21"/>
      <c r="R42" s="21"/>
      <c r="S42" s="21"/>
      <c r="T42" s="26">
        <f t="shared" si="3"/>
        <v>0</v>
      </c>
    </row>
    <row r="43" spans="1:33" x14ac:dyDescent="0.3">
      <c r="B43" s="19">
        <v>45327</v>
      </c>
      <c r="C43" s="20">
        <f t="shared" si="4"/>
        <v>60</v>
      </c>
      <c r="D43" s="20">
        <v>6.54</v>
      </c>
      <c r="G43" s="22"/>
      <c r="H43" s="21"/>
      <c r="I43" s="21"/>
      <c r="J43" s="21"/>
      <c r="K43" s="21"/>
      <c r="L43" s="21"/>
      <c r="M43" s="26"/>
      <c r="N43" s="22"/>
      <c r="O43" s="21"/>
      <c r="P43" s="21"/>
      <c r="Q43" s="21"/>
      <c r="R43" s="21"/>
      <c r="S43" s="21"/>
      <c r="T43" s="26">
        <f t="shared" si="3"/>
        <v>0</v>
      </c>
    </row>
    <row r="44" spans="1:33" x14ac:dyDescent="0.3">
      <c r="B44" s="19">
        <v>45328</v>
      </c>
      <c r="C44" s="20">
        <f t="shared" si="4"/>
        <v>61</v>
      </c>
      <c r="D44" s="20">
        <v>6.67</v>
      </c>
      <c r="E44" s="2">
        <v>9.19</v>
      </c>
      <c r="F44" s="2">
        <v>3.83</v>
      </c>
      <c r="G44" s="22"/>
      <c r="H44" s="21"/>
      <c r="I44" s="21"/>
      <c r="J44" s="21"/>
      <c r="K44" s="21"/>
      <c r="L44" s="21"/>
      <c r="M44" s="26"/>
      <c r="N44" s="22"/>
      <c r="O44" s="21"/>
      <c r="P44" s="21"/>
      <c r="Q44" s="21"/>
      <c r="R44" s="21"/>
      <c r="S44" s="21"/>
      <c r="T44" s="26">
        <f t="shared" si="3"/>
        <v>0</v>
      </c>
      <c r="U44" s="1">
        <f>88.91*10</f>
        <v>889.09999999999991</v>
      </c>
      <c r="V44" s="1">
        <f>91.97*10</f>
        <v>919.7</v>
      </c>
      <c r="W44" s="1">
        <f>3.065*10</f>
        <v>30.65</v>
      </c>
      <c r="X44" s="25">
        <f>5.271*10</f>
        <v>52.71</v>
      </c>
      <c r="Y44" s="2">
        <v>5142.4049999999997</v>
      </c>
      <c r="Z44" s="2">
        <v>0</v>
      </c>
      <c r="AA44" s="2">
        <v>558.72500000000002</v>
      </c>
      <c r="AB44" s="2">
        <v>0</v>
      </c>
      <c r="AC44" s="2">
        <v>0</v>
      </c>
      <c r="AD44" s="21">
        <v>0</v>
      </c>
      <c r="AE44" s="21">
        <v>0</v>
      </c>
      <c r="AF44" s="21">
        <v>53.135000000000005</v>
      </c>
      <c r="AG44" s="28">
        <v>0</v>
      </c>
    </row>
    <row r="45" spans="1:33" x14ac:dyDescent="0.3">
      <c r="B45" s="19">
        <v>45329</v>
      </c>
      <c r="C45" s="20">
        <f t="shared" si="4"/>
        <v>62</v>
      </c>
      <c r="D45" s="20">
        <v>6.97</v>
      </c>
      <c r="G45" s="22">
        <v>13.132525274679979</v>
      </c>
      <c r="H45" s="21">
        <v>64.774267691074655</v>
      </c>
      <c r="I45" s="21">
        <v>0.26337042377092951</v>
      </c>
      <c r="J45" s="21">
        <v>0.92035400567231229</v>
      </c>
      <c r="K45" s="21">
        <v>5.2196506199189265</v>
      </c>
      <c r="L45" s="21">
        <v>15.689831984883201</v>
      </c>
      <c r="M45" s="26">
        <f t="shared" si="2"/>
        <v>99.999999999999986</v>
      </c>
      <c r="N45" s="22">
        <v>5.3041384344920255</v>
      </c>
      <c r="O45" s="21">
        <v>13.522788656308441</v>
      </c>
      <c r="P45" s="21">
        <v>0.63643182010902677</v>
      </c>
      <c r="Q45" s="21">
        <v>8.2815711749712104</v>
      </c>
      <c r="R45" s="21">
        <v>70.495652924585755</v>
      </c>
      <c r="S45" s="21">
        <v>1.759416989533543</v>
      </c>
      <c r="T45" s="26">
        <f t="shared" si="3"/>
        <v>100</v>
      </c>
    </row>
    <row r="46" spans="1:33" x14ac:dyDescent="0.3">
      <c r="B46" s="19">
        <v>45330</v>
      </c>
      <c r="C46" s="20">
        <f t="shared" si="4"/>
        <v>63</v>
      </c>
      <c r="D46" s="20">
        <v>6.85</v>
      </c>
      <c r="G46" s="22">
        <v>13.143748941382881</v>
      </c>
      <c r="H46" s="21">
        <v>64.128760177439617</v>
      </c>
      <c r="I46" s="21">
        <v>0.38120015654292227</v>
      </c>
      <c r="J46" s="21">
        <v>1.2108913681022415</v>
      </c>
      <c r="K46" s="21">
        <v>5.1405432895409557</v>
      </c>
      <c r="L46" s="21">
        <v>15.994856066991382</v>
      </c>
      <c r="M46" s="26">
        <f t="shared" si="2"/>
        <v>100</v>
      </c>
      <c r="N46" s="22">
        <v>30.209520114132193</v>
      </c>
      <c r="O46" s="21">
        <v>5.6420869500912687</v>
      </c>
      <c r="P46" s="21">
        <v>0.12718578128743896</v>
      </c>
      <c r="Q46" s="21">
        <v>5.0168973300426263</v>
      </c>
      <c r="R46" s="21">
        <v>57.816297950343568</v>
      </c>
      <c r="S46" s="21">
        <v>1.1880118741029142</v>
      </c>
      <c r="T46" s="26">
        <f t="shared" si="3"/>
        <v>100</v>
      </c>
      <c r="U46" s="1">
        <f>132.8*10</f>
        <v>1328</v>
      </c>
      <c r="V46" s="1">
        <f>143.6*10</f>
        <v>1436</v>
      </c>
      <c r="W46" s="1">
        <f>10.8*10</f>
        <v>108</v>
      </c>
      <c r="X46" s="25">
        <f>5.361*10</f>
        <v>53.61</v>
      </c>
      <c r="Y46" s="2">
        <v>7145.2650000000003</v>
      </c>
      <c r="Z46" s="2">
        <v>102.485</v>
      </c>
      <c r="AA46" s="2">
        <v>583.59500000000003</v>
      </c>
      <c r="AB46" s="21">
        <v>340.23500000000001</v>
      </c>
      <c r="AC46" s="2">
        <v>48.010000000000005</v>
      </c>
      <c r="AD46" s="21">
        <v>31.164999999999999</v>
      </c>
      <c r="AE46" s="21">
        <v>21.395</v>
      </c>
      <c r="AF46" s="21">
        <v>30.445</v>
      </c>
      <c r="AG46" s="28">
        <v>61.67</v>
      </c>
    </row>
    <row r="47" spans="1:33" x14ac:dyDescent="0.3">
      <c r="B47" s="19">
        <v>45331</v>
      </c>
      <c r="C47" s="20">
        <f t="shared" si="4"/>
        <v>64</v>
      </c>
      <c r="D47" s="20">
        <v>6.92</v>
      </c>
      <c r="F47" s="18"/>
      <c r="G47" s="24">
        <v>12.500699103304477</v>
      </c>
      <c r="H47" s="24">
        <v>62.147845326425944</v>
      </c>
      <c r="I47" s="24">
        <v>0.92103057906213026</v>
      </c>
      <c r="J47" s="24">
        <v>4.5497544562170891</v>
      </c>
      <c r="K47" s="24">
        <v>4.9174993797138642</v>
      </c>
      <c r="L47" s="24">
        <v>14.963171155276495</v>
      </c>
      <c r="M47" s="26">
        <f t="shared" si="2"/>
        <v>100</v>
      </c>
      <c r="N47" s="22">
        <v>27.122959916526717</v>
      </c>
      <c r="O47" s="21">
        <v>5.8928636927956495</v>
      </c>
      <c r="P47" s="21">
        <v>0.56470497208206272</v>
      </c>
      <c r="Q47" s="21">
        <v>6.4758467432588551</v>
      </c>
      <c r="R47" s="21">
        <v>59.012607830965095</v>
      </c>
      <c r="S47" s="21">
        <v>0.93101684437162224</v>
      </c>
      <c r="T47" s="26">
        <f t="shared" si="3"/>
        <v>100.00000000000001</v>
      </c>
    </row>
    <row r="48" spans="1:33" x14ac:dyDescent="0.3">
      <c r="B48" s="19">
        <v>45334</v>
      </c>
      <c r="C48" s="20">
        <f t="shared" si="4"/>
        <v>67</v>
      </c>
      <c r="D48" s="20">
        <v>7.02</v>
      </c>
      <c r="F48" s="18"/>
      <c r="G48" s="21">
        <v>14.098900500382458</v>
      </c>
      <c r="H48" s="21">
        <v>61.161553679248193</v>
      </c>
      <c r="I48" s="21">
        <v>0.58537398833462206</v>
      </c>
      <c r="J48" s="21">
        <v>2.1096836914600705</v>
      </c>
      <c r="K48" s="21">
        <v>5.4216346287648882</v>
      </c>
      <c r="L48" s="21">
        <v>16.622853511809772</v>
      </c>
      <c r="M48" s="26">
        <f t="shared" si="2"/>
        <v>100.00000000000003</v>
      </c>
      <c r="N48" s="22">
        <v>24.253930183541794</v>
      </c>
      <c r="O48" s="21">
        <v>2.85423513365724</v>
      </c>
      <c r="P48" s="21">
        <v>0.92034869874876579</v>
      </c>
      <c r="Q48" s="21">
        <v>17.905261171077694</v>
      </c>
      <c r="R48" s="21">
        <v>53.249367557848139</v>
      </c>
      <c r="S48" s="21">
        <v>0.81685725512635077</v>
      </c>
      <c r="T48" s="26">
        <f t="shared" si="3"/>
        <v>99.999999999999986</v>
      </c>
    </row>
    <row r="49" spans="2:33" x14ac:dyDescent="0.3">
      <c r="B49" s="19">
        <v>45335</v>
      </c>
      <c r="C49" s="20">
        <f t="shared" si="4"/>
        <v>68</v>
      </c>
      <c r="D49" s="20">
        <v>7.07</v>
      </c>
      <c r="E49" s="2">
        <v>10.54</v>
      </c>
      <c r="F49" s="2">
        <v>3.83</v>
      </c>
      <c r="G49" s="22">
        <v>13.009018177605322</v>
      </c>
      <c r="H49" s="21">
        <v>60.275206006198459</v>
      </c>
      <c r="I49" s="21">
        <v>1.7849164504775763</v>
      </c>
      <c r="J49" s="21">
        <v>3.9988036659475625</v>
      </c>
      <c r="K49" s="21">
        <v>5.2000854331386401</v>
      </c>
      <c r="L49" s="21">
        <v>15.731970266632434</v>
      </c>
      <c r="M49" s="26">
        <f t="shared" si="2"/>
        <v>100</v>
      </c>
      <c r="N49" s="22">
        <v>25.656772810169805</v>
      </c>
      <c r="O49" s="21">
        <v>2.6637397815731658</v>
      </c>
      <c r="P49" s="21">
        <v>0.32476214966472328</v>
      </c>
      <c r="Q49" s="21">
        <v>13.048721215693377</v>
      </c>
      <c r="R49" s="21">
        <v>57.807093659539142</v>
      </c>
      <c r="S49" s="21">
        <v>0.49891038335979287</v>
      </c>
      <c r="T49" s="26">
        <f t="shared" si="3"/>
        <v>100.00000000000001</v>
      </c>
      <c r="U49" s="1">
        <f>133.7*10</f>
        <v>1337</v>
      </c>
      <c r="V49" s="1">
        <f>150.6*10</f>
        <v>1506</v>
      </c>
      <c r="W49" s="1">
        <f>16.95*10</f>
        <v>169.5</v>
      </c>
      <c r="X49" s="25">
        <f>6.615*10</f>
        <v>66.150000000000006</v>
      </c>
      <c r="Y49" s="2">
        <v>7445.92</v>
      </c>
      <c r="Z49" s="2">
        <v>216.23999999999998</v>
      </c>
      <c r="AA49" s="2">
        <v>554.08499999999992</v>
      </c>
      <c r="AB49" s="21">
        <v>457.01</v>
      </c>
      <c r="AC49" s="2">
        <v>91.12</v>
      </c>
      <c r="AD49" s="21">
        <v>0</v>
      </c>
      <c r="AE49" s="21">
        <v>0</v>
      </c>
      <c r="AF49" s="21">
        <v>27.244999999999997</v>
      </c>
      <c r="AG49" s="28">
        <v>87.10499999999999</v>
      </c>
    </row>
    <row r="50" spans="2:33" x14ac:dyDescent="0.3">
      <c r="B50" s="19">
        <v>45336</v>
      </c>
      <c r="C50" s="20">
        <f t="shared" si="4"/>
        <v>69</v>
      </c>
      <c r="D50" s="20">
        <v>7.13</v>
      </c>
      <c r="G50" s="22">
        <v>14.076608231423027</v>
      </c>
      <c r="H50" s="21">
        <v>61.91228049013219</v>
      </c>
      <c r="I50" s="21">
        <v>0.33681299090149036</v>
      </c>
      <c r="J50" s="21">
        <v>1.1393679719526444</v>
      </c>
      <c r="K50" s="21">
        <v>5.5459034806714156</v>
      </c>
      <c r="L50" s="21">
        <v>16.989026834919226</v>
      </c>
      <c r="M50" s="26">
        <f t="shared" si="2"/>
        <v>99.999999999999986</v>
      </c>
      <c r="N50" s="22">
        <v>27.003047699800714</v>
      </c>
      <c r="O50" s="21">
        <v>2.8083806809896674</v>
      </c>
      <c r="P50" s="21">
        <v>0.30110887334203484</v>
      </c>
      <c r="Q50" s="21">
        <v>5.1970469601925684</v>
      </c>
      <c r="R50" s="21">
        <v>64.032966590947964</v>
      </c>
      <c r="S50" s="21">
        <v>0.65744919472706176</v>
      </c>
      <c r="T50" s="26">
        <f t="shared" si="3"/>
        <v>100.00000000000001</v>
      </c>
    </row>
    <row r="51" spans="2:33" x14ac:dyDescent="0.3">
      <c r="B51" s="19">
        <v>45337</v>
      </c>
      <c r="C51" s="20">
        <f t="shared" si="4"/>
        <v>70</v>
      </c>
      <c r="D51" s="20">
        <v>7.11</v>
      </c>
      <c r="G51" s="22">
        <v>14.010352433603881</v>
      </c>
      <c r="H51" s="21">
        <v>62.044483237097367</v>
      </c>
      <c r="I51" s="21">
        <v>0.37509849065676348</v>
      </c>
      <c r="J51" s="21">
        <v>1.2815569632960044</v>
      </c>
      <c r="K51" s="21">
        <v>5.517608219302649</v>
      </c>
      <c r="L51" s="21">
        <v>16.770900656043338</v>
      </c>
      <c r="M51" s="26">
        <f t="shared" si="2"/>
        <v>100</v>
      </c>
      <c r="N51" s="22">
        <v>28.226564588198716</v>
      </c>
      <c r="O51" s="21">
        <v>2.6315670649385265</v>
      </c>
      <c r="P51" s="21">
        <v>0.17348987421029372</v>
      </c>
      <c r="Q51" s="21">
        <v>3.3017728980476426</v>
      </c>
      <c r="R51" s="21">
        <v>65.062050916006569</v>
      </c>
      <c r="S51" s="21">
        <v>0.60455465859825508</v>
      </c>
      <c r="T51" s="26">
        <f t="shared" si="3"/>
        <v>100</v>
      </c>
      <c r="U51" s="1">
        <f>157.7*10</f>
        <v>1577</v>
      </c>
      <c r="V51" s="1">
        <f>191*10</f>
        <v>1910</v>
      </c>
      <c r="W51" s="1">
        <f>33.33*10</f>
        <v>333.29999999999995</v>
      </c>
      <c r="X51" s="25">
        <f>4.133*10</f>
        <v>41.33</v>
      </c>
      <c r="Y51" s="2">
        <v>3729.6949999999997</v>
      </c>
      <c r="Z51" s="2">
        <v>0.03</v>
      </c>
      <c r="AA51" s="2">
        <v>386.88499999999999</v>
      </c>
      <c r="AB51" s="21">
        <v>557.55000000000007</v>
      </c>
      <c r="AC51" s="2">
        <v>9.0449999999999999</v>
      </c>
      <c r="AD51" s="21">
        <v>0</v>
      </c>
      <c r="AE51" s="21">
        <v>0</v>
      </c>
      <c r="AF51" s="21">
        <v>12.164999999999999</v>
      </c>
      <c r="AG51" s="28">
        <v>59.705000000000005</v>
      </c>
    </row>
    <row r="52" spans="2:33" x14ac:dyDescent="0.3">
      <c r="B52" s="19">
        <v>45338</v>
      </c>
      <c r="C52" s="20">
        <f t="shared" si="4"/>
        <v>71</v>
      </c>
      <c r="D52" s="20">
        <v>7.02</v>
      </c>
      <c r="G52" s="22">
        <v>13.62163811946872</v>
      </c>
      <c r="H52" s="21">
        <v>62.106129848541734</v>
      </c>
      <c r="I52" s="21">
        <v>0.41389599882192957</v>
      </c>
      <c r="J52" s="21">
        <v>1.4004760960930789</v>
      </c>
      <c r="K52" s="21">
        <v>5.5617690147895829</v>
      </c>
      <c r="L52" s="21">
        <v>16.896090922284966</v>
      </c>
      <c r="M52" s="26">
        <f t="shared" si="2"/>
        <v>100</v>
      </c>
      <c r="N52" s="22">
        <v>28.740517853071996</v>
      </c>
      <c r="O52" s="21">
        <v>3.1671175460408247</v>
      </c>
      <c r="P52" s="21">
        <v>0.21365281210474132</v>
      </c>
      <c r="Q52" s="21">
        <v>3.145125407607515</v>
      </c>
      <c r="R52" s="21">
        <v>64.165862771667875</v>
      </c>
      <c r="S52" s="21">
        <v>0.56772360950704204</v>
      </c>
      <c r="T52" s="26">
        <f t="shared" si="3"/>
        <v>99.999999999999986</v>
      </c>
    </row>
    <row r="53" spans="2:33" x14ac:dyDescent="0.3">
      <c r="B53" s="19">
        <v>45341</v>
      </c>
      <c r="C53" s="20">
        <f t="shared" si="4"/>
        <v>74</v>
      </c>
      <c r="D53" s="20">
        <v>7.23</v>
      </c>
      <c r="G53" s="22">
        <v>14.357042651048904</v>
      </c>
      <c r="H53" s="21">
        <v>60.372478023430631</v>
      </c>
      <c r="I53" s="21">
        <v>0.55590896212850882</v>
      </c>
      <c r="J53" s="21">
        <v>1.9011775745497246</v>
      </c>
      <c r="K53" s="21">
        <v>5.6380677757682776</v>
      </c>
      <c r="L53" s="21">
        <v>17.175325013073962</v>
      </c>
      <c r="M53" s="26">
        <f t="shared" si="2"/>
        <v>100</v>
      </c>
      <c r="N53" s="22">
        <v>31.460845880261957</v>
      </c>
      <c r="O53" s="21">
        <v>2.0646497972382232</v>
      </c>
      <c r="P53" s="21">
        <v>0.23634299953999571</v>
      </c>
      <c r="Q53" s="21">
        <v>0.39115159364363122</v>
      </c>
      <c r="R53" s="21">
        <v>65.547534290432779</v>
      </c>
      <c r="S53" s="21">
        <v>0.29947543888340517</v>
      </c>
      <c r="T53" s="26">
        <f t="shared" si="3"/>
        <v>100</v>
      </c>
    </row>
    <row r="54" spans="2:33" x14ac:dyDescent="0.3">
      <c r="B54" s="19">
        <v>45342</v>
      </c>
      <c r="C54" s="20">
        <f t="shared" si="4"/>
        <v>75</v>
      </c>
      <c r="D54" s="20">
        <v>7.1</v>
      </c>
      <c r="E54" s="2">
        <v>9.11</v>
      </c>
      <c r="F54" s="2">
        <v>3.2</v>
      </c>
      <c r="G54" s="22">
        <v>13.662764953938177</v>
      </c>
      <c r="H54" s="21">
        <v>64.416807238444775</v>
      </c>
      <c r="I54" s="21">
        <v>0.2837498530106764</v>
      </c>
      <c r="J54" s="21">
        <v>0.63364255034497441</v>
      </c>
      <c r="K54" s="21">
        <v>5.2306597427862025</v>
      </c>
      <c r="L54" s="21">
        <v>15.772375661475198</v>
      </c>
      <c r="M54" s="26">
        <f t="shared" si="2"/>
        <v>100</v>
      </c>
      <c r="N54" s="22">
        <v>28.376197973640288</v>
      </c>
      <c r="O54" s="21">
        <v>0.78554281561884487</v>
      </c>
      <c r="P54" s="21">
        <v>0.21885859287960829</v>
      </c>
      <c r="Q54" s="21">
        <v>2.3393186034355407</v>
      </c>
      <c r="R54" s="21">
        <v>68.280082014425716</v>
      </c>
      <c r="S54" s="21">
        <v>0</v>
      </c>
      <c r="T54" s="26">
        <f t="shared" si="3"/>
        <v>100</v>
      </c>
      <c r="U54" s="1">
        <f>81.33*10</f>
        <v>813.3</v>
      </c>
      <c r="V54" s="1">
        <f>107.2*10</f>
        <v>1072</v>
      </c>
      <c r="W54" s="1">
        <f>25.98*10</f>
        <v>259.8</v>
      </c>
      <c r="X54" s="25">
        <f>7.302*10</f>
        <v>73.02</v>
      </c>
      <c r="Y54" s="2">
        <v>3986.54</v>
      </c>
      <c r="Z54" s="2">
        <v>294.42</v>
      </c>
      <c r="AA54" s="2">
        <v>598</v>
      </c>
      <c r="AB54" s="2">
        <v>321.38</v>
      </c>
      <c r="AC54" s="2">
        <v>0</v>
      </c>
      <c r="AD54" s="21">
        <v>0</v>
      </c>
      <c r="AE54" s="21">
        <v>0</v>
      </c>
      <c r="AF54" s="21">
        <v>46</v>
      </c>
      <c r="AG54" s="28">
        <v>45.75</v>
      </c>
    </row>
    <row r="55" spans="2:33" x14ac:dyDescent="0.3">
      <c r="B55" s="19">
        <v>45343</v>
      </c>
      <c r="C55" s="20">
        <f t="shared" si="4"/>
        <v>76</v>
      </c>
      <c r="D55" s="20">
        <v>7.26</v>
      </c>
      <c r="G55" s="22">
        <v>13.629821960375027</v>
      </c>
      <c r="H55" s="21">
        <v>64.868986490451206</v>
      </c>
      <c r="I55" s="21">
        <v>0.2046672464449957</v>
      </c>
      <c r="J55" s="21">
        <v>0.73949831942057664</v>
      </c>
      <c r="K55" s="21">
        <v>5.196509964304548</v>
      </c>
      <c r="L55" s="21">
        <v>15.360516019003637</v>
      </c>
      <c r="M55" s="26">
        <f t="shared" si="2"/>
        <v>100</v>
      </c>
      <c r="N55" s="22">
        <v>29.789349627101451</v>
      </c>
      <c r="O55" s="21">
        <v>3.5960545502948986</v>
      </c>
      <c r="P55" s="21">
        <v>1.2538921963867213</v>
      </c>
      <c r="Q55" s="21">
        <v>1.7682743031062824</v>
      </c>
      <c r="R55" s="21">
        <v>63.330734566448733</v>
      </c>
      <c r="S55" s="21">
        <v>0.26169475666190239</v>
      </c>
      <c r="T55" s="26">
        <f t="shared" si="3"/>
        <v>99.999999999999986</v>
      </c>
    </row>
    <row r="56" spans="2:33" x14ac:dyDescent="0.3">
      <c r="B56" s="19">
        <v>45344</v>
      </c>
      <c r="C56" s="20">
        <f t="shared" si="4"/>
        <v>77</v>
      </c>
      <c r="D56" s="20">
        <v>7.13</v>
      </c>
      <c r="G56" s="22">
        <v>11.511584622812803</v>
      </c>
      <c r="H56" s="21">
        <v>69.103703853398486</v>
      </c>
      <c r="I56" s="21">
        <v>0.26722964886063361</v>
      </c>
      <c r="J56" s="21">
        <v>0.85101387676156903</v>
      </c>
      <c r="K56" s="21">
        <v>4.5033812521810743</v>
      </c>
      <c r="L56" s="21">
        <v>13.763086745985456</v>
      </c>
      <c r="M56" s="26">
        <f t="shared" si="2"/>
        <v>100.00000000000003</v>
      </c>
      <c r="N56" s="22">
        <v>23.328877059595456</v>
      </c>
      <c r="O56" s="21">
        <v>2.3492577818559215</v>
      </c>
      <c r="P56" s="21">
        <v>0.16839381010392163</v>
      </c>
      <c r="Q56" s="21">
        <v>2.2660671428200319</v>
      </c>
      <c r="R56" s="21">
        <v>71.467434785023073</v>
      </c>
      <c r="S56" s="21">
        <v>0.41996942060158976</v>
      </c>
      <c r="T56" s="26">
        <f t="shared" si="3"/>
        <v>99.999999999999986</v>
      </c>
      <c r="U56" s="1">
        <f>50.43*10</f>
        <v>504.3</v>
      </c>
      <c r="V56" s="1">
        <f>80.42*10</f>
        <v>804.2</v>
      </c>
      <c r="W56" s="1">
        <f>29.99*10</f>
        <v>299.89999999999998</v>
      </c>
      <c r="X56" s="25">
        <f>3.916*10</f>
        <v>39.159999999999997</v>
      </c>
      <c r="Y56" s="2">
        <v>1927.48</v>
      </c>
      <c r="Z56" s="2">
        <v>319.58999999999997</v>
      </c>
      <c r="AA56" s="2">
        <v>808.80499999999995</v>
      </c>
      <c r="AB56" s="21">
        <v>341.64499999999998</v>
      </c>
      <c r="AC56" s="2">
        <v>0</v>
      </c>
      <c r="AD56" s="21">
        <v>0</v>
      </c>
      <c r="AE56" s="21">
        <v>0</v>
      </c>
      <c r="AF56" s="21">
        <v>0</v>
      </c>
      <c r="AG56" s="28">
        <v>59.960000000000008</v>
      </c>
    </row>
    <row r="57" spans="2:33" x14ac:dyDescent="0.3">
      <c r="B57" s="19">
        <v>45345</v>
      </c>
      <c r="C57" s="20">
        <f t="shared" si="4"/>
        <v>78</v>
      </c>
      <c r="D57" s="20">
        <v>7.19</v>
      </c>
      <c r="G57" s="22">
        <v>12.318416097220773</v>
      </c>
      <c r="H57" s="21">
        <v>64.471352835749286</v>
      </c>
      <c r="I57" s="21">
        <v>0.79716065453331975</v>
      </c>
      <c r="J57" s="21">
        <v>2.7231999936078957</v>
      </c>
      <c r="K57" s="21">
        <v>4.8952911520408477</v>
      </c>
      <c r="L57" s="21">
        <v>14.794579266847881</v>
      </c>
      <c r="M57" s="26">
        <f t="shared" si="2"/>
        <v>100</v>
      </c>
      <c r="N57" s="22">
        <v>20.477911202374809</v>
      </c>
      <c r="O57" s="21">
        <v>2.7617868165180961</v>
      </c>
      <c r="P57" s="21">
        <v>0.66571796444743903</v>
      </c>
      <c r="Q57" s="21">
        <v>4.0934292893301993</v>
      </c>
      <c r="R57" s="21">
        <v>71.37941642347468</v>
      </c>
      <c r="S57" s="21">
        <v>0.62173830385479323</v>
      </c>
      <c r="T57" s="26">
        <f t="shared" si="3"/>
        <v>100.00000000000001</v>
      </c>
    </row>
    <row r="58" spans="2:33" x14ac:dyDescent="0.3">
      <c r="B58" s="19">
        <v>45348</v>
      </c>
      <c r="C58" s="20">
        <f t="shared" si="4"/>
        <v>81</v>
      </c>
      <c r="D58" s="20">
        <v>6.95</v>
      </c>
      <c r="G58" s="22">
        <v>14.064195949547198</v>
      </c>
      <c r="H58" s="21">
        <v>62.53077928537509</v>
      </c>
      <c r="I58" s="21">
        <v>0.12252308738154123</v>
      </c>
      <c r="J58" s="21">
        <v>1.4450672556395994</v>
      </c>
      <c r="K58" s="21">
        <v>4.9958217079226834</v>
      </c>
      <c r="L58" s="21">
        <v>16.841612714133891</v>
      </c>
      <c r="M58" s="26">
        <f t="shared" si="2"/>
        <v>100</v>
      </c>
      <c r="N58" s="22">
        <v>30.839130105208334</v>
      </c>
      <c r="O58" s="21">
        <v>1.8047305988683853</v>
      </c>
      <c r="P58" s="21">
        <v>0.48179118321399655</v>
      </c>
      <c r="Q58" s="21">
        <v>3.4471327631927804</v>
      </c>
      <c r="R58" s="21">
        <v>62.730911097932285</v>
      </c>
      <c r="S58" s="21">
        <v>0.69630425158421505</v>
      </c>
      <c r="T58" s="26">
        <f t="shared" si="3"/>
        <v>99.999999999999986</v>
      </c>
    </row>
    <row r="59" spans="2:33" x14ac:dyDescent="0.3">
      <c r="B59" s="19">
        <v>45349</v>
      </c>
      <c r="C59" s="20">
        <f t="shared" si="4"/>
        <v>82</v>
      </c>
      <c r="D59" s="20">
        <v>7.11</v>
      </c>
      <c r="E59" s="2">
        <v>8.8000000000000007</v>
      </c>
      <c r="F59" s="2">
        <v>2.88</v>
      </c>
      <c r="G59" s="22">
        <v>14.367396753293841</v>
      </c>
      <c r="H59" s="21">
        <v>59.923342026238359</v>
      </c>
      <c r="I59" s="21">
        <v>0.68228489150674376</v>
      </c>
      <c r="J59" s="21">
        <v>2.3771575966260694</v>
      </c>
      <c r="K59" s="21">
        <v>5.6052505717828538</v>
      </c>
      <c r="L59" s="21">
        <v>17.044568160552146</v>
      </c>
      <c r="M59" s="26">
        <f t="shared" si="2"/>
        <v>100.00000000000001</v>
      </c>
      <c r="N59" s="22">
        <v>31.645161341324417</v>
      </c>
      <c r="O59" s="21">
        <v>4.6468960440608029</v>
      </c>
      <c r="P59" s="21">
        <v>0.65170321256393826</v>
      </c>
      <c r="Q59" s="21">
        <v>3.1305004708600217</v>
      </c>
      <c r="R59" s="21">
        <v>59.144691094847303</v>
      </c>
      <c r="S59" s="21">
        <v>0.7810478363435126</v>
      </c>
      <c r="T59" s="26">
        <f t="shared" si="3"/>
        <v>100</v>
      </c>
      <c r="U59" s="1">
        <f>58.07*10</f>
        <v>580.70000000000005</v>
      </c>
      <c r="V59" s="1">
        <f>82.96*10</f>
        <v>829.59999999999991</v>
      </c>
      <c r="W59" s="1">
        <f>24.9*10</f>
        <v>249</v>
      </c>
      <c r="X59" s="25">
        <f>3.101*10</f>
        <v>31.009999999999998</v>
      </c>
      <c r="Y59" s="2">
        <v>0</v>
      </c>
      <c r="Z59" s="2">
        <v>0</v>
      </c>
      <c r="AA59" s="2">
        <v>671.87</v>
      </c>
      <c r="AB59" s="21">
        <v>5.0000000000000001E-3</v>
      </c>
      <c r="AC59" s="2">
        <v>0</v>
      </c>
      <c r="AD59" s="21">
        <v>0</v>
      </c>
      <c r="AE59" s="21">
        <v>0</v>
      </c>
      <c r="AF59" s="21">
        <v>3.145</v>
      </c>
      <c r="AG59" s="28">
        <v>0</v>
      </c>
    </row>
    <row r="60" spans="2:33" x14ac:dyDescent="0.3">
      <c r="B60" s="19">
        <v>45350</v>
      </c>
      <c r="C60" s="20">
        <f t="shared" si="4"/>
        <v>83</v>
      </c>
      <c r="G60" s="22">
        <v>13.426846017381417</v>
      </c>
      <c r="H60" s="21">
        <v>61.270616467048434</v>
      </c>
      <c r="I60" s="21">
        <v>0.77254671937819619</v>
      </c>
      <c r="J60" s="21">
        <v>2.7589008835996345</v>
      </c>
      <c r="K60" s="21">
        <v>5.4204349715677207</v>
      </c>
      <c r="L60" s="21">
        <v>16.350654941024615</v>
      </c>
      <c r="M60" s="26">
        <f t="shared" si="2"/>
        <v>100.00000000000001</v>
      </c>
      <c r="N60" s="22">
        <v>31.580461511034141</v>
      </c>
      <c r="O60" s="21">
        <v>4.1192177155214704</v>
      </c>
      <c r="P60" s="21">
        <v>0.62636829408570982</v>
      </c>
      <c r="Q60" s="21">
        <v>4.1412694116278272</v>
      </c>
      <c r="R60" s="21">
        <v>58.525398479630752</v>
      </c>
      <c r="S60" s="21">
        <v>1.0072845881000949</v>
      </c>
      <c r="T60" s="26">
        <f t="shared" si="3"/>
        <v>99.999999999999986</v>
      </c>
    </row>
    <row r="61" spans="2:33" x14ac:dyDescent="0.3">
      <c r="B61" s="19">
        <v>45351</v>
      </c>
      <c r="C61" s="20">
        <f t="shared" si="4"/>
        <v>84</v>
      </c>
      <c r="M61" s="26"/>
      <c r="N61" s="22"/>
      <c r="O61" s="21"/>
      <c r="P61" s="21"/>
      <c r="Q61" s="21"/>
      <c r="R61" s="21"/>
      <c r="S61" s="21"/>
      <c r="T61" s="26"/>
    </row>
    <row r="62" spans="2:33" x14ac:dyDescent="0.3">
      <c r="B62" s="19">
        <v>45352</v>
      </c>
      <c r="C62" s="20">
        <f t="shared" si="4"/>
        <v>85</v>
      </c>
      <c r="D62" s="20">
        <v>7.34</v>
      </c>
      <c r="G62" s="22">
        <v>12.824293889868374</v>
      </c>
      <c r="H62" s="21">
        <v>64.584415261436689</v>
      </c>
      <c r="I62" s="21">
        <v>0.46508955264761731</v>
      </c>
      <c r="J62" s="21">
        <v>1.0816114767647802</v>
      </c>
      <c r="K62" s="21">
        <v>5.3599944816099923</v>
      </c>
      <c r="L62" s="21">
        <v>15.684595337672539</v>
      </c>
      <c r="M62" s="26">
        <f t="shared" si="2"/>
        <v>99.999999999999972</v>
      </c>
      <c r="N62" s="22">
        <v>32.547789840600245</v>
      </c>
      <c r="O62" s="21">
        <v>2.3352662079002044</v>
      </c>
      <c r="P62" s="21">
        <v>0.66824869338951087</v>
      </c>
      <c r="Q62" s="21">
        <v>2.2885971889417394</v>
      </c>
      <c r="R62" s="21">
        <v>61.6071853658121</v>
      </c>
      <c r="S62" s="21">
        <v>0.55291270335621967</v>
      </c>
      <c r="T62" s="26">
        <f t="shared" si="3"/>
        <v>100</v>
      </c>
    </row>
    <row r="63" spans="2:33" x14ac:dyDescent="0.3">
      <c r="B63" s="19">
        <v>45355</v>
      </c>
      <c r="C63" s="20">
        <f t="shared" si="4"/>
        <v>88</v>
      </c>
      <c r="D63" s="20">
        <v>7.21</v>
      </c>
      <c r="G63" s="22">
        <v>12.993884474162506</v>
      </c>
      <c r="H63" s="21">
        <v>63.77083777898558</v>
      </c>
      <c r="I63" s="21">
        <v>0.63749763477009713</v>
      </c>
      <c r="J63" s="21">
        <v>2.2683632459740286</v>
      </c>
      <c r="K63" s="21">
        <v>5.0108446206671733</v>
      </c>
      <c r="L63" s="21">
        <v>15.318572245440626</v>
      </c>
      <c r="M63" s="26">
        <f t="shared" si="2"/>
        <v>100</v>
      </c>
      <c r="N63" s="22">
        <v>30.691107509713124</v>
      </c>
      <c r="O63" s="21">
        <v>2.6593231207801629</v>
      </c>
      <c r="P63" s="21">
        <v>0.63532683113560573</v>
      </c>
      <c r="Q63" s="21">
        <v>3.5528094893706648</v>
      </c>
      <c r="R63" s="21">
        <v>61.680873805312054</v>
      </c>
      <c r="S63" s="21">
        <v>0.78055924368838014</v>
      </c>
      <c r="T63" s="26">
        <f t="shared" si="3"/>
        <v>100</v>
      </c>
    </row>
    <row r="64" spans="2:33" x14ac:dyDescent="0.3">
      <c r="B64" s="19">
        <v>45356</v>
      </c>
      <c r="C64" s="20">
        <f t="shared" si="4"/>
        <v>89</v>
      </c>
      <c r="D64" s="20">
        <v>7.12</v>
      </c>
      <c r="E64" s="2">
        <v>8.76</v>
      </c>
      <c r="F64" s="2">
        <v>2.99</v>
      </c>
      <c r="G64" s="22">
        <v>13.745213841104837</v>
      </c>
      <c r="H64" s="21">
        <v>61.432567954947316</v>
      </c>
      <c r="I64" s="21">
        <v>0.67525239146451055</v>
      </c>
      <c r="J64" s="21">
        <v>2.3948689495899811</v>
      </c>
      <c r="K64" s="21">
        <v>5.4002380627988025</v>
      </c>
      <c r="L64" s="21">
        <v>16.351858800094544</v>
      </c>
      <c r="M64" s="26">
        <f t="shared" si="2"/>
        <v>100</v>
      </c>
      <c r="N64" s="22">
        <v>28.205284561019482</v>
      </c>
      <c r="O64" s="21">
        <v>2.8471111854529179</v>
      </c>
      <c r="P64" s="21">
        <v>0.63387751487872313</v>
      </c>
      <c r="Q64" s="21">
        <v>3.2389687122803261</v>
      </c>
      <c r="R64" s="21">
        <v>64.456202512026877</v>
      </c>
      <c r="S64" s="21">
        <v>0.61855551434166078</v>
      </c>
      <c r="T64" s="26">
        <f t="shared" si="3"/>
        <v>100</v>
      </c>
      <c r="U64" s="1">
        <f>32.32*10</f>
        <v>323.2</v>
      </c>
      <c r="V64" s="1">
        <f>63.12*10</f>
        <v>631.19999999999993</v>
      </c>
      <c r="W64" s="1">
        <f>30.8*10</f>
        <v>308</v>
      </c>
      <c r="X64" s="25">
        <f>2.342*10</f>
        <v>23.42</v>
      </c>
      <c r="Y64" s="2">
        <v>457.35999999999996</v>
      </c>
      <c r="Z64" s="2">
        <v>297.36</v>
      </c>
      <c r="AA64" s="2">
        <v>584.27499999999998</v>
      </c>
      <c r="AB64" s="21">
        <v>0</v>
      </c>
      <c r="AC64" s="2">
        <v>0</v>
      </c>
      <c r="AD64" s="21">
        <v>77.484999999999999</v>
      </c>
      <c r="AE64" s="21">
        <v>0</v>
      </c>
      <c r="AF64" s="21">
        <v>0</v>
      </c>
      <c r="AG64" s="28">
        <v>5.0000000000000001E-3</v>
      </c>
    </row>
    <row r="65" spans="1:33" x14ac:dyDescent="0.3">
      <c r="A65" s="18" t="s">
        <v>39</v>
      </c>
      <c r="B65" s="19">
        <v>45357</v>
      </c>
      <c r="C65" s="20">
        <f t="shared" si="4"/>
        <v>90</v>
      </c>
      <c r="D65" s="20">
        <v>7.21</v>
      </c>
      <c r="G65" s="22">
        <v>13.573955375628016</v>
      </c>
      <c r="H65" s="21">
        <v>61.922598157327805</v>
      </c>
      <c r="I65" s="21">
        <v>0.68115409383054804</v>
      </c>
      <c r="J65" s="21">
        <v>2.4155079014932213</v>
      </c>
      <c r="K65" s="21">
        <v>5.2953131762542842</v>
      </c>
      <c r="L65" s="21">
        <v>16.111471295466121</v>
      </c>
      <c r="M65" s="26">
        <f t="shared" si="2"/>
        <v>99.999999999999986</v>
      </c>
      <c r="N65" s="22">
        <v>2.9076059674290899</v>
      </c>
      <c r="O65" s="21">
        <v>35.729435956481737</v>
      </c>
      <c r="P65" s="21">
        <v>12.17026164756601</v>
      </c>
      <c r="Q65" s="21">
        <v>44.318137128045471</v>
      </c>
      <c r="R65" s="21">
        <v>1.2397056320671047</v>
      </c>
      <c r="S65" s="21">
        <v>3.634853668410599</v>
      </c>
      <c r="T65" s="26">
        <f t="shared" si="3"/>
        <v>100</v>
      </c>
    </row>
    <row r="66" spans="1:33" x14ac:dyDescent="0.3">
      <c r="B66" s="19">
        <v>45358</v>
      </c>
      <c r="C66" s="20">
        <f t="shared" si="4"/>
        <v>91</v>
      </c>
      <c r="D66" s="20">
        <v>7.22</v>
      </c>
      <c r="G66" s="22">
        <v>13.415015868843277</v>
      </c>
      <c r="H66" s="21">
        <v>62.328634028396323</v>
      </c>
      <c r="I66" s="21">
        <v>0.68783418433525301</v>
      </c>
      <c r="J66" s="21">
        <v>2.4092876950929032</v>
      </c>
      <c r="K66" s="21">
        <v>5.2219592003677295</v>
      </c>
      <c r="L66" s="21">
        <v>15.937269022964507</v>
      </c>
      <c r="M66" s="26">
        <f t="shared" si="2"/>
        <v>100</v>
      </c>
      <c r="N66" s="22">
        <v>21.021349922160322</v>
      </c>
      <c r="O66" s="21">
        <v>3.2063046882326507</v>
      </c>
      <c r="P66" s="21">
        <v>0.86213088279014272</v>
      </c>
      <c r="Q66" s="21">
        <v>14.407162881904942</v>
      </c>
      <c r="R66" s="21">
        <v>59.883845628077516</v>
      </c>
      <c r="S66" s="21">
        <v>0.61920599683443778</v>
      </c>
      <c r="T66" s="26">
        <f t="shared" si="3"/>
        <v>100.00000000000001</v>
      </c>
      <c r="U66" s="1">
        <f>29.15*10</f>
        <v>291.5</v>
      </c>
      <c r="V66" s="1">
        <f>58.72*10</f>
        <v>587.20000000000005</v>
      </c>
      <c r="W66" s="1">
        <f>29.95*10</f>
        <v>299.5</v>
      </c>
      <c r="X66" s="25">
        <f>2.182*10</f>
        <v>21.82</v>
      </c>
      <c r="Y66" s="2">
        <v>234.42</v>
      </c>
      <c r="Z66" s="2">
        <v>5.0599999999999996</v>
      </c>
      <c r="AA66" s="2">
        <v>3.99</v>
      </c>
      <c r="AB66" s="21">
        <v>0</v>
      </c>
      <c r="AC66" s="2">
        <v>15.34</v>
      </c>
      <c r="AD66" s="21">
        <v>0</v>
      </c>
      <c r="AE66" s="21">
        <v>0</v>
      </c>
      <c r="AF66" s="21">
        <v>0</v>
      </c>
      <c r="AG66" s="28">
        <v>0</v>
      </c>
    </row>
    <row r="67" spans="1:33" x14ac:dyDescent="0.3">
      <c r="B67" s="19">
        <v>45359</v>
      </c>
      <c r="C67" s="20">
        <f t="shared" si="4"/>
        <v>92</v>
      </c>
      <c r="D67" s="20">
        <v>7.32</v>
      </c>
      <c r="G67" s="22">
        <v>11.561663075254371</v>
      </c>
      <c r="H67" s="21">
        <v>61.841919527065727</v>
      </c>
      <c r="I67" s="21">
        <v>0.47203105269042445</v>
      </c>
      <c r="J67" s="21">
        <v>1.9888587105885547</v>
      </c>
      <c r="K67" s="21">
        <v>4.8280274125894564</v>
      </c>
      <c r="L67" s="21">
        <v>19.307500221811473</v>
      </c>
      <c r="M67" s="26">
        <f t="shared" si="2"/>
        <v>100</v>
      </c>
      <c r="N67" s="22">
        <v>24.120247395232393</v>
      </c>
      <c r="O67" s="21">
        <v>3.5199760819170915</v>
      </c>
      <c r="P67" s="21">
        <v>0.94647277223554138</v>
      </c>
      <c r="Q67" s="21">
        <v>5.4016386039186761</v>
      </c>
      <c r="R67" s="21">
        <v>65.376536154225889</v>
      </c>
      <c r="S67" s="21">
        <v>0.63512899247041721</v>
      </c>
      <c r="T67" s="26">
        <f t="shared" si="3"/>
        <v>100</v>
      </c>
    </row>
    <row r="68" spans="1:33" x14ac:dyDescent="0.3">
      <c r="B68" s="19">
        <v>45362</v>
      </c>
      <c r="C68" s="20">
        <f t="shared" si="4"/>
        <v>95</v>
      </c>
      <c r="D68" s="20">
        <v>7.15</v>
      </c>
      <c r="G68" s="22">
        <v>13.068708606102833</v>
      </c>
      <c r="H68" s="21">
        <v>62.08635561680326</v>
      </c>
      <c r="I68" s="21">
        <v>0.93287088828033127</v>
      </c>
      <c r="J68" s="21">
        <v>3.2858916197166841</v>
      </c>
      <c r="K68" s="21">
        <v>5.0883557318457058</v>
      </c>
      <c r="L68" s="21">
        <v>15.537817537251172</v>
      </c>
      <c r="M68" s="26">
        <f t="shared" si="2"/>
        <v>99.999999999999986</v>
      </c>
      <c r="N68" s="22">
        <v>25.707211881010849</v>
      </c>
      <c r="O68" s="21">
        <v>3.234956895072072</v>
      </c>
      <c r="P68" s="21">
        <v>0.69674060642830216</v>
      </c>
      <c r="Q68" s="21">
        <v>6.1942365509705928</v>
      </c>
      <c r="R68" s="21">
        <v>63.327753483034144</v>
      </c>
      <c r="S68" s="21">
        <v>0.8391005834840306</v>
      </c>
      <c r="T68" s="26">
        <f t="shared" si="3"/>
        <v>99.999999999999986</v>
      </c>
    </row>
    <row r="69" spans="1:33" x14ac:dyDescent="0.3">
      <c r="B69" s="19">
        <v>45363</v>
      </c>
      <c r="C69" s="20">
        <f t="shared" si="4"/>
        <v>96</v>
      </c>
      <c r="D69" s="20">
        <v>7.19</v>
      </c>
      <c r="E69" s="2">
        <v>9.36</v>
      </c>
      <c r="F69" s="2">
        <v>3.27</v>
      </c>
      <c r="G69" s="22">
        <v>12.810262085564675</v>
      </c>
      <c r="H69" s="21">
        <v>63.812787023861972</v>
      </c>
      <c r="I69" s="21">
        <v>0.69200351982054364</v>
      </c>
      <c r="J69" s="21">
        <v>2.456391803569673</v>
      </c>
      <c r="K69" s="21">
        <v>5.0161468926136941</v>
      </c>
      <c r="L69" s="21">
        <v>15.212408674569422</v>
      </c>
      <c r="M69" s="26">
        <f t="shared" si="2"/>
        <v>99.999999999999972</v>
      </c>
      <c r="N69" s="22">
        <v>23.249432683695762</v>
      </c>
      <c r="O69" s="21">
        <v>2.9597674497663937</v>
      </c>
      <c r="P69" s="21">
        <v>1.2570795409012161</v>
      </c>
      <c r="Q69" s="21">
        <v>3.3599806458085641</v>
      </c>
      <c r="R69" s="21">
        <v>68.551054198578967</v>
      </c>
      <c r="S69" s="21">
        <v>0.62268548124908851</v>
      </c>
      <c r="T69" s="26">
        <f t="shared" si="3"/>
        <v>99.999999999999986</v>
      </c>
      <c r="U69" s="1">
        <f>46.87*10</f>
        <v>468.7</v>
      </c>
      <c r="V69" s="1">
        <f>55.78*10</f>
        <v>557.79999999999995</v>
      </c>
      <c r="W69" s="1">
        <f>8.918*10</f>
        <v>89.179999999999993</v>
      </c>
      <c r="X69" s="25">
        <f>5.526*10</f>
        <v>55.26</v>
      </c>
      <c r="Y69" s="2">
        <v>213.42</v>
      </c>
      <c r="Z69" s="2">
        <v>2.42</v>
      </c>
      <c r="AA69" s="2">
        <v>3.75</v>
      </c>
      <c r="AB69" s="21">
        <v>0</v>
      </c>
      <c r="AC69" s="2">
        <v>35.53</v>
      </c>
      <c r="AD69" s="21">
        <v>0</v>
      </c>
      <c r="AE69" s="21">
        <v>0</v>
      </c>
      <c r="AF69" s="21">
        <v>0</v>
      </c>
      <c r="AG69" s="28">
        <v>0</v>
      </c>
    </row>
    <row r="70" spans="1:33" x14ac:dyDescent="0.3">
      <c r="B70" s="19">
        <v>45364</v>
      </c>
      <c r="C70" s="20">
        <f t="shared" ref="C70:C101" si="5">B70-$B$5</f>
        <v>97</v>
      </c>
      <c r="D70" s="20">
        <v>7.12</v>
      </c>
      <c r="G70" s="22">
        <v>12.514975618957974</v>
      </c>
      <c r="H70" s="21">
        <v>64.078901816395515</v>
      </c>
      <c r="I70" s="21">
        <v>0.78122723692052332</v>
      </c>
      <c r="J70" s="21">
        <v>2.7631446652672782</v>
      </c>
      <c r="K70" s="21">
        <v>4.9110077829915628</v>
      </c>
      <c r="L70" s="21">
        <v>14.95074287946713</v>
      </c>
      <c r="M70" s="26">
        <f t="shared" si="2"/>
        <v>99.999999999999986</v>
      </c>
      <c r="N70" s="22">
        <v>23.654793999313068</v>
      </c>
      <c r="O70" s="21">
        <v>3.0081796147044355</v>
      </c>
      <c r="P70" s="21">
        <v>0.66928865187678432</v>
      </c>
      <c r="Q70" s="21">
        <v>3.9946951758577036</v>
      </c>
      <c r="R70" s="21">
        <v>67.938894274005946</v>
      </c>
      <c r="S70" s="21">
        <v>0.73414828424205469</v>
      </c>
      <c r="T70" s="26">
        <f t="shared" si="3"/>
        <v>99.999999999999986</v>
      </c>
    </row>
    <row r="71" spans="1:33" x14ac:dyDescent="0.3">
      <c r="B71" s="19">
        <v>45365</v>
      </c>
      <c r="C71" s="20">
        <f t="shared" si="5"/>
        <v>98</v>
      </c>
      <c r="D71" s="20">
        <v>7.31</v>
      </c>
      <c r="G71" s="22">
        <v>12.477420813593412</v>
      </c>
      <c r="H71" s="21">
        <v>64.971571093218785</v>
      </c>
      <c r="I71" s="21">
        <v>7.4817946068249805E-2</v>
      </c>
      <c r="J71" s="21">
        <v>2.6684783901154905</v>
      </c>
      <c r="K71" s="21">
        <v>4.8962085935424904</v>
      </c>
      <c r="L71" s="21">
        <v>14.911503163461578</v>
      </c>
      <c r="M71" s="26">
        <f t="shared" si="2"/>
        <v>100.00000000000001</v>
      </c>
      <c r="N71" s="38">
        <v>21.201843637264979</v>
      </c>
      <c r="O71" s="24">
        <v>3.2341130822794208</v>
      </c>
      <c r="P71" s="24">
        <v>1.4080302194930143</v>
      </c>
      <c r="Q71" s="24">
        <v>2.527224727760407</v>
      </c>
      <c r="R71" s="24">
        <v>70.966841025565955</v>
      </c>
      <c r="S71" s="24">
        <v>0.66194730763621357</v>
      </c>
      <c r="T71" s="26">
        <f t="shared" si="3"/>
        <v>99.999999999999986</v>
      </c>
      <c r="U71" s="1">
        <f>64.39*10</f>
        <v>643.9</v>
      </c>
      <c r="V71" s="1">
        <f>82.53*10</f>
        <v>825.3</v>
      </c>
      <c r="W71" s="1">
        <f>18.15*10</f>
        <v>181.5</v>
      </c>
      <c r="X71" s="25">
        <f>2.175*10</f>
        <v>21.75</v>
      </c>
      <c r="Y71" s="2">
        <v>33.33</v>
      </c>
      <c r="Z71" s="2">
        <v>7.54</v>
      </c>
      <c r="AA71" s="2">
        <v>1.5</v>
      </c>
      <c r="AB71" s="21">
        <v>0</v>
      </c>
      <c r="AC71" s="2">
        <v>33.56</v>
      </c>
      <c r="AD71" s="21">
        <v>0</v>
      </c>
      <c r="AE71" s="21">
        <v>0</v>
      </c>
      <c r="AF71" s="21">
        <v>0</v>
      </c>
      <c r="AG71" s="28">
        <v>0</v>
      </c>
    </row>
    <row r="72" spans="1:33" x14ac:dyDescent="0.3">
      <c r="B72" s="19">
        <v>45369</v>
      </c>
      <c r="C72" s="20">
        <f t="shared" si="5"/>
        <v>102</v>
      </c>
      <c r="D72" s="20">
        <v>7.02</v>
      </c>
      <c r="G72" s="22">
        <v>11.900334593835906</v>
      </c>
      <c r="H72" s="21">
        <v>64.427307361317688</v>
      </c>
      <c r="I72" s="21">
        <v>1.0440036786930218</v>
      </c>
      <c r="J72" s="21">
        <v>3.6964742339606422</v>
      </c>
      <c r="K72" s="21">
        <v>4.6582198576501925</v>
      </c>
      <c r="L72" s="21">
        <v>14.273660274542557</v>
      </c>
      <c r="M72" s="26">
        <f t="shared" si="2"/>
        <v>100</v>
      </c>
      <c r="N72" s="38">
        <v>21.756047385468477</v>
      </c>
      <c r="O72" s="24">
        <v>3.9182811017317678</v>
      </c>
      <c r="P72" s="24">
        <v>0.79867768776378223</v>
      </c>
      <c r="Q72" s="24">
        <v>6.2810788585122364</v>
      </c>
      <c r="R72" s="24">
        <v>66.508671635536516</v>
      </c>
      <c r="S72" s="24">
        <v>0.73724333098722905</v>
      </c>
      <c r="T72" s="26">
        <f t="shared" si="3"/>
        <v>100.00000000000001</v>
      </c>
    </row>
    <row r="73" spans="1:33" x14ac:dyDescent="0.3">
      <c r="B73" s="19">
        <v>45370</v>
      </c>
      <c r="C73" s="20">
        <f t="shared" si="5"/>
        <v>103</v>
      </c>
      <c r="D73" s="20">
        <v>6.89</v>
      </c>
      <c r="E73" s="2">
        <v>9.49</v>
      </c>
      <c r="F73" s="2">
        <f>3.56</f>
        <v>3.56</v>
      </c>
      <c r="G73" s="22">
        <v>12.40919913921438</v>
      </c>
      <c r="H73" s="21">
        <v>64.706335941455109</v>
      </c>
      <c r="I73" s="21">
        <v>0.69500566135229069</v>
      </c>
      <c r="J73" s="21">
        <v>2.4868610131044866</v>
      </c>
      <c r="K73" s="21">
        <v>4.9066430148627651</v>
      </c>
      <c r="L73" s="21">
        <v>14.795955230010991</v>
      </c>
      <c r="M73" s="26">
        <f t="shared" si="2"/>
        <v>100.00000000000003</v>
      </c>
      <c r="N73" s="22">
        <v>21.12888630735975</v>
      </c>
      <c r="O73" s="21">
        <v>3.6185959899473921</v>
      </c>
      <c r="P73" s="21">
        <v>0.6134833912312746</v>
      </c>
      <c r="Q73" s="21">
        <v>3.4104264587386699</v>
      </c>
      <c r="R73" s="21">
        <v>70.577349351215119</v>
      </c>
      <c r="S73" s="21">
        <v>0.6512585015077984</v>
      </c>
      <c r="T73" s="26">
        <f t="shared" si="3"/>
        <v>100</v>
      </c>
      <c r="U73" s="1">
        <f>63.34*10</f>
        <v>633.40000000000009</v>
      </c>
      <c r="V73" s="1">
        <f>77.79*10</f>
        <v>777.90000000000009</v>
      </c>
      <c r="W73" s="1">
        <f>14.15*10</f>
        <v>141.5</v>
      </c>
      <c r="X73" s="25">
        <f>2.595*10</f>
        <v>25.950000000000003</v>
      </c>
      <c r="Y73" s="2">
        <v>95.623000000000005</v>
      </c>
      <c r="Z73" s="2">
        <v>32.340000000000003</v>
      </c>
      <c r="AA73" s="2">
        <v>122.5</v>
      </c>
      <c r="AB73" s="21">
        <v>80.400000000000006</v>
      </c>
      <c r="AC73" s="2">
        <v>63.56</v>
      </c>
      <c r="AD73" s="21">
        <v>0</v>
      </c>
      <c r="AE73" s="21">
        <v>0</v>
      </c>
      <c r="AF73" s="21">
        <v>0</v>
      </c>
      <c r="AG73" s="28">
        <v>0</v>
      </c>
    </row>
    <row r="74" spans="1:33" x14ac:dyDescent="0.3">
      <c r="B74" s="19">
        <v>45371</v>
      </c>
      <c r="C74" s="20">
        <f t="shared" si="5"/>
        <v>104</v>
      </c>
      <c r="D74" s="20">
        <v>7.02</v>
      </c>
      <c r="G74" s="22">
        <v>11.661893673481686</v>
      </c>
      <c r="H74" s="21">
        <v>64.867349934952045</v>
      </c>
      <c r="I74" s="21">
        <v>0.87018226872652427</v>
      </c>
      <c r="J74" s="21">
        <v>2.6005827309280227</v>
      </c>
      <c r="K74" s="21">
        <v>5.6241703289075105</v>
      </c>
      <c r="L74" s="21">
        <v>14.375821063004214</v>
      </c>
      <c r="M74" s="26">
        <f t="shared" ref="M74:M97" si="6">SUM(G74:L74)</f>
        <v>100</v>
      </c>
      <c r="N74" s="22">
        <v>21.446968765284264</v>
      </c>
      <c r="O74" s="21">
        <v>2.3076282183799512</v>
      </c>
      <c r="P74" s="21">
        <v>0.71349282748067755</v>
      </c>
      <c r="Q74" s="21">
        <v>3.8144557741035952</v>
      </c>
      <c r="R74" s="21">
        <v>70.954337849559749</v>
      </c>
      <c r="S74" s="21">
        <v>0.76311656519174775</v>
      </c>
      <c r="T74" s="26">
        <f t="shared" ref="T74:T97" si="7">SUM(N74:S74)</f>
        <v>99.999999999999986</v>
      </c>
    </row>
    <row r="75" spans="1:33" x14ac:dyDescent="0.3">
      <c r="B75" s="19">
        <v>45372</v>
      </c>
      <c r="C75" s="20">
        <f t="shared" si="5"/>
        <v>105</v>
      </c>
      <c r="D75" s="20">
        <v>7.22</v>
      </c>
      <c r="G75" s="22">
        <v>11.732099832619969</v>
      </c>
      <c r="H75" s="21">
        <v>66.856902593408279</v>
      </c>
      <c r="I75" s="21">
        <v>0.65667995308553562</v>
      </c>
      <c r="J75" s="21">
        <v>2.3179461496100942</v>
      </c>
      <c r="K75" s="21">
        <v>4.551689835180273</v>
      </c>
      <c r="L75" s="21">
        <v>13.884681636095836</v>
      </c>
      <c r="M75" s="26">
        <f t="shared" si="6"/>
        <v>99.999999999999972</v>
      </c>
      <c r="N75" s="22">
        <v>20.748463939218624</v>
      </c>
      <c r="O75" s="21">
        <v>3.0523250062007552</v>
      </c>
      <c r="P75" s="21">
        <v>0.55288633806692278</v>
      </c>
      <c r="Q75" s="21">
        <v>3.4156888413290463</v>
      </c>
      <c r="R75" s="21">
        <v>71.531587878989313</v>
      </c>
      <c r="S75" s="21">
        <v>0.69904799619533309</v>
      </c>
      <c r="T75" s="26">
        <f t="shared" si="7"/>
        <v>100</v>
      </c>
      <c r="U75" s="1">
        <f>67.06*10</f>
        <v>670.6</v>
      </c>
      <c r="V75" s="1">
        <f>80.49*10</f>
        <v>804.9</v>
      </c>
      <c r="W75" s="1">
        <f>13.43*10</f>
        <v>134.30000000000001</v>
      </c>
      <c r="X75" s="25">
        <f>2.33*10</f>
        <v>23.3</v>
      </c>
      <c r="Y75" s="2">
        <v>15.205</v>
      </c>
      <c r="Z75" s="2">
        <v>6.34</v>
      </c>
      <c r="AA75" s="2">
        <v>27.11</v>
      </c>
      <c r="AB75" s="21">
        <v>14.61</v>
      </c>
      <c r="AC75" s="2">
        <v>15.63</v>
      </c>
      <c r="AD75" s="21">
        <v>0</v>
      </c>
      <c r="AE75" s="21">
        <v>0</v>
      </c>
      <c r="AF75" s="21">
        <v>0</v>
      </c>
      <c r="AG75" s="28">
        <v>0</v>
      </c>
    </row>
    <row r="76" spans="1:33" x14ac:dyDescent="0.3">
      <c r="B76" s="19">
        <v>45373</v>
      </c>
      <c r="C76" s="20">
        <f t="shared" si="5"/>
        <v>106</v>
      </c>
      <c r="D76" s="20">
        <v>7.12</v>
      </c>
      <c r="G76" s="22">
        <v>12.449331929904075</v>
      </c>
      <c r="H76" s="21">
        <v>66.299507995580072</v>
      </c>
      <c r="I76" s="21">
        <v>0.18739557522211853</v>
      </c>
      <c r="J76" s="21">
        <v>0.68680296700775634</v>
      </c>
      <c r="K76" s="21">
        <v>5.1299947583742451</v>
      </c>
      <c r="L76" s="21">
        <v>15.246966773911719</v>
      </c>
      <c r="M76" s="26">
        <f t="shared" si="6"/>
        <v>99.999999999999986</v>
      </c>
      <c r="N76" s="22">
        <v>22.110918931282733</v>
      </c>
      <c r="O76" s="21">
        <v>3.0140572846046814</v>
      </c>
      <c r="P76" s="21">
        <v>0.2724532094910001</v>
      </c>
      <c r="Q76" s="21">
        <v>2.6995745490024281</v>
      </c>
      <c r="R76" s="21">
        <v>71.136864577976084</v>
      </c>
      <c r="S76" s="21">
        <v>0.76613144764305874</v>
      </c>
      <c r="T76" s="26">
        <f t="shared" si="7"/>
        <v>99.999999999999986</v>
      </c>
      <c r="U76" s="2"/>
      <c r="V76" s="2"/>
      <c r="W76" s="2"/>
      <c r="X76" s="18"/>
    </row>
    <row r="77" spans="1:33" x14ac:dyDescent="0.3">
      <c r="B77" s="19">
        <v>45376</v>
      </c>
      <c r="C77" s="20">
        <f t="shared" si="5"/>
        <v>109</v>
      </c>
      <c r="D77" s="20">
        <v>7.03</v>
      </c>
      <c r="G77" s="22">
        <v>12.39809510845047</v>
      </c>
      <c r="H77" s="21">
        <v>65.065088473178122</v>
      </c>
      <c r="I77" s="21">
        <v>0.70308019127213206</v>
      </c>
      <c r="J77" s="21">
        <v>1.9937634735129872</v>
      </c>
      <c r="K77" s="21">
        <v>5.0939388097256622</v>
      </c>
      <c r="L77" s="21">
        <v>14.746033943860645</v>
      </c>
      <c r="M77" s="26">
        <f t="shared" si="6"/>
        <v>100</v>
      </c>
      <c r="N77" s="22">
        <v>22.564184707208316</v>
      </c>
      <c r="O77" s="21">
        <v>4.5261630384253344</v>
      </c>
      <c r="P77" s="21">
        <v>0.69693929481271089</v>
      </c>
      <c r="Q77" s="21">
        <v>6.382334896956336</v>
      </c>
      <c r="R77" s="21">
        <v>64.743139588746516</v>
      </c>
      <c r="S77" s="21">
        <v>1.0872384738507994</v>
      </c>
      <c r="T77" s="26">
        <f t="shared" si="7"/>
        <v>100.00000000000001</v>
      </c>
    </row>
    <row r="78" spans="1:33" x14ac:dyDescent="0.3">
      <c r="B78" s="19">
        <v>45377</v>
      </c>
      <c r="C78" s="20">
        <f t="shared" si="5"/>
        <v>110</v>
      </c>
      <c r="D78" s="20">
        <v>7.1</v>
      </c>
      <c r="G78" s="22">
        <v>12.115675652265214</v>
      </c>
      <c r="H78" s="21">
        <v>64.042601790376793</v>
      </c>
      <c r="I78" s="21">
        <v>0.82191189362974759</v>
      </c>
      <c r="J78" s="21">
        <v>2.9545818174136991</v>
      </c>
      <c r="K78" s="21">
        <v>4.9775324978465996</v>
      </c>
      <c r="L78" s="21">
        <v>15.087696348467944</v>
      </c>
      <c r="M78" s="26">
        <f t="shared" si="6"/>
        <v>99.999999999999986</v>
      </c>
      <c r="N78" s="22">
        <v>21.406011555560632</v>
      </c>
      <c r="O78" s="21">
        <v>3.7602974347473368</v>
      </c>
      <c r="P78" s="21">
        <v>0.61003561130329276</v>
      </c>
      <c r="Q78" s="21">
        <v>4.0956196718727096</v>
      </c>
      <c r="R78" s="21">
        <v>69.204745182739316</v>
      </c>
      <c r="S78" s="21">
        <v>0.92329054377671327</v>
      </c>
      <c r="T78" s="26">
        <f t="shared" si="7"/>
        <v>100</v>
      </c>
    </row>
    <row r="79" spans="1:33" x14ac:dyDescent="0.3">
      <c r="B79" s="19">
        <v>45383</v>
      </c>
      <c r="C79" s="20">
        <f t="shared" si="5"/>
        <v>116</v>
      </c>
      <c r="D79" s="20">
        <v>7.24</v>
      </c>
      <c r="G79" s="22">
        <v>12.000160865126489</v>
      </c>
      <c r="H79" s="21">
        <v>65.112131129457623</v>
      </c>
      <c r="I79" s="21">
        <v>1.2635265128258517</v>
      </c>
      <c r="J79" s="21">
        <v>1.7214338963122731</v>
      </c>
      <c r="K79" s="21">
        <v>4.9895161151206535</v>
      </c>
      <c r="L79" s="21">
        <v>14.913231481157114</v>
      </c>
      <c r="M79" s="26">
        <f t="shared" si="6"/>
        <v>100</v>
      </c>
      <c r="N79" s="22">
        <v>22.094516237996775</v>
      </c>
      <c r="O79" s="21">
        <v>2.9785740086825903</v>
      </c>
      <c r="P79" s="21">
        <v>0.89959905488549763</v>
      </c>
      <c r="Q79" s="21">
        <v>5.4921614788082982</v>
      </c>
      <c r="R79" s="21">
        <v>67.70246249113778</v>
      </c>
      <c r="S79" s="21">
        <v>0.83268672848905556</v>
      </c>
      <c r="T79" s="26">
        <f t="shared" si="7"/>
        <v>100</v>
      </c>
    </row>
    <row r="80" spans="1:33" x14ac:dyDescent="0.3">
      <c r="B80" s="19">
        <v>45384</v>
      </c>
      <c r="C80" s="20">
        <f t="shared" si="5"/>
        <v>117</v>
      </c>
      <c r="D80" s="20">
        <v>7.13</v>
      </c>
      <c r="E80" s="2">
        <v>9.65</v>
      </c>
      <c r="F80" s="2">
        <v>3.44</v>
      </c>
      <c r="G80" s="22">
        <v>12.453087379916635</v>
      </c>
      <c r="H80" s="21">
        <v>64.508435074175267</v>
      </c>
      <c r="I80" s="21">
        <v>0.752460334054039</v>
      </c>
      <c r="J80" s="21">
        <v>2.6868938679041747</v>
      </c>
      <c r="K80" s="21">
        <v>4.851812213564096</v>
      </c>
      <c r="L80" s="21">
        <v>14.747311130385778</v>
      </c>
      <c r="M80" s="26">
        <f t="shared" si="6"/>
        <v>100</v>
      </c>
      <c r="N80" s="22">
        <v>21.743027071583214</v>
      </c>
      <c r="O80" s="21">
        <v>6.3045308619672875</v>
      </c>
      <c r="P80" s="21">
        <v>0.73888394570150551</v>
      </c>
      <c r="Q80" s="21">
        <v>4.3576941769157393</v>
      </c>
      <c r="R80" s="21">
        <v>65.833329938545347</v>
      </c>
      <c r="S80" s="21">
        <v>1.0225340052869134</v>
      </c>
      <c r="T80" s="26">
        <f t="shared" si="7"/>
        <v>100.00000000000001</v>
      </c>
      <c r="U80" s="1">
        <f>48.64*10</f>
        <v>486.4</v>
      </c>
      <c r="V80" s="1">
        <f>71.13*10</f>
        <v>711.3</v>
      </c>
      <c r="W80" s="1">
        <f>22.48*10</f>
        <v>224.8</v>
      </c>
      <c r="X80" s="25">
        <f>2.545*10</f>
        <v>25.45</v>
      </c>
      <c r="Y80" s="2">
        <v>42.53</v>
      </c>
      <c r="Z80" s="2">
        <v>8.34</v>
      </c>
      <c r="AA80" s="2">
        <v>1.4039999999999999</v>
      </c>
      <c r="AB80" s="21">
        <v>0</v>
      </c>
      <c r="AC80" s="2">
        <v>12.52</v>
      </c>
      <c r="AD80" s="21">
        <v>0</v>
      </c>
      <c r="AE80" s="21">
        <v>0</v>
      </c>
      <c r="AF80" s="21">
        <v>0</v>
      </c>
      <c r="AG80" s="28">
        <v>0</v>
      </c>
    </row>
    <row r="81" spans="1:33" x14ac:dyDescent="0.3">
      <c r="A81" s="18" t="s">
        <v>41</v>
      </c>
      <c r="B81" s="19">
        <v>45385</v>
      </c>
      <c r="C81" s="20">
        <f t="shared" si="5"/>
        <v>118</v>
      </c>
      <c r="D81" s="20">
        <v>7.11</v>
      </c>
      <c r="G81" s="22">
        <v>10.271824267100529</v>
      </c>
      <c r="H81" s="21">
        <v>70.32124206112077</v>
      </c>
      <c r="I81" s="21">
        <v>0.71890529829446148</v>
      </c>
      <c r="J81" s="21">
        <v>2.4580415403606954</v>
      </c>
      <c r="K81" s="21">
        <v>4.0125833844344818</v>
      </c>
      <c r="L81" s="21">
        <v>12.217403448689069</v>
      </c>
      <c r="M81" s="26">
        <f t="shared" si="6"/>
        <v>100</v>
      </c>
      <c r="N81" s="22">
        <v>12.904162781736368</v>
      </c>
      <c r="O81" s="21">
        <v>5.8354888194946373</v>
      </c>
      <c r="P81" s="21">
        <v>0.73357437980324658</v>
      </c>
      <c r="Q81" s="21">
        <v>5.9288778641330486</v>
      </c>
      <c r="R81" s="21">
        <v>73.511128103653917</v>
      </c>
      <c r="S81" s="21">
        <v>1.0867680511787796</v>
      </c>
      <c r="T81" s="26">
        <f t="shared" si="7"/>
        <v>100</v>
      </c>
    </row>
    <row r="82" spans="1:33" x14ac:dyDescent="0.3">
      <c r="B82" s="19">
        <v>45386</v>
      </c>
      <c r="C82" s="20">
        <f t="shared" si="5"/>
        <v>119</v>
      </c>
      <c r="D82" s="20">
        <v>7.22</v>
      </c>
      <c r="G82" s="22">
        <v>10.587637218331682</v>
      </c>
      <c r="H82" s="21">
        <v>70.486952985437398</v>
      </c>
      <c r="I82" s="21">
        <v>0.6194613690957268</v>
      </c>
      <c r="J82" s="21">
        <v>1.954453745609926</v>
      </c>
      <c r="K82" s="21">
        <v>4.1307260941670156</v>
      </c>
      <c r="L82" s="21">
        <v>12.220768587358267</v>
      </c>
      <c r="M82" s="26">
        <f t="shared" si="6"/>
        <v>100.00000000000001</v>
      </c>
      <c r="N82" s="22">
        <v>13.126956663413628</v>
      </c>
      <c r="O82" s="21">
        <v>5.4088430056011925</v>
      </c>
      <c r="P82" s="21">
        <v>0.58683463298657201</v>
      </c>
      <c r="Q82" s="21">
        <v>4.9681433394646239</v>
      </c>
      <c r="R82" s="21">
        <v>75.005616136830241</v>
      </c>
      <c r="S82" s="21">
        <v>0.90360622170372851</v>
      </c>
      <c r="T82" s="26">
        <f t="shared" si="7"/>
        <v>99.999999999999986</v>
      </c>
      <c r="U82" s="1">
        <f>48.08*10</f>
        <v>480.79999999999995</v>
      </c>
      <c r="V82" s="1">
        <f>65.01*10</f>
        <v>650.1</v>
      </c>
      <c r="W82" s="1">
        <f>16.93*10</f>
        <v>169.3</v>
      </c>
      <c r="X82" s="25">
        <f>1.519*10</f>
        <v>15.19</v>
      </c>
      <c r="Y82" s="2">
        <v>735.23</v>
      </c>
      <c r="Z82" s="2">
        <v>46.34</v>
      </c>
      <c r="AA82" s="2">
        <v>33.67</v>
      </c>
      <c r="AB82" s="21">
        <v>0</v>
      </c>
      <c r="AC82" s="2">
        <v>25.31</v>
      </c>
      <c r="AD82" s="21">
        <v>0</v>
      </c>
      <c r="AE82" s="21">
        <v>0</v>
      </c>
      <c r="AF82" s="21">
        <v>0</v>
      </c>
      <c r="AG82" s="28">
        <v>0</v>
      </c>
    </row>
    <row r="83" spans="1:33" x14ac:dyDescent="0.3">
      <c r="B83" s="19">
        <v>45387</v>
      </c>
      <c r="C83" s="20">
        <f t="shared" si="5"/>
        <v>120</v>
      </c>
      <c r="D83" s="20">
        <v>7.11</v>
      </c>
      <c r="G83" s="22">
        <v>10.370909462904443</v>
      </c>
      <c r="H83" s="21">
        <v>69.255171632015944</v>
      </c>
      <c r="I83" s="21">
        <v>0.90101780297677536</v>
      </c>
      <c r="J83" s="21">
        <v>3.0252380554882286</v>
      </c>
      <c r="K83" s="21">
        <v>4.0627071101082013</v>
      </c>
      <c r="L83" s="21">
        <v>12.384955936506396</v>
      </c>
      <c r="M83" s="26">
        <f t="shared" si="6"/>
        <v>100</v>
      </c>
      <c r="N83" s="22">
        <v>9.9578026886148052</v>
      </c>
      <c r="O83" s="21">
        <v>9.5133563710519056</v>
      </c>
      <c r="P83" s="21">
        <v>0.77794865090004528</v>
      </c>
      <c r="Q83" s="21">
        <v>8.4796452101242252</v>
      </c>
      <c r="R83" s="21">
        <v>69.582691786544586</v>
      </c>
      <c r="S83" s="21">
        <v>1.6885552927644443</v>
      </c>
      <c r="T83" s="26">
        <f t="shared" si="7"/>
        <v>100.00000000000001</v>
      </c>
    </row>
    <row r="84" spans="1:33" x14ac:dyDescent="0.3">
      <c r="B84" s="19">
        <v>45390</v>
      </c>
      <c r="C84" s="20">
        <f t="shared" si="5"/>
        <v>123</v>
      </c>
      <c r="D84" s="20">
        <v>7.27</v>
      </c>
      <c r="G84" s="22">
        <v>10.33024735484056</v>
      </c>
      <c r="H84" s="21">
        <v>72.054409934588875</v>
      </c>
      <c r="I84" s="21">
        <v>1.0162024734329542</v>
      </c>
      <c r="J84" s="21">
        <v>0.37364729412470316</v>
      </c>
      <c r="K84" s="21">
        <v>4.0254751797345509</v>
      </c>
      <c r="L84" s="21">
        <v>12.200017763278364</v>
      </c>
      <c r="M84" s="26">
        <f t="shared" si="6"/>
        <v>100.00000000000003</v>
      </c>
      <c r="N84" s="22">
        <v>9.3841054966391759</v>
      </c>
      <c r="O84" s="21">
        <v>6.2160550246710748</v>
      </c>
      <c r="P84" s="21">
        <v>0.75613368870976438</v>
      </c>
      <c r="Q84" s="21">
        <v>6.0364846676765112</v>
      </c>
      <c r="R84" s="21">
        <v>76.472772263249567</v>
      </c>
      <c r="S84" s="21">
        <v>1.1344488590539008</v>
      </c>
      <c r="T84" s="26">
        <f t="shared" si="7"/>
        <v>100</v>
      </c>
    </row>
    <row r="85" spans="1:33" x14ac:dyDescent="0.3">
      <c r="B85" s="19">
        <v>45391</v>
      </c>
      <c r="C85" s="20">
        <f t="shared" si="5"/>
        <v>124</v>
      </c>
      <c r="D85" s="20">
        <v>7.3</v>
      </c>
      <c r="E85" s="2">
        <v>8.4499999999999993</v>
      </c>
      <c r="F85" s="2">
        <v>3.33</v>
      </c>
      <c r="G85" s="22">
        <v>10.77187672233746</v>
      </c>
      <c r="H85" s="21">
        <v>69.309777137963295</v>
      </c>
      <c r="I85" s="21">
        <v>0.65437517073502705</v>
      </c>
      <c r="J85" s="21">
        <v>2.3694841992215094</v>
      </c>
      <c r="K85" s="21">
        <v>4.1559921806757618</v>
      </c>
      <c r="L85" s="21">
        <v>12.73849458906696</v>
      </c>
      <c r="M85" s="26">
        <f t="shared" si="6"/>
        <v>100</v>
      </c>
      <c r="N85" s="22">
        <v>6.588303189778058</v>
      </c>
      <c r="O85" s="21">
        <v>9.4005754885323434</v>
      </c>
      <c r="P85" s="21">
        <v>0.61283214102292738</v>
      </c>
      <c r="Q85" s="21">
        <v>3.4217411699904665</v>
      </c>
      <c r="R85" s="21">
        <v>78.203642601043384</v>
      </c>
      <c r="S85" s="21">
        <v>1.7729054096328185</v>
      </c>
      <c r="T85" s="26">
        <f t="shared" si="7"/>
        <v>99.999999999999986</v>
      </c>
      <c r="U85" s="1">
        <f>26.08*10</f>
        <v>260.79999999999995</v>
      </c>
      <c r="V85" s="1">
        <f>42.99*10</f>
        <v>429.90000000000003</v>
      </c>
      <c r="W85" s="1">
        <f>16.91*10</f>
        <v>169.1</v>
      </c>
      <c r="X85" s="25">
        <f>3.432*10</f>
        <v>34.32</v>
      </c>
      <c r="Y85" s="2">
        <v>241.23</v>
      </c>
      <c r="Z85" s="2">
        <v>13.56</v>
      </c>
      <c r="AA85" s="2">
        <v>12.67</v>
      </c>
      <c r="AB85" s="21">
        <v>0</v>
      </c>
      <c r="AC85" s="2">
        <v>14.24</v>
      </c>
      <c r="AD85" s="21">
        <v>0</v>
      </c>
      <c r="AE85" s="21">
        <v>0</v>
      </c>
      <c r="AF85" s="21">
        <v>0</v>
      </c>
      <c r="AG85" s="28">
        <v>0</v>
      </c>
    </row>
    <row r="86" spans="1:33" x14ac:dyDescent="0.3">
      <c r="B86" s="19">
        <v>45392</v>
      </c>
      <c r="C86" s="20">
        <f t="shared" si="5"/>
        <v>125</v>
      </c>
      <c r="D86" s="20">
        <v>7.24</v>
      </c>
      <c r="G86" s="22">
        <v>9.9516889642617752</v>
      </c>
      <c r="H86" s="21">
        <v>70.396365864236614</v>
      </c>
      <c r="I86" s="21">
        <v>0.73430145420492932</v>
      </c>
      <c r="J86" s="21">
        <v>2.656776094394913</v>
      </c>
      <c r="K86" s="21">
        <v>4.2919032066433882</v>
      </c>
      <c r="L86" s="21">
        <v>11.968964416258384</v>
      </c>
      <c r="M86" s="26">
        <f t="shared" si="6"/>
        <v>100</v>
      </c>
      <c r="N86" s="22">
        <v>7.1838055185192635</v>
      </c>
      <c r="O86" s="21">
        <v>9.6335973488985154</v>
      </c>
      <c r="P86" s="21">
        <v>0.64156206336438093</v>
      </c>
      <c r="Q86" s="21">
        <v>4.4543168286446155</v>
      </c>
      <c r="R86" s="21">
        <v>76.276403065112234</v>
      </c>
      <c r="S86" s="21">
        <v>1.810315175461005</v>
      </c>
      <c r="T86" s="26">
        <f t="shared" si="7"/>
        <v>100.00000000000001</v>
      </c>
    </row>
    <row r="87" spans="1:33" x14ac:dyDescent="0.3">
      <c r="B87" s="19">
        <v>45393</v>
      </c>
      <c r="C87" s="20">
        <f t="shared" si="5"/>
        <v>126</v>
      </c>
      <c r="D87" s="20">
        <v>7.13</v>
      </c>
      <c r="G87" s="22">
        <v>10.173875679018211</v>
      </c>
      <c r="H87" s="21">
        <v>70.012342895102904</v>
      </c>
      <c r="I87" s="21">
        <v>0.77532607794532038</v>
      </c>
      <c r="J87" s="21">
        <v>2.8635394656521025</v>
      </c>
      <c r="K87" s="21">
        <v>4.2406504069707589</v>
      </c>
      <c r="L87" s="21">
        <v>11.934265475310706</v>
      </c>
      <c r="M87" s="26">
        <f t="shared" si="6"/>
        <v>100</v>
      </c>
      <c r="N87" s="22">
        <v>7.1980850838669497</v>
      </c>
      <c r="O87" s="21">
        <v>9.9893640989866093</v>
      </c>
      <c r="P87" s="21">
        <v>0.71541605355614202</v>
      </c>
      <c r="Q87" s="21">
        <v>4.1857712055970842</v>
      </c>
      <c r="R87" s="21">
        <v>76.067726815409159</v>
      </c>
      <c r="S87" s="21">
        <v>1.843636742584055</v>
      </c>
      <c r="T87" s="26">
        <f t="shared" si="7"/>
        <v>100</v>
      </c>
      <c r="U87" s="1">
        <f>18.12*10</f>
        <v>181.20000000000002</v>
      </c>
      <c r="V87" s="1">
        <f>28.08*10</f>
        <v>280.79999999999995</v>
      </c>
      <c r="W87" s="1">
        <f>9.958*10</f>
        <v>99.58</v>
      </c>
      <c r="X87" s="25">
        <f>0.795*10</f>
        <v>7.95</v>
      </c>
      <c r="Y87" s="2">
        <v>10.050000000000001</v>
      </c>
      <c r="Z87" s="2">
        <v>2.5299999999999998</v>
      </c>
      <c r="AA87" s="2">
        <v>24.66</v>
      </c>
      <c r="AB87" s="21">
        <v>0</v>
      </c>
      <c r="AC87" s="2">
        <v>0</v>
      </c>
      <c r="AD87" s="21">
        <v>0</v>
      </c>
      <c r="AE87" s="21">
        <v>0</v>
      </c>
      <c r="AF87" s="21">
        <v>0</v>
      </c>
      <c r="AG87" s="28">
        <v>0</v>
      </c>
    </row>
    <row r="88" spans="1:33" x14ac:dyDescent="0.3">
      <c r="B88" s="19">
        <v>45394</v>
      </c>
      <c r="C88" s="20">
        <f t="shared" si="5"/>
        <v>127</v>
      </c>
      <c r="D88" s="20">
        <v>7.19</v>
      </c>
      <c r="G88" s="22">
        <v>9.676046801566228</v>
      </c>
      <c r="H88" s="21">
        <v>70.227947187122282</v>
      </c>
      <c r="I88" s="21">
        <v>0.815801126084157</v>
      </c>
      <c r="J88" s="21">
        <v>2.4335040990250643</v>
      </c>
      <c r="K88" s="21">
        <v>4.946607027253588</v>
      </c>
      <c r="L88" s="21">
        <v>11.900093758948675</v>
      </c>
      <c r="M88" s="26">
        <f t="shared" si="6"/>
        <v>99.999999999999986</v>
      </c>
      <c r="N88" s="22">
        <v>6.2248774011860339</v>
      </c>
      <c r="O88" s="21">
        <v>10.526124270541565</v>
      </c>
      <c r="P88" s="21">
        <v>0.68038648151731396</v>
      </c>
      <c r="Q88" s="21">
        <v>5.142598153757274</v>
      </c>
      <c r="R88" s="21">
        <v>75.091696658064976</v>
      </c>
      <c r="S88" s="21">
        <v>2.3343170349328237</v>
      </c>
      <c r="T88" s="26">
        <f t="shared" si="7"/>
        <v>99.999999999999986</v>
      </c>
    </row>
    <row r="89" spans="1:33" x14ac:dyDescent="0.3">
      <c r="B89" s="19">
        <v>45397</v>
      </c>
      <c r="C89" s="20">
        <f t="shared" si="5"/>
        <v>130</v>
      </c>
      <c r="D89" s="20">
        <v>7.22</v>
      </c>
      <c r="G89" s="22">
        <v>10.171258165833626</v>
      </c>
      <c r="H89" s="21">
        <v>70.30699090542663</v>
      </c>
      <c r="I89" s="21">
        <v>0.65805986871509903</v>
      </c>
      <c r="J89" s="21">
        <v>2.457248752550361</v>
      </c>
      <c r="K89" s="21">
        <v>4.3151661229975993</v>
      </c>
      <c r="L89" s="21">
        <v>12.091276184476691</v>
      </c>
      <c r="M89" s="26">
        <f t="shared" si="6"/>
        <v>100</v>
      </c>
      <c r="N89" s="22">
        <v>5.9546958040712497</v>
      </c>
      <c r="O89" s="21">
        <v>12.204714330481295</v>
      </c>
      <c r="P89" s="21">
        <v>0.66787274651789763</v>
      </c>
      <c r="Q89" s="21">
        <v>6.5570864699811366</v>
      </c>
      <c r="R89" s="21">
        <v>72.31085348352606</v>
      </c>
      <c r="S89" s="21">
        <v>2.304777165422339</v>
      </c>
      <c r="T89" s="26">
        <f t="shared" si="7"/>
        <v>99.999999999999972</v>
      </c>
    </row>
    <row r="90" spans="1:33" x14ac:dyDescent="0.3">
      <c r="B90" s="19">
        <v>45398</v>
      </c>
      <c r="C90" s="20">
        <f t="shared" si="5"/>
        <v>131</v>
      </c>
      <c r="D90" s="20">
        <v>7.2</v>
      </c>
      <c r="G90" s="22">
        <v>10.714723356160704</v>
      </c>
      <c r="H90" s="21">
        <v>71.139044503322012</v>
      </c>
      <c r="I90" s="21">
        <v>0.29123203290002664</v>
      </c>
      <c r="J90" s="21">
        <v>1.023474392420576</v>
      </c>
      <c r="K90" s="21">
        <v>4.1562304471015779</v>
      </c>
      <c r="L90" s="21">
        <v>12.675295268095118</v>
      </c>
      <c r="M90" s="26">
        <f t="shared" si="6"/>
        <v>100.00000000000001</v>
      </c>
      <c r="N90" s="22">
        <v>6.0421179888995633</v>
      </c>
      <c r="O90" s="21">
        <v>10.759166407329463</v>
      </c>
      <c r="P90" s="21">
        <v>0.17710169991634953</v>
      </c>
      <c r="Q90" s="21">
        <v>1.6199780758906439</v>
      </c>
      <c r="R90" s="21">
        <v>79.400595622615981</v>
      </c>
      <c r="S90" s="21">
        <v>2.0010402053479912</v>
      </c>
      <c r="T90" s="26">
        <f t="shared" si="7"/>
        <v>99.999999999999986</v>
      </c>
      <c r="U90" s="1">
        <f>23.57*10</f>
        <v>235.7</v>
      </c>
      <c r="V90" s="1">
        <f>31.43*10</f>
        <v>314.3</v>
      </c>
      <c r="W90" s="1">
        <f>7.857*10</f>
        <v>78.570000000000007</v>
      </c>
      <c r="X90" s="25">
        <f>7.735*10</f>
        <v>77.350000000000009</v>
      </c>
      <c r="Y90" s="2">
        <v>34.32</v>
      </c>
      <c r="Z90" s="2">
        <v>6.34</v>
      </c>
      <c r="AA90" s="2">
        <v>2.36</v>
      </c>
      <c r="AB90" s="21">
        <v>0</v>
      </c>
      <c r="AC90" s="2">
        <v>25.35</v>
      </c>
      <c r="AD90" s="21">
        <v>0</v>
      </c>
      <c r="AE90" s="21">
        <v>0</v>
      </c>
      <c r="AF90" s="21">
        <v>0</v>
      </c>
      <c r="AG90" s="28">
        <v>0</v>
      </c>
    </row>
    <row r="91" spans="1:33" x14ac:dyDescent="0.3">
      <c r="B91" s="19">
        <v>45399</v>
      </c>
      <c r="C91" s="20">
        <f t="shared" si="5"/>
        <v>132</v>
      </c>
      <c r="D91" s="20">
        <v>7.1</v>
      </c>
      <c r="E91" s="2">
        <v>8.99</v>
      </c>
      <c r="F91" s="2">
        <v>3.83</v>
      </c>
      <c r="G91" s="37">
        <v>9.58</v>
      </c>
      <c r="H91" s="2">
        <v>72.27</v>
      </c>
      <c r="I91" s="2">
        <v>0.5</v>
      </c>
      <c r="J91" s="2">
        <v>1.48</v>
      </c>
      <c r="K91" s="2">
        <v>4.32</v>
      </c>
      <c r="L91" s="2">
        <v>11.86</v>
      </c>
      <c r="M91" s="39">
        <f t="shared" si="6"/>
        <v>100.01</v>
      </c>
      <c r="N91" s="37">
        <v>5.67</v>
      </c>
      <c r="O91" s="2">
        <v>10.63</v>
      </c>
      <c r="P91" s="2">
        <v>0.26</v>
      </c>
      <c r="Q91" s="2">
        <v>2.31</v>
      </c>
      <c r="R91" s="2">
        <v>79.83</v>
      </c>
      <c r="S91" s="2">
        <v>1.29</v>
      </c>
      <c r="T91" s="26">
        <f t="shared" si="7"/>
        <v>99.990000000000009</v>
      </c>
    </row>
    <row r="92" spans="1:33" x14ac:dyDescent="0.3">
      <c r="B92" s="19">
        <v>45400</v>
      </c>
      <c r="C92" s="20">
        <f t="shared" si="5"/>
        <v>133</v>
      </c>
      <c r="D92" s="20">
        <v>7.1</v>
      </c>
      <c r="G92" s="37">
        <v>11.46</v>
      </c>
      <c r="H92" s="2">
        <v>69.66</v>
      </c>
      <c r="I92" s="2">
        <v>0.37</v>
      </c>
      <c r="J92" s="2">
        <v>1.27</v>
      </c>
      <c r="K92" s="2">
        <v>4.99</v>
      </c>
      <c r="L92" s="2">
        <v>12.23</v>
      </c>
      <c r="M92" s="39">
        <f t="shared" si="6"/>
        <v>99.98</v>
      </c>
      <c r="N92" s="37">
        <v>5.89</v>
      </c>
      <c r="O92" s="2">
        <v>6.8</v>
      </c>
      <c r="P92" s="2">
        <v>0.17</v>
      </c>
      <c r="Q92" s="2">
        <v>1.77</v>
      </c>
      <c r="R92" s="2">
        <v>83.88</v>
      </c>
      <c r="S92" s="2">
        <v>1.5</v>
      </c>
      <c r="T92" s="26">
        <f t="shared" si="7"/>
        <v>100.00999999999999</v>
      </c>
      <c r="U92" s="1">
        <f>15.81*10</f>
        <v>158.1</v>
      </c>
      <c r="V92" s="1">
        <f>29.94*10</f>
        <v>299.40000000000003</v>
      </c>
      <c r="W92" s="1">
        <f>13.63*10</f>
        <v>136.30000000000001</v>
      </c>
      <c r="X92" s="25">
        <f>2.973*10</f>
        <v>29.729999999999997</v>
      </c>
      <c r="Y92" s="2">
        <v>15.24</v>
      </c>
      <c r="Z92" s="2">
        <v>1.24</v>
      </c>
      <c r="AA92" s="2">
        <v>2.78</v>
      </c>
      <c r="AB92" s="21">
        <v>0</v>
      </c>
      <c r="AC92" s="2">
        <v>13.34</v>
      </c>
      <c r="AD92" s="21">
        <v>0</v>
      </c>
      <c r="AE92" s="21">
        <v>0</v>
      </c>
      <c r="AF92" s="21">
        <v>0</v>
      </c>
      <c r="AG92" s="28">
        <v>0</v>
      </c>
    </row>
    <row r="93" spans="1:33" x14ac:dyDescent="0.3">
      <c r="B93" s="19">
        <v>45401</v>
      </c>
      <c r="C93" s="20">
        <f t="shared" si="5"/>
        <v>134</v>
      </c>
      <c r="D93" s="20">
        <v>7.1</v>
      </c>
      <c r="G93" s="37">
        <v>11.3</v>
      </c>
      <c r="H93" s="2">
        <v>65.39</v>
      </c>
      <c r="I93" s="2">
        <v>0.99</v>
      </c>
      <c r="J93" s="2">
        <v>3.6</v>
      </c>
      <c r="K93" s="2">
        <v>4.78</v>
      </c>
      <c r="L93" s="2">
        <v>13.94</v>
      </c>
      <c r="M93" s="2">
        <f t="shared" si="6"/>
        <v>99.999999999999986</v>
      </c>
      <c r="N93" s="37">
        <v>6.08</v>
      </c>
      <c r="O93" s="2">
        <v>9.11</v>
      </c>
      <c r="P93" s="2">
        <v>0.82</v>
      </c>
      <c r="Q93" s="2">
        <v>4.9800000000000004</v>
      </c>
      <c r="R93" s="2">
        <v>77.03</v>
      </c>
      <c r="S93" s="2">
        <v>1.97</v>
      </c>
      <c r="T93" s="26">
        <f t="shared" si="7"/>
        <v>99.99</v>
      </c>
    </row>
    <row r="94" spans="1:33" x14ac:dyDescent="0.3">
      <c r="B94" s="19">
        <v>45404</v>
      </c>
      <c r="C94" s="20">
        <f t="shared" si="5"/>
        <v>137</v>
      </c>
      <c r="D94" s="20">
        <v>7.3</v>
      </c>
      <c r="G94" s="37">
        <v>11.14</v>
      </c>
      <c r="H94" s="2">
        <v>67.62</v>
      </c>
      <c r="I94" s="2">
        <v>0.74</v>
      </c>
      <c r="J94" s="2">
        <v>2.66</v>
      </c>
      <c r="K94" s="2">
        <v>4.66</v>
      </c>
      <c r="L94" s="2">
        <v>13.18</v>
      </c>
      <c r="M94" s="2">
        <f t="shared" si="6"/>
        <v>100</v>
      </c>
      <c r="N94" s="37">
        <v>6.67</v>
      </c>
      <c r="O94" s="2">
        <v>5.63</v>
      </c>
      <c r="P94" s="2">
        <v>0.26</v>
      </c>
      <c r="Q94" s="2">
        <v>2.3199999999999998</v>
      </c>
      <c r="R94" s="2">
        <v>83.83</v>
      </c>
      <c r="S94" s="2">
        <v>1.29</v>
      </c>
      <c r="T94" s="18">
        <f t="shared" si="7"/>
        <v>100</v>
      </c>
    </row>
    <row r="95" spans="1:33" x14ac:dyDescent="0.3">
      <c r="B95" s="19">
        <v>45405</v>
      </c>
      <c r="C95" s="20">
        <f t="shared" si="5"/>
        <v>138</v>
      </c>
      <c r="D95" s="20">
        <v>7.1</v>
      </c>
      <c r="G95" s="37">
        <v>11.92</v>
      </c>
      <c r="H95" s="2">
        <v>65.48</v>
      </c>
      <c r="I95" s="2">
        <v>0.6</v>
      </c>
      <c r="J95" s="2">
        <v>2.0099999999999998</v>
      </c>
      <c r="K95" s="2">
        <v>5.3</v>
      </c>
      <c r="L95" s="2">
        <v>14.69</v>
      </c>
      <c r="M95" s="2">
        <f t="shared" si="6"/>
        <v>100</v>
      </c>
      <c r="N95" s="37">
        <v>5.64</v>
      </c>
      <c r="O95" s="2">
        <v>4.9000000000000004</v>
      </c>
      <c r="P95" s="2">
        <v>0.2</v>
      </c>
      <c r="Q95" s="2">
        <v>1.9</v>
      </c>
      <c r="R95" s="2">
        <v>86.2</v>
      </c>
      <c r="S95" s="2">
        <v>1.1399999999999999</v>
      </c>
      <c r="T95" s="26">
        <f t="shared" si="7"/>
        <v>99.98</v>
      </c>
      <c r="U95" s="1">
        <f>16.12*10</f>
        <v>161.20000000000002</v>
      </c>
      <c r="V95" s="1">
        <f>30.93*10</f>
        <v>309.3</v>
      </c>
      <c r="W95" s="1">
        <f>14.81*10</f>
        <v>148.1</v>
      </c>
      <c r="X95" s="25">
        <f>2.878*10</f>
        <v>28.78</v>
      </c>
      <c r="Y95" s="2">
        <v>10.97</v>
      </c>
      <c r="Z95" s="2">
        <v>6.34</v>
      </c>
      <c r="AA95" s="2">
        <v>3.33</v>
      </c>
      <c r="AB95" s="21">
        <v>0</v>
      </c>
      <c r="AC95" s="2">
        <v>0</v>
      </c>
      <c r="AD95" s="21">
        <v>0</v>
      </c>
      <c r="AE95" s="21">
        <v>0</v>
      </c>
      <c r="AF95" s="21">
        <v>0</v>
      </c>
      <c r="AG95" s="28">
        <v>0</v>
      </c>
    </row>
    <row r="96" spans="1:33" x14ac:dyDescent="0.3">
      <c r="B96" s="19">
        <v>45406</v>
      </c>
      <c r="C96" s="20">
        <f t="shared" si="5"/>
        <v>139</v>
      </c>
      <c r="D96" s="20">
        <v>7.1</v>
      </c>
      <c r="G96" s="37">
        <v>10.74</v>
      </c>
      <c r="H96" s="2">
        <v>69.290000000000006</v>
      </c>
      <c r="I96" s="2">
        <v>0.48</v>
      </c>
      <c r="J96" s="2">
        <v>1.72</v>
      </c>
      <c r="K96" s="2">
        <v>4.59</v>
      </c>
      <c r="L96" s="2">
        <v>13.19</v>
      </c>
      <c r="M96" s="39">
        <f t="shared" si="6"/>
        <v>100.01</v>
      </c>
      <c r="N96" s="37">
        <v>6.08</v>
      </c>
      <c r="O96" s="2">
        <v>5.29</v>
      </c>
      <c r="P96" s="2">
        <v>0.53</v>
      </c>
      <c r="Q96" s="2">
        <v>3.29</v>
      </c>
      <c r="R96" s="2">
        <v>83.68</v>
      </c>
      <c r="S96" s="2">
        <v>1.1399999999999999</v>
      </c>
      <c r="T96" s="26">
        <f t="shared" si="7"/>
        <v>100.01</v>
      </c>
    </row>
    <row r="97" spans="2:33" x14ac:dyDescent="0.3">
      <c r="B97" s="19">
        <v>45407</v>
      </c>
      <c r="C97" s="20">
        <f t="shared" si="5"/>
        <v>140</v>
      </c>
      <c r="D97" s="20">
        <v>7.1</v>
      </c>
      <c r="G97" s="37">
        <v>14.9</v>
      </c>
      <c r="H97" s="2">
        <v>56.92</v>
      </c>
      <c r="I97" s="2">
        <v>0.72</v>
      </c>
      <c r="J97" s="2">
        <v>2.59</v>
      </c>
      <c r="K97" s="2">
        <v>6.57</v>
      </c>
      <c r="L97" s="2">
        <v>18.3</v>
      </c>
      <c r="M97" s="2">
        <f t="shared" si="6"/>
        <v>100.00000000000001</v>
      </c>
      <c r="N97" s="37">
        <v>16.04</v>
      </c>
      <c r="O97" s="2">
        <v>4.9000000000000004</v>
      </c>
      <c r="P97" s="2">
        <v>0.2</v>
      </c>
      <c r="Q97" s="2">
        <v>2</v>
      </c>
      <c r="R97" s="2">
        <v>75.44</v>
      </c>
      <c r="S97" s="2">
        <v>1.45</v>
      </c>
      <c r="T97" s="26">
        <f t="shared" si="7"/>
        <v>100.03</v>
      </c>
      <c r="U97" s="1">
        <f>15.37*10</f>
        <v>153.69999999999999</v>
      </c>
      <c r="V97" s="1">
        <f>31.89*10</f>
        <v>318.89999999999998</v>
      </c>
      <c r="W97" s="1">
        <f>16.52*10</f>
        <v>165.2</v>
      </c>
      <c r="X97" s="25">
        <f>2.589*10</f>
        <v>25.89</v>
      </c>
      <c r="Y97" s="2">
        <v>91.23</v>
      </c>
      <c r="Z97" s="2">
        <v>6.69</v>
      </c>
      <c r="AA97" s="2">
        <v>35.68</v>
      </c>
      <c r="AB97" s="21">
        <v>12.56</v>
      </c>
      <c r="AC97" s="2">
        <v>0</v>
      </c>
      <c r="AD97" s="21">
        <v>0</v>
      </c>
      <c r="AE97" s="21">
        <v>0</v>
      </c>
      <c r="AF97" s="21">
        <v>0</v>
      </c>
      <c r="AG97" s="28">
        <v>0</v>
      </c>
    </row>
    <row r="98" spans="2:33" x14ac:dyDescent="0.3">
      <c r="B98" s="19">
        <v>45408</v>
      </c>
      <c r="C98" s="20">
        <f t="shared" si="5"/>
        <v>141</v>
      </c>
      <c r="D98" s="20">
        <v>7.3</v>
      </c>
      <c r="G98" s="37">
        <v>15</v>
      </c>
      <c r="H98" s="2">
        <v>56.89</v>
      </c>
      <c r="I98" s="2">
        <v>0.72</v>
      </c>
      <c r="J98" s="2">
        <v>2.65</v>
      </c>
      <c r="K98" s="2">
        <v>6.43</v>
      </c>
      <c r="L98" s="2">
        <v>18.350000000000001</v>
      </c>
      <c r="M98" s="39">
        <f>SUM(G98:L98)</f>
        <v>100.03999999999999</v>
      </c>
      <c r="N98" s="37">
        <v>14.6</v>
      </c>
      <c r="O98" s="2">
        <v>5.67</v>
      </c>
      <c r="P98" s="2">
        <v>0.76</v>
      </c>
      <c r="Q98" s="2">
        <v>5.6</v>
      </c>
      <c r="R98" s="2">
        <v>71.37</v>
      </c>
      <c r="S98" s="2">
        <v>2</v>
      </c>
      <c r="T98" s="18">
        <f>SUM(N98:S98)</f>
        <v>100</v>
      </c>
    </row>
    <row r="99" spans="2:33" x14ac:dyDescent="0.3">
      <c r="B99" s="19">
        <v>45411</v>
      </c>
      <c r="C99" s="20">
        <f t="shared" si="5"/>
        <v>144</v>
      </c>
      <c r="D99" s="20">
        <v>7.12</v>
      </c>
      <c r="G99" s="22">
        <v>10.431336157911748</v>
      </c>
      <c r="H99" s="21">
        <v>70.694138642296238</v>
      </c>
      <c r="I99" s="21">
        <v>0.68556282439397032</v>
      </c>
      <c r="J99" s="21">
        <v>2.4560116793603433</v>
      </c>
      <c r="K99" s="21">
        <v>3.883735289736697</v>
      </c>
      <c r="L99" s="21">
        <v>11.849215406300988</v>
      </c>
      <c r="M99" s="39">
        <f t="shared" ref="M99:M108" si="8">SUM(G99:L99)</f>
        <v>99.999999999999972</v>
      </c>
      <c r="N99" s="22">
        <v>19.086935624988463</v>
      </c>
      <c r="O99" s="21">
        <v>7.6084828906358561</v>
      </c>
      <c r="P99" s="21">
        <v>0.78501566761992736</v>
      </c>
      <c r="Q99" s="21">
        <v>4.0050940824558863</v>
      </c>
      <c r="R99" s="21">
        <v>67.055073964437156</v>
      </c>
      <c r="S99" s="21">
        <v>1.4593977698627101</v>
      </c>
      <c r="T99" s="18">
        <f t="shared" ref="T99:T108" si="9">SUM(N99:S99)</f>
        <v>100</v>
      </c>
    </row>
    <row r="100" spans="2:33" x14ac:dyDescent="0.3">
      <c r="B100" s="19">
        <v>45412</v>
      </c>
      <c r="C100" s="20">
        <f t="shared" si="5"/>
        <v>145</v>
      </c>
      <c r="D100" s="20">
        <v>7.23</v>
      </c>
      <c r="E100" s="2">
        <v>10.01</v>
      </c>
      <c r="F100" s="2">
        <v>4.0999999999999996</v>
      </c>
      <c r="G100" s="22">
        <v>11.167879039119521</v>
      </c>
      <c r="H100" s="21">
        <v>67.481641374247516</v>
      </c>
      <c r="I100" s="21">
        <v>0.69672177167520732</v>
      </c>
      <c r="J100" s="21">
        <v>2.508940040425379</v>
      </c>
      <c r="K100" s="21">
        <v>4.4867855709216604</v>
      </c>
      <c r="L100" s="21">
        <v>13.65803220361072</v>
      </c>
      <c r="M100" s="39">
        <f t="shared" si="8"/>
        <v>99.999999999999986</v>
      </c>
      <c r="N100" s="22">
        <v>17.414522773876676</v>
      </c>
      <c r="O100" s="21">
        <v>6.147054520861543</v>
      </c>
      <c r="P100" s="21">
        <v>0.80344272550232665</v>
      </c>
      <c r="Q100" s="21">
        <v>3.4543327753311521</v>
      </c>
      <c r="R100" s="21">
        <v>71.043051158421179</v>
      </c>
      <c r="S100" s="21">
        <v>1.137596046007141</v>
      </c>
      <c r="T100" s="18">
        <f t="shared" si="9"/>
        <v>100.00000000000003</v>
      </c>
      <c r="U100" s="1">
        <f>21.75*10</f>
        <v>217.5</v>
      </c>
      <c r="V100" s="1">
        <f>56.11*10</f>
        <v>561.1</v>
      </c>
      <c r="W100" s="1">
        <f>34.37*10</f>
        <v>343.7</v>
      </c>
      <c r="X100" s="25">
        <f>1.535*10</f>
        <v>15.35</v>
      </c>
      <c r="Y100" s="2">
        <v>365.23</v>
      </c>
      <c r="Z100" s="2">
        <v>3.25</v>
      </c>
      <c r="AA100" s="2">
        <v>75.86</v>
      </c>
      <c r="AB100" s="21">
        <v>56.4</v>
      </c>
      <c r="AC100" s="2">
        <v>3.53</v>
      </c>
      <c r="AD100" s="21">
        <v>0</v>
      </c>
      <c r="AE100" s="21">
        <v>0</v>
      </c>
      <c r="AF100" s="21">
        <v>0</v>
      </c>
      <c r="AG100" s="28">
        <v>0</v>
      </c>
    </row>
    <row r="101" spans="2:33" x14ac:dyDescent="0.3">
      <c r="B101" s="19">
        <v>45413</v>
      </c>
      <c r="C101" s="20">
        <f t="shared" si="5"/>
        <v>146</v>
      </c>
      <c r="D101" s="20">
        <v>7.21</v>
      </c>
      <c r="G101" s="22">
        <v>10.967479317325189</v>
      </c>
      <c r="H101" s="21">
        <v>67.92576948951087</v>
      </c>
      <c r="I101" s="21">
        <v>0.89619008975821512</v>
      </c>
      <c r="J101" s="21">
        <v>2.8824721305949264</v>
      </c>
      <c r="K101" s="21">
        <v>4.2790980032566521</v>
      </c>
      <c r="L101" s="21">
        <v>13.048990969554158</v>
      </c>
      <c r="M101" s="39">
        <f t="shared" si="8"/>
        <v>100</v>
      </c>
      <c r="N101" s="22">
        <v>16.830958302233626</v>
      </c>
      <c r="O101" s="21">
        <v>4.7901500975491969</v>
      </c>
      <c r="P101" s="21">
        <v>1.7172425472098507</v>
      </c>
      <c r="Q101" s="21">
        <v>7.2757406937451279</v>
      </c>
      <c r="R101" s="21">
        <v>68.369154770132582</v>
      </c>
      <c r="S101" s="21">
        <v>1.016753589129606</v>
      </c>
      <c r="T101" s="18">
        <f t="shared" si="9"/>
        <v>99.999999999999986</v>
      </c>
    </row>
    <row r="102" spans="2:33" x14ac:dyDescent="0.3">
      <c r="B102" s="19">
        <v>45414</v>
      </c>
      <c r="C102" s="20">
        <f t="shared" ref="C102:C108" si="10">B102-$B$5</f>
        <v>147</v>
      </c>
      <c r="D102" s="20">
        <v>7.35</v>
      </c>
      <c r="G102" s="22">
        <v>11.155869635229413</v>
      </c>
      <c r="H102" s="21">
        <v>68.061105033079286</v>
      </c>
      <c r="I102" s="21">
        <v>0.82046428903129309</v>
      </c>
      <c r="J102" s="21">
        <v>2.439231923759634</v>
      </c>
      <c r="K102" s="21">
        <v>4.3322566227192629</v>
      </c>
      <c r="L102" s="21">
        <v>13.191072496181105</v>
      </c>
      <c r="M102" s="39">
        <f t="shared" si="8"/>
        <v>99.999999999999986</v>
      </c>
      <c r="N102" s="22">
        <v>15.738290512393949</v>
      </c>
      <c r="O102" s="21">
        <v>5.1726549772580936</v>
      </c>
      <c r="P102" s="21">
        <v>0.64948290115133722</v>
      </c>
      <c r="Q102" s="21">
        <v>4.1559064747148513</v>
      </c>
      <c r="R102" s="21">
        <v>73.193282860942602</v>
      </c>
      <c r="S102" s="21">
        <v>1.0903822735391673</v>
      </c>
      <c r="T102" s="18">
        <f t="shared" si="9"/>
        <v>100</v>
      </c>
      <c r="U102" s="1">
        <f>27.38*10</f>
        <v>273.8</v>
      </c>
      <c r="V102" s="1">
        <f>58.02*10</f>
        <v>580.20000000000005</v>
      </c>
      <c r="W102" s="1">
        <f>30.62*10</f>
        <v>306.2</v>
      </c>
      <c r="X102" s="25">
        <f>1.378*10</f>
        <v>13.78</v>
      </c>
      <c r="Y102" s="2">
        <v>283.63</v>
      </c>
      <c r="Z102" s="2">
        <v>2.29</v>
      </c>
      <c r="AA102" s="2">
        <v>3.23</v>
      </c>
      <c r="AB102" s="21">
        <v>0</v>
      </c>
      <c r="AC102" s="2">
        <v>7.35</v>
      </c>
      <c r="AD102" s="21">
        <v>0</v>
      </c>
      <c r="AE102" s="21">
        <v>0</v>
      </c>
      <c r="AF102" s="21">
        <v>0</v>
      </c>
      <c r="AG102" s="28">
        <v>0</v>
      </c>
    </row>
    <row r="103" spans="2:33" x14ac:dyDescent="0.3">
      <c r="B103" s="19">
        <v>45415</v>
      </c>
      <c r="C103" s="20">
        <f t="shared" si="10"/>
        <v>148</v>
      </c>
      <c r="D103" s="20">
        <v>7.01</v>
      </c>
      <c r="G103" s="22">
        <v>8.5283342228926102</v>
      </c>
      <c r="H103" s="21">
        <v>74.307736478239306</v>
      </c>
      <c r="I103" s="21">
        <v>0.89401151229836961</v>
      </c>
      <c r="J103" s="21">
        <v>2.8770415455625575</v>
      </c>
      <c r="K103" s="21">
        <v>3.3159122898009139</v>
      </c>
      <c r="L103" s="21">
        <v>10.076963951206249</v>
      </c>
      <c r="M103" s="39">
        <f t="shared" si="8"/>
        <v>100.00000000000001</v>
      </c>
      <c r="N103" s="22">
        <v>3.3062718485674476</v>
      </c>
      <c r="O103" s="21">
        <v>13.140076308753432</v>
      </c>
      <c r="P103" s="21">
        <v>0.94450265378176601</v>
      </c>
      <c r="Q103" s="21">
        <v>4.1600271144154926</v>
      </c>
      <c r="R103" s="21">
        <v>76.294196614394536</v>
      </c>
      <c r="S103" s="21">
        <v>2.1549254600873256</v>
      </c>
      <c r="T103" s="18">
        <f t="shared" si="9"/>
        <v>100</v>
      </c>
    </row>
    <row r="104" spans="2:33" x14ac:dyDescent="0.3">
      <c r="B104" s="19">
        <v>45418</v>
      </c>
      <c r="C104" s="20">
        <f t="shared" si="10"/>
        <v>151</v>
      </c>
      <c r="D104" s="20">
        <v>7.22</v>
      </c>
      <c r="G104" s="22">
        <v>8.860785211361117</v>
      </c>
      <c r="H104" s="21">
        <v>74.01997646047289</v>
      </c>
      <c r="I104" s="21">
        <v>0.66054407645288804</v>
      </c>
      <c r="J104" s="21">
        <v>2.456890307425466</v>
      </c>
      <c r="K104" s="21">
        <v>3.4344137491761511</v>
      </c>
      <c r="L104" s="21">
        <v>10.567390195111489</v>
      </c>
      <c r="M104" s="39">
        <f t="shared" si="8"/>
        <v>100</v>
      </c>
      <c r="N104" s="22">
        <v>4.5301030871112902</v>
      </c>
      <c r="O104" s="21">
        <v>10.380549111036414</v>
      </c>
      <c r="P104" s="21">
        <v>0.72089236996781281</v>
      </c>
      <c r="Q104" s="21">
        <v>4.32162563963593</v>
      </c>
      <c r="R104" s="21">
        <v>77.825857723607669</v>
      </c>
      <c r="S104" s="21">
        <v>2.2209720686408878</v>
      </c>
      <c r="T104" s="18">
        <f t="shared" si="9"/>
        <v>100</v>
      </c>
    </row>
    <row r="105" spans="2:33" x14ac:dyDescent="0.3">
      <c r="B105" s="19">
        <v>45419</v>
      </c>
      <c r="C105" s="20">
        <f t="shared" si="10"/>
        <v>152</v>
      </c>
      <c r="D105" s="20">
        <v>7.12</v>
      </c>
      <c r="E105" s="2">
        <v>9.68</v>
      </c>
      <c r="F105" s="2">
        <v>4.22</v>
      </c>
      <c r="G105" s="22">
        <v>11.148760665707973</v>
      </c>
      <c r="H105" s="21">
        <v>68.942410132945895</v>
      </c>
      <c r="I105" s="21">
        <v>0.88727896892864078</v>
      </c>
      <c r="J105" s="21">
        <v>1.9628405028688061</v>
      </c>
      <c r="K105" s="21">
        <v>4.2018645750650805</v>
      </c>
      <c r="L105" s="21">
        <v>12.856845154483601</v>
      </c>
      <c r="M105" s="39">
        <f t="shared" si="8"/>
        <v>100</v>
      </c>
      <c r="N105" s="22">
        <v>7.0501034213948364</v>
      </c>
      <c r="O105" s="21">
        <v>9.4187939384585757</v>
      </c>
      <c r="P105" s="21">
        <v>0.6844718861420428</v>
      </c>
      <c r="Q105" s="21">
        <v>3.5362832641399637</v>
      </c>
      <c r="R105" s="21">
        <v>77.360647091890428</v>
      </c>
      <c r="S105" s="21">
        <v>1.9497003979741432</v>
      </c>
      <c r="T105" s="18">
        <f t="shared" si="9"/>
        <v>99.999999999999986</v>
      </c>
      <c r="U105" s="1">
        <f>11.83*10</f>
        <v>118.3</v>
      </c>
      <c r="V105" s="1">
        <f>23.24*10</f>
        <v>232.39999999999998</v>
      </c>
      <c r="W105" s="1">
        <f>11.41*10</f>
        <v>114.1</v>
      </c>
      <c r="X105" s="25">
        <f>4.314*10</f>
        <v>43.14</v>
      </c>
      <c r="Y105" s="2">
        <v>5.26</v>
      </c>
      <c r="Z105" s="2">
        <v>1.52</v>
      </c>
      <c r="AA105" s="2">
        <v>5.32</v>
      </c>
      <c r="AB105" s="21">
        <v>0</v>
      </c>
      <c r="AC105" s="2">
        <v>2.36</v>
      </c>
      <c r="AD105" s="21">
        <v>0</v>
      </c>
      <c r="AE105" s="21">
        <v>0</v>
      </c>
      <c r="AF105" s="21">
        <v>0</v>
      </c>
      <c r="AG105" s="28">
        <v>0</v>
      </c>
    </row>
    <row r="106" spans="2:33" x14ac:dyDescent="0.3">
      <c r="B106" s="19">
        <v>45420</v>
      </c>
      <c r="C106" s="20">
        <f t="shared" si="10"/>
        <v>153</v>
      </c>
      <c r="D106" s="20">
        <v>7.04</v>
      </c>
      <c r="G106" s="22">
        <v>10.35055526650776</v>
      </c>
      <c r="H106" s="21">
        <v>70.627038956825785</v>
      </c>
      <c r="I106" s="21">
        <v>0.7054751217281624</v>
      </c>
      <c r="J106" s="21">
        <v>1.9545037850519456</v>
      </c>
      <c r="K106" s="21">
        <v>4.0399823138001274</v>
      </c>
      <c r="L106" s="21">
        <v>12.322444556086207</v>
      </c>
      <c r="M106" s="39">
        <f t="shared" si="8"/>
        <v>99.999999999999972</v>
      </c>
      <c r="N106" s="22">
        <v>7.8094527574973132</v>
      </c>
      <c r="O106" s="21">
        <v>9.4687996291452237</v>
      </c>
      <c r="P106" s="21">
        <v>0.72944580810606929</v>
      </c>
      <c r="Q106" s="21">
        <v>3.0753961190921153</v>
      </c>
      <c r="R106" s="21">
        <v>76.374743293640989</v>
      </c>
      <c r="S106" s="21">
        <v>2.542162392518283</v>
      </c>
      <c r="T106" s="18">
        <f t="shared" si="9"/>
        <v>99.999999999999986</v>
      </c>
    </row>
    <row r="107" spans="2:33" x14ac:dyDescent="0.3">
      <c r="B107" s="19">
        <v>45421</v>
      </c>
      <c r="C107" s="20">
        <f t="shared" si="10"/>
        <v>154</v>
      </c>
      <c r="D107" s="20">
        <v>7.12</v>
      </c>
      <c r="G107" s="22">
        <v>10.228078256421586</v>
      </c>
      <c r="H107" s="21">
        <v>70.52224553325307</v>
      </c>
      <c r="I107" s="21">
        <v>0.92847514836857992</v>
      </c>
      <c r="J107" s="21">
        <v>2.3024870458055791</v>
      </c>
      <c r="K107" s="21">
        <v>3.971349082175033</v>
      </c>
      <c r="L107" s="21">
        <v>12.047364933976159</v>
      </c>
      <c r="M107" s="39">
        <f t="shared" si="8"/>
        <v>100</v>
      </c>
      <c r="N107" s="22">
        <v>4.5304904102031154</v>
      </c>
      <c r="O107" s="21">
        <v>9.2991275648738263</v>
      </c>
      <c r="P107" s="21">
        <v>0.81624387416206112</v>
      </c>
      <c r="Q107" s="21">
        <v>4.0678194773462435</v>
      </c>
      <c r="R107" s="21">
        <v>79.391389109196936</v>
      </c>
      <c r="S107" s="21">
        <v>1.8949295642178237</v>
      </c>
      <c r="T107" s="18">
        <f t="shared" si="9"/>
        <v>100</v>
      </c>
      <c r="U107" s="1">
        <f>11.84*10</f>
        <v>118.4</v>
      </c>
      <c r="V107" s="1">
        <f>23.24*10</f>
        <v>232.39999999999998</v>
      </c>
      <c r="W107" s="1">
        <f>11.41*10</f>
        <v>114.1</v>
      </c>
      <c r="X107" s="25">
        <f>2.209*10</f>
        <v>22.09</v>
      </c>
      <c r="Y107" s="2">
        <v>8.1229999999999993</v>
      </c>
      <c r="Z107" s="2">
        <v>3.45</v>
      </c>
      <c r="AA107" s="2">
        <v>1.56</v>
      </c>
      <c r="AB107" s="21">
        <v>0</v>
      </c>
      <c r="AC107" s="2">
        <v>3.46</v>
      </c>
      <c r="AD107" s="21">
        <v>0</v>
      </c>
      <c r="AE107" s="21">
        <v>0</v>
      </c>
      <c r="AF107" s="21">
        <v>0</v>
      </c>
      <c r="AG107" s="28">
        <v>0</v>
      </c>
    </row>
    <row r="108" spans="2:33" x14ac:dyDescent="0.3">
      <c r="B108" s="19">
        <v>45422</v>
      </c>
      <c r="C108" s="20">
        <f t="shared" si="10"/>
        <v>155</v>
      </c>
      <c r="D108" s="20">
        <v>7.14</v>
      </c>
      <c r="G108" s="22">
        <v>10.407097541807127</v>
      </c>
      <c r="H108" s="21">
        <v>70.266636639410535</v>
      </c>
      <c r="I108" s="21">
        <v>0.85760145243364339</v>
      </c>
      <c r="J108" s="21">
        <v>2.030526018663374</v>
      </c>
      <c r="K108" s="21">
        <v>4.0769459427268648</v>
      </c>
      <c r="L108" s="21">
        <v>12.361192404958427</v>
      </c>
      <c r="M108" s="39">
        <f t="shared" si="8"/>
        <v>99.999999999999986</v>
      </c>
      <c r="N108" s="22">
        <v>4.4608142253107257</v>
      </c>
      <c r="O108" s="21">
        <v>8.6141625509753066</v>
      </c>
      <c r="P108" s="21">
        <v>0.68052927151206233</v>
      </c>
      <c r="Q108" s="21">
        <v>4.0192003840396762</v>
      </c>
      <c r="R108" s="21">
        <v>79.957776505572227</v>
      </c>
      <c r="S108" s="21">
        <v>2.2675170625899974</v>
      </c>
      <c r="T108" s="18">
        <f t="shared" si="9"/>
        <v>100</v>
      </c>
    </row>
  </sheetData>
  <mergeCells count="7">
    <mergeCell ref="E2:F3"/>
    <mergeCell ref="G2:T2"/>
    <mergeCell ref="U2:X3"/>
    <mergeCell ref="Y2:AG2"/>
    <mergeCell ref="G3:M3"/>
    <mergeCell ref="N3:T3"/>
    <mergeCell ref="Y3:A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95A4-1F96-44C4-BBC3-A6CFE353C3DB}">
  <dimension ref="A1:AG155"/>
  <sheetViews>
    <sheetView zoomScale="70" zoomScaleNormal="70" workbookViewId="0"/>
  </sheetViews>
  <sheetFormatPr baseColWidth="10" defaultColWidth="11.44140625" defaultRowHeight="14.4" x14ac:dyDescent="0.3"/>
  <cols>
    <col min="1" max="1" width="12.44140625" style="41" bestFit="1" customWidth="1"/>
    <col min="2" max="2" width="11.5546875" style="20" customWidth="1"/>
    <col min="3" max="3" width="7.44140625" style="40" customWidth="1"/>
    <col min="4" max="4" width="8.33203125" style="40" customWidth="1"/>
    <col min="5" max="5" width="8.44140625" style="37" customWidth="1"/>
    <col min="6" max="6" width="9" style="18" customWidth="1"/>
    <col min="7" max="7" width="9" style="2" customWidth="1"/>
    <col min="8" max="8" width="9.33203125" style="2" customWidth="1"/>
    <col min="9" max="9" width="8.44140625" style="2" customWidth="1"/>
    <col min="10" max="10" width="8.5546875" style="2" customWidth="1"/>
    <col min="11" max="11" width="10.44140625" style="2" customWidth="1"/>
    <col min="12" max="12" width="8.44140625" style="2" customWidth="1"/>
    <col min="13" max="13" width="9.44140625" style="18" customWidth="1"/>
    <col min="14" max="14" width="10" style="2" customWidth="1"/>
    <col min="15" max="17" width="8.5546875" style="2" customWidth="1"/>
    <col min="18" max="18" width="9" style="2" customWidth="1"/>
    <col min="19" max="19" width="7.5546875" style="2" customWidth="1"/>
    <col min="20" max="20" width="9.44140625" style="18" customWidth="1"/>
    <col min="21" max="22" width="10.44140625" style="2" customWidth="1"/>
    <col min="23" max="23" width="9.5546875" style="2" customWidth="1"/>
    <col min="24" max="24" width="9.6640625" style="2" customWidth="1"/>
    <col min="25" max="25" width="11.44140625" style="37" customWidth="1"/>
    <col min="26" max="26" width="13" style="2" bestFit="1" customWidth="1"/>
    <col min="27" max="27" width="13.44140625" style="2" bestFit="1" customWidth="1"/>
    <col min="28" max="28" width="10.5546875" style="2" bestFit="1" customWidth="1"/>
    <col min="29" max="29" width="13" style="2" bestFit="1" customWidth="1"/>
    <col min="30" max="30" width="10.5546875" style="2" bestFit="1" customWidth="1"/>
    <col min="31" max="31" width="13.44140625" style="2" bestFit="1" customWidth="1"/>
    <col min="32" max="32" width="12.5546875" style="2" bestFit="1" customWidth="1"/>
    <col min="33" max="33" width="13.5546875" style="18" bestFit="1" customWidth="1"/>
  </cols>
  <sheetData>
    <row r="1" spans="1:33" ht="15" thickBot="1" x14ac:dyDescent="0.35">
      <c r="A1" s="48"/>
      <c r="B1" s="2"/>
      <c r="C1" s="1"/>
      <c r="D1" s="1"/>
      <c r="E1" s="2"/>
      <c r="F1" s="2"/>
      <c r="M1" s="2"/>
      <c r="T1" s="2"/>
      <c r="Y1" s="2"/>
      <c r="AG1" s="2"/>
    </row>
    <row r="2" spans="1:33" ht="15" thickBot="1" x14ac:dyDescent="0.35">
      <c r="B2" s="3" t="s">
        <v>6</v>
      </c>
      <c r="C2" s="4">
        <v>55</v>
      </c>
      <c r="D2" s="1"/>
      <c r="E2" s="152" t="s">
        <v>7</v>
      </c>
      <c r="F2" s="153"/>
      <c r="G2" s="156" t="s">
        <v>8</v>
      </c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8"/>
      <c r="U2" s="159" t="s">
        <v>9</v>
      </c>
      <c r="V2" s="160"/>
      <c r="W2" s="160"/>
      <c r="X2" s="161"/>
      <c r="Y2" s="165" t="s">
        <v>10</v>
      </c>
      <c r="Z2" s="165"/>
      <c r="AA2" s="165"/>
      <c r="AB2" s="165"/>
      <c r="AC2" s="165"/>
      <c r="AD2" s="165"/>
      <c r="AE2" s="165"/>
      <c r="AF2" s="165"/>
      <c r="AG2" s="165"/>
    </row>
    <row r="3" spans="1:33" ht="15" thickBot="1" x14ac:dyDescent="0.35">
      <c r="A3" s="47"/>
      <c r="B3" s="2"/>
      <c r="C3" s="1"/>
      <c r="D3" s="1"/>
      <c r="E3" s="154"/>
      <c r="F3" s="155"/>
      <c r="G3" s="166" t="s">
        <v>11</v>
      </c>
      <c r="H3" s="166"/>
      <c r="I3" s="166"/>
      <c r="J3" s="166"/>
      <c r="K3" s="166"/>
      <c r="L3" s="166"/>
      <c r="M3" s="166"/>
      <c r="N3" s="167" t="s">
        <v>12</v>
      </c>
      <c r="O3" s="168"/>
      <c r="P3" s="168"/>
      <c r="Q3" s="168"/>
      <c r="R3" s="168"/>
      <c r="S3" s="168"/>
      <c r="T3" s="169"/>
      <c r="U3" s="162"/>
      <c r="V3" s="163"/>
      <c r="W3" s="163"/>
      <c r="X3" s="164"/>
      <c r="Y3" s="170" t="s">
        <v>13</v>
      </c>
      <c r="Z3" s="171"/>
      <c r="AA3" s="171"/>
      <c r="AB3" s="171"/>
      <c r="AC3" s="171"/>
      <c r="AD3" s="171"/>
      <c r="AE3" s="171"/>
      <c r="AF3" s="171"/>
      <c r="AG3" s="171"/>
    </row>
    <row r="4" spans="1:33" ht="15" thickBot="1" x14ac:dyDescent="0.35">
      <c r="A4" s="8" t="s">
        <v>14</v>
      </c>
      <c r="B4" s="46" t="s">
        <v>15</v>
      </c>
      <c r="C4" s="11" t="s">
        <v>16</v>
      </c>
      <c r="D4" s="12" t="s">
        <v>0</v>
      </c>
      <c r="E4" s="13" t="s">
        <v>17</v>
      </c>
      <c r="F4" s="14" t="s">
        <v>18</v>
      </c>
      <c r="G4" s="15" t="s">
        <v>19</v>
      </c>
      <c r="H4" s="15" t="s">
        <v>20</v>
      </c>
      <c r="I4" s="15" t="s">
        <v>21</v>
      </c>
      <c r="J4" s="15" t="s">
        <v>22</v>
      </c>
      <c r="K4" s="15" t="s">
        <v>23</v>
      </c>
      <c r="L4" s="15" t="s">
        <v>24</v>
      </c>
      <c r="M4" s="15" t="s">
        <v>25</v>
      </c>
      <c r="N4" s="15" t="s">
        <v>19</v>
      </c>
      <c r="O4" s="15" t="s">
        <v>20</v>
      </c>
      <c r="P4" s="15" t="s">
        <v>21</v>
      </c>
      <c r="Q4" s="15" t="s">
        <v>22</v>
      </c>
      <c r="R4" s="15" t="s">
        <v>23</v>
      </c>
      <c r="S4" s="15" t="s">
        <v>24</v>
      </c>
      <c r="T4" s="15" t="s">
        <v>25</v>
      </c>
      <c r="U4" s="16" t="s">
        <v>26</v>
      </c>
      <c r="V4" s="16" t="s">
        <v>27</v>
      </c>
      <c r="W4" s="16" t="s">
        <v>28</v>
      </c>
      <c r="X4" s="16" t="s">
        <v>29</v>
      </c>
      <c r="Y4" s="17" t="s">
        <v>30</v>
      </c>
      <c r="Z4" s="17" t="s">
        <v>31</v>
      </c>
      <c r="AA4" s="17" t="s">
        <v>32</v>
      </c>
      <c r="AB4" s="17" t="s">
        <v>33</v>
      </c>
      <c r="AC4" s="17" t="s">
        <v>34</v>
      </c>
      <c r="AD4" s="17" t="s">
        <v>35</v>
      </c>
      <c r="AE4" s="17" t="s">
        <v>36</v>
      </c>
      <c r="AF4" s="17" t="s">
        <v>37</v>
      </c>
      <c r="AG4" s="17" t="s">
        <v>38</v>
      </c>
    </row>
    <row r="5" spans="1:33" x14ac:dyDescent="0.3">
      <c r="A5" s="41" t="s">
        <v>42</v>
      </c>
      <c r="B5" s="42">
        <v>45155</v>
      </c>
      <c r="C5" s="40">
        <v>0</v>
      </c>
      <c r="D5" s="40">
        <v>7.65</v>
      </c>
      <c r="E5" s="22">
        <v>1.5546000000000002</v>
      </c>
      <c r="F5" s="28">
        <v>0.95860000000000001</v>
      </c>
      <c r="G5" s="2">
        <v>21.17</v>
      </c>
      <c r="H5" s="2">
        <v>35.15</v>
      </c>
      <c r="I5" s="2">
        <v>0.68</v>
      </c>
      <c r="J5" s="2">
        <v>2.74</v>
      </c>
      <c r="K5" s="2">
        <v>11.85</v>
      </c>
      <c r="L5" s="2">
        <v>33.14</v>
      </c>
      <c r="M5" s="18">
        <f t="shared" ref="M5:M36" si="0">SUM(G5:L5)</f>
        <v>104.73</v>
      </c>
      <c r="N5" s="2">
        <v>21.23</v>
      </c>
      <c r="O5" s="2">
        <v>26.33</v>
      </c>
      <c r="P5" s="2">
        <v>0.8</v>
      </c>
      <c r="Q5" s="2">
        <v>2.0099999999999998</v>
      </c>
      <c r="R5" s="2">
        <v>9.9700000000000006</v>
      </c>
      <c r="S5" s="2">
        <v>24.32</v>
      </c>
      <c r="T5" s="18">
        <f t="shared" ref="T5:T36" si="1">SUM(N5:S5)</f>
        <v>84.66</v>
      </c>
      <c r="U5" s="2">
        <f>50.1*10</f>
        <v>501</v>
      </c>
      <c r="V5" s="2">
        <f>134.8*10</f>
        <v>1348</v>
      </c>
      <c r="W5" s="2">
        <f>84.7*10</f>
        <v>847</v>
      </c>
      <c r="X5" s="2">
        <f>33.11*10</f>
        <v>331.1</v>
      </c>
      <c r="Y5" s="22">
        <v>133.977</v>
      </c>
      <c r="Z5" s="43">
        <v>6.4219999999999997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18">
        <v>0</v>
      </c>
    </row>
    <row r="6" spans="1:33" x14ac:dyDescent="0.3">
      <c r="B6" s="42">
        <v>45156</v>
      </c>
      <c r="C6" s="40">
        <f t="shared" ref="C6:C37" si="2">B6-$B$5</f>
        <v>1</v>
      </c>
      <c r="D6" s="40">
        <v>7.22</v>
      </c>
      <c r="G6" s="2">
        <v>29.08</v>
      </c>
      <c r="H6" s="2">
        <v>35.479999999999997</v>
      </c>
      <c r="I6" s="2">
        <v>1.24</v>
      </c>
      <c r="J6" s="2">
        <v>3.54</v>
      </c>
      <c r="K6" s="2">
        <v>12.47</v>
      </c>
      <c r="L6" s="2">
        <v>35.979999999999997</v>
      </c>
      <c r="M6" s="18">
        <f t="shared" si="0"/>
        <v>117.78999999999999</v>
      </c>
      <c r="N6" s="2">
        <v>42.45</v>
      </c>
      <c r="O6" s="2">
        <v>44.52</v>
      </c>
      <c r="P6" s="2">
        <v>0.32</v>
      </c>
      <c r="Q6" s="2">
        <v>3.12</v>
      </c>
      <c r="R6" s="2">
        <v>11.45</v>
      </c>
      <c r="S6" s="2">
        <v>2.88</v>
      </c>
      <c r="T6" s="18">
        <f t="shared" si="1"/>
        <v>104.74</v>
      </c>
    </row>
    <row r="7" spans="1:33" x14ac:dyDescent="0.3">
      <c r="B7" s="42">
        <v>45159</v>
      </c>
      <c r="C7" s="40">
        <f t="shared" si="2"/>
        <v>4</v>
      </c>
      <c r="D7" s="40">
        <v>7.05</v>
      </c>
      <c r="G7" s="21">
        <v>22.56142426865398</v>
      </c>
      <c r="H7" s="21">
        <v>33.15302846136634</v>
      </c>
      <c r="I7" s="21">
        <v>1.9420840210692607</v>
      </c>
      <c r="J7" s="21">
        <v>2.1154213911888391</v>
      </c>
      <c r="K7" s="21">
        <v>12.434530193891606</v>
      </c>
      <c r="L7" s="21">
        <v>27.793511663829989</v>
      </c>
      <c r="M7" s="18">
        <f t="shared" si="0"/>
        <v>100.00000000000001</v>
      </c>
      <c r="N7" s="21">
        <v>21.759424756503591</v>
      </c>
      <c r="O7" s="21">
        <v>31.420208855928539</v>
      </c>
      <c r="P7" s="21">
        <v>1.6851496566127566</v>
      </c>
      <c r="Q7" s="21">
        <v>1.9548943323762047</v>
      </c>
      <c r="R7" s="21">
        <v>16.390113541613413</v>
      </c>
      <c r="S7" s="21">
        <v>26.790208856965481</v>
      </c>
      <c r="T7" s="18">
        <f t="shared" si="1"/>
        <v>99.999999999999986</v>
      </c>
    </row>
    <row r="8" spans="1:33" x14ac:dyDescent="0.3">
      <c r="B8" s="42">
        <v>45160</v>
      </c>
      <c r="C8" s="40">
        <f t="shared" si="2"/>
        <v>5</v>
      </c>
      <c r="D8" s="40">
        <v>6.8</v>
      </c>
      <c r="E8" s="37">
        <v>10.47</v>
      </c>
      <c r="G8" s="21">
        <v>33.167386788537158</v>
      </c>
      <c r="H8" s="21">
        <v>24.14171297353322</v>
      </c>
      <c r="I8" s="21">
        <v>1.3512608292431676</v>
      </c>
      <c r="J8" s="21">
        <v>2.3540603024949673</v>
      </c>
      <c r="K8" s="21">
        <v>13.080274493437596</v>
      </c>
      <c r="L8" s="21">
        <v>25.905304612753898</v>
      </c>
      <c r="M8" s="18">
        <f t="shared" si="0"/>
        <v>100</v>
      </c>
      <c r="N8" s="21">
        <v>23.722029280220415</v>
      </c>
      <c r="O8" s="21">
        <v>30.730684716654714</v>
      </c>
      <c r="P8" s="21">
        <v>1.2267192938506377</v>
      </c>
      <c r="Q8" s="21">
        <v>1.2864127744000797</v>
      </c>
      <c r="R8" s="21">
        <v>16.410571943653849</v>
      </c>
      <c r="S8" s="21">
        <v>26.623581991220295</v>
      </c>
      <c r="T8" s="18">
        <f t="shared" si="1"/>
        <v>99.999999999999986</v>
      </c>
      <c r="U8" s="2">
        <v>463.2</v>
      </c>
      <c r="X8" s="2">
        <v>318.5</v>
      </c>
      <c r="Y8" s="44">
        <v>191.648</v>
      </c>
      <c r="Z8" s="43">
        <v>8.9909999999999997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18">
        <v>0</v>
      </c>
    </row>
    <row r="9" spans="1:33" x14ac:dyDescent="0.3">
      <c r="B9" s="42">
        <v>45161</v>
      </c>
      <c r="C9" s="40">
        <f t="shared" si="2"/>
        <v>6</v>
      </c>
      <c r="D9" s="40">
        <v>6.72</v>
      </c>
      <c r="G9" s="21">
        <v>26.469972147599492</v>
      </c>
      <c r="H9" s="21">
        <v>27.805156211743643</v>
      </c>
      <c r="I9" s="21">
        <v>2.7619168393487885</v>
      </c>
      <c r="J9" s="21">
        <v>3.8953519430847523</v>
      </c>
      <c r="K9" s="21">
        <v>14.342216458032325</v>
      </c>
      <c r="L9" s="21">
        <v>24.725386400190981</v>
      </c>
      <c r="M9" s="18">
        <f t="shared" si="0"/>
        <v>99.999999999999986</v>
      </c>
      <c r="N9" s="21">
        <v>26.523027558236862</v>
      </c>
      <c r="O9" s="21">
        <v>28.453717677685635</v>
      </c>
      <c r="P9" s="21">
        <v>2.5761727785882673</v>
      </c>
      <c r="Q9" s="21">
        <v>3.6480363714161546</v>
      </c>
      <c r="R9" s="21">
        <v>20.438833092462453</v>
      </c>
      <c r="S9" s="21">
        <v>18.360212521610634</v>
      </c>
      <c r="T9" s="18">
        <f t="shared" si="1"/>
        <v>100</v>
      </c>
    </row>
    <row r="10" spans="1:33" x14ac:dyDescent="0.3">
      <c r="B10" s="42">
        <v>45162</v>
      </c>
      <c r="C10" s="40">
        <f t="shared" si="2"/>
        <v>7</v>
      </c>
      <c r="D10" s="45">
        <v>6.5</v>
      </c>
      <c r="E10" s="37">
        <v>11.3</v>
      </c>
      <c r="G10" s="21">
        <v>21.712410746346617</v>
      </c>
      <c r="H10" s="21">
        <v>34.393006972475781</v>
      </c>
      <c r="I10" s="21">
        <v>2.0818310313384569</v>
      </c>
      <c r="J10" s="21">
        <v>3.6441130816939413</v>
      </c>
      <c r="K10" s="21">
        <v>13.53066610315469</v>
      </c>
      <c r="L10" s="21">
        <v>24.637972064990514</v>
      </c>
      <c r="M10" s="18">
        <f t="shared" si="0"/>
        <v>100</v>
      </c>
      <c r="N10" s="21">
        <v>19.47438519833808</v>
      </c>
      <c r="O10" s="21">
        <v>31.935949659507806</v>
      </c>
      <c r="P10" s="21">
        <v>1.7725936941901308</v>
      </c>
      <c r="Q10" s="21">
        <v>1.7762367480485228</v>
      </c>
      <c r="R10" s="21">
        <v>15.864978779762151</v>
      </c>
      <c r="S10" s="21">
        <v>29.17585592015331</v>
      </c>
      <c r="T10" s="18">
        <f t="shared" si="1"/>
        <v>100</v>
      </c>
      <c r="U10" s="2">
        <v>498.9</v>
      </c>
      <c r="X10" s="2">
        <v>332.40000000000003</v>
      </c>
      <c r="Y10" s="44">
        <v>133.21899999999999</v>
      </c>
      <c r="Z10" s="43">
        <v>13.132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18">
        <v>0</v>
      </c>
    </row>
    <row r="11" spans="1:33" x14ac:dyDescent="0.3">
      <c r="B11" s="42">
        <v>45163</v>
      </c>
      <c r="C11" s="40">
        <f t="shared" si="2"/>
        <v>8</v>
      </c>
      <c r="D11" s="40">
        <v>6.78</v>
      </c>
      <c r="G11" s="21">
        <v>18.250933687450914</v>
      </c>
      <c r="H11" s="21">
        <v>39.584869882889492</v>
      </c>
      <c r="I11" s="21">
        <v>2.2295864871509421</v>
      </c>
      <c r="J11" s="21">
        <v>4.9231616809129264</v>
      </c>
      <c r="K11" s="21">
        <v>11.456862667709133</v>
      </c>
      <c r="L11" s="21">
        <v>23.554585593886586</v>
      </c>
      <c r="M11" s="18">
        <f t="shared" si="0"/>
        <v>99.999999999999986</v>
      </c>
      <c r="N11" s="21">
        <v>14.632624815143286</v>
      </c>
      <c r="O11" s="21">
        <v>35.564891805736984</v>
      </c>
      <c r="P11" s="21">
        <v>4.5867957327069888</v>
      </c>
      <c r="Q11" s="21">
        <v>2.3220233097492762</v>
      </c>
      <c r="R11" s="21">
        <v>15.518289305142813</v>
      </c>
      <c r="S11" s="21">
        <v>27.375375031520665</v>
      </c>
      <c r="T11" s="18">
        <f t="shared" si="1"/>
        <v>100.00000000000001</v>
      </c>
    </row>
    <row r="12" spans="1:33" x14ac:dyDescent="0.3">
      <c r="B12" s="42">
        <v>45166</v>
      </c>
      <c r="C12" s="40">
        <f t="shared" si="2"/>
        <v>11</v>
      </c>
      <c r="D12" s="40">
        <v>6.58</v>
      </c>
      <c r="G12" s="21">
        <v>22.197895952910777</v>
      </c>
      <c r="H12" s="21">
        <v>41.831873049266441</v>
      </c>
      <c r="I12" s="21">
        <v>3.8987672209905435</v>
      </c>
      <c r="J12" s="21">
        <v>1.1009460185784148</v>
      </c>
      <c r="K12" s="21">
        <v>9.159231345430042</v>
      </c>
      <c r="L12" s="21">
        <v>21.81128641282379</v>
      </c>
      <c r="M12" s="18">
        <f t="shared" si="0"/>
        <v>100.00000000000001</v>
      </c>
      <c r="N12" s="21">
        <v>23.553906251771888</v>
      </c>
      <c r="O12" s="21">
        <v>35.432352614764632</v>
      </c>
      <c r="P12" s="21">
        <v>2.8851340508357302</v>
      </c>
      <c r="Q12" s="21">
        <v>0.87242397537275174</v>
      </c>
      <c r="R12" s="21">
        <v>9.1771492080552548</v>
      </c>
      <c r="S12" s="21">
        <v>28.079033899199747</v>
      </c>
      <c r="T12" s="18">
        <f t="shared" si="1"/>
        <v>100</v>
      </c>
    </row>
    <row r="13" spans="1:33" x14ac:dyDescent="0.3">
      <c r="B13" s="42">
        <v>45167</v>
      </c>
      <c r="C13" s="40">
        <f t="shared" si="2"/>
        <v>12</v>
      </c>
      <c r="D13" s="40">
        <v>6.73</v>
      </c>
      <c r="G13" s="21">
        <v>22.681325885008384</v>
      </c>
      <c r="H13" s="21">
        <v>35.162173800258884</v>
      </c>
      <c r="I13" s="21">
        <v>1.2958576771033117</v>
      </c>
      <c r="J13" s="21">
        <v>2.4229040839505531</v>
      </c>
      <c r="K13" s="21">
        <v>9.492548936016771</v>
      </c>
      <c r="L13" s="21">
        <v>28.945189617662088</v>
      </c>
      <c r="M13" s="18">
        <f t="shared" si="0"/>
        <v>100</v>
      </c>
      <c r="N13" s="21">
        <v>35.519829529924351</v>
      </c>
      <c r="O13" s="21">
        <v>13.693906116900587</v>
      </c>
      <c r="P13" s="21">
        <v>3.9581912677664906</v>
      </c>
      <c r="Q13" s="21">
        <v>3.9081094727923733</v>
      </c>
      <c r="R13" s="21">
        <v>27.648186474701202</v>
      </c>
      <c r="S13" s="21">
        <v>15.271777137914988</v>
      </c>
      <c r="T13" s="18">
        <f t="shared" si="1"/>
        <v>100</v>
      </c>
      <c r="Y13" s="37">
        <v>117.43600000000001</v>
      </c>
      <c r="Z13" s="2">
        <v>98.481999999999999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18">
        <v>0</v>
      </c>
    </row>
    <row r="14" spans="1:33" x14ac:dyDescent="0.3">
      <c r="B14" s="42">
        <v>45168</v>
      </c>
      <c r="C14" s="40">
        <f t="shared" si="2"/>
        <v>13</v>
      </c>
      <c r="D14" s="40">
        <v>6.5</v>
      </c>
      <c r="E14" s="37">
        <v>10.98</v>
      </c>
      <c r="G14" s="21">
        <v>22.479055845182515</v>
      </c>
      <c r="H14" s="21">
        <v>35.469627718764777</v>
      </c>
      <c r="I14" s="21">
        <v>3.6166746178637155</v>
      </c>
      <c r="J14" s="21">
        <v>1.1012531213261048</v>
      </c>
      <c r="K14" s="21">
        <v>10.95207423898418</v>
      </c>
      <c r="L14" s="21">
        <v>26.381314457878709</v>
      </c>
      <c r="M14" s="18">
        <f t="shared" si="0"/>
        <v>100</v>
      </c>
      <c r="N14" s="21">
        <v>37.225361779493547</v>
      </c>
      <c r="O14" s="21">
        <v>15.8669577484496</v>
      </c>
      <c r="P14" s="21">
        <v>2.7253982055739643</v>
      </c>
      <c r="Q14" s="21">
        <v>1.8299165418468406</v>
      </c>
      <c r="R14" s="21">
        <v>33.01559859678818</v>
      </c>
      <c r="S14" s="21">
        <v>9.3367671278478745</v>
      </c>
      <c r="T14" s="18">
        <f t="shared" si="1"/>
        <v>100.00000000000001</v>
      </c>
      <c r="U14" s="2">
        <v>510</v>
      </c>
      <c r="X14" s="2">
        <v>308</v>
      </c>
    </row>
    <row r="15" spans="1:33" x14ac:dyDescent="0.3">
      <c r="B15" s="42">
        <v>45169</v>
      </c>
      <c r="C15" s="40">
        <f t="shared" si="2"/>
        <v>14</v>
      </c>
      <c r="D15" s="40">
        <v>7</v>
      </c>
      <c r="G15" s="21">
        <v>31.66373755721165</v>
      </c>
      <c r="H15" s="21">
        <v>27.018912080088402</v>
      </c>
      <c r="I15" s="21">
        <v>6.9374246213417479</v>
      </c>
      <c r="J15" s="21">
        <v>1.7788948338437371</v>
      </c>
      <c r="K15" s="21">
        <v>8.0172484955608958</v>
      </c>
      <c r="L15" s="21">
        <v>24.58378241195356</v>
      </c>
      <c r="M15" s="18">
        <f t="shared" si="0"/>
        <v>100</v>
      </c>
      <c r="N15" s="21">
        <v>37.099144410376653</v>
      </c>
      <c r="O15" s="21">
        <v>23.10052356211898</v>
      </c>
      <c r="P15" s="21">
        <v>1.9075617408461403</v>
      </c>
      <c r="Q15" s="21">
        <v>1.2503556680637753</v>
      </c>
      <c r="R15" s="21">
        <v>29.68122234777838</v>
      </c>
      <c r="S15" s="21">
        <v>6.9611922708160758</v>
      </c>
      <c r="T15" s="18">
        <f t="shared" si="1"/>
        <v>100</v>
      </c>
      <c r="U15" s="2">
        <v>538</v>
      </c>
      <c r="X15" s="2">
        <v>341</v>
      </c>
      <c r="Y15" s="37">
        <v>64.933000000000007</v>
      </c>
      <c r="Z15" s="2">
        <v>43.908999999999999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18">
        <v>0</v>
      </c>
    </row>
    <row r="16" spans="1:33" x14ac:dyDescent="0.3">
      <c r="B16" s="42">
        <v>45170</v>
      </c>
      <c r="C16" s="40">
        <f t="shared" si="2"/>
        <v>15</v>
      </c>
      <c r="D16" s="40">
        <v>7.12</v>
      </c>
      <c r="G16" s="21">
        <v>24.368098025840148</v>
      </c>
      <c r="H16" s="21">
        <v>33.270561483440986</v>
      </c>
      <c r="I16" s="21">
        <v>1.376967043897557</v>
      </c>
      <c r="J16" s="21">
        <v>2.2931559002366488</v>
      </c>
      <c r="K16" s="21">
        <v>9.5253369989708823</v>
      </c>
      <c r="L16" s="21">
        <v>29.165880547613799</v>
      </c>
      <c r="M16" s="18">
        <f t="shared" si="0"/>
        <v>100.00000000000001</v>
      </c>
      <c r="N16" s="21">
        <v>30.515659002466954</v>
      </c>
      <c r="O16" s="21">
        <v>10.379225272786673</v>
      </c>
      <c r="P16" s="21">
        <v>1.3230183737371293</v>
      </c>
      <c r="Q16" s="21">
        <v>3.1826852014565561</v>
      </c>
      <c r="R16" s="21">
        <v>52.36109428882061</v>
      </c>
      <c r="S16" s="21">
        <v>2.2383178607320815</v>
      </c>
      <c r="T16" s="18">
        <f t="shared" si="1"/>
        <v>100</v>
      </c>
    </row>
    <row r="17" spans="2:33" x14ac:dyDescent="0.3">
      <c r="B17" s="42">
        <v>45173</v>
      </c>
      <c r="C17" s="40">
        <f t="shared" si="2"/>
        <v>18</v>
      </c>
      <c r="D17" s="40">
        <v>7.21</v>
      </c>
      <c r="G17" s="21">
        <v>23.494229219016503</v>
      </c>
      <c r="H17" s="21">
        <v>35.896428998798015</v>
      </c>
      <c r="I17" s="21">
        <v>0.69693416521393103</v>
      </c>
      <c r="J17" s="21">
        <v>2.2659285311736901</v>
      </c>
      <c r="K17" s="21">
        <v>9.3273246878970753</v>
      </c>
      <c r="L17" s="21">
        <v>28.319154397900771</v>
      </c>
      <c r="M17" s="18">
        <f t="shared" si="0"/>
        <v>100</v>
      </c>
      <c r="N17" s="21">
        <v>30.515659002466954</v>
      </c>
      <c r="O17" s="21">
        <v>10.379225272786673</v>
      </c>
      <c r="P17" s="21">
        <v>1.3230183737371293</v>
      </c>
      <c r="Q17" s="21">
        <v>3.1826852014565561</v>
      </c>
      <c r="R17" s="21">
        <v>52.36109428882061</v>
      </c>
      <c r="S17" s="21">
        <v>2.2383178607320815</v>
      </c>
      <c r="T17" s="18">
        <f t="shared" si="1"/>
        <v>100</v>
      </c>
    </row>
    <row r="18" spans="2:33" x14ac:dyDescent="0.3">
      <c r="B18" s="42">
        <v>45174</v>
      </c>
      <c r="C18" s="40">
        <f t="shared" si="2"/>
        <v>19</v>
      </c>
      <c r="D18" s="40">
        <v>7.2</v>
      </c>
      <c r="E18" s="37">
        <v>7.14</v>
      </c>
      <c r="F18" s="18">
        <v>1.57</v>
      </c>
      <c r="G18" s="21">
        <v>23.81117850491226</v>
      </c>
      <c r="H18" s="21">
        <v>33.443576835730383</v>
      </c>
      <c r="I18" s="21">
        <v>1.052124137917644</v>
      </c>
      <c r="J18" s="21">
        <v>3.5172759254795412</v>
      </c>
      <c r="K18" s="21">
        <v>9.4050728540981048</v>
      </c>
      <c r="L18" s="21">
        <v>28.770771741862056</v>
      </c>
      <c r="M18" s="18">
        <f t="shared" si="0"/>
        <v>100</v>
      </c>
      <c r="N18" s="21">
        <v>39.021100825763121</v>
      </c>
      <c r="O18" s="21">
        <v>0.88371125179839161</v>
      </c>
      <c r="P18" s="21">
        <v>1.2268815891925529</v>
      </c>
      <c r="Q18" s="21">
        <v>5.9786931050423524</v>
      </c>
      <c r="R18" s="21">
        <v>51.901102979558445</v>
      </c>
      <c r="S18" s="21">
        <v>0.98851024864514114</v>
      </c>
      <c r="T18" s="18">
        <f t="shared" si="1"/>
        <v>100</v>
      </c>
      <c r="U18" s="2">
        <f>6.581*10</f>
        <v>65.81</v>
      </c>
      <c r="V18" s="2">
        <f>91.41*10</f>
        <v>914.09999999999991</v>
      </c>
      <c r="W18" s="2">
        <f>84.83*10</f>
        <v>848.3</v>
      </c>
      <c r="X18" s="2">
        <f>22.85*10</f>
        <v>228.5</v>
      </c>
      <c r="Y18" s="37">
        <v>131.84299999999999</v>
      </c>
      <c r="Z18" s="2">
        <v>109.248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18">
        <v>0</v>
      </c>
    </row>
    <row r="19" spans="2:33" x14ac:dyDescent="0.3">
      <c r="B19" s="42">
        <v>45175</v>
      </c>
      <c r="C19" s="40">
        <f t="shared" si="2"/>
        <v>20</v>
      </c>
      <c r="D19" s="40">
        <v>7.55</v>
      </c>
      <c r="G19" s="21">
        <v>26.210221951555635</v>
      </c>
      <c r="H19" s="21">
        <v>26.948476927224537</v>
      </c>
      <c r="I19" s="21">
        <v>1.4617988330269129</v>
      </c>
      <c r="J19" s="21">
        <v>4.0631642455201993</v>
      </c>
      <c r="K19" s="21">
        <v>10.1701436223338</v>
      </c>
      <c r="L19" s="21">
        <v>31.146194420338908</v>
      </c>
      <c r="M19" s="18">
        <f t="shared" si="0"/>
        <v>100</v>
      </c>
      <c r="N19" s="21">
        <v>23.97133360237877</v>
      </c>
      <c r="O19" s="21">
        <v>1.0676215428468125</v>
      </c>
      <c r="P19" s="21">
        <v>3.3454556467786571</v>
      </c>
      <c r="Q19" s="21">
        <v>9.2604825498830348</v>
      </c>
      <c r="R19" s="21">
        <v>56.865376384258596</v>
      </c>
      <c r="S19" s="21">
        <v>5.4897302738541214</v>
      </c>
      <c r="T19" s="18">
        <f t="shared" si="1"/>
        <v>100</v>
      </c>
    </row>
    <row r="20" spans="2:33" x14ac:dyDescent="0.3">
      <c r="B20" s="42">
        <v>45176</v>
      </c>
      <c r="C20" s="40">
        <f t="shared" si="2"/>
        <v>21</v>
      </c>
      <c r="D20" s="40">
        <v>7.23</v>
      </c>
      <c r="G20" s="21">
        <v>22.936327204152978</v>
      </c>
      <c r="H20" s="21">
        <v>35.335257968789982</v>
      </c>
      <c r="I20" s="21">
        <v>2.0235216626546628</v>
      </c>
      <c r="J20" s="21">
        <v>3.6314218389915616</v>
      </c>
      <c r="K20" s="21">
        <v>8.8493339436142939</v>
      </c>
      <c r="L20" s="21">
        <v>27.224137381796528</v>
      </c>
      <c r="M20" s="18">
        <f t="shared" si="0"/>
        <v>100.00000000000001</v>
      </c>
      <c r="N20" s="21">
        <v>41.891892435373293</v>
      </c>
      <c r="O20" s="21">
        <v>1.723123280028827</v>
      </c>
      <c r="P20" s="21">
        <v>0.64245419737710485</v>
      </c>
      <c r="Q20" s="21">
        <v>30.754688301451676</v>
      </c>
      <c r="R20" s="21">
        <v>23.764017055538659</v>
      </c>
      <c r="S20" s="21">
        <v>1.2238247302304368</v>
      </c>
      <c r="T20" s="18">
        <f t="shared" si="1"/>
        <v>100</v>
      </c>
      <c r="U20" s="2">
        <f>9.983*10</f>
        <v>99.830000000000013</v>
      </c>
      <c r="V20" s="2">
        <f>96.54*10</f>
        <v>965.40000000000009</v>
      </c>
      <c r="W20" s="2">
        <f>86.55*10</f>
        <v>865.5</v>
      </c>
      <c r="X20" s="2">
        <f>21.25*10</f>
        <v>212.5</v>
      </c>
      <c r="Y20" s="37">
        <v>109.797</v>
      </c>
      <c r="Z20" s="2">
        <v>56.356000000000002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18">
        <v>0</v>
      </c>
    </row>
    <row r="21" spans="2:33" x14ac:dyDescent="0.3">
      <c r="B21" s="42">
        <v>45177</v>
      </c>
      <c r="C21" s="40">
        <f t="shared" si="2"/>
        <v>22</v>
      </c>
      <c r="D21" s="40">
        <v>7.34</v>
      </c>
      <c r="G21" s="21">
        <v>23.363328513330419</v>
      </c>
      <c r="H21" s="21">
        <v>36.062479167973862</v>
      </c>
      <c r="I21" s="21">
        <v>0.68726692644811749</v>
      </c>
      <c r="J21" s="21">
        <v>2.2292417364540733</v>
      </c>
      <c r="K21" s="21">
        <v>9.3798781400768014</v>
      </c>
      <c r="L21" s="21">
        <v>28.277805515716743</v>
      </c>
      <c r="M21" s="18">
        <f t="shared" si="0"/>
        <v>100</v>
      </c>
      <c r="N21" s="21">
        <v>50.369831900020465</v>
      </c>
      <c r="O21" s="21">
        <v>2.1025491158485483</v>
      </c>
      <c r="P21" s="21">
        <v>0.4768793781834143</v>
      </c>
      <c r="Q21" s="21">
        <v>16.071099960380415</v>
      </c>
      <c r="R21" s="21">
        <v>29.600818345477599</v>
      </c>
      <c r="S21" s="21">
        <v>1.3788213000895433</v>
      </c>
      <c r="T21" s="18">
        <f t="shared" si="1"/>
        <v>99.999999999999986</v>
      </c>
    </row>
    <row r="22" spans="2:33" x14ac:dyDescent="0.3">
      <c r="B22" s="42">
        <v>45180</v>
      </c>
      <c r="C22" s="40">
        <f t="shared" si="2"/>
        <v>25</v>
      </c>
      <c r="D22" s="40">
        <v>7.2</v>
      </c>
      <c r="G22" s="21">
        <v>23.748069164563997</v>
      </c>
      <c r="H22" s="21">
        <v>37.218000768142019</v>
      </c>
      <c r="I22" s="21">
        <v>0.30102144416081156</v>
      </c>
      <c r="J22" s="21">
        <v>0.99904123707341974</v>
      </c>
      <c r="K22" s="21">
        <v>9.4045258669968899</v>
      </c>
      <c r="L22" s="21">
        <v>28.329341519062872</v>
      </c>
      <c r="M22" s="18">
        <f t="shared" si="0"/>
        <v>100</v>
      </c>
      <c r="N22" s="21">
        <v>56.587363197119302</v>
      </c>
      <c r="O22" s="21">
        <v>1.5804117111181681</v>
      </c>
      <c r="P22" s="21">
        <v>0.30839178964235253</v>
      </c>
      <c r="Q22" s="21">
        <v>2.8750917719124471</v>
      </c>
      <c r="R22" s="21">
        <v>37.183258641539325</v>
      </c>
      <c r="S22" s="21">
        <v>1.4654828886684286</v>
      </c>
      <c r="T22" s="18">
        <f t="shared" si="1"/>
        <v>100.00000000000001</v>
      </c>
    </row>
    <row r="23" spans="2:33" x14ac:dyDescent="0.3">
      <c r="B23" s="42">
        <v>45181</v>
      </c>
      <c r="C23" s="40">
        <f t="shared" si="2"/>
        <v>26</v>
      </c>
      <c r="D23" s="40">
        <v>7.15</v>
      </c>
      <c r="E23" s="37">
        <v>7.32</v>
      </c>
      <c r="F23" s="18">
        <v>1.31</v>
      </c>
      <c r="G23" s="21">
        <v>24.138303271145855</v>
      </c>
      <c r="H23" s="21">
        <v>35.807604773063829</v>
      </c>
      <c r="I23" s="21">
        <v>0.42344476480721782</v>
      </c>
      <c r="J23" s="21">
        <v>1.4073348424162093</v>
      </c>
      <c r="K23" s="21">
        <v>9.4213838094744666</v>
      </c>
      <c r="L23" s="21">
        <v>28.80192853909243</v>
      </c>
      <c r="M23" s="18">
        <f t="shared" si="0"/>
        <v>100.00000000000001</v>
      </c>
      <c r="N23" s="21">
        <v>56.979072654058115</v>
      </c>
      <c r="O23" s="21">
        <v>1.2539557466887812</v>
      </c>
      <c r="P23" s="21">
        <v>0.54694446487187554</v>
      </c>
      <c r="Q23" s="21">
        <v>2.9199553986458739</v>
      </c>
      <c r="R23" s="21">
        <v>37.044994168559327</v>
      </c>
      <c r="S23" s="21">
        <v>1.255077567176029</v>
      </c>
      <c r="T23" s="18">
        <f t="shared" si="1"/>
        <v>100.00000000000001</v>
      </c>
      <c r="U23" s="2">
        <f>26.28*10</f>
        <v>262.8</v>
      </c>
      <c r="V23" s="2">
        <f>120.3*10</f>
        <v>1203</v>
      </c>
      <c r="W23" s="2">
        <f>93.49*10</f>
        <v>934.9</v>
      </c>
      <c r="X23" s="2">
        <f>19.17*10</f>
        <v>191.70000000000002</v>
      </c>
      <c r="Y23" s="37">
        <v>75.846999999999994</v>
      </c>
      <c r="Z23" s="2">
        <v>9.4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18">
        <v>0</v>
      </c>
    </row>
    <row r="24" spans="2:33" x14ac:dyDescent="0.3">
      <c r="B24" s="42">
        <v>45182</v>
      </c>
      <c r="C24" s="40">
        <f t="shared" si="2"/>
        <v>27</v>
      </c>
      <c r="D24" s="40">
        <v>7.23</v>
      </c>
      <c r="G24" s="21">
        <v>23.479217349053958</v>
      </c>
      <c r="H24" s="21">
        <v>38.283021623396245</v>
      </c>
      <c r="I24" s="21">
        <v>0.24536063081049822</v>
      </c>
      <c r="J24" s="21">
        <v>0.77191340504798056</v>
      </c>
      <c r="K24" s="21">
        <v>9.166279239203611</v>
      </c>
      <c r="L24" s="21">
        <v>28.054207752487699</v>
      </c>
      <c r="M24" s="18">
        <f t="shared" si="0"/>
        <v>99.999999999999986</v>
      </c>
      <c r="N24" s="21">
        <v>55.623075199896341</v>
      </c>
      <c r="O24" s="21">
        <v>2.8305365175563977</v>
      </c>
      <c r="P24" s="21">
        <v>0.26773122644159902</v>
      </c>
      <c r="Q24" s="21">
        <v>2.5688769416346653</v>
      </c>
      <c r="R24" s="21">
        <v>37.166991955429296</v>
      </c>
      <c r="S24" s="21">
        <v>1.5427881590416919</v>
      </c>
      <c r="T24" s="18">
        <f t="shared" si="1"/>
        <v>99.999999999999986</v>
      </c>
    </row>
    <row r="25" spans="2:33" x14ac:dyDescent="0.3">
      <c r="B25" s="42">
        <v>45183</v>
      </c>
      <c r="C25" s="40">
        <f t="shared" si="2"/>
        <v>28</v>
      </c>
      <c r="D25" s="40">
        <v>7.19</v>
      </c>
      <c r="G25" s="21">
        <v>23.880119409926412</v>
      </c>
      <c r="H25" s="21">
        <v>36.863281959294078</v>
      </c>
      <c r="I25" s="21">
        <v>0.33246462762740325</v>
      </c>
      <c r="J25" s="21">
        <v>1.0855691283983622</v>
      </c>
      <c r="K25" s="21">
        <v>9.3042306215965311</v>
      </c>
      <c r="L25" s="21">
        <v>28.534334253157223</v>
      </c>
      <c r="M25" s="18">
        <f t="shared" si="0"/>
        <v>100.00000000000001</v>
      </c>
      <c r="N25" s="21">
        <v>57.829297362965136</v>
      </c>
      <c r="O25" s="21">
        <v>1.2414725830620987</v>
      </c>
      <c r="P25" s="21">
        <v>0.1276898126267631</v>
      </c>
      <c r="Q25" s="21">
        <v>1.4329401957820822</v>
      </c>
      <c r="R25" s="21">
        <v>38.066043601643941</v>
      </c>
      <c r="S25" s="21">
        <v>1.3025564439199726</v>
      </c>
      <c r="T25" s="18">
        <f t="shared" si="1"/>
        <v>99.999999999999986</v>
      </c>
      <c r="U25" s="2">
        <f>16.26*10</f>
        <v>162.60000000000002</v>
      </c>
      <c r="V25" s="2">
        <f>109*10</f>
        <v>1090</v>
      </c>
      <c r="W25" s="2">
        <f>92.73*10</f>
        <v>927.30000000000007</v>
      </c>
      <c r="X25" s="2">
        <f>18.36*10</f>
        <v>183.6</v>
      </c>
      <c r="Y25" s="37">
        <v>81.896000000000001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18">
        <v>0</v>
      </c>
    </row>
    <row r="26" spans="2:33" x14ac:dyDescent="0.3">
      <c r="B26" s="42">
        <v>45184</v>
      </c>
      <c r="C26" s="40">
        <f t="shared" si="2"/>
        <v>29</v>
      </c>
      <c r="D26" s="40">
        <v>7.15</v>
      </c>
      <c r="G26" s="21">
        <v>23.663972369813798</v>
      </c>
      <c r="H26" s="21">
        <v>38.595667737619479</v>
      </c>
      <c r="I26" s="21">
        <v>0.10344410210679669</v>
      </c>
      <c r="J26" s="21">
        <v>0.34543767412700266</v>
      </c>
      <c r="K26" s="21">
        <v>9.1500155408168116</v>
      </c>
      <c r="L26" s="21">
        <v>28.14146257551613</v>
      </c>
      <c r="M26" s="18">
        <f t="shared" si="0"/>
        <v>100.00000000000003</v>
      </c>
      <c r="N26" s="21">
        <v>53.274177559014788</v>
      </c>
      <c r="O26" s="21">
        <v>1.3617258779931369</v>
      </c>
      <c r="P26" s="21">
        <v>0.20788428164059025</v>
      </c>
      <c r="Q26" s="21">
        <v>5.2898202566401018</v>
      </c>
      <c r="R26" s="21">
        <v>38.371494705411862</v>
      </c>
      <c r="S26" s="21">
        <v>1.4948973192995045</v>
      </c>
      <c r="T26" s="18">
        <f t="shared" si="1"/>
        <v>99.999999999999986</v>
      </c>
    </row>
    <row r="27" spans="2:33" x14ac:dyDescent="0.3">
      <c r="B27" s="42">
        <v>45187</v>
      </c>
      <c r="C27" s="40">
        <f t="shared" si="2"/>
        <v>32</v>
      </c>
      <c r="D27" s="40">
        <v>7.17</v>
      </c>
      <c r="G27" s="21">
        <v>23.71392412281936</v>
      </c>
      <c r="H27" s="21">
        <v>37.573767619333232</v>
      </c>
      <c r="I27" s="21">
        <v>0.32507207296182955</v>
      </c>
      <c r="J27" s="21">
        <v>1.1387164452091383</v>
      </c>
      <c r="K27" s="21">
        <v>9.2207425016292781</v>
      </c>
      <c r="L27" s="21">
        <v>28.027777238047154</v>
      </c>
      <c r="M27" s="18">
        <f t="shared" si="0"/>
        <v>99.999999999999986</v>
      </c>
      <c r="N27" s="21">
        <v>55.845805392254064</v>
      </c>
      <c r="O27" s="21">
        <v>1.6299767410305561</v>
      </c>
      <c r="P27" s="21">
        <v>0.25696033978706334</v>
      </c>
      <c r="Q27" s="21">
        <v>5.3019322084120404</v>
      </c>
      <c r="R27" s="21">
        <v>35.441892219152429</v>
      </c>
      <c r="S27" s="21">
        <v>1.5234330993638481</v>
      </c>
      <c r="T27" s="18">
        <f t="shared" si="1"/>
        <v>100</v>
      </c>
    </row>
    <row r="28" spans="2:33" x14ac:dyDescent="0.3">
      <c r="B28" s="42">
        <v>45188</v>
      </c>
      <c r="C28" s="40">
        <f t="shared" si="2"/>
        <v>33</v>
      </c>
      <c r="D28" s="40">
        <v>7.2</v>
      </c>
      <c r="E28" s="22">
        <v>7.3</v>
      </c>
      <c r="F28" s="18">
        <v>1.75</v>
      </c>
      <c r="G28" s="21">
        <v>22.892380439886303</v>
      </c>
      <c r="H28" s="21">
        <v>35.781785793604847</v>
      </c>
      <c r="I28" s="21">
        <v>1.1394704223289156</v>
      </c>
      <c r="J28" s="21">
        <v>4.1458182716375269</v>
      </c>
      <c r="K28" s="21">
        <v>8.868112251892784</v>
      </c>
      <c r="L28" s="21">
        <v>27.172432820649632</v>
      </c>
      <c r="M28" s="18">
        <f t="shared" si="0"/>
        <v>100</v>
      </c>
      <c r="N28" s="21">
        <v>56.726771099152643</v>
      </c>
      <c r="O28" s="21">
        <v>1.3584477844680676</v>
      </c>
      <c r="P28" s="21">
        <v>0.25739911173241842</v>
      </c>
      <c r="Q28" s="21">
        <v>5.0637890767692015</v>
      </c>
      <c r="R28" s="21">
        <v>35.187382104659697</v>
      </c>
      <c r="S28" s="21">
        <v>1.406210823217994</v>
      </c>
      <c r="T28" s="18">
        <f t="shared" si="1"/>
        <v>100.00000000000001</v>
      </c>
      <c r="U28" s="2">
        <f>10.28*10</f>
        <v>102.8</v>
      </c>
      <c r="V28" s="2">
        <f>93*10</f>
        <v>930</v>
      </c>
      <c r="W28" s="2">
        <f>82.71*10</f>
        <v>827.09999999999991</v>
      </c>
      <c r="X28" s="2">
        <f>19.76*10</f>
        <v>197.60000000000002</v>
      </c>
      <c r="Y28" s="37">
        <v>84.328999999999994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18">
        <v>0</v>
      </c>
    </row>
    <row r="29" spans="2:33" x14ac:dyDescent="0.3">
      <c r="B29" s="42">
        <v>45189</v>
      </c>
      <c r="C29" s="40">
        <f t="shared" si="2"/>
        <v>34</v>
      </c>
      <c r="D29" s="40">
        <v>7.1</v>
      </c>
      <c r="G29" s="21">
        <v>23.511383564403314</v>
      </c>
      <c r="H29" s="21">
        <v>36.980413451746948</v>
      </c>
      <c r="I29" s="21">
        <v>0.44834159529205725</v>
      </c>
      <c r="J29" s="21">
        <v>1.5952494361082079</v>
      </c>
      <c r="K29" s="21">
        <v>9.5306425498955836</v>
      </c>
      <c r="L29" s="21">
        <v>27.933969402553892</v>
      </c>
      <c r="M29" s="18">
        <f t="shared" si="0"/>
        <v>100</v>
      </c>
      <c r="N29" s="21">
        <v>54.378802825305492</v>
      </c>
      <c r="O29" s="21">
        <v>1.6946214351482309</v>
      </c>
      <c r="P29" s="21">
        <v>0.25268639263572984</v>
      </c>
      <c r="Q29" s="21">
        <v>6.5426302780231804</v>
      </c>
      <c r="R29" s="21">
        <v>35.621208101652549</v>
      </c>
      <c r="S29" s="21">
        <v>1.5100509672348141</v>
      </c>
      <c r="T29" s="18">
        <f t="shared" si="1"/>
        <v>100</v>
      </c>
    </row>
    <row r="30" spans="2:33" x14ac:dyDescent="0.3">
      <c r="B30" s="42">
        <v>45190</v>
      </c>
      <c r="C30" s="40">
        <f t="shared" si="2"/>
        <v>35</v>
      </c>
      <c r="D30" s="40">
        <v>7.27</v>
      </c>
      <c r="G30" s="21">
        <v>23.115944256423649</v>
      </c>
      <c r="H30" s="21">
        <v>35.05447653409361</v>
      </c>
      <c r="I30" s="21">
        <v>1.174598013662461</v>
      </c>
      <c r="J30" s="21">
        <v>4.1980662487416192</v>
      </c>
      <c r="K30" s="21">
        <v>9.0542390629823188</v>
      </c>
      <c r="L30" s="21">
        <v>27.402675884096343</v>
      </c>
      <c r="M30" s="18">
        <f t="shared" si="0"/>
        <v>100</v>
      </c>
      <c r="N30" s="21">
        <v>54.89322139938038</v>
      </c>
      <c r="O30" s="21">
        <v>2.2534031410397675</v>
      </c>
      <c r="P30" s="21">
        <v>0.73748999296063555</v>
      </c>
      <c r="Q30" s="21">
        <v>6.3940152691619723</v>
      </c>
      <c r="R30" s="21">
        <v>34.423143679077754</v>
      </c>
      <c r="S30" s="21">
        <v>1.2987265183794883</v>
      </c>
      <c r="T30" s="18">
        <f t="shared" si="1"/>
        <v>99.999999999999986</v>
      </c>
      <c r="U30" s="2">
        <f>24.21*10</f>
        <v>242.10000000000002</v>
      </c>
      <c r="V30" s="2">
        <f>107*10</f>
        <v>1070</v>
      </c>
      <c r="W30" s="2">
        <f>82.81*10</f>
        <v>828.1</v>
      </c>
      <c r="X30" s="2">
        <f>20.4*10</f>
        <v>204</v>
      </c>
      <c r="Y30" s="37">
        <v>11.981999999999999</v>
      </c>
      <c r="Z30" s="2">
        <v>0</v>
      </c>
      <c r="AA30" s="2">
        <v>18.898</v>
      </c>
      <c r="AB30" s="2">
        <v>0</v>
      </c>
      <c r="AC30" s="2">
        <v>77.134</v>
      </c>
      <c r="AD30" s="2">
        <v>0</v>
      </c>
      <c r="AE30" s="2">
        <v>0</v>
      </c>
      <c r="AF30" s="2">
        <v>0</v>
      </c>
      <c r="AG30" s="18">
        <v>0.99099999999999999</v>
      </c>
    </row>
    <row r="31" spans="2:33" x14ac:dyDescent="0.3">
      <c r="B31" s="42">
        <v>45191</v>
      </c>
      <c r="C31" s="40">
        <f t="shared" si="2"/>
        <v>36</v>
      </c>
      <c r="D31" s="40">
        <v>7.11</v>
      </c>
      <c r="G31" s="21">
        <v>23.373677312939193</v>
      </c>
      <c r="H31" s="21">
        <v>32.533286442266231</v>
      </c>
      <c r="I31" s="21">
        <v>0.20387273213562437</v>
      </c>
      <c r="J31" s="21">
        <v>7.4152156359593215</v>
      </c>
      <c r="K31" s="21">
        <v>8.9170335907555138</v>
      </c>
      <c r="L31" s="21">
        <v>27.55691428594411</v>
      </c>
      <c r="M31" s="18">
        <f t="shared" si="0"/>
        <v>100</v>
      </c>
      <c r="N31" s="21">
        <v>52.651169539596822</v>
      </c>
      <c r="O31" s="21">
        <v>1.3615125576751255</v>
      </c>
      <c r="P31" s="21">
        <v>0.12764089322975314</v>
      </c>
      <c r="Q31" s="21">
        <v>12.809370206328049</v>
      </c>
      <c r="R31" s="21">
        <v>31.577728341891071</v>
      </c>
      <c r="S31" s="21">
        <v>1.4725784612791746</v>
      </c>
      <c r="T31" s="18">
        <f t="shared" si="1"/>
        <v>100</v>
      </c>
    </row>
    <row r="32" spans="2:33" x14ac:dyDescent="0.3">
      <c r="B32" s="42">
        <v>45194</v>
      </c>
      <c r="C32" s="40">
        <f t="shared" si="2"/>
        <v>39</v>
      </c>
      <c r="D32" s="40">
        <v>7.18</v>
      </c>
      <c r="G32" s="21">
        <v>22.865475730239009</v>
      </c>
      <c r="H32" s="21">
        <v>35.450311037352144</v>
      </c>
      <c r="I32" s="21">
        <v>1.2015663395692588</v>
      </c>
      <c r="J32" s="21">
        <v>4.2843804853725116</v>
      </c>
      <c r="K32" s="21">
        <v>8.887198729216097</v>
      </c>
      <c r="L32" s="21">
        <v>27.311067678250989</v>
      </c>
      <c r="M32" s="18">
        <f t="shared" si="0"/>
        <v>100.00000000000001</v>
      </c>
      <c r="N32" s="21">
        <v>51.387960451384309</v>
      </c>
      <c r="O32" s="21">
        <v>1.8021379871064429</v>
      </c>
      <c r="P32" s="21">
        <v>0.62586847003658452</v>
      </c>
      <c r="Q32" s="21">
        <v>12.807988041293946</v>
      </c>
      <c r="R32" s="21">
        <v>31.843135468139277</v>
      </c>
      <c r="S32" s="21">
        <v>1.5329095820394469</v>
      </c>
      <c r="T32" s="18">
        <f t="shared" si="1"/>
        <v>100.00000000000001</v>
      </c>
    </row>
    <row r="33" spans="1:33" x14ac:dyDescent="0.3">
      <c r="B33" s="42">
        <v>45195</v>
      </c>
      <c r="C33" s="40">
        <f t="shared" si="2"/>
        <v>40</v>
      </c>
      <c r="D33" s="40">
        <v>7.24</v>
      </c>
      <c r="E33" s="37">
        <v>7.36</v>
      </c>
      <c r="F33" s="18">
        <v>1.84</v>
      </c>
      <c r="G33" s="21">
        <v>22.770848042194444</v>
      </c>
      <c r="H33" s="21">
        <v>35.39123768735287</v>
      </c>
      <c r="I33" s="21">
        <v>0.51356013242697274</v>
      </c>
      <c r="J33" s="21">
        <v>5.3774922504291265</v>
      </c>
      <c r="K33" s="21">
        <v>8.8337285504940439</v>
      </c>
      <c r="L33" s="21">
        <v>27.113133337102539</v>
      </c>
      <c r="M33" s="18">
        <f t="shared" si="0"/>
        <v>100</v>
      </c>
      <c r="N33" s="21">
        <v>53.550954456814701</v>
      </c>
      <c r="O33" s="21">
        <v>1.4151359104480803</v>
      </c>
      <c r="P33" s="21">
        <v>0.57668414357918563</v>
      </c>
      <c r="Q33" s="21">
        <v>10.201998563094548</v>
      </c>
      <c r="R33" s="21">
        <v>33.07043844375449</v>
      </c>
      <c r="S33" s="21">
        <v>1.1847884823089969</v>
      </c>
      <c r="T33" s="18">
        <f t="shared" si="1"/>
        <v>100.00000000000001</v>
      </c>
      <c r="U33" s="2">
        <f>6.184*10</f>
        <v>61.84</v>
      </c>
      <c r="V33" s="2">
        <f>76.65*10</f>
        <v>766.5</v>
      </c>
      <c r="W33" s="2">
        <f>70.46*10</f>
        <v>704.59999999999991</v>
      </c>
      <c r="X33" s="2">
        <f>70.46</f>
        <v>70.459999999999994</v>
      </c>
      <c r="Y33" s="37">
        <v>5.7930000000000001</v>
      </c>
      <c r="Z33" s="2">
        <v>20.023</v>
      </c>
      <c r="AA33" s="2">
        <v>13.105</v>
      </c>
      <c r="AB33" s="2">
        <v>0</v>
      </c>
      <c r="AC33" s="2">
        <v>74.623000000000005</v>
      </c>
      <c r="AD33" s="2">
        <v>0</v>
      </c>
      <c r="AE33" s="2">
        <v>0</v>
      </c>
      <c r="AF33" s="2">
        <v>0</v>
      </c>
      <c r="AG33" s="18">
        <v>0</v>
      </c>
    </row>
    <row r="34" spans="1:33" x14ac:dyDescent="0.3">
      <c r="B34" s="42">
        <v>45196</v>
      </c>
      <c r="C34" s="40">
        <f t="shared" si="2"/>
        <v>41</v>
      </c>
      <c r="D34" s="40">
        <v>7.25</v>
      </c>
      <c r="E34" s="22"/>
      <c r="G34" s="21">
        <v>23.409900926953682</v>
      </c>
      <c r="H34" s="21">
        <v>37.853570000339296</v>
      </c>
      <c r="I34" s="21">
        <v>0.41627398290157402</v>
      </c>
      <c r="J34" s="21">
        <v>1.4397726585130732</v>
      </c>
      <c r="K34" s="21">
        <v>9.1548432987960631</v>
      </c>
      <c r="L34" s="21">
        <v>27.725639132496326</v>
      </c>
      <c r="M34" s="18">
        <f t="shared" si="0"/>
        <v>100.00000000000001</v>
      </c>
      <c r="N34" s="21">
        <v>54.045084718485626</v>
      </c>
      <c r="O34" s="21">
        <v>1.853444068393459</v>
      </c>
      <c r="P34" s="21">
        <v>0.25849681355634513</v>
      </c>
      <c r="Q34" s="21">
        <v>5.9215052522266429</v>
      </c>
      <c r="R34" s="21">
        <v>36.248180984662696</v>
      </c>
      <c r="S34" s="21">
        <v>1.673288162675227</v>
      </c>
      <c r="T34" s="18">
        <f t="shared" si="1"/>
        <v>100</v>
      </c>
    </row>
    <row r="35" spans="1:33" x14ac:dyDescent="0.3">
      <c r="A35" s="40" t="s">
        <v>40</v>
      </c>
      <c r="B35" s="42">
        <v>45197</v>
      </c>
      <c r="C35" s="40">
        <f t="shared" si="2"/>
        <v>42</v>
      </c>
      <c r="D35" s="40">
        <v>6.89</v>
      </c>
      <c r="G35" s="21">
        <v>12.653484151186916</v>
      </c>
      <c r="H35" s="21">
        <v>62.81415680294441</v>
      </c>
      <c r="I35" s="21">
        <v>0.92738730230551547</v>
      </c>
      <c r="J35" s="21">
        <v>3.3567200118848528</v>
      </c>
      <c r="K35" s="21">
        <v>5.0138715356930241</v>
      </c>
      <c r="L35" s="21">
        <v>15.234380195985281</v>
      </c>
      <c r="M35" s="18">
        <f t="shared" si="0"/>
        <v>100</v>
      </c>
      <c r="N35" s="21">
        <v>48.840923768690324</v>
      </c>
      <c r="O35" s="21">
        <v>5.6996912368617387</v>
      </c>
      <c r="P35" s="21">
        <v>0.32006020347344649</v>
      </c>
      <c r="Q35" s="21">
        <v>5.6043578747936698</v>
      </c>
      <c r="R35" s="21">
        <v>38.096499226683662</v>
      </c>
      <c r="S35" s="21">
        <v>1.438467689497176</v>
      </c>
      <c r="T35" s="18">
        <f t="shared" si="1"/>
        <v>100.00000000000001</v>
      </c>
      <c r="U35" s="2">
        <f>9.487*10</f>
        <v>94.87</v>
      </c>
      <c r="V35" s="2">
        <f>88.26*10</f>
        <v>882.6</v>
      </c>
      <c r="W35" s="2">
        <f>78.77*10</f>
        <v>787.69999999999993</v>
      </c>
      <c r="X35" s="2">
        <f>24.07*10</f>
        <v>240.7</v>
      </c>
      <c r="Y35" s="37">
        <v>5.4669999999999996</v>
      </c>
      <c r="Z35" s="2">
        <v>13.696999999999999</v>
      </c>
      <c r="AA35" s="2">
        <v>3.8519999999999999</v>
      </c>
      <c r="AB35" s="2">
        <v>0</v>
      </c>
      <c r="AC35" s="2">
        <v>0</v>
      </c>
      <c r="AD35" s="2">
        <v>0</v>
      </c>
      <c r="AE35" s="2">
        <v>0</v>
      </c>
      <c r="AF35" s="2">
        <v>1.02</v>
      </c>
      <c r="AG35" s="18">
        <v>3.794</v>
      </c>
    </row>
    <row r="36" spans="1:33" x14ac:dyDescent="0.3">
      <c r="B36" s="42">
        <v>45198</v>
      </c>
      <c r="C36" s="40">
        <f t="shared" si="2"/>
        <v>43</v>
      </c>
      <c r="D36" s="40">
        <v>6.97</v>
      </c>
      <c r="G36" s="21">
        <v>13.315175164611443</v>
      </c>
      <c r="H36" s="21">
        <v>62.649179711342498</v>
      </c>
      <c r="I36" s="21">
        <v>0.71241547277411399</v>
      </c>
      <c r="J36" s="21">
        <v>2.48391293602399</v>
      </c>
      <c r="K36" s="21">
        <v>5.1492241321921508</v>
      </c>
      <c r="L36" s="21">
        <v>15.690092583055829</v>
      </c>
      <c r="M36" s="18">
        <f t="shared" si="0"/>
        <v>100.00000000000001</v>
      </c>
      <c r="N36" s="21">
        <v>25.651455232270969</v>
      </c>
      <c r="O36" s="21">
        <v>28.4508655939111</v>
      </c>
      <c r="P36" s="21">
        <v>0.68564844087494059</v>
      </c>
      <c r="Q36" s="21">
        <v>21.415571738720246</v>
      </c>
      <c r="R36" s="21">
        <v>20.366394721807872</v>
      </c>
      <c r="S36" s="21">
        <v>3.4300642724148496</v>
      </c>
      <c r="T36" s="18">
        <f t="shared" si="1"/>
        <v>99.999999999999972</v>
      </c>
    </row>
    <row r="37" spans="1:33" x14ac:dyDescent="0.3">
      <c r="B37" s="42">
        <v>45201</v>
      </c>
      <c r="C37" s="40">
        <f t="shared" si="2"/>
        <v>46</v>
      </c>
      <c r="D37" s="40">
        <v>7.04</v>
      </c>
      <c r="G37" s="21">
        <v>12.618760927220166</v>
      </c>
      <c r="H37" s="21">
        <v>62.117463841250611</v>
      </c>
      <c r="I37" s="21">
        <v>2.7000026809855178</v>
      </c>
      <c r="J37" s="21">
        <v>2.7532487417713365</v>
      </c>
      <c r="K37" s="21">
        <v>4.8256500469492165</v>
      </c>
      <c r="L37" s="21">
        <v>14.984873761823152</v>
      </c>
      <c r="M37" s="18">
        <f t="shared" ref="M37:M57" si="3">SUM(G37:L37)</f>
        <v>100</v>
      </c>
      <c r="N37" s="21">
        <v>62.507146035733371</v>
      </c>
      <c r="O37" s="21">
        <v>2.9367863222143726</v>
      </c>
      <c r="P37" s="21">
        <v>0.41196243049164566</v>
      </c>
      <c r="Q37" s="21">
        <v>12.539059585273126</v>
      </c>
      <c r="R37" s="21">
        <v>20.879841446575377</v>
      </c>
      <c r="S37" s="21">
        <v>0.72520417971209705</v>
      </c>
      <c r="T37" s="18">
        <f t="shared" ref="T37:T57" si="4">SUM(N37:S37)</f>
        <v>99.999999999999986</v>
      </c>
    </row>
    <row r="38" spans="1:33" x14ac:dyDescent="0.3">
      <c r="B38" s="42">
        <v>45202</v>
      </c>
      <c r="C38" s="40">
        <f t="shared" ref="C38:C69" si="5">B38-$B$5</f>
        <v>47</v>
      </c>
      <c r="D38" s="40">
        <v>7.05</v>
      </c>
      <c r="E38" s="37">
        <v>7.06</v>
      </c>
      <c r="F38" s="18">
        <v>1.5</v>
      </c>
      <c r="G38" s="21">
        <v>12.390689568398372</v>
      </c>
      <c r="H38" s="21">
        <v>59.781153029858423</v>
      </c>
      <c r="I38" s="21">
        <v>1.6878901288234136</v>
      </c>
      <c r="J38" s="21">
        <v>6.0798596010094217</v>
      </c>
      <c r="K38" s="21">
        <v>5.1090140602007681</v>
      </c>
      <c r="L38" s="21">
        <v>14.951393611709591</v>
      </c>
      <c r="M38" s="18">
        <f t="shared" si="3"/>
        <v>99.999999999999986</v>
      </c>
      <c r="N38" s="21">
        <v>19.742916910353415</v>
      </c>
      <c r="O38" s="21">
        <v>5.3077756150882029</v>
      </c>
      <c r="P38" s="21">
        <v>0.55421399499406976</v>
      </c>
      <c r="Q38" s="21">
        <v>20.292786829848222</v>
      </c>
      <c r="R38" s="21">
        <v>52.536877239870073</v>
      </c>
      <c r="S38" s="21">
        <v>1.5654294098460007</v>
      </c>
      <c r="T38" s="18">
        <f t="shared" si="4"/>
        <v>99.999999999999986</v>
      </c>
      <c r="U38" s="2">
        <f>16.88*10</f>
        <v>168.79999999999998</v>
      </c>
      <c r="V38" s="2">
        <f>48.67*10</f>
        <v>486.70000000000005</v>
      </c>
      <c r="W38" s="2">
        <f>31.79*10</f>
        <v>317.89999999999998</v>
      </c>
      <c r="X38" s="2">
        <f>21.57*10</f>
        <v>215.7</v>
      </c>
      <c r="Y38" s="37">
        <v>9.8000000000000007</v>
      </c>
      <c r="Z38" s="2">
        <v>0</v>
      </c>
      <c r="AA38" s="2">
        <v>10.169</v>
      </c>
      <c r="AB38" s="2">
        <v>0</v>
      </c>
      <c r="AC38" s="2">
        <v>60.106000000000002</v>
      </c>
      <c r="AD38" s="2">
        <v>0</v>
      </c>
      <c r="AE38" s="2">
        <v>0</v>
      </c>
      <c r="AF38" s="2">
        <v>0</v>
      </c>
      <c r="AG38" s="18">
        <v>1.105</v>
      </c>
    </row>
    <row r="39" spans="1:33" x14ac:dyDescent="0.3">
      <c r="B39" s="42">
        <v>45203</v>
      </c>
      <c r="C39" s="40">
        <f t="shared" si="5"/>
        <v>48</v>
      </c>
      <c r="D39" s="40">
        <v>6.93</v>
      </c>
      <c r="E39" s="22"/>
      <c r="G39" s="21">
        <v>12.650660237888662</v>
      </c>
      <c r="H39" s="21">
        <v>56.248450101570391</v>
      </c>
      <c r="I39" s="21">
        <v>2.4347927743749</v>
      </c>
      <c r="J39" s="21">
        <v>8.8083965422278467</v>
      </c>
      <c r="K39" s="21">
        <v>4.8953646451205497</v>
      </c>
      <c r="L39" s="21">
        <v>14.962335698817652</v>
      </c>
      <c r="M39" s="18">
        <f t="shared" si="3"/>
        <v>100</v>
      </c>
      <c r="N39" s="21">
        <v>24.421970550066909</v>
      </c>
      <c r="O39" s="21">
        <v>5.8892319510611166</v>
      </c>
      <c r="P39" s="21">
        <v>1.1396337906031067</v>
      </c>
      <c r="Q39" s="21">
        <v>18.835639175736404</v>
      </c>
      <c r="R39" s="21">
        <v>48.139937599024464</v>
      </c>
      <c r="S39" s="21">
        <v>1.5735869335080064</v>
      </c>
      <c r="T39" s="18">
        <f t="shared" si="4"/>
        <v>100.00000000000001</v>
      </c>
    </row>
    <row r="40" spans="1:33" x14ac:dyDescent="0.3">
      <c r="B40" s="42">
        <v>45204</v>
      </c>
      <c r="C40" s="40">
        <f t="shared" si="5"/>
        <v>49</v>
      </c>
      <c r="D40" s="40">
        <v>7.1</v>
      </c>
      <c r="G40" s="21">
        <v>9.743105467318637</v>
      </c>
      <c r="H40" s="21">
        <v>62.08781003569014</v>
      </c>
      <c r="I40" s="21">
        <v>2.7799498770678737</v>
      </c>
      <c r="J40" s="21">
        <v>10.138988309072019</v>
      </c>
      <c r="K40" s="21">
        <v>3.7618296712614159</v>
      </c>
      <c r="L40" s="21">
        <v>11.488316639589913</v>
      </c>
      <c r="M40" s="18">
        <f t="shared" si="3"/>
        <v>100</v>
      </c>
      <c r="N40" s="21">
        <v>12.875975112853059</v>
      </c>
      <c r="O40" s="21">
        <v>4.3005227840264952</v>
      </c>
      <c r="P40" s="21">
        <v>1.1641424036508901</v>
      </c>
      <c r="Q40" s="21">
        <v>14.390946214508544</v>
      </c>
      <c r="R40" s="21">
        <v>66.330138803771106</v>
      </c>
      <c r="S40" s="21">
        <v>0.93827468118990331</v>
      </c>
      <c r="T40" s="18">
        <f t="shared" si="4"/>
        <v>100</v>
      </c>
      <c r="U40" s="2">
        <f>5.765*10</f>
        <v>57.65</v>
      </c>
      <c r="V40" s="2">
        <f>23.12*10</f>
        <v>231.20000000000002</v>
      </c>
      <c r="W40" s="2">
        <f>17.35*10</f>
        <v>173.5</v>
      </c>
      <c r="X40" s="2">
        <f>19.38*10</f>
        <v>193.79999999999998</v>
      </c>
      <c r="Y40" s="37">
        <v>8.75</v>
      </c>
      <c r="Z40" s="2">
        <v>0.13700000000000001</v>
      </c>
      <c r="AA40" s="2">
        <v>3.6440000000000001</v>
      </c>
      <c r="AB40" s="2">
        <v>0.2</v>
      </c>
      <c r="AC40" s="2">
        <v>55.076999999999998</v>
      </c>
      <c r="AD40" s="2">
        <v>0</v>
      </c>
      <c r="AE40" s="2">
        <v>0</v>
      </c>
      <c r="AF40" s="2">
        <v>0</v>
      </c>
      <c r="AG40" s="18">
        <v>0</v>
      </c>
    </row>
    <row r="41" spans="1:33" x14ac:dyDescent="0.3">
      <c r="B41" s="42">
        <v>45205</v>
      </c>
      <c r="C41" s="40">
        <f t="shared" si="5"/>
        <v>50</v>
      </c>
      <c r="D41" s="40">
        <v>7.13</v>
      </c>
      <c r="G41" s="21">
        <v>11.792314453662078</v>
      </c>
      <c r="H41" s="21">
        <v>65.843427962488065</v>
      </c>
      <c r="I41" s="21">
        <v>0.38230557350460664</v>
      </c>
      <c r="J41" s="21">
        <v>3.4114487908288886</v>
      </c>
      <c r="K41" s="21">
        <v>4.5887404641557517</v>
      </c>
      <c r="L41" s="21">
        <v>13.981762755360602</v>
      </c>
      <c r="M41" s="18">
        <f t="shared" si="3"/>
        <v>99.999999999999986</v>
      </c>
      <c r="N41" s="21">
        <v>14.915815137507046</v>
      </c>
      <c r="O41" s="21">
        <v>5.0220796996217718</v>
      </c>
      <c r="P41" s="21">
        <v>0.60693965860993371</v>
      </c>
      <c r="Q41" s="21">
        <v>16.556576023929551</v>
      </c>
      <c r="R41" s="21">
        <v>61.511431739787668</v>
      </c>
      <c r="S41" s="21">
        <v>1.387157740544029</v>
      </c>
      <c r="T41" s="18">
        <f t="shared" si="4"/>
        <v>100</v>
      </c>
    </row>
    <row r="42" spans="1:33" x14ac:dyDescent="0.3">
      <c r="B42" s="42">
        <v>45208</v>
      </c>
      <c r="C42" s="40">
        <f t="shared" si="5"/>
        <v>53</v>
      </c>
      <c r="D42" s="40">
        <v>6.99</v>
      </c>
      <c r="G42" s="21">
        <v>11.626563153044101</v>
      </c>
      <c r="H42" s="21">
        <v>68.733549350696336</v>
      </c>
      <c r="I42" s="21">
        <v>0.29873772475210669</v>
      </c>
      <c r="J42" s="21">
        <v>1.0490667805505398</v>
      </c>
      <c r="K42" s="21">
        <v>4.5264379852497099</v>
      </c>
      <c r="L42" s="21">
        <v>13.765645005707208</v>
      </c>
      <c r="M42" s="18">
        <f t="shared" si="3"/>
        <v>100.00000000000001</v>
      </c>
      <c r="N42" s="21">
        <v>14.156224064744491</v>
      </c>
      <c r="O42" s="21">
        <v>11.268986654297574</v>
      </c>
      <c r="P42" s="21">
        <v>0.76042001761627376</v>
      </c>
      <c r="Q42" s="21">
        <v>13.230358169065342</v>
      </c>
      <c r="R42" s="21">
        <v>59.507282035181255</v>
      </c>
      <c r="S42" s="21">
        <v>1.0767290590950682</v>
      </c>
      <c r="T42" s="18">
        <f t="shared" si="4"/>
        <v>100</v>
      </c>
    </row>
    <row r="43" spans="1:33" x14ac:dyDescent="0.3">
      <c r="B43" s="42">
        <v>45209</v>
      </c>
      <c r="C43" s="40">
        <f t="shared" si="5"/>
        <v>54</v>
      </c>
      <c r="D43" s="40">
        <v>6.93</v>
      </c>
      <c r="E43" s="37">
        <v>7.85</v>
      </c>
      <c r="F43" s="18">
        <v>1.7</v>
      </c>
      <c r="G43" s="21">
        <v>11.956575039885641</v>
      </c>
      <c r="H43" s="21">
        <v>66.602854248503277</v>
      </c>
      <c r="I43" s="21">
        <v>0.61004721115164229</v>
      </c>
      <c r="J43" s="21">
        <v>2.207073542176019</v>
      </c>
      <c r="K43" s="21">
        <v>4.5396624000133006</v>
      </c>
      <c r="L43" s="21">
        <v>14.083787558270124</v>
      </c>
      <c r="M43" s="18">
        <f t="shared" si="3"/>
        <v>100</v>
      </c>
      <c r="N43" s="21">
        <v>18.60467610553782</v>
      </c>
      <c r="O43" s="21">
        <v>4.6172042980400896</v>
      </c>
      <c r="P43" s="21">
        <v>0.20846446665048141</v>
      </c>
      <c r="Q43" s="21">
        <v>4.7778435073898642</v>
      </c>
      <c r="R43" s="21">
        <v>70.723465631186087</v>
      </c>
      <c r="S43" s="21">
        <v>1.0683459911956636</v>
      </c>
      <c r="T43" s="18">
        <f t="shared" si="4"/>
        <v>100.00000000000001</v>
      </c>
      <c r="U43" s="2">
        <f>8.035*10</f>
        <v>80.349999999999994</v>
      </c>
      <c r="V43" s="2">
        <f>26.42*10</f>
        <v>264.20000000000005</v>
      </c>
      <c r="W43" s="2">
        <f>18.39*10</f>
        <v>183.9</v>
      </c>
      <c r="X43" s="2">
        <f>16.13*10</f>
        <v>161.29999999999998</v>
      </c>
      <c r="Y43" s="37">
        <v>8.0129999999999999</v>
      </c>
      <c r="Z43" s="2">
        <v>0.52700000000000002</v>
      </c>
      <c r="AA43" s="2">
        <v>4.5469999999999997</v>
      </c>
      <c r="AB43" s="2">
        <v>0.22</v>
      </c>
      <c r="AC43" s="2">
        <v>7.3639999999999999</v>
      </c>
      <c r="AD43" s="2">
        <v>0</v>
      </c>
      <c r="AE43" s="2">
        <v>0</v>
      </c>
      <c r="AF43" s="2">
        <v>0.96899999999999997</v>
      </c>
      <c r="AG43" s="18">
        <v>0</v>
      </c>
    </row>
    <row r="44" spans="1:33" x14ac:dyDescent="0.3">
      <c r="B44" s="42">
        <v>45210</v>
      </c>
      <c r="C44" s="40">
        <f t="shared" si="5"/>
        <v>55</v>
      </c>
      <c r="D44" s="40">
        <v>7.08</v>
      </c>
      <c r="G44" s="21">
        <v>11.878159163145284</v>
      </c>
      <c r="H44" s="21">
        <v>63.210389678824072</v>
      </c>
      <c r="I44" s="21">
        <v>1.3282628353581432</v>
      </c>
      <c r="J44" s="21">
        <v>4.8238593532938312</v>
      </c>
      <c r="K44" s="21">
        <v>4.7115346352183698</v>
      </c>
      <c r="L44" s="21">
        <v>14.047794334160296</v>
      </c>
      <c r="M44" s="18">
        <f t="shared" si="3"/>
        <v>100</v>
      </c>
      <c r="N44" s="21">
        <v>20.257955730455169</v>
      </c>
      <c r="O44" s="21">
        <v>5.3957721773058793</v>
      </c>
      <c r="P44" s="21">
        <v>0.35943527716306206</v>
      </c>
      <c r="Q44" s="21">
        <v>9.0053799434025876</v>
      </c>
      <c r="R44" s="21">
        <v>63.872829307251401</v>
      </c>
      <c r="S44" s="21">
        <v>1.1086275644219103</v>
      </c>
      <c r="T44" s="18">
        <f t="shared" si="4"/>
        <v>100</v>
      </c>
    </row>
    <row r="45" spans="1:33" x14ac:dyDescent="0.3">
      <c r="B45" s="42">
        <v>45211</v>
      </c>
      <c r="C45" s="40">
        <f t="shared" si="5"/>
        <v>56</v>
      </c>
      <c r="D45" s="40">
        <v>7.11</v>
      </c>
      <c r="G45" s="21">
        <v>11.8938603002637</v>
      </c>
      <c r="H45" s="21">
        <v>63.758720623892295</v>
      </c>
      <c r="I45" s="21">
        <v>1.8389690720431335</v>
      </c>
      <c r="J45" s="21">
        <v>3.8155642709813247</v>
      </c>
      <c r="K45" s="21">
        <v>4.6577840788881453</v>
      </c>
      <c r="L45" s="21">
        <v>14.035101653931401</v>
      </c>
      <c r="M45" s="18">
        <f t="shared" si="3"/>
        <v>100</v>
      </c>
      <c r="N45" s="21">
        <v>23.329087202546912</v>
      </c>
      <c r="O45" s="21">
        <v>4.8806283908104531</v>
      </c>
      <c r="P45" s="21">
        <v>0.42036827606723814</v>
      </c>
      <c r="Q45" s="21">
        <v>10.527112640040722</v>
      </c>
      <c r="R45" s="21">
        <v>59.913136666201275</v>
      </c>
      <c r="S45" s="21">
        <v>0.92966682433340708</v>
      </c>
      <c r="T45" s="18">
        <f t="shared" si="4"/>
        <v>100.00000000000001</v>
      </c>
      <c r="U45" s="2">
        <f>8.926*10</f>
        <v>89.26</v>
      </c>
      <c r="V45" s="2">
        <f>25.74*10</f>
        <v>257.39999999999998</v>
      </c>
      <c r="W45" s="2">
        <f>16.81*10</f>
        <v>168.1</v>
      </c>
      <c r="X45" s="2">
        <f>23.59*10</f>
        <v>235.9</v>
      </c>
      <c r="Y45" s="37">
        <v>2.609</v>
      </c>
      <c r="Z45" s="2">
        <v>0.17499999999999999</v>
      </c>
      <c r="AA45" s="2">
        <v>7.9470000000000001</v>
      </c>
      <c r="AB45" s="2">
        <v>0</v>
      </c>
      <c r="AC45" s="2">
        <v>7.3120000000000003</v>
      </c>
      <c r="AD45" s="2">
        <v>0</v>
      </c>
      <c r="AE45" s="2">
        <v>0</v>
      </c>
      <c r="AF45" s="2">
        <v>0</v>
      </c>
      <c r="AG45" s="18">
        <v>3.774</v>
      </c>
    </row>
    <row r="46" spans="1:33" x14ac:dyDescent="0.3">
      <c r="B46" s="42">
        <v>45215</v>
      </c>
      <c r="C46" s="40">
        <f t="shared" si="5"/>
        <v>60</v>
      </c>
      <c r="D46" s="40">
        <v>6.84</v>
      </c>
      <c r="G46" s="21">
        <v>10.575159657097245</v>
      </c>
      <c r="H46" s="21">
        <v>70.86893997916917</v>
      </c>
      <c r="I46" s="21">
        <v>0.41414645284432328</v>
      </c>
      <c r="J46" s="21">
        <v>1.469305703891914</v>
      </c>
      <c r="K46" s="21">
        <v>4.1340055280818859</v>
      </c>
      <c r="L46" s="21">
        <v>12.538442678915477</v>
      </c>
      <c r="M46" s="18">
        <f t="shared" si="3"/>
        <v>100.00000000000001</v>
      </c>
      <c r="N46" s="21">
        <v>15.642832391305179</v>
      </c>
      <c r="O46" s="21">
        <v>5.1483336783264066</v>
      </c>
      <c r="P46" s="21">
        <v>0.30547457573121484</v>
      </c>
      <c r="Q46" s="21">
        <v>12.07432497148603</v>
      </c>
      <c r="R46" s="21">
        <v>65.377391316645358</v>
      </c>
      <c r="S46" s="21">
        <v>1.4516430665057958</v>
      </c>
      <c r="T46" s="18">
        <f t="shared" si="4"/>
        <v>99.999999999999986</v>
      </c>
    </row>
    <row r="47" spans="1:33" x14ac:dyDescent="0.3">
      <c r="B47" s="42">
        <v>45216</v>
      </c>
      <c r="C47" s="40">
        <f t="shared" si="5"/>
        <v>61</v>
      </c>
      <c r="D47" s="40">
        <v>7.05</v>
      </c>
      <c r="E47" s="37">
        <v>7.18</v>
      </c>
      <c r="F47" s="18">
        <v>1.71</v>
      </c>
      <c r="G47" s="21">
        <v>12.560172434000776</v>
      </c>
      <c r="H47" s="21">
        <v>64.926679889272037</v>
      </c>
      <c r="I47" s="21">
        <v>0.57547150211992903</v>
      </c>
      <c r="J47" s="21">
        <v>2.0517322467610102</v>
      </c>
      <c r="K47" s="21">
        <v>4.9452950876691606</v>
      </c>
      <c r="L47" s="21">
        <v>14.940648840177092</v>
      </c>
      <c r="M47" s="18">
        <f t="shared" si="3"/>
        <v>100</v>
      </c>
      <c r="N47" s="21">
        <v>21.551838911041489</v>
      </c>
      <c r="O47" s="21">
        <v>5.6914262025615789</v>
      </c>
      <c r="P47" s="21">
        <v>0.2245604791977748</v>
      </c>
      <c r="Q47" s="21">
        <v>4.4293727437808821</v>
      </c>
      <c r="R47" s="21">
        <v>66.771346119804733</v>
      </c>
      <c r="S47" s="21">
        <v>1.3314555436135369</v>
      </c>
      <c r="T47" s="18">
        <f t="shared" si="4"/>
        <v>100</v>
      </c>
      <c r="U47" s="2">
        <f>9.654*10</f>
        <v>96.539999999999992</v>
      </c>
      <c r="V47" s="2">
        <f>24.41*10</f>
        <v>244.1</v>
      </c>
      <c r="W47" s="2">
        <f>14.76*10</f>
        <v>147.6</v>
      </c>
      <c r="X47" s="2">
        <f>29.3*10</f>
        <v>293</v>
      </c>
      <c r="Y47" s="37">
        <v>8.5879999999999992</v>
      </c>
      <c r="Z47" s="2">
        <v>7.3689999999999998</v>
      </c>
      <c r="AA47" s="2">
        <v>8.1839999999999993</v>
      </c>
      <c r="AB47" s="2">
        <v>0.19700000000000001</v>
      </c>
      <c r="AC47" s="2">
        <v>5.9690000000000003</v>
      </c>
      <c r="AD47" s="2">
        <v>0</v>
      </c>
      <c r="AE47" s="2">
        <v>0</v>
      </c>
      <c r="AF47" s="2">
        <v>0</v>
      </c>
      <c r="AG47" s="18">
        <v>0</v>
      </c>
    </row>
    <row r="48" spans="1:33" x14ac:dyDescent="0.3">
      <c r="B48" s="42">
        <v>45217</v>
      </c>
      <c r="C48" s="40">
        <f t="shared" si="5"/>
        <v>62</v>
      </c>
      <c r="D48" s="40">
        <v>7.08</v>
      </c>
      <c r="G48" s="21">
        <v>11.59832434180043</v>
      </c>
      <c r="H48" s="21">
        <v>68.399157340699233</v>
      </c>
      <c r="I48" s="21">
        <v>0.46803116962590557</v>
      </c>
      <c r="J48" s="21">
        <v>0.94706309977471181</v>
      </c>
      <c r="K48" s="21">
        <v>4.7060480434083107</v>
      </c>
      <c r="L48" s="21">
        <v>13.881376004691401</v>
      </c>
      <c r="M48" s="18">
        <f t="shared" si="3"/>
        <v>100</v>
      </c>
      <c r="N48" s="21">
        <v>23.896209176588112</v>
      </c>
      <c r="O48" s="21">
        <v>5.7988755697054044</v>
      </c>
      <c r="P48" s="21">
        <v>0.21788094347161829</v>
      </c>
      <c r="Q48" s="21">
        <v>4.9517424997040402</v>
      </c>
      <c r="R48" s="21">
        <v>63.632402621190153</v>
      </c>
      <c r="S48" s="21">
        <v>1.5028891893406857</v>
      </c>
      <c r="T48" s="18">
        <f t="shared" si="4"/>
        <v>100.00000000000003</v>
      </c>
    </row>
    <row r="49" spans="1:33" x14ac:dyDescent="0.3">
      <c r="B49" s="42">
        <v>45218</v>
      </c>
      <c r="C49" s="40">
        <f t="shared" si="5"/>
        <v>63</v>
      </c>
      <c r="D49" s="40">
        <v>7.19</v>
      </c>
      <c r="G49" s="24">
        <v>11.93318651816201</v>
      </c>
      <c r="H49" s="24">
        <v>66.803205716162267</v>
      </c>
      <c r="I49" s="24">
        <v>6.7155015219968625E-2</v>
      </c>
      <c r="J49" s="24">
        <v>2.4087781214200112</v>
      </c>
      <c r="K49" s="24">
        <v>4.6262933349539272</v>
      </c>
      <c r="L49" s="24">
        <v>14.161381294081824</v>
      </c>
      <c r="M49" s="18">
        <f t="shared" si="3"/>
        <v>100.00000000000001</v>
      </c>
      <c r="N49" s="21">
        <v>18.240199014709543</v>
      </c>
      <c r="O49" s="21">
        <v>5.0861938020295296</v>
      </c>
      <c r="P49" s="21">
        <v>0.29711835085057642</v>
      </c>
      <c r="Q49" s="21">
        <v>5.3480473145139822</v>
      </c>
      <c r="R49" s="21">
        <v>69.866318367324737</v>
      </c>
      <c r="S49" s="21">
        <v>1.1621231505716294</v>
      </c>
      <c r="T49" s="18">
        <f t="shared" si="4"/>
        <v>100</v>
      </c>
      <c r="U49" s="2">
        <f>7.253*10</f>
        <v>72.53</v>
      </c>
      <c r="V49" s="2">
        <f>22.54*10</f>
        <v>225.39999999999998</v>
      </c>
      <c r="W49" s="2">
        <f>15.29*10</f>
        <v>152.89999999999998</v>
      </c>
      <c r="X49" s="2">
        <f>28.15*10</f>
        <v>281.5</v>
      </c>
      <c r="Y49" s="37">
        <v>6.8090000000000002</v>
      </c>
      <c r="Z49" s="2">
        <v>23.466000000000001</v>
      </c>
      <c r="AA49" s="2">
        <v>20.783999999999999</v>
      </c>
      <c r="AB49" s="2">
        <v>0</v>
      </c>
      <c r="AC49" s="2">
        <v>1.222</v>
      </c>
      <c r="AD49" s="2">
        <v>0</v>
      </c>
      <c r="AE49" s="2">
        <v>0</v>
      </c>
      <c r="AF49" s="2">
        <v>1.48</v>
      </c>
      <c r="AG49" s="18">
        <v>0</v>
      </c>
    </row>
    <row r="50" spans="1:33" x14ac:dyDescent="0.3">
      <c r="B50" s="42">
        <v>45219</v>
      </c>
      <c r="C50" s="40">
        <f t="shared" si="5"/>
        <v>64</v>
      </c>
      <c r="D50" s="40">
        <v>7.05</v>
      </c>
      <c r="G50" s="21">
        <v>10.814215105268531</v>
      </c>
      <c r="H50" s="21">
        <v>68.420551003116159</v>
      </c>
      <c r="I50" s="21">
        <v>0.80635475144775626</v>
      </c>
      <c r="J50" s="21">
        <v>2.9388714428834377</v>
      </c>
      <c r="K50" s="21">
        <v>4.1771276005725344</v>
      </c>
      <c r="L50" s="21">
        <v>12.842880096711593</v>
      </c>
      <c r="M50" s="18">
        <f t="shared" si="3"/>
        <v>100.00000000000001</v>
      </c>
      <c r="N50" s="21">
        <v>19.663302789495475</v>
      </c>
      <c r="O50" s="21">
        <v>7.6495870800428243</v>
      </c>
      <c r="P50" s="21">
        <v>0.5381325693159954</v>
      </c>
      <c r="Q50" s="21">
        <v>10.089978967494419</v>
      </c>
      <c r="R50" s="21">
        <v>60.907922595639029</v>
      </c>
      <c r="S50" s="21">
        <v>1.1510759980122705</v>
      </c>
      <c r="T50" s="18">
        <f t="shared" si="4"/>
        <v>100.00000000000001</v>
      </c>
    </row>
    <row r="51" spans="1:33" x14ac:dyDescent="0.3">
      <c r="A51" s="41" t="s">
        <v>39</v>
      </c>
      <c r="B51" s="19">
        <v>45222</v>
      </c>
      <c r="C51" s="40">
        <f t="shared" si="5"/>
        <v>67</v>
      </c>
      <c r="D51" s="40">
        <v>6.93</v>
      </c>
      <c r="G51" s="21">
        <v>12.702931922538143</v>
      </c>
      <c r="H51" s="21">
        <v>65.570465596000645</v>
      </c>
      <c r="I51" s="21">
        <v>0.35505297174754757</v>
      </c>
      <c r="J51" s="21">
        <v>1.3052790565483627</v>
      </c>
      <c r="K51" s="21">
        <v>4.9419693868757593</v>
      </c>
      <c r="L51" s="21">
        <v>15.124301066289563</v>
      </c>
      <c r="M51" s="18">
        <f t="shared" si="3"/>
        <v>100.00000000000001</v>
      </c>
      <c r="N51" s="21">
        <v>6.7834063716276001</v>
      </c>
      <c r="O51" s="21">
        <v>67.587551689500387</v>
      </c>
      <c r="P51" s="21">
        <v>0.23629748956002242</v>
      </c>
      <c r="Q51" s="21">
        <v>5.0486698541831316</v>
      </c>
      <c r="R51" s="21">
        <v>5.5597398001347633</v>
      </c>
      <c r="S51" s="21">
        <v>14.784334794994081</v>
      </c>
      <c r="T51" s="18">
        <f t="shared" si="4"/>
        <v>99.999999999999986</v>
      </c>
    </row>
    <row r="52" spans="1:33" x14ac:dyDescent="0.3">
      <c r="B52" s="19">
        <v>45223</v>
      </c>
      <c r="C52" s="40">
        <f t="shared" si="5"/>
        <v>68</v>
      </c>
      <c r="D52" s="40">
        <v>6.8</v>
      </c>
      <c r="E52" s="37">
        <v>6.82</v>
      </c>
      <c r="F52" s="18">
        <v>1.65</v>
      </c>
      <c r="G52" s="21">
        <v>12.573681743302192</v>
      </c>
      <c r="H52" s="21">
        <v>64.17621428419875</v>
      </c>
      <c r="I52" s="21">
        <v>0.70828317746759484</v>
      </c>
      <c r="J52" s="21">
        <v>2.5610275333716723</v>
      </c>
      <c r="K52" s="21">
        <v>4.9549624247289472</v>
      </c>
      <c r="L52" s="21">
        <v>15.025830836930835</v>
      </c>
      <c r="M52" s="18">
        <f t="shared" si="3"/>
        <v>99.999999999999986</v>
      </c>
      <c r="N52" s="21">
        <v>22.860736272882939</v>
      </c>
      <c r="O52" s="21">
        <v>58.925837052527541</v>
      </c>
      <c r="P52" s="21">
        <v>0.21125417732319654</v>
      </c>
      <c r="Q52" s="21">
        <v>3.6508306566368982</v>
      </c>
      <c r="R52" s="21">
        <v>13.395395749914945</v>
      </c>
      <c r="S52" s="21">
        <v>0.95594609071447345</v>
      </c>
      <c r="T52" s="18">
        <f t="shared" si="4"/>
        <v>99.999999999999986</v>
      </c>
      <c r="U52" s="2">
        <f>16.49*10</f>
        <v>164.89999999999998</v>
      </c>
      <c r="V52" s="2">
        <f>25.32*10</f>
        <v>253.2</v>
      </c>
      <c r="W52" s="2">
        <f>8.83*10</f>
        <v>88.3</v>
      </c>
      <c r="X52" s="2">
        <f>28.35*10</f>
        <v>283.5</v>
      </c>
      <c r="Y52" s="37">
        <v>6.9939999999999998</v>
      </c>
      <c r="Z52" s="2">
        <v>37.692999999999998</v>
      </c>
      <c r="AA52" s="2">
        <v>35.631999999999998</v>
      </c>
      <c r="AB52" s="2">
        <v>0</v>
      </c>
      <c r="AC52" s="2">
        <v>4.5039999999999996</v>
      </c>
      <c r="AD52" s="2">
        <v>0</v>
      </c>
      <c r="AE52" s="2">
        <v>0</v>
      </c>
      <c r="AF52" s="2">
        <v>1.5409999999999999</v>
      </c>
      <c r="AG52" s="18">
        <v>3.9670000000000001</v>
      </c>
    </row>
    <row r="53" spans="1:33" x14ac:dyDescent="0.3">
      <c r="B53" s="19">
        <v>45224</v>
      </c>
      <c r="C53" s="40">
        <f t="shared" si="5"/>
        <v>69</v>
      </c>
      <c r="D53" s="40">
        <v>6.77</v>
      </c>
      <c r="G53" s="21">
        <v>10.955973613383458</v>
      </c>
      <c r="H53" s="21">
        <v>65.744054524963346</v>
      </c>
      <c r="I53" s="21">
        <v>1.2770315681001279</v>
      </c>
      <c r="J53" s="21">
        <v>4.673328305793949</v>
      </c>
      <c r="K53" s="21">
        <v>4.2716059920923373</v>
      </c>
      <c r="L53" s="21">
        <v>13.078005995666761</v>
      </c>
      <c r="M53" s="18">
        <f t="shared" si="3"/>
        <v>99.999999999999972</v>
      </c>
      <c r="N53" s="21">
        <v>21.249337117813042</v>
      </c>
      <c r="O53" s="21">
        <v>19.619575987688727</v>
      </c>
      <c r="P53" s="21">
        <v>0.99838319866219793</v>
      </c>
      <c r="Q53" s="21">
        <v>14.662543126136592</v>
      </c>
      <c r="R53" s="21">
        <v>39.650271981964131</v>
      </c>
      <c r="S53" s="21">
        <v>3.8198885877353104</v>
      </c>
      <c r="T53" s="18">
        <f t="shared" si="4"/>
        <v>100</v>
      </c>
    </row>
    <row r="54" spans="1:33" x14ac:dyDescent="0.3">
      <c r="B54" s="19">
        <v>45225</v>
      </c>
      <c r="C54" s="40">
        <f t="shared" si="5"/>
        <v>70</v>
      </c>
      <c r="D54" s="40">
        <v>6.92</v>
      </c>
      <c r="G54" s="21">
        <v>10.475686256415006</v>
      </c>
      <c r="H54" s="21">
        <v>63.64027210073597</v>
      </c>
      <c r="I54" s="21">
        <v>2.5005806909770474</v>
      </c>
      <c r="J54" s="21">
        <v>6.7429757868363014</v>
      </c>
      <c r="K54" s="21">
        <v>4.1208635371010054</v>
      </c>
      <c r="L54" s="21">
        <v>12.51962162793467</v>
      </c>
      <c r="M54" s="18">
        <f t="shared" si="3"/>
        <v>99.999999999999986</v>
      </c>
      <c r="N54" s="21">
        <v>19.332724107859352</v>
      </c>
      <c r="O54" s="21">
        <v>4.295027508331998</v>
      </c>
      <c r="P54" s="21">
        <v>0.55307095883722235</v>
      </c>
      <c r="Q54" s="21">
        <v>17.945688299120274</v>
      </c>
      <c r="R54" s="21">
        <v>56.969418010260938</v>
      </c>
      <c r="S54" s="21">
        <v>0.90407111559020981</v>
      </c>
      <c r="T54" s="18">
        <f t="shared" si="4"/>
        <v>100</v>
      </c>
      <c r="U54" s="2">
        <f>20.61*10</f>
        <v>206.1</v>
      </c>
      <c r="V54" s="2">
        <f>26.28*10</f>
        <v>262.8</v>
      </c>
      <c r="W54" s="2">
        <f>5.669*10</f>
        <v>56.69</v>
      </c>
      <c r="X54" s="2">
        <f>25.05*10</f>
        <v>250.5</v>
      </c>
      <c r="Y54" s="37">
        <v>8.6539999999999999</v>
      </c>
      <c r="Z54" s="2">
        <v>27.696000000000002</v>
      </c>
      <c r="AA54" s="2">
        <v>20.114999999999998</v>
      </c>
      <c r="AB54" s="2">
        <v>0</v>
      </c>
      <c r="AC54" s="2">
        <v>1.413</v>
      </c>
      <c r="AD54" s="2">
        <v>0</v>
      </c>
      <c r="AE54" s="2">
        <v>0</v>
      </c>
      <c r="AF54" s="2">
        <v>0.88900000000000001</v>
      </c>
      <c r="AG54" s="18">
        <v>0</v>
      </c>
    </row>
    <row r="55" spans="1:33" x14ac:dyDescent="0.3">
      <c r="B55" s="19">
        <v>45226</v>
      </c>
      <c r="C55" s="40">
        <f t="shared" si="5"/>
        <v>71</v>
      </c>
      <c r="D55" s="40">
        <v>6.68</v>
      </c>
      <c r="G55" s="21">
        <v>11.616904349642981</v>
      </c>
      <c r="H55" s="21">
        <v>57.5754405926968</v>
      </c>
      <c r="I55" s="21">
        <v>2.6795956522682118</v>
      </c>
      <c r="J55" s="21">
        <v>9.8341308360207016</v>
      </c>
      <c r="K55" s="21">
        <v>4.5271118224380587</v>
      </c>
      <c r="L55" s="21">
        <v>13.76681674693323</v>
      </c>
      <c r="M55" s="18">
        <f t="shared" si="3"/>
        <v>99.999999999999986</v>
      </c>
      <c r="N55" s="21">
        <v>23.174129034329439</v>
      </c>
      <c r="O55" s="21">
        <v>4.2698196154907118</v>
      </c>
      <c r="P55" s="21">
        <v>0.51983829442500074</v>
      </c>
      <c r="Q55" s="21">
        <v>22.262434007745071</v>
      </c>
      <c r="R55" s="21">
        <v>48.925359711522503</v>
      </c>
      <c r="S55" s="21">
        <v>0.84841933648727785</v>
      </c>
      <c r="T55" s="18">
        <f t="shared" si="4"/>
        <v>100.00000000000001</v>
      </c>
    </row>
    <row r="56" spans="1:33" x14ac:dyDescent="0.3">
      <c r="B56" s="19">
        <v>45229</v>
      </c>
      <c r="C56" s="40">
        <f t="shared" si="5"/>
        <v>74</v>
      </c>
      <c r="G56" s="21">
        <v>12.679259204114905</v>
      </c>
      <c r="H56" s="21">
        <v>57.487398356854293</v>
      </c>
      <c r="I56" s="21">
        <v>2.1573847867719489</v>
      </c>
      <c r="J56" s="21">
        <v>7.8625996600396615</v>
      </c>
      <c r="K56" s="21">
        <v>4.8741969082329879</v>
      </c>
      <c r="L56" s="21">
        <v>14.939161083986216</v>
      </c>
      <c r="M56" s="18">
        <f t="shared" si="3"/>
        <v>100.00000000000001</v>
      </c>
      <c r="N56" s="21">
        <v>25.884791074602511</v>
      </c>
      <c r="O56" s="21">
        <v>5.631078803137112</v>
      </c>
      <c r="P56" s="21">
        <v>0.37079471128634878</v>
      </c>
      <c r="Q56" s="21">
        <v>16.417982189155534</v>
      </c>
      <c r="R56" s="21">
        <v>50.884591141031621</v>
      </c>
      <c r="S56" s="21">
        <v>0.81076208078686918</v>
      </c>
      <c r="T56" s="18">
        <f t="shared" si="4"/>
        <v>100</v>
      </c>
    </row>
    <row r="57" spans="1:33" x14ac:dyDescent="0.3">
      <c r="B57" s="19">
        <v>45230</v>
      </c>
      <c r="C57" s="40">
        <f t="shared" si="5"/>
        <v>75</v>
      </c>
      <c r="G57" s="21">
        <v>10.176133684260686</v>
      </c>
      <c r="H57" s="21">
        <v>61.168152807368322</v>
      </c>
      <c r="I57" s="21">
        <v>2.6661412790241608</v>
      </c>
      <c r="J57" s="21">
        <v>9.7474304276393156</v>
      </c>
      <c r="K57" s="21">
        <v>3.9941715808083846</v>
      </c>
      <c r="L57" s="21">
        <v>12.247970220899147</v>
      </c>
      <c r="M57" s="18">
        <f t="shared" si="3"/>
        <v>100.00000000000001</v>
      </c>
      <c r="N57" s="21">
        <v>20.895391115789241</v>
      </c>
      <c r="O57" s="21">
        <v>4.7367383039014044</v>
      </c>
      <c r="P57" s="21">
        <v>0.4853728004333574</v>
      </c>
      <c r="Q57" s="21">
        <v>22.129897197886471</v>
      </c>
      <c r="R57" s="21">
        <v>50.692293694990155</v>
      </c>
      <c r="S57" s="21">
        <v>1.0603068869993708</v>
      </c>
      <c r="T57" s="18">
        <f t="shared" si="4"/>
        <v>100</v>
      </c>
    </row>
    <row r="58" spans="1:33" x14ac:dyDescent="0.3">
      <c r="B58" s="19">
        <v>45231</v>
      </c>
      <c r="C58" s="40">
        <f t="shared" si="5"/>
        <v>76</v>
      </c>
    </row>
    <row r="59" spans="1:33" x14ac:dyDescent="0.3">
      <c r="B59" s="19">
        <v>45232</v>
      </c>
      <c r="C59" s="40">
        <f t="shared" si="5"/>
        <v>77</v>
      </c>
      <c r="D59" s="40">
        <v>7.06</v>
      </c>
      <c r="U59" s="2">
        <f>136*10</f>
        <v>1360</v>
      </c>
      <c r="V59" s="2">
        <f>141*10</f>
        <v>1410</v>
      </c>
      <c r="W59" s="2">
        <f>55.01*10</f>
        <v>550.1</v>
      </c>
      <c r="X59" s="2">
        <f>13.17*10</f>
        <v>131.69999999999999</v>
      </c>
      <c r="Y59" s="37">
        <v>2.9089999999999998</v>
      </c>
      <c r="Z59" s="2">
        <v>27.963999999999999</v>
      </c>
      <c r="AA59" s="2">
        <v>19.954999999999998</v>
      </c>
      <c r="AB59" s="2">
        <v>0</v>
      </c>
      <c r="AC59" s="2">
        <v>1.4330000000000001</v>
      </c>
      <c r="AD59" s="2">
        <v>0</v>
      </c>
      <c r="AE59" s="2">
        <v>0</v>
      </c>
      <c r="AF59" s="2">
        <v>0.85699999999999998</v>
      </c>
      <c r="AG59" s="18">
        <v>4.6660000000000004</v>
      </c>
    </row>
    <row r="60" spans="1:33" x14ac:dyDescent="0.3">
      <c r="B60" s="19">
        <v>45233</v>
      </c>
      <c r="C60" s="40">
        <f t="shared" si="5"/>
        <v>78</v>
      </c>
      <c r="D60" s="40">
        <v>6.89</v>
      </c>
      <c r="G60" s="21">
        <v>10.36058111741503</v>
      </c>
      <c r="H60" s="21">
        <v>65.134535886459972</v>
      </c>
      <c r="I60" s="21">
        <v>0.7269167203451814</v>
      </c>
      <c r="J60" s="21">
        <v>3.8508844177550876</v>
      </c>
      <c r="K60" s="21">
        <v>5.6454217735349905</v>
      </c>
      <c r="L60" s="21">
        <v>14.281660084489744</v>
      </c>
      <c r="M60" s="18">
        <f t="shared" ref="M60:M78" si="6">SUM(G60:L60)</f>
        <v>100.00000000000001</v>
      </c>
      <c r="N60" s="21">
        <v>42.442144898655101</v>
      </c>
      <c r="O60" s="21">
        <v>1.1557596429423511</v>
      </c>
      <c r="P60" s="21">
        <v>0.40186363652174828</v>
      </c>
      <c r="Q60" s="21">
        <v>15.694728612293765</v>
      </c>
      <c r="R60" s="21">
        <v>39.542038245429232</v>
      </c>
      <c r="S60" s="21">
        <v>0.76346496415778153</v>
      </c>
      <c r="T60" s="18">
        <f t="shared" ref="T60:T78" si="7">SUM(N60:S60)</f>
        <v>99.999999999999972</v>
      </c>
    </row>
    <row r="61" spans="1:33" x14ac:dyDescent="0.3">
      <c r="B61" s="42">
        <v>45236</v>
      </c>
      <c r="C61" s="40">
        <f t="shared" si="5"/>
        <v>81</v>
      </c>
      <c r="D61" s="40">
        <v>6.99</v>
      </c>
      <c r="G61" s="21">
        <v>12.482254617305911</v>
      </c>
      <c r="H61" s="21">
        <v>66.397819520139521</v>
      </c>
      <c r="I61" s="21">
        <v>0.12229208613922481</v>
      </c>
      <c r="J61" s="21">
        <v>1.9453831957995895</v>
      </c>
      <c r="K61" s="21">
        <v>4.394590298639331</v>
      </c>
      <c r="L61" s="21">
        <v>14.657660281976417</v>
      </c>
      <c r="M61" s="18">
        <f t="shared" si="6"/>
        <v>100</v>
      </c>
      <c r="N61" s="21">
        <v>54.757311395539098</v>
      </c>
      <c r="O61" s="21">
        <v>1.2173595411553821</v>
      </c>
      <c r="P61" s="21">
        <v>0.18269121260851712</v>
      </c>
      <c r="Q61" s="21">
        <v>5.1626752906178783</v>
      </c>
      <c r="R61" s="21">
        <v>37.873366275035309</v>
      </c>
      <c r="S61" s="21">
        <v>0.8065962850438122</v>
      </c>
      <c r="T61" s="18">
        <f t="shared" si="7"/>
        <v>100</v>
      </c>
    </row>
    <row r="62" spans="1:33" x14ac:dyDescent="0.3">
      <c r="B62" s="42">
        <v>45237</v>
      </c>
      <c r="C62" s="40">
        <f t="shared" si="5"/>
        <v>82</v>
      </c>
      <c r="D62" s="40">
        <v>6.8</v>
      </c>
      <c r="E62" s="37">
        <v>7.12</v>
      </c>
      <c r="F62" s="18">
        <v>1.72</v>
      </c>
      <c r="G62" s="21">
        <v>23.070324146452208</v>
      </c>
      <c r="H62" s="21">
        <v>38.333355551968069</v>
      </c>
      <c r="I62" s="21">
        <v>0.72049739972003268</v>
      </c>
      <c r="J62" s="21">
        <v>2.544340985806417</v>
      </c>
      <c r="K62" s="21">
        <v>9.202862409703215</v>
      </c>
      <c r="L62" s="21">
        <v>26.128619506350052</v>
      </c>
      <c r="M62" s="18">
        <f t="shared" si="6"/>
        <v>99.999999999999986</v>
      </c>
      <c r="N62" s="21">
        <v>57.575433561701381</v>
      </c>
      <c r="O62" s="21">
        <v>1.0177873347772746</v>
      </c>
      <c r="P62" s="21">
        <v>0.16425145279230338</v>
      </c>
      <c r="Q62" s="21">
        <v>3.0305528667623411</v>
      </c>
      <c r="R62" s="21">
        <v>37.225156438066101</v>
      </c>
      <c r="S62" s="21">
        <v>0.98681834590060435</v>
      </c>
      <c r="T62" s="18">
        <f t="shared" si="7"/>
        <v>100.00000000000001</v>
      </c>
      <c r="U62" s="2">
        <f>26.46*10</f>
        <v>264.60000000000002</v>
      </c>
      <c r="V62" s="2">
        <f>41.24*10</f>
        <v>412.40000000000003</v>
      </c>
      <c r="W62" s="2">
        <f>19.77*10</f>
        <v>197.7</v>
      </c>
      <c r="X62" s="2">
        <f>34.17*10</f>
        <v>341.70000000000005</v>
      </c>
      <c r="Y62" s="37">
        <v>1.45</v>
      </c>
      <c r="Z62" s="2">
        <v>88.707999999999998</v>
      </c>
      <c r="AA62" s="2">
        <v>94.283000000000001</v>
      </c>
      <c r="AB62" s="2">
        <v>2.9990000000000001</v>
      </c>
      <c r="AC62" s="2">
        <v>6.3170000000000002</v>
      </c>
      <c r="AD62" s="2">
        <v>4.5339999999999998</v>
      </c>
      <c r="AE62" s="2">
        <v>0.54800000000000004</v>
      </c>
      <c r="AF62" s="2">
        <v>3.1509999999999998</v>
      </c>
      <c r="AG62" s="18">
        <v>1E-3</v>
      </c>
    </row>
    <row r="63" spans="1:33" x14ac:dyDescent="0.3">
      <c r="B63" s="42">
        <v>45238</v>
      </c>
      <c r="C63" s="40">
        <f t="shared" si="5"/>
        <v>83</v>
      </c>
      <c r="D63" s="40">
        <v>7.15</v>
      </c>
      <c r="G63" s="21">
        <v>12.297639110693327</v>
      </c>
      <c r="H63" s="21">
        <v>66.028497987020032</v>
      </c>
      <c r="I63" s="21">
        <v>0.48259538676180608</v>
      </c>
      <c r="J63" s="21">
        <v>1.7663298330538022</v>
      </c>
      <c r="K63" s="21">
        <v>4.8430639194268137</v>
      </c>
      <c r="L63" s="21">
        <v>14.581873763044229</v>
      </c>
      <c r="M63" s="18">
        <f t="shared" si="6"/>
        <v>100</v>
      </c>
      <c r="N63" s="21">
        <v>22.592673605005338</v>
      </c>
      <c r="O63" s="21">
        <v>13.421583335789352</v>
      </c>
      <c r="P63" s="21">
        <v>0.74937639084337015</v>
      </c>
      <c r="Q63" s="21">
        <v>10.808199157694728</v>
      </c>
      <c r="R63" s="21">
        <v>51.458968385896931</v>
      </c>
      <c r="S63" s="21">
        <v>0.96919912477029091</v>
      </c>
      <c r="T63" s="18">
        <f t="shared" si="7"/>
        <v>100</v>
      </c>
    </row>
    <row r="64" spans="1:33" x14ac:dyDescent="0.3">
      <c r="B64" s="42">
        <v>45239</v>
      </c>
      <c r="C64" s="40">
        <f t="shared" si="5"/>
        <v>84</v>
      </c>
      <c r="D64" s="40">
        <v>7.1</v>
      </c>
      <c r="G64" s="21">
        <v>9.2697597231738182</v>
      </c>
      <c r="H64" s="21">
        <v>74.280045816100355</v>
      </c>
      <c r="I64" s="21">
        <v>0.35678905136279909</v>
      </c>
      <c r="J64" s="21">
        <v>1.2748653721068219</v>
      </c>
      <c r="K64" s="21">
        <v>3.8236393175659154</v>
      </c>
      <c r="L64" s="21">
        <v>10.994900719690284</v>
      </c>
      <c r="M64" s="18">
        <f t="shared" si="6"/>
        <v>99.999999999999986</v>
      </c>
      <c r="N64" s="21">
        <v>12.247890659630814</v>
      </c>
      <c r="O64" s="21">
        <v>10.15321698255376</v>
      </c>
      <c r="P64" s="21">
        <v>0.63853415066198915</v>
      </c>
      <c r="Q64" s="21">
        <v>21.281432988036201</v>
      </c>
      <c r="R64" s="21">
        <v>54.984248820229709</v>
      </c>
      <c r="S64" s="21">
        <v>0.69467639888752042</v>
      </c>
      <c r="T64" s="18">
        <f t="shared" si="7"/>
        <v>100</v>
      </c>
      <c r="U64" s="2">
        <f>12.06*10</f>
        <v>120.60000000000001</v>
      </c>
      <c r="V64" s="2">
        <f>24.8*10</f>
        <v>248</v>
      </c>
      <c r="W64" s="2">
        <f>12.74*10</f>
        <v>127.4</v>
      </c>
      <c r="X64" s="2">
        <f>39.45*10</f>
        <v>394.5</v>
      </c>
      <c r="Y64" s="37">
        <v>3.5659999999999998</v>
      </c>
      <c r="Z64" s="2">
        <v>47.69</v>
      </c>
      <c r="AA64" s="2">
        <v>34.606000000000002</v>
      </c>
      <c r="AB64" s="2">
        <v>0</v>
      </c>
      <c r="AC64" s="2">
        <v>1.7010000000000001</v>
      </c>
      <c r="AD64" s="2">
        <v>0.755</v>
      </c>
      <c r="AE64" s="2">
        <v>0</v>
      </c>
      <c r="AF64" s="2">
        <v>1.855</v>
      </c>
      <c r="AG64" s="18">
        <v>1E-3</v>
      </c>
    </row>
    <row r="65" spans="2:33" x14ac:dyDescent="0.3">
      <c r="B65" s="42">
        <v>45240</v>
      </c>
      <c r="C65" s="40">
        <f t="shared" si="5"/>
        <v>85</v>
      </c>
      <c r="D65" s="40">
        <v>7.08</v>
      </c>
      <c r="G65" s="21">
        <v>12.555561343031327</v>
      </c>
      <c r="H65" s="21">
        <v>64.856050174460535</v>
      </c>
      <c r="I65" s="21">
        <v>0.56707112397891857</v>
      </c>
      <c r="J65" s="21">
        <v>2.0727152137271538</v>
      </c>
      <c r="K65" s="21">
        <v>4.9487702100958941</v>
      </c>
      <c r="L65" s="21">
        <v>14.999831934706181</v>
      </c>
      <c r="M65" s="18">
        <f t="shared" si="6"/>
        <v>100</v>
      </c>
      <c r="N65" s="21">
        <v>28.865870746604955</v>
      </c>
      <c r="O65" s="21">
        <v>3.7786192624731143</v>
      </c>
      <c r="P65" s="21">
        <v>0.20251330542166096</v>
      </c>
      <c r="Q65" s="21">
        <v>5.5222198973104355</v>
      </c>
      <c r="R65" s="21">
        <v>60.519620512560302</v>
      </c>
      <c r="S65" s="21">
        <v>1.1111562756295381</v>
      </c>
      <c r="T65" s="18">
        <f t="shared" si="7"/>
        <v>100.00000000000001</v>
      </c>
    </row>
    <row r="66" spans="2:33" x14ac:dyDescent="0.3">
      <c r="B66" s="42">
        <v>45243</v>
      </c>
      <c r="C66" s="40">
        <f t="shared" si="5"/>
        <v>88</v>
      </c>
      <c r="D66" s="40">
        <v>7.02</v>
      </c>
      <c r="G66" s="21">
        <v>15.55016565422333</v>
      </c>
      <c r="H66" s="21">
        <v>58.980078223499</v>
      </c>
      <c r="I66" s="21">
        <v>0.21815369779430299</v>
      </c>
      <c r="J66" s="21">
        <v>0.76313008423101203</v>
      </c>
      <c r="K66" s="21">
        <v>6.0565767937240285</v>
      </c>
      <c r="L66" s="21">
        <v>18.431895546528317</v>
      </c>
      <c r="M66" s="18">
        <f t="shared" si="6"/>
        <v>100</v>
      </c>
      <c r="N66" s="21">
        <v>31.899848647805168</v>
      </c>
      <c r="O66" s="21">
        <v>3.6405685776656593</v>
      </c>
      <c r="P66" s="21">
        <v>0.31589352615845362</v>
      </c>
      <c r="Q66" s="21">
        <v>8.3783697485724407</v>
      </c>
      <c r="R66" s="21">
        <v>54.555226332961958</v>
      </c>
      <c r="S66" s="21">
        <v>1.2100931668363104</v>
      </c>
      <c r="T66" s="18">
        <f t="shared" si="7"/>
        <v>100</v>
      </c>
    </row>
    <row r="67" spans="2:33" x14ac:dyDescent="0.3">
      <c r="B67" s="42">
        <v>45244</v>
      </c>
      <c r="C67" s="40">
        <f t="shared" si="5"/>
        <v>89</v>
      </c>
      <c r="D67" s="40">
        <v>7.05</v>
      </c>
      <c r="E67" s="37">
        <v>7.23</v>
      </c>
      <c r="F67" s="18">
        <v>2.09</v>
      </c>
      <c r="G67" s="21">
        <v>14.839151414935639</v>
      </c>
      <c r="H67" s="21">
        <v>59.862063374807164</v>
      </c>
      <c r="I67" s="21">
        <v>0.452312510794939</v>
      </c>
      <c r="J67" s="21">
        <v>1.589085684327789</v>
      </c>
      <c r="K67" s="21">
        <v>5.7422512007210864</v>
      </c>
      <c r="L67" s="21">
        <v>17.51513581441338</v>
      </c>
      <c r="M67" s="18">
        <f t="shared" si="6"/>
        <v>100</v>
      </c>
      <c r="N67" s="21">
        <v>31.878728822313253</v>
      </c>
      <c r="O67" s="21">
        <v>2.5739492021577868</v>
      </c>
      <c r="P67" s="21">
        <v>0.18772705820946364</v>
      </c>
      <c r="Q67" s="21">
        <v>5.4705481924112735</v>
      </c>
      <c r="R67" s="21">
        <v>58.798242085737243</v>
      </c>
      <c r="S67" s="21">
        <v>1.0908046391709789</v>
      </c>
      <c r="T67" s="18">
        <f t="shared" si="7"/>
        <v>100</v>
      </c>
      <c r="U67" s="2">
        <f>26.29*10</f>
        <v>262.89999999999998</v>
      </c>
      <c r="V67" s="2">
        <f>35.43*10</f>
        <v>354.3</v>
      </c>
      <c r="W67" s="2">
        <f>9.138*10</f>
        <v>91.38</v>
      </c>
      <c r="X67" s="2">
        <f>36.4*10</f>
        <v>364</v>
      </c>
      <c r="Y67" s="37">
        <v>6.1719999999999997</v>
      </c>
      <c r="Z67" s="2">
        <v>38.564999999999998</v>
      </c>
      <c r="AA67" s="2">
        <v>24.486000000000001</v>
      </c>
      <c r="AB67" s="2">
        <v>0</v>
      </c>
      <c r="AC67" s="2">
        <v>1.202</v>
      </c>
      <c r="AD67" s="2">
        <v>0</v>
      </c>
      <c r="AE67" s="2">
        <v>0</v>
      </c>
      <c r="AF67" s="2">
        <v>0</v>
      </c>
      <c r="AG67" s="18">
        <v>3.8159999999999998</v>
      </c>
    </row>
    <row r="68" spans="2:33" x14ac:dyDescent="0.3">
      <c r="B68" s="42">
        <v>45245</v>
      </c>
      <c r="C68" s="40">
        <f t="shared" si="5"/>
        <v>90</v>
      </c>
      <c r="D68" s="40">
        <v>7.15</v>
      </c>
      <c r="G68" s="21">
        <v>14.201357864195177</v>
      </c>
      <c r="H68" s="21">
        <v>61.912641055415484</v>
      </c>
      <c r="I68" s="21">
        <v>5.4746172817542391E-2</v>
      </c>
      <c r="J68" s="21">
        <v>1.9790434676807227</v>
      </c>
      <c r="K68" s="21">
        <v>5.5863072305484689</v>
      </c>
      <c r="L68" s="21">
        <v>16.265904209342615</v>
      </c>
      <c r="M68" s="18">
        <f t="shared" si="6"/>
        <v>100.00000000000003</v>
      </c>
      <c r="N68" s="21">
        <v>34.62733676313092</v>
      </c>
      <c r="O68" s="21">
        <v>3.7381558995758977</v>
      </c>
      <c r="P68" s="21">
        <v>0.21095911461597278</v>
      </c>
      <c r="Q68" s="21">
        <v>4.1334743301781485</v>
      </c>
      <c r="R68" s="21">
        <v>56.247181584743188</v>
      </c>
      <c r="S68" s="21">
        <v>1.0428923077558838</v>
      </c>
      <c r="T68" s="18">
        <f t="shared" si="7"/>
        <v>100.00000000000001</v>
      </c>
    </row>
    <row r="69" spans="2:33" x14ac:dyDescent="0.3">
      <c r="B69" s="42">
        <v>45246</v>
      </c>
      <c r="C69" s="40">
        <f t="shared" si="5"/>
        <v>91</v>
      </c>
      <c r="D69" s="40">
        <v>7.24</v>
      </c>
      <c r="G69" s="21">
        <v>12.520649936768718</v>
      </c>
      <c r="H69" s="21">
        <v>63.996262111865185</v>
      </c>
      <c r="I69" s="21">
        <v>0.75797428558073199</v>
      </c>
      <c r="J69" s="21">
        <v>2.6266252940484134</v>
      </c>
      <c r="K69" s="21">
        <v>5.0366939023114146</v>
      </c>
      <c r="L69" s="21">
        <v>15.061794469425521</v>
      </c>
      <c r="M69" s="18">
        <f t="shared" si="6"/>
        <v>99.999999999999972</v>
      </c>
      <c r="N69" s="21">
        <v>18.163770145198825</v>
      </c>
      <c r="O69" s="21">
        <v>4.0239903688872767</v>
      </c>
      <c r="P69" s="21">
        <v>0.25065417071855328</v>
      </c>
      <c r="Q69" s="21">
        <v>6.6222598501212495</v>
      </c>
      <c r="R69" s="21">
        <v>69.82464012631506</v>
      </c>
      <c r="S69" s="21">
        <v>1.1146853387590301</v>
      </c>
      <c r="T69" s="18">
        <f t="shared" si="7"/>
        <v>100</v>
      </c>
      <c r="U69" s="2">
        <f>23.16*10</f>
        <v>231.6</v>
      </c>
      <c r="V69" s="2">
        <f>32.55*10</f>
        <v>325.5</v>
      </c>
      <c r="W69" s="2">
        <f>8.944*10</f>
        <v>89.440000000000012</v>
      </c>
      <c r="X69" s="2">
        <f>27.18*10</f>
        <v>271.8</v>
      </c>
      <c r="Y69" s="37">
        <v>8.9450000000000003</v>
      </c>
      <c r="Z69" s="2">
        <v>64.018000000000001</v>
      </c>
      <c r="AA69" s="2">
        <v>41.093000000000004</v>
      </c>
      <c r="AB69" s="2">
        <v>0.61599999999999999</v>
      </c>
      <c r="AC69" s="2">
        <v>5.1660000000000004</v>
      </c>
      <c r="AD69" s="2">
        <v>0</v>
      </c>
      <c r="AE69" s="2">
        <v>0</v>
      </c>
      <c r="AF69" s="2">
        <v>1.675</v>
      </c>
      <c r="AG69" s="18">
        <v>0</v>
      </c>
    </row>
    <row r="70" spans="2:33" x14ac:dyDescent="0.3">
      <c r="B70" s="42">
        <v>45247</v>
      </c>
      <c r="C70" s="40">
        <f t="shared" ref="C70:C101" si="8">B70-$B$5</f>
        <v>92</v>
      </c>
      <c r="D70" s="40">
        <v>7.24</v>
      </c>
      <c r="G70" s="21">
        <v>12.927760451181772</v>
      </c>
      <c r="H70" s="21">
        <v>65.864917392674528</v>
      </c>
      <c r="I70" s="21">
        <v>0.2043148483499348</v>
      </c>
      <c r="J70" s="21">
        <v>0.71504574558917811</v>
      </c>
      <c r="K70" s="21">
        <v>5.0164866018327503</v>
      </c>
      <c r="L70" s="21">
        <v>15.271474960371842</v>
      </c>
      <c r="M70" s="18">
        <f t="shared" si="6"/>
        <v>100.00000000000001</v>
      </c>
      <c r="N70" s="21">
        <v>19.318560572393562</v>
      </c>
      <c r="O70" s="21">
        <v>5.3679352730374585</v>
      </c>
      <c r="P70" s="21">
        <v>0.20304908082244541</v>
      </c>
      <c r="Q70" s="21">
        <v>3.4799395146357361</v>
      </c>
      <c r="R70" s="21">
        <v>70.266717032560067</v>
      </c>
      <c r="S70" s="21">
        <v>1.3637985265507262</v>
      </c>
      <c r="T70" s="18">
        <f t="shared" si="7"/>
        <v>99.999999999999986</v>
      </c>
    </row>
    <row r="71" spans="2:33" x14ac:dyDescent="0.3">
      <c r="B71" s="19">
        <v>45250</v>
      </c>
      <c r="C71" s="40">
        <f t="shared" si="8"/>
        <v>95</v>
      </c>
      <c r="D71" s="40">
        <v>7.15</v>
      </c>
      <c r="G71" s="21">
        <v>12.934360408525464</v>
      </c>
      <c r="H71" s="21">
        <v>65.34227335538813</v>
      </c>
      <c r="I71" s="21">
        <v>0.27621652172924765</v>
      </c>
      <c r="J71" s="21">
        <v>0.98006725556012941</v>
      </c>
      <c r="K71" s="21">
        <v>5.0580501454621016</v>
      </c>
      <c r="L71" s="21">
        <v>15.409032313334937</v>
      </c>
      <c r="M71" s="18">
        <f t="shared" si="6"/>
        <v>100.00000000000001</v>
      </c>
      <c r="N71" s="21">
        <v>28.877184857250786</v>
      </c>
      <c r="O71" s="21">
        <v>5.6111113435270994</v>
      </c>
      <c r="P71" s="21">
        <v>0.20795970070836295</v>
      </c>
      <c r="Q71" s="21">
        <v>4.3078938722978055</v>
      </c>
      <c r="R71" s="21">
        <v>59.616106427928969</v>
      </c>
      <c r="S71" s="21">
        <v>1.3797437982869849</v>
      </c>
      <c r="T71" s="18">
        <f t="shared" si="7"/>
        <v>100</v>
      </c>
    </row>
    <row r="72" spans="2:33" x14ac:dyDescent="0.3">
      <c r="B72" s="19">
        <v>45251</v>
      </c>
      <c r="C72" s="40">
        <f t="shared" si="8"/>
        <v>96</v>
      </c>
      <c r="D72" s="40">
        <v>7.01</v>
      </c>
      <c r="E72" s="37">
        <v>6.62</v>
      </c>
      <c r="F72" s="18">
        <v>1.82</v>
      </c>
      <c r="G72" s="21">
        <v>1.4933175225981841</v>
      </c>
      <c r="H72" s="21">
        <v>73.86696937820571</v>
      </c>
      <c r="I72" s="21">
        <v>0.54815434027895571</v>
      </c>
      <c r="J72" s="21">
        <v>1.2531908374797438</v>
      </c>
      <c r="K72" s="21">
        <v>6.1925018472319415</v>
      </c>
      <c r="L72" s="21">
        <v>16.645866074205458</v>
      </c>
      <c r="M72" s="18">
        <f t="shared" si="6"/>
        <v>100</v>
      </c>
      <c r="N72" s="21">
        <v>28.187313367418675</v>
      </c>
      <c r="O72" s="21">
        <v>5.7811248149141159</v>
      </c>
      <c r="P72" s="21">
        <v>0.31145120922321656</v>
      </c>
      <c r="Q72" s="21">
        <v>5.845374975898916</v>
      </c>
      <c r="R72" s="21">
        <v>58.590389598449676</v>
      </c>
      <c r="S72" s="21">
        <v>1.2843460340954052</v>
      </c>
      <c r="T72" s="18">
        <f t="shared" si="7"/>
        <v>100</v>
      </c>
      <c r="U72" s="2">
        <f>44.67*10</f>
        <v>446.70000000000005</v>
      </c>
      <c r="V72" s="2">
        <f>53.55*10</f>
        <v>535.5</v>
      </c>
      <c r="W72" s="2">
        <f>8.881*10</f>
        <v>88.81</v>
      </c>
      <c r="X72" s="2">
        <f>21.69*10</f>
        <v>216.9</v>
      </c>
      <c r="Y72" s="37">
        <v>7.0220000000000002</v>
      </c>
      <c r="Z72" s="2">
        <v>37.018999999999998</v>
      </c>
      <c r="AA72" s="2">
        <v>19.734999999999999</v>
      </c>
      <c r="AB72" s="2">
        <v>0</v>
      </c>
      <c r="AC72" s="2">
        <v>6.5289999999999999</v>
      </c>
      <c r="AD72" s="2">
        <v>0</v>
      </c>
      <c r="AE72" s="2">
        <v>0</v>
      </c>
      <c r="AF72" s="2">
        <v>1.45</v>
      </c>
      <c r="AG72" s="18">
        <v>0</v>
      </c>
    </row>
    <row r="73" spans="2:33" x14ac:dyDescent="0.3">
      <c r="B73" s="19">
        <v>45252</v>
      </c>
      <c r="C73" s="40">
        <f t="shared" si="8"/>
        <v>97</v>
      </c>
      <c r="D73" s="40">
        <v>7.23</v>
      </c>
      <c r="G73" s="21">
        <v>10.48239696024131</v>
      </c>
      <c r="H73" s="21">
        <v>69.57523529910921</v>
      </c>
      <c r="I73" s="21">
        <v>0.35680814073807554</v>
      </c>
      <c r="J73" s="21">
        <v>1.2531504259191772</v>
      </c>
      <c r="K73" s="21">
        <v>5.2968612777510229</v>
      </c>
      <c r="L73" s="21">
        <v>13.035547896241214</v>
      </c>
      <c r="M73" s="18">
        <f t="shared" si="6"/>
        <v>100.00000000000001</v>
      </c>
      <c r="N73" s="21">
        <v>30.319015713004028</v>
      </c>
      <c r="O73" s="21">
        <v>5.1024084934150213</v>
      </c>
      <c r="P73" s="21">
        <v>0.26065771196452342</v>
      </c>
      <c r="Q73" s="21">
        <v>5.7702870878849923</v>
      </c>
      <c r="R73" s="21">
        <v>57.149252307220991</v>
      </c>
      <c r="S73" s="21">
        <v>1.3983786865104411</v>
      </c>
      <c r="T73" s="18">
        <f t="shared" si="7"/>
        <v>100</v>
      </c>
    </row>
    <row r="74" spans="2:33" x14ac:dyDescent="0.3">
      <c r="B74" s="19">
        <v>45253</v>
      </c>
      <c r="C74" s="40">
        <f t="shared" si="8"/>
        <v>98</v>
      </c>
      <c r="D74" s="40">
        <v>6.89</v>
      </c>
      <c r="G74" s="21">
        <v>21.68166472164673</v>
      </c>
      <c r="H74" s="21">
        <v>38.210715519658308</v>
      </c>
      <c r="I74" s="21">
        <v>0.86591770447317795</v>
      </c>
      <c r="J74" s="21">
        <v>3.7554377753978985</v>
      </c>
      <c r="K74" s="21">
        <v>9.4946613643043509</v>
      </c>
      <c r="L74" s="21">
        <v>25.991602914519529</v>
      </c>
      <c r="M74" s="18">
        <f t="shared" si="6"/>
        <v>99.999999999999986</v>
      </c>
      <c r="N74" s="21">
        <v>53.606120713545181</v>
      </c>
      <c r="O74" s="21">
        <v>0.88212791538883739</v>
      </c>
      <c r="P74" s="21">
        <v>0.34223207262920163</v>
      </c>
      <c r="Q74" s="21">
        <v>3.8270646992006099</v>
      </c>
      <c r="R74" s="21">
        <v>40.01736595438674</v>
      </c>
      <c r="S74" s="21">
        <v>1.3250886448494295</v>
      </c>
      <c r="T74" s="18">
        <f t="shared" si="7"/>
        <v>100</v>
      </c>
      <c r="U74" s="2">
        <f>37.27*10</f>
        <v>372.70000000000005</v>
      </c>
      <c r="V74" s="2">
        <f>41.73*10</f>
        <v>417.29999999999995</v>
      </c>
      <c r="W74" s="2">
        <f>9.015*10</f>
        <v>90.15</v>
      </c>
      <c r="X74" s="2">
        <f>24.39*10</f>
        <v>243.9</v>
      </c>
      <c r="Y74" s="37">
        <v>2.1339999999999999</v>
      </c>
      <c r="Z74" s="2">
        <v>35.088999999999999</v>
      </c>
      <c r="AA74" s="2">
        <v>17.087</v>
      </c>
      <c r="AB74" s="2">
        <v>0</v>
      </c>
      <c r="AC74" s="2">
        <v>3.7320000000000002</v>
      </c>
      <c r="AD74" s="2">
        <v>0</v>
      </c>
      <c r="AE74" s="2">
        <v>0</v>
      </c>
      <c r="AF74" s="2">
        <v>1.2789999999999999</v>
      </c>
      <c r="AG74" s="18">
        <v>0</v>
      </c>
    </row>
    <row r="75" spans="2:33" x14ac:dyDescent="0.3">
      <c r="B75" s="19">
        <v>45254</v>
      </c>
      <c r="C75" s="40">
        <f t="shared" si="8"/>
        <v>99</v>
      </c>
      <c r="D75" s="40">
        <v>7.01</v>
      </c>
      <c r="G75" s="21">
        <v>12.56988955495755</v>
      </c>
      <c r="H75" s="21">
        <v>61.959528036263343</v>
      </c>
      <c r="I75" s="21">
        <v>1.0150908173049078</v>
      </c>
      <c r="J75" s="21">
        <v>3.6263166953061212</v>
      </c>
      <c r="K75" s="21">
        <v>5.5024226489741999</v>
      </c>
      <c r="L75" s="21">
        <v>15.32675224719388</v>
      </c>
      <c r="M75" s="18">
        <f t="shared" si="6"/>
        <v>100</v>
      </c>
      <c r="N75" s="21">
        <v>25.089257612449451</v>
      </c>
      <c r="O75" s="21">
        <v>6.5346416238937524</v>
      </c>
      <c r="P75" s="21">
        <v>0.36948159939148639</v>
      </c>
      <c r="Q75" s="21">
        <v>6.0037604650171899</v>
      </c>
      <c r="R75" s="21">
        <v>61.314167769106639</v>
      </c>
      <c r="S75" s="21">
        <v>0.68869093014147209</v>
      </c>
      <c r="T75" s="18">
        <f t="shared" si="7"/>
        <v>99.999999999999986</v>
      </c>
    </row>
    <row r="76" spans="2:33" x14ac:dyDescent="0.3">
      <c r="B76" s="42">
        <v>45257</v>
      </c>
      <c r="C76" s="40">
        <f t="shared" si="8"/>
        <v>102</v>
      </c>
      <c r="D76" s="40">
        <v>6.95</v>
      </c>
      <c r="G76" s="21">
        <v>14.443429869211899</v>
      </c>
      <c r="H76" s="21">
        <v>66.93568604659869</v>
      </c>
      <c r="I76" s="21">
        <v>0.9939511149204161</v>
      </c>
      <c r="J76" s="21">
        <v>2.123212779757309</v>
      </c>
      <c r="K76" s="21">
        <v>6.2143379023278458</v>
      </c>
      <c r="L76" s="21">
        <v>9.2893822871838481</v>
      </c>
      <c r="M76" s="18">
        <f t="shared" si="6"/>
        <v>100</v>
      </c>
      <c r="N76" s="21">
        <v>26.194353183313879</v>
      </c>
      <c r="O76" s="21">
        <v>0.23331296692137168</v>
      </c>
      <c r="P76" s="21">
        <v>0.42227266144165521</v>
      </c>
      <c r="Q76" s="21">
        <v>12.193928878144336</v>
      </c>
      <c r="R76" s="21">
        <v>60.926101759796715</v>
      </c>
      <c r="S76" s="21">
        <v>3.0030550382043275E-2</v>
      </c>
      <c r="T76" s="18">
        <f t="shared" si="7"/>
        <v>100</v>
      </c>
    </row>
    <row r="77" spans="2:33" x14ac:dyDescent="0.3">
      <c r="B77" s="42">
        <v>45258</v>
      </c>
      <c r="C77" s="40">
        <f t="shared" si="8"/>
        <v>103</v>
      </c>
      <c r="D77" s="40">
        <v>7.05</v>
      </c>
      <c r="E77" s="37">
        <v>5.97</v>
      </c>
      <c r="F77" s="18">
        <v>1.53</v>
      </c>
      <c r="G77" s="21">
        <v>14.011552152637959</v>
      </c>
      <c r="H77" s="21">
        <v>58.319649350397725</v>
      </c>
      <c r="I77" s="21">
        <v>1.1845963179514183</v>
      </c>
      <c r="J77" s="21">
        <v>4.078198565370716</v>
      </c>
      <c r="K77" s="21">
        <v>5.570081560475022</v>
      </c>
      <c r="L77" s="21">
        <v>16.835922053167156</v>
      </c>
      <c r="M77" s="18">
        <f t="shared" si="6"/>
        <v>99.999999999999986</v>
      </c>
      <c r="N77" s="21">
        <v>27.995917570016598</v>
      </c>
      <c r="O77" s="21">
        <v>6.0815947570123452</v>
      </c>
      <c r="P77" s="21">
        <v>0.37939875728272499</v>
      </c>
      <c r="Q77" s="21">
        <v>8.1440570978691831</v>
      </c>
      <c r="R77" s="21">
        <v>55.266473833209226</v>
      </c>
      <c r="S77" s="21">
        <v>2.1325579846099334</v>
      </c>
      <c r="T77" s="18">
        <f t="shared" si="7"/>
        <v>100.00000000000001</v>
      </c>
      <c r="U77" s="2">
        <f>33.58*10</f>
        <v>335.79999999999995</v>
      </c>
      <c r="V77" s="2">
        <f>42.96*10</f>
        <v>429.6</v>
      </c>
      <c r="W77" s="2">
        <f>9.379*10</f>
        <v>93.789999999999992</v>
      </c>
      <c r="X77" s="2">
        <f>22.8*10</f>
        <v>228</v>
      </c>
      <c r="Y77" s="37">
        <v>6.274</v>
      </c>
      <c r="Z77" s="2">
        <v>1.1180000000000001</v>
      </c>
      <c r="AA77" s="2">
        <v>4.6239999999999997</v>
      </c>
      <c r="AB77" s="2">
        <v>2.238</v>
      </c>
      <c r="AC77" s="2">
        <v>7.0679999999999996</v>
      </c>
      <c r="AD77" s="2">
        <v>0</v>
      </c>
      <c r="AE77" s="2">
        <v>0</v>
      </c>
      <c r="AF77" s="2">
        <v>1.024</v>
      </c>
      <c r="AG77" s="18">
        <v>0</v>
      </c>
    </row>
    <row r="78" spans="2:33" x14ac:dyDescent="0.3">
      <c r="B78" s="42">
        <v>45259</v>
      </c>
      <c r="C78" s="40">
        <f t="shared" si="8"/>
        <v>104</v>
      </c>
      <c r="D78" s="40">
        <v>6.85</v>
      </c>
      <c r="G78" s="21">
        <v>11.806347245310269</v>
      </c>
      <c r="H78" s="21">
        <v>62.580843667214999</v>
      </c>
      <c r="I78" s="21">
        <v>1.5884156327965748</v>
      </c>
      <c r="J78" s="21">
        <v>5.5476976304931735</v>
      </c>
      <c r="K78" s="21">
        <v>4.564820348505318</v>
      </c>
      <c r="L78" s="21">
        <v>13.911875475679672</v>
      </c>
      <c r="M78" s="18">
        <f t="shared" si="6"/>
        <v>100</v>
      </c>
      <c r="N78" s="21">
        <v>26.269175742357525</v>
      </c>
      <c r="O78" s="21">
        <v>10.561543827298406</v>
      </c>
      <c r="P78" s="21">
        <v>0.58170431616516693</v>
      </c>
      <c r="Q78" s="21">
        <v>7.5471336996251539</v>
      </c>
      <c r="R78" s="21">
        <v>54.321636437066886</v>
      </c>
      <c r="S78" s="21">
        <v>0.71880597748685482</v>
      </c>
      <c r="T78" s="18">
        <f t="shared" si="7"/>
        <v>100</v>
      </c>
    </row>
    <row r="79" spans="2:33" x14ac:dyDescent="0.3">
      <c r="B79" s="42">
        <v>45260</v>
      </c>
      <c r="C79" s="40">
        <f t="shared" si="8"/>
        <v>105</v>
      </c>
      <c r="D79" s="40">
        <v>7.06</v>
      </c>
      <c r="U79" s="2">
        <f>51.74*10</f>
        <v>517.4</v>
      </c>
      <c r="V79" s="2">
        <f>60.84*10</f>
        <v>608.40000000000009</v>
      </c>
      <c r="W79" s="2">
        <f>9.014*10</f>
        <v>90.139999999999986</v>
      </c>
      <c r="X79" s="2">
        <f>20.47*10</f>
        <v>204.7</v>
      </c>
      <c r="Y79" s="37">
        <v>11.648</v>
      </c>
      <c r="Z79" s="2">
        <v>4.1210000000000004</v>
      </c>
      <c r="AA79" s="2">
        <v>3.0019999999999998</v>
      </c>
      <c r="AB79" s="2">
        <v>2.64</v>
      </c>
      <c r="AC79" s="2">
        <v>5.9029999999999996</v>
      </c>
      <c r="AD79" s="2">
        <v>0</v>
      </c>
      <c r="AE79" s="2">
        <v>0</v>
      </c>
      <c r="AF79" s="2">
        <v>0.83599999999999997</v>
      </c>
      <c r="AG79" s="18">
        <v>3.6629999999999998</v>
      </c>
    </row>
    <row r="80" spans="2:33" x14ac:dyDescent="0.3">
      <c r="B80" s="42">
        <v>45261</v>
      </c>
      <c r="C80" s="40">
        <f t="shared" si="8"/>
        <v>106</v>
      </c>
      <c r="D80" s="40">
        <v>7.05</v>
      </c>
      <c r="G80" s="21">
        <v>14.319849257667677</v>
      </c>
      <c r="H80" s="21">
        <v>61.357961499317526</v>
      </c>
      <c r="I80" s="21">
        <v>0.33128594122058291</v>
      </c>
      <c r="J80" s="21">
        <v>1.1692138216710695</v>
      </c>
      <c r="K80" s="21">
        <v>5.6428768172591557</v>
      </c>
      <c r="L80" s="21">
        <v>17.178812662863994</v>
      </c>
      <c r="M80" s="18">
        <f t="shared" ref="M80:M105" si="9">SUM(G80:L80)</f>
        <v>99.999999999999986</v>
      </c>
      <c r="N80" s="21">
        <v>25.593295963725886</v>
      </c>
      <c r="O80" s="21">
        <v>9.9197935673139011</v>
      </c>
      <c r="P80" s="21">
        <v>0.56395528437281384</v>
      </c>
      <c r="Q80" s="21">
        <v>15.332019890191942</v>
      </c>
      <c r="R80" s="21">
        <v>47.591813148777483</v>
      </c>
      <c r="S80" s="21">
        <v>0.99912214561797774</v>
      </c>
      <c r="T80" s="18">
        <f t="shared" ref="T80:T92" si="10">SUM(N80:S80)</f>
        <v>100</v>
      </c>
    </row>
    <row r="81" spans="1:33" x14ac:dyDescent="0.3">
      <c r="B81" s="42">
        <v>45264</v>
      </c>
      <c r="C81" s="40">
        <f t="shared" si="8"/>
        <v>109</v>
      </c>
      <c r="D81" s="40">
        <v>6.99</v>
      </c>
      <c r="G81" s="21">
        <v>10.882609585219694</v>
      </c>
      <c r="H81" s="21">
        <v>66.328105113157449</v>
      </c>
      <c r="I81" s="21">
        <v>1.3360961723044309</v>
      </c>
      <c r="J81" s="21">
        <v>4.7296141909174336</v>
      </c>
      <c r="K81" s="21">
        <v>4.2626393711424555</v>
      </c>
      <c r="L81" s="21">
        <v>12.460935567258561</v>
      </c>
      <c r="M81" s="18">
        <f t="shared" si="9"/>
        <v>100.00000000000003</v>
      </c>
      <c r="N81" s="21">
        <v>24.327919773160396</v>
      </c>
      <c r="O81" s="21">
        <v>7.0067269429603272</v>
      </c>
      <c r="P81" s="21">
        <v>0.44624288005555279</v>
      </c>
      <c r="Q81" s="21">
        <v>11.752473304211145</v>
      </c>
      <c r="R81" s="21">
        <v>55.061594580052095</v>
      </c>
      <c r="S81" s="21">
        <v>1.4050425195604856</v>
      </c>
      <c r="T81" s="18">
        <f t="shared" si="10"/>
        <v>100</v>
      </c>
    </row>
    <row r="82" spans="1:33" x14ac:dyDescent="0.3">
      <c r="B82" s="42">
        <v>45265</v>
      </c>
      <c r="C82" s="40">
        <f t="shared" si="8"/>
        <v>110</v>
      </c>
      <c r="D82" s="40">
        <v>7.13</v>
      </c>
      <c r="E82" s="37">
        <v>6.1</v>
      </c>
      <c r="F82" s="18">
        <v>1.71</v>
      </c>
      <c r="G82" s="21">
        <v>10.460513623731378</v>
      </c>
      <c r="H82" s="21">
        <v>71.800300431461537</v>
      </c>
      <c r="I82" s="21">
        <v>0.38016590974986719</v>
      </c>
      <c r="J82" s="21">
        <v>1.3532543782654107</v>
      </c>
      <c r="K82" s="21">
        <v>4.0785278587489104</v>
      </c>
      <c r="L82" s="21">
        <v>11.927237798042892</v>
      </c>
      <c r="M82" s="18">
        <f t="shared" si="9"/>
        <v>99.999999999999986</v>
      </c>
      <c r="N82" s="21">
        <v>10.87887065467176</v>
      </c>
      <c r="O82" s="21">
        <v>8.8627014932440566</v>
      </c>
      <c r="P82" s="21">
        <v>0.19676292029038342</v>
      </c>
      <c r="Q82" s="21">
        <v>3.0452855229640465</v>
      </c>
      <c r="R82" s="21">
        <v>75.450973394002148</v>
      </c>
      <c r="S82" s="21">
        <v>1.5654060148275983</v>
      </c>
      <c r="T82" s="18">
        <f t="shared" si="10"/>
        <v>100</v>
      </c>
      <c r="U82" s="2">
        <f>15.21*10</f>
        <v>152.10000000000002</v>
      </c>
      <c r="V82" s="2">
        <f>19.26*10</f>
        <v>192.60000000000002</v>
      </c>
      <c r="W82" s="2">
        <f>4.05*10</f>
        <v>40.5</v>
      </c>
      <c r="X82" s="2">
        <f>18.94*10</f>
        <v>189.4</v>
      </c>
      <c r="Y82" s="37">
        <v>71.289000000000001</v>
      </c>
      <c r="Z82" s="2">
        <v>24.574000000000002</v>
      </c>
      <c r="AA82" s="2">
        <v>4.1719999999999997</v>
      </c>
      <c r="AB82" s="2">
        <v>3.1619999999999999</v>
      </c>
      <c r="AC82" s="2">
        <v>5.4050000000000002</v>
      </c>
      <c r="AD82" s="2">
        <v>0</v>
      </c>
      <c r="AE82" s="2">
        <v>0</v>
      </c>
      <c r="AF82" s="2">
        <v>0</v>
      </c>
      <c r="AG82" s="18">
        <v>1E-3</v>
      </c>
    </row>
    <row r="83" spans="1:33" x14ac:dyDescent="0.3">
      <c r="B83" s="42">
        <v>45266</v>
      </c>
      <c r="C83" s="40">
        <f t="shared" si="8"/>
        <v>111</v>
      </c>
      <c r="D83" s="40">
        <v>7.05</v>
      </c>
      <c r="G83" s="21">
        <v>9.3364535513344986</v>
      </c>
      <c r="H83" s="21">
        <v>68.51439016858798</v>
      </c>
      <c r="I83" s="21">
        <v>0.67649617032418841</v>
      </c>
      <c r="J83" s="21">
        <v>2.3572208231553162</v>
      </c>
      <c r="K83" s="21">
        <v>7.9744004862817475</v>
      </c>
      <c r="L83" s="21">
        <v>11.141038800316272</v>
      </c>
      <c r="M83" s="18">
        <f t="shared" si="9"/>
        <v>100</v>
      </c>
      <c r="N83" s="21">
        <v>7.303620358836616</v>
      </c>
      <c r="O83" s="21">
        <v>7.9168300000799299</v>
      </c>
      <c r="P83" s="21">
        <v>0.2458661830128373</v>
      </c>
      <c r="Q83" s="21">
        <v>6.9954153880712759</v>
      </c>
      <c r="R83" s="21">
        <v>75.983057945737926</v>
      </c>
      <c r="S83" s="21">
        <v>1.5552101242614189</v>
      </c>
      <c r="T83" s="18">
        <f t="shared" si="10"/>
        <v>100.00000000000001</v>
      </c>
    </row>
    <row r="84" spans="1:33" x14ac:dyDescent="0.3">
      <c r="B84" s="42">
        <v>45267</v>
      </c>
      <c r="C84" s="40">
        <f t="shared" si="8"/>
        <v>112</v>
      </c>
      <c r="D84" s="40">
        <v>7.01</v>
      </c>
      <c r="G84" s="21">
        <v>12.426058250089955</v>
      </c>
      <c r="H84" s="21">
        <v>66.232967014220918</v>
      </c>
      <c r="I84" s="21">
        <v>0.46675236977050327</v>
      </c>
      <c r="J84" s="21">
        <v>1.1873399373669489</v>
      </c>
      <c r="K84" s="21">
        <v>4.8721728331167879</v>
      </c>
      <c r="L84" s="21">
        <v>14.8147095954349</v>
      </c>
      <c r="M84" s="18">
        <f t="shared" si="9"/>
        <v>100.00000000000001</v>
      </c>
      <c r="N84" s="21">
        <v>8.2704036801419036</v>
      </c>
      <c r="O84" s="21">
        <v>7.1922686588811722</v>
      </c>
      <c r="P84" s="21">
        <v>0.31996622775108519</v>
      </c>
      <c r="Q84" s="21">
        <v>10.556232682253917</v>
      </c>
      <c r="R84" s="21">
        <v>72.149251204975855</v>
      </c>
      <c r="S84" s="21">
        <v>1.5118775459960585</v>
      </c>
      <c r="T84" s="18">
        <f t="shared" si="10"/>
        <v>99.999999999999986</v>
      </c>
      <c r="U84" s="2">
        <f>40.47*10</f>
        <v>404.7</v>
      </c>
      <c r="V84" s="2">
        <f>45.32*10</f>
        <v>453.2</v>
      </c>
      <c r="W84" s="2">
        <f>4.85*10</f>
        <v>48.5</v>
      </c>
      <c r="X84" s="2">
        <f>19.06*10</f>
        <v>190.6</v>
      </c>
      <c r="Y84" s="37">
        <v>42.75</v>
      </c>
      <c r="Z84" s="2">
        <v>33.262</v>
      </c>
      <c r="AA84" s="2">
        <v>4.1710000000000003</v>
      </c>
      <c r="AB84" s="2">
        <v>0.50800000000000001</v>
      </c>
      <c r="AC84" s="2">
        <v>5.3719999999999999</v>
      </c>
      <c r="AD84" s="2">
        <v>0</v>
      </c>
      <c r="AE84" s="2">
        <v>0</v>
      </c>
      <c r="AF84" s="2">
        <v>0</v>
      </c>
      <c r="AG84" s="18">
        <v>3.6850000000000001</v>
      </c>
    </row>
    <row r="85" spans="1:33" x14ac:dyDescent="0.3">
      <c r="B85" s="42">
        <v>45268</v>
      </c>
      <c r="C85" s="40">
        <f t="shared" si="8"/>
        <v>113</v>
      </c>
      <c r="D85" s="40">
        <v>6.9</v>
      </c>
      <c r="G85" s="21">
        <v>12.91931552132416</v>
      </c>
      <c r="H85" s="21">
        <v>63.346036507611345</v>
      </c>
      <c r="I85" s="21">
        <v>0.61094093900021118</v>
      </c>
      <c r="J85" s="21">
        <v>2.6022565679964988</v>
      </c>
      <c r="K85" s="21">
        <v>5.227656696603999</v>
      </c>
      <c r="L85" s="21">
        <v>15.293793767463789</v>
      </c>
      <c r="M85" s="18">
        <f t="shared" si="9"/>
        <v>100.00000000000003</v>
      </c>
      <c r="N85" s="21">
        <v>23.225856142625059</v>
      </c>
      <c r="O85" s="21">
        <v>7.3695983255974369</v>
      </c>
      <c r="P85" s="21">
        <v>0.32065916298683672</v>
      </c>
      <c r="Q85" s="21">
        <v>7.8279095352639851</v>
      </c>
      <c r="R85" s="21">
        <v>59.62025462029478</v>
      </c>
      <c r="S85" s="21">
        <v>1.6357222132319236</v>
      </c>
      <c r="T85" s="18">
        <f t="shared" si="10"/>
        <v>100.00000000000003</v>
      </c>
    </row>
    <row r="86" spans="1:33" x14ac:dyDescent="0.3">
      <c r="B86" s="42">
        <v>45271</v>
      </c>
      <c r="C86" s="40">
        <f t="shared" si="8"/>
        <v>116</v>
      </c>
      <c r="D86" s="40">
        <v>6.87</v>
      </c>
      <c r="G86" s="21">
        <v>12.141278273255219</v>
      </c>
      <c r="H86" s="21">
        <v>67.428622173630828</v>
      </c>
      <c r="I86" s="21">
        <v>0.39227962738076355</v>
      </c>
      <c r="J86" s="21">
        <v>1.2981773232826879</v>
      </c>
      <c r="K86" s="21">
        <v>4.6809864432812001</v>
      </c>
      <c r="L86" s="21">
        <v>14.058656159169299</v>
      </c>
      <c r="M86" s="18">
        <f t="shared" si="9"/>
        <v>100</v>
      </c>
      <c r="N86" s="21">
        <v>3.1569218456161714</v>
      </c>
      <c r="O86" s="21">
        <v>23.970215336624975</v>
      </c>
      <c r="P86" s="21">
        <v>0.53034527647220819</v>
      </c>
      <c r="Q86" s="21">
        <v>14.183728266930974</v>
      </c>
      <c r="R86" s="21">
        <v>55.745709295315983</v>
      </c>
      <c r="S86" s="21">
        <v>2.4130799790396864</v>
      </c>
      <c r="T86" s="18">
        <f t="shared" si="10"/>
        <v>100</v>
      </c>
    </row>
    <row r="87" spans="1:33" x14ac:dyDescent="0.3">
      <c r="B87" s="42">
        <v>45272</v>
      </c>
      <c r="C87" s="40">
        <f t="shared" si="8"/>
        <v>117</v>
      </c>
      <c r="D87" s="40">
        <v>6.95</v>
      </c>
      <c r="E87" s="37">
        <v>6.29</v>
      </c>
      <c r="F87" s="18">
        <v>1.94</v>
      </c>
      <c r="G87" s="21">
        <v>11.620901638492063</v>
      </c>
      <c r="H87" s="21">
        <v>68.070116041098032</v>
      </c>
      <c r="I87" s="21">
        <v>0.24801283703895274</v>
      </c>
      <c r="J87" s="21">
        <v>2.1866945372144526</v>
      </c>
      <c r="K87" s="21">
        <v>4.4831831950541838</v>
      </c>
      <c r="L87" s="21">
        <v>13.391091751102319</v>
      </c>
      <c r="M87" s="18">
        <f t="shared" si="9"/>
        <v>100</v>
      </c>
      <c r="N87" s="21">
        <v>19.125293780929407</v>
      </c>
      <c r="O87" s="21">
        <v>5.737115690966152</v>
      </c>
      <c r="P87" s="21">
        <v>0.35163103064325019</v>
      </c>
      <c r="Q87" s="21">
        <v>9.9697316456028133</v>
      </c>
      <c r="R87" s="21">
        <v>63.266673519940333</v>
      </c>
      <c r="S87" s="21">
        <v>1.5495543319180283</v>
      </c>
      <c r="T87" s="18">
        <f t="shared" si="10"/>
        <v>99.999999999999986</v>
      </c>
      <c r="U87" s="2">
        <f>63.4*10</f>
        <v>634</v>
      </c>
      <c r="V87" s="2">
        <f>70.23*10</f>
        <v>702.30000000000007</v>
      </c>
      <c r="W87" s="2">
        <f>6.827*10</f>
        <v>68.27</v>
      </c>
      <c r="X87" s="2">
        <f>16.4*10</f>
        <v>164</v>
      </c>
      <c r="Y87" s="37">
        <v>17.779</v>
      </c>
      <c r="Z87" s="2">
        <v>9.4670000000000005</v>
      </c>
      <c r="AA87" s="2">
        <v>5.4509999999999996</v>
      </c>
      <c r="AB87" s="2">
        <v>0.28299999999999997</v>
      </c>
      <c r="AC87" s="2">
        <v>3.93</v>
      </c>
      <c r="AD87" s="2">
        <v>0</v>
      </c>
      <c r="AE87" s="2">
        <v>0</v>
      </c>
      <c r="AF87" s="2">
        <v>1.266</v>
      </c>
      <c r="AG87" s="18">
        <v>3.4359999999999999</v>
      </c>
    </row>
    <row r="88" spans="1:33" x14ac:dyDescent="0.3">
      <c r="B88" s="42">
        <v>45273</v>
      </c>
      <c r="C88" s="40">
        <f t="shared" si="8"/>
        <v>118</v>
      </c>
      <c r="D88" s="40">
        <v>7.12</v>
      </c>
      <c r="G88" s="21">
        <v>12.671550155532863</v>
      </c>
      <c r="H88" s="21">
        <v>64.686892208084942</v>
      </c>
      <c r="I88" s="21">
        <v>0.85051342145713427</v>
      </c>
      <c r="J88" s="21">
        <v>2.424673646540473</v>
      </c>
      <c r="K88" s="21">
        <v>4.8840033928035149</v>
      </c>
      <c r="L88" s="21">
        <v>14.482367175581064</v>
      </c>
      <c r="M88" s="18">
        <f t="shared" si="9"/>
        <v>99.999999999999986</v>
      </c>
      <c r="N88" s="21">
        <v>21.956521495795247</v>
      </c>
      <c r="O88" s="21">
        <v>8.6525404557625372</v>
      </c>
      <c r="P88" s="21">
        <v>0.80829320193177068</v>
      </c>
      <c r="Q88" s="21">
        <v>15.183592247208114</v>
      </c>
      <c r="R88" s="21">
        <v>51.7355339361917</v>
      </c>
      <c r="S88" s="21">
        <v>1.6635186631106376</v>
      </c>
      <c r="T88" s="18">
        <f t="shared" si="10"/>
        <v>100</v>
      </c>
    </row>
    <row r="89" spans="1:33" x14ac:dyDescent="0.3">
      <c r="B89" s="42">
        <v>45274</v>
      </c>
      <c r="C89" s="40">
        <f t="shared" si="8"/>
        <v>119</v>
      </c>
      <c r="D89" s="40">
        <v>7.04</v>
      </c>
      <c r="G89" s="21">
        <v>12.033837580213918</v>
      </c>
      <c r="H89" s="21">
        <v>68.681631106274438</v>
      </c>
      <c r="I89" s="21">
        <v>0.1593523606102594</v>
      </c>
      <c r="J89" s="21">
        <v>0.57581126479786549</v>
      </c>
      <c r="K89" s="21">
        <v>4.6725363362979655</v>
      </c>
      <c r="L89" s="21">
        <v>13.876831351805539</v>
      </c>
      <c r="M89" s="18">
        <f t="shared" si="9"/>
        <v>99.999999999999972</v>
      </c>
      <c r="N89" s="21">
        <v>15.966334899684073</v>
      </c>
      <c r="O89" s="21">
        <v>7.5442480109840666</v>
      </c>
      <c r="P89" s="21">
        <v>0.41133234414587727</v>
      </c>
      <c r="Q89" s="21">
        <v>5.9654477891023214</v>
      </c>
      <c r="R89" s="21">
        <v>68.396790252554851</v>
      </c>
      <c r="S89" s="21">
        <v>1.7158467035288099</v>
      </c>
      <c r="T89" s="18">
        <f t="shared" si="10"/>
        <v>100</v>
      </c>
      <c r="U89" s="2">
        <f>36.76*10</f>
        <v>367.59999999999997</v>
      </c>
      <c r="V89" s="2">
        <f>43.65*10</f>
        <v>436.5</v>
      </c>
      <c r="W89" s="2">
        <f>6.894*10</f>
        <v>68.94</v>
      </c>
      <c r="X89" s="2">
        <f>19.82*10</f>
        <v>198.2</v>
      </c>
      <c r="Y89" s="37">
        <v>10.412000000000001</v>
      </c>
      <c r="Z89" s="2">
        <v>3.8130000000000002</v>
      </c>
      <c r="AA89" s="2">
        <v>5.359</v>
      </c>
      <c r="AB89" s="2">
        <v>0.23899999999999999</v>
      </c>
      <c r="AC89" s="2">
        <v>7.6269999999999998</v>
      </c>
      <c r="AD89" s="2">
        <v>0</v>
      </c>
      <c r="AE89" s="2">
        <v>0</v>
      </c>
      <c r="AF89" s="2">
        <v>1.1910000000000001</v>
      </c>
      <c r="AG89" s="18">
        <v>0</v>
      </c>
    </row>
    <row r="90" spans="1:33" x14ac:dyDescent="0.3">
      <c r="B90" s="42">
        <v>45275</v>
      </c>
      <c r="C90" s="40">
        <f t="shared" si="8"/>
        <v>120</v>
      </c>
      <c r="D90" s="40">
        <v>7.02</v>
      </c>
      <c r="G90" s="21">
        <v>12.726208927377478</v>
      </c>
      <c r="H90" s="21">
        <v>60.158283336564978</v>
      </c>
      <c r="I90" s="21">
        <v>1.0258913144023025</v>
      </c>
      <c r="J90" s="21">
        <v>6.3364652786012705</v>
      </c>
      <c r="K90" s="21">
        <v>4.9824465706373706</v>
      </c>
      <c r="L90" s="21">
        <v>14.770704572416596</v>
      </c>
      <c r="M90" s="18">
        <f t="shared" si="9"/>
        <v>99.999999999999986</v>
      </c>
      <c r="N90" s="21">
        <v>23.574170605783234</v>
      </c>
      <c r="O90" s="21">
        <v>7.1875947400545721</v>
      </c>
      <c r="P90" s="21">
        <v>0.80138809539796718</v>
      </c>
      <c r="Q90" s="21">
        <v>8.5016788259255698</v>
      </c>
      <c r="R90" s="21">
        <v>58.127676872145038</v>
      </c>
      <c r="S90" s="21">
        <v>1.8074908606935995</v>
      </c>
      <c r="T90" s="18">
        <f t="shared" si="10"/>
        <v>99.999999999999986</v>
      </c>
    </row>
    <row r="91" spans="1:33" x14ac:dyDescent="0.3">
      <c r="B91" s="19">
        <v>45278</v>
      </c>
      <c r="C91" s="40">
        <f t="shared" si="8"/>
        <v>123</v>
      </c>
      <c r="D91" s="40">
        <v>6.98</v>
      </c>
      <c r="G91" s="21">
        <v>12.037689980495003</v>
      </c>
      <c r="H91" s="21">
        <v>67.53873706809847</v>
      </c>
      <c r="I91" s="21">
        <v>0.37235097758842955</v>
      </c>
      <c r="J91" s="21">
        <v>1.3242039464578892</v>
      </c>
      <c r="K91" s="21">
        <v>4.6398653550715441</v>
      </c>
      <c r="L91" s="21">
        <v>14.087152672288672</v>
      </c>
      <c r="M91" s="18">
        <f t="shared" si="9"/>
        <v>100</v>
      </c>
      <c r="N91" s="21">
        <v>23.691893030376292</v>
      </c>
      <c r="O91" s="21">
        <v>5.4474597613879538</v>
      </c>
      <c r="P91" s="21">
        <v>0.53935522032678851</v>
      </c>
      <c r="Q91" s="21">
        <v>11.767234520053597</v>
      </c>
      <c r="R91" s="21">
        <v>56.25653794253482</v>
      </c>
      <c r="S91" s="21">
        <v>2.2975195253205656</v>
      </c>
      <c r="T91" s="18">
        <f t="shared" si="10"/>
        <v>100.00000000000001</v>
      </c>
    </row>
    <row r="92" spans="1:33" x14ac:dyDescent="0.3">
      <c r="B92" s="19">
        <v>45279</v>
      </c>
      <c r="C92" s="40">
        <f t="shared" si="8"/>
        <v>124</v>
      </c>
      <c r="D92" s="40">
        <v>6.84</v>
      </c>
      <c r="E92" s="37">
        <v>6.25</v>
      </c>
      <c r="F92" s="18">
        <v>1.97</v>
      </c>
      <c r="G92" s="21">
        <v>11.385765135948175</v>
      </c>
      <c r="H92" s="21">
        <v>66.882673665389675</v>
      </c>
      <c r="I92" s="21">
        <v>0.89573596997314509</v>
      </c>
      <c r="J92" s="21">
        <v>3.1965522708170742</v>
      </c>
      <c r="K92" s="21">
        <v>4.4093042552151083</v>
      </c>
      <c r="L92" s="21">
        <v>13.229968702656819</v>
      </c>
      <c r="M92" s="18">
        <f t="shared" si="9"/>
        <v>100</v>
      </c>
      <c r="N92" s="21">
        <v>15.476139182583662</v>
      </c>
      <c r="O92" s="21">
        <v>9.6218115469696865</v>
      </c>
      <c r="P92" s="21">
        <v>0.24699706638450264</v>
      </c>
      <c r="Q92" s="21">
        <v>6.8174192231048165</v>
      </c>
      <c r="R92" s="21">
        <v>65.91904186456415</v>
      </c>
      <c r="S92" s="21">
        <v>1.9185911163931879</v>
      </c>
      <c r="T92" s="18">
        <f t="shared" si="10"/>
        <v>100</v>
      </c>
      <c r="U92" s="2">
        <f>19.17*10</f>
        <v>191.70000000000002</v>
      </c>
      <c r="V92" s="2">
        <f>22.18*10</f>
        <v>221.8</v>
      </c>
      <c r="W92" s="2">
        <f>3.017*10</f>
        <v>30.169999999999998</v>
      </c>
      <c r="X92" s="2">
        <f>19.6*10</f>
        <v>196</v>
      </c>
      <c r="Y92" s="37">
        <v>15.409000000000001</v>
      </c>
      <c r="Z92" s="2">
        <v>6.4729999999999999</v>
      </c>
      <c r="AA92" s="2">
        <v>3.0939999999999999</v>
      </c>
      <c r="AB92" s="2">
        <v>0.35699999999999998</v>
      </c>
      <c r="AC92" s="2">
        <v>0.96699999999999997</v>
      </c>
      <c r="AD92" s="2">
        <v>0</v>
      </c>
      <c r="AE92" s="2">
        <v>0</v>
      </c>
      <c r="AF92" s="2">
        <v>1.0920000000000001</v>
      </c>
      <c r="AG92" s="18">
        <v>0</v>
      </c>
    </row>
    <row r="93" spans="1:33" x14ac:dyDescent="0.3">
      <c r="A93" s="41" t="s">
        <v>41</v>
      </c>
      <c r="B93" s="19">
        <v>45280</v>
      </c>
      <c r="C93" s="40">
        <f t="shared" si="8"/>
        <v>125</v>
      </c>
      <c r="D93" s="40">
        <v>7.12</v>
      </c>
      <c r="G93" s="21">
        <v>6.2574125035213077</v>
      </c>
      <c r="H93" s="21">
        <v>82.380227332101654</v>
      </c>
      <c r="I93" s="21">
        <v>0.35985981213762658</v>
      </c>
      <c r="J93" s="21">
        <v>1.2552113509358442</v>
      </c>
      <c r="K93" s="21">
        <v>2.4257733048386982</v>
      </c>
      <c r="L93" s="21">
        <v>7.321515696464874</v>
      </c>
      <c r="M93" s="18">
        <f t="shared" si="9"/>
        <v>100</v>
      </c>
    </row>
    <row r="94" spans="1:33" x14ac:dyDescent="0.3">
      <c r="B94" s="19">
        <v>45281</v>
      </c>
      <c r="C94" s="40">
        <f t="shared" si="8"/>
        <v>126</v>
      </c>
      <c r="D94" s="40">
        <v>7.51</v>
      </c>
      <c r="G94" s="21">
        <v>7.557363169206635</v>
      </c>
      <c r="H94" s="21">
        <v>77.711760341948789</v>
      </c>
      <c r="I94" s="21">
        <v>0.90486983684956379</v>
      </c>
      <c r="J94" s="21">
        <v>1.9971412330392644</v>
      </c>
      <c r="K94" s="21">
        <v>2.9258451604936031</v>
      </c>
      <c r="L94" s="21">
        <v>8.9030202584621616</v>
      </c>
      <c r="M94" s="18">
        <f t="shared" si="9"/>
        <v>100.00000000000003</v>
      </c>
      <c r="N94" s="21">
        <v>0.19384640092716798</v>
      </c>
      <c r="O94" s="21">
        <v>42.138808124982404</v>
      </c>
      <c r="P94" s="21">
        <v>0.54401844855913772</v>
      </c>
      <c r="Q94" s="21">
        <v>9.6287378234470236</v>
      </c>
      <c r="R94" s="21">
        <v>44.555908588688617</v>
      </c>
      <c r="S94" s="21">
        <v>2.9386806133956531</v>
      </c>
      <c r="T94" s="18">
        <f t="shared" ref="T94:T105" si="11">SUM(N94:S94)</f>
        <v>100</v>
      </c>
      <c r="U94" s="2">
        <f>21.45*10</f>
        <v>214.5</v>
      </c>
      <c r="V94" s="2">
        <f>22.5*10</f>
        <v>225</v>
      </c>
      <c r="W94" s="2">
        <f>1.044*10</f>
        <v>10.440000000000001</v>
      </c>
      <c r="X94" s="2">
        <f>14.65*10</f>
        <v>146.5</v>
      </c>
      <c r="Y94" s="37">
        <v>11.192</v>
      </c>
      <c r="Z94" s="2">
        <v>8.5440000000000005</v>
      </c>
      <c r="AA94" s="2">
        <v>2.8</v>
      </c>
      <c r="AB94" s="2">
        <v>0.33700000000000002</v>
      </c>
      <c r="AC94" s="2">
        <v>54.301000000000002</v>
      </c>
      <c r="AD94" s="2">
        <v>0</v>
      </c>
      <c r="AE94" s="2">
        <v>0</v>
      </c>
      <c r="AF94" s="2">
        <v>0</v>
      </c>
      <c r="AG94" s="18">
        <v>0</v>
      </c>
    </row>
    <row r="95" spans="1:33" x14ac:dyDescent="0.3">
      <c r="B95" s="19">
        <v>45282</v>
      </c>
      <c r="C95" s="40">
        <f t="shared" si="8"/>
        <v>127</v>
      </c>
      <c r="D95" s="40">
        <v>7.1</v>
      </c>
      <c r="G95" s="21">
        <v>11.030885954670737</v>
      </c>
      <c r="H95" s="21">
        <v>62.116380465120301</v>
      </c>
      <c r="I95" s="21">
        <v>2.0256024936120323</v>
      </c>
      <c r="J95" s="21">
        <v>7.3478540584122856</v>
      </c>
      <c r="K95" s="21">
        <v>4.324279628054966</v>
      </c>
      <c r="L95" s="21">
        <v>13.154997400129684</v>
      </c>
      <c r="M95" s="18">
        <f t="shared" si="9"/>
        <v>100</v>
      </c>
      <c r="N95" s="21">
        <v>20.381620821750563</v>
      </c>
      <c r="O95" s="21">
        <v>11.479071420706227</v>
      </c>
      <c r="P95" s="21">
        <v>0.64240244231473853</v>
      </c>
      <c r="Q95" s="21">
        <v>11.449856885559319</v>
      </c>
      <c r="R95" s="21">
        <v>53.282576871289734</v>
      </c>
      <c r="S95" s="21">
        <v>2.764471558379423</v>
      </c>
      <c r="T95" s="18">
        <f t="shared" si="11"/>
        <v>100</v>
      </c>
    </row>
    <row r="96" spans="1:33" x14ac:dyDescent="0.3">
      <c r="B96" s="19">
        <v>45287</v>
      </c>
      <c r="C96" s="40">
        <f t="shared" si="8"/>
        <v>132</v>
      </c>
      <c r="G96" s="21">
        <v>9.383804808777322</v>
      </c>
      <c r="H96" s="21">
        <v>65.337253677926554</v>
      </c>
      <c r="I96" s="21">
        <v>2.3173239446270975</v>
      </c>
      <c r="J96" s="21">
        <v>8.3602333130434072</v>
      </c>
      <c r="K96" s="21">
        <v>3.5766887326444854</v>
      </c>
      <c r="L96" s="21">
        <v>11.024695522981128</v>
      </c>
      <c r="M96" s="18">
        <f t="shared" si="9"/>
        <v>100</v>
      </c>
      <c r="N96" s="21">
        <v>3.6813892346471517</v>
      </c>
      <c r="O96" s="21">
        <v>7.1106543523364918</v>
      </c>
      <c r="P96" s="21">
        <v>3.40621218761253</v>
      </c>
      <c r="Q96" s="21">
        <v>22.170969983654061</v>
      </c>
      <c r="R96" s="21">
        <v>61.71764907694358</v>
      </c>
      <c r="S96" s="21">
        <v>1.913125164806188</v>
      </c>
      <c r="T96" s="18">
        <f t="shared" si="11"/>
        <v>100</v>
      </c>
    </row>
    <row r="97" spans="2:33" x14ac:dyDescent="0.3">
      <c r="B97" s="19">
        <v>45290</v>
      </c>
      <c r="C97" s="40">
        <f t="shared" si="8"/>
        <v>135</v>
      </c>
      <c r="G97" s="21">
        <v>10.03580390709539</v>
      </c>
      <c r="H97" s="21">
        <v>59.895436235595781</v>
      </c>
      <c r="I97" s="21">
        <v>3.1354090383149589</v>
      </c>
      <c r="J97" s="21">
        <v>11.386101076708686</v>
      </c>
      <c r="K97" s="21">
        <v>3.8049813372745365</v>
      </c>
      <c r="L97" s="21">
        <v>11.74226840501065</v>
      </c>
      <c r="M97" s="18">
        <f t="shared" si="9"/>
        <v>100</v>
      </c>
      <c r="N97" s="21">
        <v>5.4937764941445506</v>
      </c>
      <c r="O97" s="21">
        <v>7.5602339015985107</v>
      </c>
      <c r="P97" s="21">
        <v>3.9713379267257118</v>
      </c>
      <c r="Q97" s="21">
        <v>25.840445488405628</v>
      </c>
      <c r="R97" s="21">
        <v>54.778877206980482</v>
      </c>
      <c r="S97" s="21">
        <v>2.3553289821451178</v>
      </c>
      <c r="T97" s="18">
        <f t="shared" si="11"/>
        <v>100</v>
      </c>
    </row>
    <row r="98" spans="2:33" x14ac:dyDescent="0.3">
      <c r="B98" s="19">
        <v>45293</v>
      </c>
      <c r="C98" s="40">
        <f t="shared" si="8"/>
        <v>138</v>
      </c>
      <c r="D98" s="40">
        <v>7.24</v>
      </c>
      <c r="G98" s="21">
        <v>8.0945554719401756</v>
      </c>
      <c r="H98" s="21">
        <v>76.118605687410152</v>
      </c>
      <c r="I98" s="21">
        <v>0.69152646587455457</v>
      </c>
      <c r="J98" s="21">
        <v>2.5597844252772495</v>
      </c>
      <c r="K98" s="21">
        <v>3.0878609789423344</v>
      </c>
      <c r="L98" s="21">
        <v>9.4476669705555363</v>
      </c>
      <c r="M98" s="18">
        <f t="shared" si="9"/>
        <v>100</v>
      </c>
      <c r="N98" s="21">
        <v>1.2181931467318068</v>
      </c>
      <c r="O98" s="21">
        <v>17.041275331882442</v>
      </c>
      <c r="P98" s="21">
        <v>0.37608109123254418</v>
      </c>
      <c r="Q98" s="21">
        <v>12.085995973117681</v>
      </c>
      <c r="R98" s="21">
        <v>66.729064681456009</v>
      </c>
      <c r="S98" s="21">
        <v>2.5493897755795114</v>
      </c>
      <c r="T98" s="18">
        <f t="shared" si="11"/>
        <v>99.999999999999986</v>
      </c>
    </row>
    <row r="99" spans="2:33" x14ac:dyDescent="0.3">
      <c r="B99" s="19">
        <v>45294</v>
      </c>
      <c r="C99" s="40">
        <f t="shared" si="8"/>
        <v>139</v>
      </c>
      <c r="D99" s="40">
        <v>7.08</v>
      </c>
      <c r="G99" s="21">
        <v>9.5764507845910156</v>
      </c>
      <c r="H99" s="21">
        <v>72.309094208665556</v>
      </c>
      <c r="I99" s="21">
        <v>0.6252164976943082</v>
      </c>
      <c r="J99" s="21">
        <v>2.2737342968233554</v>
      </c>
      <c r="K99" s="21">
        <v>3.7948259468587908</v>
      </c>
      <c r="L99" s="21">
        <v>11.42067826536698</v>
      </c>
      <c r="M99" s="18">
        <f t="shared" si="9"/>
        <v>100</v>
      </c>
      <c r="N99" s="21">
        <v>1.1339233473787267</v>
      </c>
      <c r="O99" s="21">
        <v>9.2227666340504832</v>
      </c>
      <c r="P99" s="21">
        <v>0.5328899020943616</v>
      </c>
      <c r="Q99" s="21">
        <v>16.02089802545844</v>
      </c>
      <c r="R99" s="21">
        <v>70.188643537904198</v>
      </c>
      <c r="S99" s="21">
        <v>2.9008785531137917</v>
      </c>
      <c r="T99" s="18">
        <f t="shared" si="11"/>
        <v>100</v>
      </c>
    </row>
    <row r="100" spans="2:33" x14ac:dyDescent="0.3">
      <c r="B100" s="19">
        <v>45295</v>
      </c>
      <c r="C100" s="40">
        <f t="shared" si="8"/>
        <v>140</v>
      </c>
      <c r="D100" s="40">
        <v>6.95</v>
      </c>
      <c r="G100" s="21">
        <v>8.3061778253279321</v>
      </c>
      <c r="H100" s="21">
        <v>76.19993566832855</v>
      </c>
      <c r="I100" s="21">
        <v>0.50764397585078613</v>
      </c>
      <c r="J100" s="21">
        <v>1.8441225044850609</v>
      </c>
      <c r="K100" s="21">
        <v>3.2507370178181318</v>
      </c>
      <c r="L100" s="21">
        <v>9.8913830081895409</v>
      </c>
      <c r="M100" s="18">
        <f t="shared" si="9"/>
        <v>100</v>
      </c>
      <c r="N100" s="21">
        <v>0.28811082935182036</v>
      </c>
      <c r="O100" s="21">
        <v>12.217377806895634</v>
      </c>
      <c r="P100" s="21">
        <v>0.45038612108936599</v>
      </c>
      <c r="Q100" s="21">
        <v>13.950020916371619</v>
      </c>
      <c r="R100" s="21">
        <v>69.916963061227051</v>
      </c>
      <c r="S100" s="21">
        <v>3.1771412650645225</v>
      </c>
      <c r="T100" s="18">
        <f t="shared" si="11"/>
        <v>100.00000000000001</v>
      </c>
      <c r="U100" s="2">
        <f>15.09*10</f>
        <v>150.9</v>
      </c>
      <c r="V100" s="2">
        <f>16.66*10</f>
        <v>166.6</v>
      </c>
      <c r="W100" s="2">
        <f>0.757*10</f>
        <v>7.57</v>
      </c>
      <c r="X100" s="2">
        <f>14.06*10</f>
        <v>140.6</v>
      </c>
      <c r="Y100" s="37">
        <v>9.7799999999999994</v>
      </c>
      <c r="Z100" s="2">
        <v>1.288</v>
      </c>
      <c r="AA100" s="2">
        <v>1.6879999999999999</v>
      </c>
      <c r="AB100" s="2">
        <v>0.68</v>
      </c>
      <c r="AC100" s="2">
        <v>35.420999999999999</v>
      </c>
      <c r="AD100" s="2">
        <v>0</v>
      </c>
      <c r="AE100" s="2">
        <v>0</v>
      </c>
      <c r="AF100" s="2">
        <v>0</v>
      </c>
      <c r="AG100" s="18">
        <v>0</v>
      </c>
    </row>
    <row r="101" spans="2:33" x14ac:dyDescent="0.3">
      <c r="B101" s="19">
        <v>45296</v>
      </c>
      <c r="C101" s="40">
        <f t="shared" si="8"/>
        <v>141</v>
      </c>
      <c r="D101" s="40">
        <v>6.81</v>
      </c>
      <c r="G101" s="21">
        <v>9.1728918972546829</v>
      </c>
      <c r="H101" s="21">
        <v>72.793843146727937</v>
      </c>
      <c r="I101" s="21">
        <v>0.20346051388530528</v>
      </c>
      <c r="J101" s="21">
        <v>3.5509889361950826</v>
      </c>
      <c r="K101" s="21">
        <v>3.5172896084983156</v>
      </c>
      <c r="L101" s="21">
        <v>10.761525897438668</v>
      </c>
      <c r="M101" s="18">
        <f t="shared" si="9"/>
        <v>100</v>
      </c>
      <c r="N101" s="21">
        <v>4.4790566897327961</v>
      </c>
      <c r="O101" s="21">
        <v>12.19299116523586</v>
      </c>
      <c r="P101" s="21">
        <v>0.60803775894918155</v>
      </c>
      <c r="Q101" s="21">
        <v>9.4081165360761823</v>
      </c>
      <c r="R101" s="21">
        <v>71.385703312269015</v>
      </c>
      <c r="S101" s="21">
        <v>1.9260945377369547</v>
      </c>
      <c r="T101" s="18">
        <f t="shared" si="11"/>
        <v>100</v>
      </c>
    </row>
    <row r="102" spans="2:33" x14ac:dyDescent="0.3">
      <c r="B102" s="42">
        <v>45299</v>
      </c>
      <c r="C102" s="40">
        <f t="shared" ref="C102:C133" si="12">B102-$B$5</f>
        <v>144</v>
      </c>
      <c r="D102" s="40">
        <v>7.02</v>
      </c>
      <c r="G102" s="21">
        <v>11.028258554832721</v>
      </c>
      <c r="H102" s="21">
        <v>70.016051197064925</v>
      </c>
      <c r="I102" s="21">
        <v>0.39113540388793372</v>
      </c>
      <c r="J102" s="21">
        <v>1.391513225645544</v>
      </c>
      <c r="K102" s="21">
        <v>4.2242114617647983</v>
      </c>
      <c r="L102" s="21">
        <v>12.948830156804078</v>
      </c>
      <c r="M102" s="18">
        <f t="shared" si="9"/>
        <v>99.999999999999986</v>
      </c>
      <c r="N102" s="21">
        <v>10.988672584107304</v>
      </c>
      <c r="O102" s="21">
        <v>12.556308248689971</v>
      </c>
      <c r="P102" s="21">
        <v>0.45870310131196607</v>
      </c>
      <c r="Q102" s="21">
        <v>10.318236642261901</v>
      </c>
      <c r="R102" s="21">
        <v>63.280631568386333</v>
      </c>
      <c r="S102" s="21">
        <v>2.3974478552425218</v>
      </c>
      <c r="T102" s="18">
        <f t="shared" si="11"/>
        <v>100</v>
      </c>
    </row>
    <row r="103" spans="2:33" x14ac:dyDescent="0.3">
      <c r="B103" s="42">
        <v>45300</v>
      </c>
      <c r="C103" s="40">
        <f t="shared" si="12"/>
        <v>145</v>
      </c>
      <c r="D103" s="40">
        <v>7.12</v>
      </c>
      <c r="E103" s="37">
        <v>7.27</v>
      </c>
      <c r="F103" s="18">
        <v>2.65</v>
      </c>
      <c r="G103" s="21">
        <v>9.6295455577401778</v>
      </c>
      <c r="H103" s="21">
        <v>67.002160261104265</v>
      </c>
      <c r="I103" s="21">
        <v>2.0997838961753534</v>
      </c>
      <c r="J103" s="21">
        <v>6.295126320526073</v>
      </c>
      <c r="K103" s="21">
        <v>3.7006891114408358</v>
      </c>
      <c r="L103" s="21">
        <v>11.27269485301332</v>
      </c>
      <c r="M103" s="18">
        <f t="shared" si="9"/>
        <v>100.00000000000001</v>
      </c>
      <c r="N103" s="21">
        <v>7.3103087720668158</v>
      </c>
      <c r="O103" s="21">
        <v>10.599181823134193</v>
      </c>
      <c r="P103" s="21">
        <v>0.79770436168830117</v>
      </c>
      <c r="Q103" s="21">
        <v>18.184061629984985</v>
      </c>
      <c r="R103" s="21">
        <v>61.080517954640079</v>
      </c>
      <c r="S103" s="21">
        <v>2.0282254584856272</v>
      </c>
      <c r="T103" s="18">
        <f t="shared" si="11"/>
        <v>100</v>
      </c>
      <c r="U103" s="2">
        <f>12*10</f>
        <v>120</v>
      </c>
      <c r="V103" s="2">
        <f>16.11*10</f>
        <v>161.1</v>
      </c>
      <c r="W103" s="2">
        <f>4.11*10</f>
        <v>41.1</v>
      </c>
      <c r="X103" s="2">
        <f>11.04*10</f>
        <v>110.39999999999999</v>
      </c>
      <c r="Y103" s="37">
        <v>2.4969999999999999</v>
      </c>
      <c r="Z103" s="2">
        <v>0</v>
      </c>
      <c r="AA103" s="2">
        <v>1.776</v>
      </c>
      <c r="AB103" s="2">
        <v>0.27500000000000002</v>
      </c>
      <c r="AC103" s="2">
        <v>32.415999999999997</v>
      </c>
      <c r="AD103" s="2">
        <v>0</v>
      </c>
      <c r="AE103" s="2">
        <v>0</v>
      </c>
      <c r="AF103" s="2">
        <v>0</v>
      </c>
      <c r="AG103" s="18">
        <v>0</v>
      </c>
    </row>
    <row r="104" spans="2:33" x14ac:dyDescent="0.3">
      <c r="B104" s="42">
        <v>45301</v>
      </c>
      <c r="C104" s="40">
        <f t="shared" si="12"/>
        <v>146</v>
      </c>
      <c r="D104" s="40">
        <v>7.23</v>
      </c>
      <c r="G104" s="21">
        <v>9.7719938545655545</v>
      </c>
      <c r="H104" s="21">
        <v>71.379302348090874</v>
      </c>
      <c r="I104" s="21">
        <v>1.5525067971416193</v>
      </c>
      <c r="J104" s="21">
        <v>2.1803056706633308</v>
      </c>
      <c r="K104" s="21">
        <v>3.684285260220848</v>
      </c>
      <c r="L104" s="21">
        <v>11.431606069317771</v>
      </c>
      <c r="M104" s="18">
        <f t="shared" si="9"/>
        <v>99.999999999999986</v>
      </c>
      <c r="N104" s="21">
        <v>3.2654782726384437</v>
      </c>
      <c r="O104" s="21">
        <v>11.232906272667407</v>
      </c>
      <c r="P104" s="21">
        <v>0.45389311223941475</v>
      </c>
      <c r="Q104" s="21">
        <v>12.529785234898755</v>
      </c>
      <c r="R104" s="21">
        <v>70.485220147430411</v>
      </c>
      <c r="S104" s="21">
        <v>2.0327169601255597</v>
      </c>
      <c r="T104" s="18">
        <f t="shared" si="11"/>
        <v>99.999999999999986</v>
      </c>
    </row>
    <row r="105" spans="2:33" x14ac:dyDescent="0.3">
      <c r="B105" s="42">
        <v>45302</v>
      </c>
      <c r="C105" s="40">
        <f t="shared" si="12"/>
        <v>147</v>
      </c>
      <c r="D105" s="40">
        <v>7.18</v>
      </c>
      <c r="G105" s="21">
        <v>9.3135126644928174</v>
      </c>
      <c r="H105" s="21">
        <v>70.673630232801912</v>
      </c>
      <c r="I105" s="21">
        <v>1.08472905644645</v>
      </c>
      <c r="J105" s="21">
        <v>4.0943070247756372</v>
      </c>
      <c r="K105" s="21">
        <v>3.5983876982190792</v>
      </c>
      <c r="L105" s="21">
        <v>11.235433323264097</v>
      </c>
      <c r="M105" s="18">
        <f t="shared" si="9"/>
        <v>100</v>
      </c>
      <c r="N105" s="21">
        <v>0.55627854775817731</v>
      </c>
      <c r="O105" s="21">
        <v>15.944986450237449</v>
      </c>
      <c r="P105" s="21">
        <v>0.68982725145600465</v>
      </c>
      <c r="Q105" s="21">
        <v>11.452250120294822</v>
      </c>
      <c r="R105" s="21">
        <v>68.620403782600221</v>
      </c>
      <c r="S105" s="21">
        <v>2.7362538476533285</v>
      </c>
      <c r="T105" s="18">
        <f t="shared" si="11"/>
        <v>100</v>
      </c>
      <c r="U105" s="2">
        <f>17.96*10</f>
        <v>179.60000000000002</v>
      </c>
      <c r="V105" s="2">
        <f>21.74*10</f>
        <v>217.39999999999998</v>
      </c>
      <c r="W105" s="2">
        <f>3.779*10</f>
        <v>37.79</v>
      </c>
      <c r="X105" s="2">
        <f>12.88*10</f>
        <v>128.80000000000001</v>
      </c>
      <c r="Y105" s="37">
        <v>1.548</v>
      </c>
      <c r="Z105" s="2">
        <v>1.877</v>
      </c>
      <c r="AA105" s="2">
        <v>4.2960000000000003</v>
      </c>
      <c r="AB105" s="2">
        <v>0.45800000000000002</v>
      </c>
      <c r="AC105" s="2">
        <v>31.033999999999999</v>
      </c>
      <c r="AD105" s="2">
        <v>0</v>
      </c>
      <c r="AE105" s="2">
        <v>0</v>
      </c>
      <c r="AF105" s="2">
        <v>0</v>
      </c>
      <c r="AG105" s="18">
        <v>0</v>
      </c>
    </row>
    <row r="106" spans="2:33" x14ac:dyDescent="0.3">
      <c r="B106" s="42">
        <v>45303</v>
      </c>
      <c r="C106" s="40">
        <f t="shared" si="12"/>
        <v>148</v>
      </c>
      <c r="D106" s="40">
        <v>7.1</v>
      </c>
      <c r="G106" s="21"/>
      <c r="H106" s="21"/>
      <c r="I106" s="21"/>
      <c r="J106" s="21"/>
      <c r="K106" s="21"/>
      <c r="L106" s="21"/>
      <c r="N106" s="21"/>
      <c r="O106" s="21"/>
      <c r="P106" s="21"/>
      <c r="Q106" s="21"/>
      <c r="R106" s="21"/>
      <c r="S106" s="21"/>
    </row>
    <row r="107" spans="2:33" x14ac:dyDescent="0.3">
      <c r="B107" s="42">
        <v>45306</v>
      </c>
      <c r="C107" s="40">
        <f t="shared" si="12"/>
        <v>151</v>
      </c>
      <c r="D107" s="40">
        <v>7.08</v>
      </c>
      <c r="G107" s="21">
        <v>9.906713608350401</v>
      </c>
      <c r="H107" s="21">
        <v>65.753963277755631</v>
      </c>
      <c r="I107" s="21">
        <v>1.9613768304635182</v>
      </c>
      <c r="J107" s="21">
        <v>7.1229136076825492</v>
      </c>
      <c r="K107" s="21">
        <v>3.7247243445792639</v>
      </c>
      <c r="L107" s="21">
        <v>11.530308331168641</v>
      </c>
      <c r="M107" s="18">
        <f t="shared" ref="M107:M119" si="13">SUM(G107:L107)</f>
        <v>100</v>
      </c>
      <c r="N107" s="21">
        <v>7.2989794237278041</v>
      </c>
      <c r="O107" s="21">
        <v>11.294552251291112</v>
      </c>
      <c r="P107" s="21">
        <v>0.59591062608991607</v>
      </c>
      <c r="Q107" s="21">
        <v>12.193849556408477</v>
      </c>
      <c r="R107" s="21">
        <v>66.39537165988169</v>
      </c>
      <c r="S107" s="21">
        <v>2.2213364826010067</v>
      </c>
      <c r="T107" s="18">
        <f t="shared" ref="T107:T119" si="14">SUM(N107:S107)</f>
        <v>100</v>
      </c>
    </row>
    <row r="108" spans="2:33" x14ac:dyDescent="0.3">
      <c r="B108" s="42">
        <v>45307</v>
      </c>
      <c r="C108" s="40">
        <f t="shared" si="12"/>
        <v>152</v>
      </c>
      <c r="D108" s="40">
        <v>7.31</v>
      </c>
      <c r="E108" s="37">
        <v>6.73</v>
      </c>
      <c r="F108" s="18">
        <v>2.35</v>
      </c>
      <c r="G108" s="21">
        <v>9.7623054878500106</v>
      </c>
      <c r="H108" s="21">
        <v>67.365425073863065</v>
      </c>
      <c r="I108" s="21">
        <v>1.6935245974125428</v>
      </c>
      <c r="J108" s="21">
        <v>6.0814086823784033</v>
      </c>
      <c r="K108" s="21">
        <v>3.7538530563905335</v>
      </c>
      <c r="L108" s="21">
        <v>11.34348310210545</v>
      </c>
      <c r="M108" s="18">
        <f t="shared" si="13"/>
        <v>100.00000000000003</v>
      </c>
      <c r="N108" s="21">
        <v>4.6281286661878784</v>
      </c>
      <c r="O108" s="21">
        <v>12.023786934058728</v>
      </c>
      <c r="P108" s="21">
        <v>0.47996414920764885</v>
      </c>
      <c r="Q108" s="21">
        <v>14.283825079937081</v>
      </c>
      <c r="R108" s="21">
        <v>66.22011933564859</v>
      </c>
      <c r="S108" s="21">
        <v>2.3641758349600814</v>
      </c>
      <c r="T108" s="18">
        <f t="shared" si="14"/>
        <v>100.00000000000001</v>
      </c>
      <c r="U108" s="2">
        <f>18.74*10</f>
        <v>187.39999999999998</v>
      </c>
      <c r="V108" s="2">
        <f>25.97*10</f>
        <v>259.7</v>
      </c>
      <c r="W108" s="2">
        <f>7.225*10</f>
        <v>72.25</v>
      </c>
      <c r="X108" s="2">
        <f>8.954*10</f>
        <v>89.54</v>
      </c>
      <c r="Y108" s="37">
        <v>3.6970000000000001</v>
      </c>
      <c r="Z108" s="2">
        <v>8.8339999999999996</v>
      </c>
      <c r="AA108" s="2">
        <v>3.887</v>
      </c>
      <c r="AB108" s="2">
        <v>5.0000000000000001E-3</v>
      </c>
      <c r="AC108" s="2">
        <v>5.0000000000000001E-3</v>
      </c>
      <c r="AD108" s="2">
        <v>0</v>
      </c>
      <c r="AE108" s="2">
        <v>4.0000000000000001E-3</v>
      </c>
      <c r="AF108" s="2">
        <v>1.61</v>
      </c>
      <c r="AG108" s="18">
        <v>17.033999999999999</v>
      </c>
    </row>
    <row r="109" spans="2:33" x14ac:dyDescent="0.3">
      <c r="B109" s="42">
        <v>45308</v>
      </c>
      <c r="C109" s="40">
        <f t="shared" si="12"/>
        <v>153</v>
      </c>
      <c r="D109" s="40">
        <v>7.18</v>
      </c>
      <c r="G109" s="21">
        <v>10.091876986914672</v>
      </c>
      <c r="H109" s="21">
        <v>72.80929410407542</v>
      </c>
      <c r="I109" s="21">
        <v>0.2059256632010413</v>
      </c>
      <c r="J109" s="21">
        <v>0.75523260678693227</v>
      </c>
      <c r="K109" s="21">
        <v>4.3168866192109201</v>
      </c>
      <c r="L109" s="21">
        <v>11.820784019811006</v>
      </c>
      <c r="M109" s="18">
        <f t="shared" si="13"/>
        <v>99.999999999999986</v>
      </c>
      <c r="N109" s="21">
        <v>2.8483792159563102</v>
      </c>
      <c r="O109" s="21">
        <v>12.431046577869328</v>
      </c>
      <c r="P109" s="21">
        <v>0.25925177451453862</v>
      </c>
      <c r="Q109" s="21">
        <v>8.4265311161934928</v>
      </c>
      <c r="R109" s="21">
        <v>73.819042472817529</v>
      </c>
      <c r="S109" s="21">
        <v>2.2157488426487832</v>
      </c>
      <c r="T109" s="18">
        <f t="shared" si="14"/>
        <v>99.999999999999986</v>
      </c>
    </row>
    <row r="110" spans="2:33" x14ac:dyDescent="0.3">
      <c r="B110" s="42">
        <v>45309</v>
      </c>
      <c r="C110" s="40">
        <f t="shared" si="12"/>
        <v>154</v>
      </c>
      <c r="D110" s="40">
        <v>7.2</v>
      </c>
      <c r="G110" s="21">
        <v>10.320494152229442</v>
      </c>
      <c r="H110" s="21">
        <v>71.927574485781307</v>
      </c>
      <c r="I110" s="21">
        <v>0.32765286517116521</v>
      </c>
      <c r="J110" s="21">
        <v>1.1749811481477241</v>
      </c>
      <c r="K110" s="21">
        <v>3.9993443493519449</v>
      </c>
      <c r="L110" s="21">
        <v>12.24995299931842</v>
      </c>
      <c r="M110" s="18">
        <f t="shared" si="13"/>
        <v>100</v>
      </c>
      <c r="N110" s="21">
        <v>2.783906533997317</v>
      </c>
      <c r="O110" s="21">
        <v>12.990131523801434</v>
      </c>
      <c r="P110" s="21">
        <v>0.18479420270141109</v>
      </c>
      <c r="Q110" s="21">
        <v>2.2491467167723838</v>
      </c>
      <c r="R110" s="21">
        <v>79.343975216593591</v>
      </c>
      <c r="S110" s="21">
        <v>2.4480458061338672</v>
      </c>
      <c r="T110" s="18">
        <f t="shared" si="14"/>
        <v>100</v>
      </c>
      <c r="U110" s="2">
        <f>19.24*10</f>
        <v>192.39999999999998</v>
      </c>
      <c r="V110" s="2">
        <f>24.04*10</f>
        <v>240.39999999999998</v>
      </c>
      <c r="W110" s="2">
        <f>4.791*10</f>
        <v>47.910000000000004</v>
      </c>
      <c r="X110" s="2">
        <f>7.883*10</f>
        <v>78.83</v>
      </c>
      <c r="Y110" s="37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17.847999999999999</v>
      </c>
      <c r="AG110" s="18">
        <v>3.0000000000000001E-3</v>
      </c>
    </row>
    <row r="111" spans="2:33" x14ac:dyDescent="0.3">
      <c r="B111" s="42">
        <v>45310</v>
      </c>
      <c r="C111" s="40">
        <f t="shared" si="12"/>
        <v>155</v>
      </c>
      <c r="D111" s="40">
        <v>7.12</v>
      </c>
      <c r="G111" s="21">
        <v>10.348699123004849</v>
      </c>
      <c r="H111" s="21">
        <v>72.49146612050788</v>
      </c>
      <c r="I111" s="21">
        <v>0.2206924338409853</v>
      </c>
      <c r="J111" s="21">
        <v>0.80427904454756249</v>
      </c>
      <c r="K111" s="21">
        <v>3.9789924515967732</v>
      </c>
      <c r="L111" s="21">
        <v>12.155870826501951</v>
      </c>
      <c r="M111" s="18">
        <f t="shared" si="13"/>
        <v>99.999999999999986</v>
      </c>
      <c r="N111" s="21">
        <v>1.9234452270132203</v>
      </c>
      <c r="O111" s="21">
        <v>11.380576395483837</v>
      </c>
      <c r="P111" s="21">
        <v>0.18554236890692238</v>
      </c>
      <c r="Q111" s="21">
        <v>3.8803155393644451</v>
      </c>
      <c r="R111" s="21">
        <v>80.042987373545898</v>
      </c>
      <c r="S111" s="21">
        <v>2.58713309568568</v>
      </c>
      <c r="T111" s="18">
        <f t="shared" si="14"/>
        <v>100.00000000000001</v>
      </c>
    </row>
    <row r="112" spans="2:33" x14ac:dyDescent="0.3">
      <c r="B112" s="42">
        <v>45313</v>
      </c>
      <c r="C112" s="40">
        <f t="shared" si="12"/>
        <v>158</v>
      </c>
      <c r="D112" s="40">
        <v>7.23</v>
      </c>
      <c r="G112" s="21">
        <v>9.4248273499596884</v>
      </c>
      <c r="H112" s="21">
        <v>71.00026843131198</v>
      </c>
      <c r="I112" s="21">
        <v>1.0522207776514974</v>
      </c>
      <c r="J112" s="21">
        <v>3.872692290318354</v>
      </c>
      <c r="K112" s="21">
        <v>3.6148590314660374</v>
      </c>
      <c r="L112" s="21">
        <v>11.03513211929244</v>
      </c>
      <c r="M112" s="18">
        <f t="shared" si="13"/>
        <v>100</v>
      </c>
      <c r="N112" s="21">
        <v>0.31176062377404468</v>
      </c>
      <c r="O112" s="21">
        <v>11.572418493409964</v>
      </c>
      <c r="P112" s="21">
        <v>0.40205914385013475</v>
      </c>
      <c r="Q112" s="21">
        <v>10.768816275268037</v>
      </c>
      <c r="R112" s="21">
        <v>74.193019313504806</v>
      </c>
      <c r="S112" s="21">
        <v>2.7519261501930066</v>
      </c>
      <c r="T112" s="18">
        <f t="shared" si="14"/>
        <v>99.999999999999986</v>
      </c>
    </row>
    <row r="113" spans="2:33" x14ac:dyDescent="0.3">
      <c r="B113" s="42">
        <v>45314</v>
      </c>
      <c r="C113" s="40">
        <f t="shared" si="12"/>
        <v>159</v>
      </c>
      <c r="D113" s="40">
        <v>7.12</v>
      </c>
      <c r="E113" s="37">
        <v>6.92</v>
      </c>
      <c r="F113" s="18">
        <v>2.4</v>
      </c>
      <c r="G113" s="21">
        <v>9.3121789830624895</v>
      </c>
      <c r="H113" s="21">
        <v>74.640395350792232</v>
      </c>
      <c r="I113" s="21">
        <v>0.32579225226009717</v>
      </c>
      <c r="J113" s="21">
        <v>1.1859543366269298</v>
      </c>
      <c r="K113" s="21">
        <v>3.6032795391000385</v>
      </c>
      <c r="L113" s="21">
        <v>10.932399538158204</v>
      </c>
      <c r="M113" s="18">
        <f t="shared" si="13"/>
        <v>100.00000000000001</v>
      </c>
      <c r="N113" s="21">
        <v>1.933735837030496</v>
      </c>
      <c r="O113" s="21">
        <v>12.248558310381121</v>
      </c>
      <c r="P113" s="21">
        <v>0.2105509043908817</v>
      </c>
      <c r="Q113" s="21">
        <v>3.5425395242499609</v>
      </c>
      <c r="R113" s="21">
        <v>79.97884096934078</v>
      </c>
      <c r="S113" s="21">
        <v>2.0857744546067667</v>
      </c>
      <c r="T113" s="18">
        <f t="shared" si="14"/>
        <v>100</v>
      </c>
      <c r="U113" s="2">
        <f>22.59*10</f>
        <v>225.9</v>
      </c>
      <c r="V113" s="2">
        <f>26.41*10</f>
        <v>264.10000000000002</v>
      </c>
      <c r="W113" s="2">
        <f>3.822*10</f>
        <v>38.22</v>
      </c>
      <c r="X113" s="2">
        <f>6.132*10</f>
        <v>61.319999999999993</v>
      </c>
      <c r="Y113" s="37">
        <v>49.996000000000002</v>
      </c>
      <c r="Z113" s="2">
        <v>2.2989999999999999</v>
      </c>
      <c r="AA113" s="2">
        <v>1.4179999999999999</v>
      </c>
      <c r="AB113" s="2">
        <v>0</v>
      </c>
      <c r="AC113" s="2">
        <v>0</v>
      </c>
      <c r="AD113" s="2">
        <v>0</v>
      </c>
      <c r="AE113" s="2">
        <v>0</v>
      </c>
      <c r="AF113" s="2">
        <v>2E-3</v>
      </c>
      <c r="AG113" s="18">
        <v>12.375999999999999</v>
      </c>
    </row>
    <row r="114" spans="2:33" x14ac:dyDescent="0.3">
      <c r="B114" s="42">
        <v>45315</v>
      </c>
      <c r="C114" s="40">
        <f t="shared" si="12"/>
        <v>160</v>
      </c>
      <c r="D114" s="40">
        <v>7.09</v>
      </c>
      <c r="G114" s="21">
        <v>8.9938027550399084</v>
      </c>
      <c r="H114" s="21">
        <v>74.481524006247383</v>
      </c>
      <c r="I114" s="21">
        <v>0.51500639564451578</v>
      </c>
      <c r="J114" s="21">
        <v>1.8854775509677295</v>
      </c>
      <c r="K114" s="21">
        <v>3.5673157317234043</v>
      </c>
      <c r="L114" s="21">
        <v>10.556873560377063</v>
      </c>
      <c r="M114" s="18">
        <f t="shared" si="13"/>
        <v>100</v>
      </c>
      <c r="N114" s="21">
        <v>0.19181277290197771</v>
      </c>
      <c r="O114" s="21">
        <v>14.868799359989834</v>
      </c>
      <c r="P114" s="21">
        <v>0.25606805844640163</v>
      </c>
      <c r="Q114" s="21">
        <v>4.7969219529472813</v>
      </c>
      <c r="R114" s="21">
        <v>77.105436572518357</v>
      </c>
      <c r="S114" s="21">
        <v>2.7809612831961457</v>
      </c>
      <c r="T114" s="18">
        <f t="shared" si="14"/>
        <v>100</v>
      </c>
    </row>
    <row r="115" spans="2:33" x14ac:dyDescent="0.3">
      <c r="B115" s="42">
        <v>45316</v>
      </c>
      <c r="C115" s="40">
        <f t="shared" si="12"/>
        <v>161</v>
      </c>
      <c r="D115" s="40">
        <v>7.12</v>
      </c>
      <c r="G115" s="21">
        <v>9.1735048791098883</v>
      </c>
      <c r="H115" s="21">
        <v>74.957796500841994</v>
      </c>
      <c r="I115" s="21">
        <v>0.34211584189951022</v>
      </c>
      <c r="J115" s="21">
        <v>1.2261666994778513</v>
      </c>
      <c r="K115" s="21">
        <v>3.5565477540086099</v>
      </c>
      <c r="L115" s="21">
        <v>10.743868324662168</v>
      </c>
      <c r="M115" s="18">
        <f t="shared" si="13"/>
        <v>100.00000000000003</v>
      </c>
      <c r="N115" s="21">
        <v>0.62775850362936969</v>
      </c>
      <c r="O115" s="21">
        <v>10.980210206293343</v>
      </c>
      <c r="P115" s="21">
        <v>0.18135492653834781</v>
      </c>
      <c r="Q115" s="21">
        <v>2.695403383608558</v>
      </c>
      <c r="R115" s="21">
        <v>83.457126120061488</v>
      </c>
      <c r="S115" s="21">
        <v>2.0581468598689061</v>
      </c>
      <c r="T115" s="18">
        <f t="shared" si="14"/>
        <v>100.00000000000001</v>
      </c>
      <c r="U115" s="2">
        <f>26.72*10</f>
        <v>267.2</v>
      </c>
      <c r="V115" s="2">
        <f>27.45*10</f>
        <v>274.5</v>
      </c>
      <c r="W115" s="2">
        <f>0.7292*10</f>
        <v>7.2919999999999998</v>
      </c>
      <c r="X115" s="2">
        <f>7.994*10</f>
        <v>79.94</v>
      </c>
      <c r="Y115" s="37">
        <v>56.895000000000003</v>
      </c>
      <c r="Z115" s="2">
        <v>1.536</v>
      </c>
      <c r="AA115" s="2">
        <v>0.873</v>
      </c>
      <c r="AB115" s="2">
        <v>12.465</v>
      </c>
      <c r="AC115" s="2">
        <v>0</v>
      </c>
      <c r="AD115" s="2">
        <v>0</v>
      </c>
      <c r="AE115" s="2">
        <v>0</v>
      </c>
      <c r="AF115" s="2">
        <v>0.378</v>
      </c>
      <c r="AG115" s="18">
        <v>9.2029999999999994</v>
      </c>
    </row>
    <row r="116" spans="2:33" x14ac:dyDescent="0.3">
      <c r="B116" s="42">
        <v>45317</v>
      </c>
      <c r="C116" s="40">
        <f t="shared" si="12"/>
        <v>162</v>
      </c>
      <c r="D116" s="40">
        <v>6.97</v>
      </c>
      <c r="G116" s="21">
        <v>9.4409221203998257</v>
      </c>
      <c r="H116" s="21">
        <v>72.356391996446192</v>
      </c>
      <c r="I116" s="21">
        <v>0.70560243360218278</v>
      </c>
      <c r="J116" s="21">
        <v>2.5871685544391507</v>
      </c>
      <c r="K116" s="21">
        <v>3.7751990774291388</v>
      </c>
      <c r="L116" s="21">
        <v>11.134715817683528</v>
      </c>
      <c r="M116" s="18">
        <f t="shared" si="13"/>
        <v>100.00000000000001</v>
      </c>
      <c r="N116" s="21">
        <v>0.20624416308829577</v>
      </c>
      <c r="O116" s="21">
        <v>11.319792100307433</v>
      </c>
      <c r="P116" s="21">
        <v>0.28271238501643536</v>
      </c>
      <c r="Q116" s="21">
        <v>6.6862232788355209</v>
      </c>
      <c r="R116" s="21">
        <v>79.333199414444081</v>
      </c>
      <c r="S116" s="21">
        <v>2.1718286583082222</v>
      </c>
      <c r="T116" s="18">
        <f t="shared" si="14"/>
        <v>100</v>
      </c>
    </row>
    <row r="117" spans="2:33" x14ac:dyDescent="0.3">
      <c r="B117" s="42">
        <v>45320</v>
      </c>
      <c r="C117" s="40">
        <f t="shared" si="12"/>
        <v>165</v>
      </c>
      <c r="D117" s="40">
        <v>7.04</v>
      </c>
      <c r="G117" s="21">
        <v>10.403720578627135</v>
      </c>
      <c r="H117" s="21">
        <v>70.361498045885696</v>
      </c>
      <c r="I117" s="21">
        <v>0.64633632953083031</v>
      </c>
      <c r="J117" s="21">
        <v>2.3315027087176809</v>
      </c>
      <c r="K117" s="21">
        <v>4.0838869979379337</v>
      </c>
      <c r="L117" s="21">
        <v>12.173055339300747</v>
      </c>
      <c r="M117" s="18">
        <f t="shared" si="13"/>
        <v>100.00000000000001</v>
      </c>
      <c r="N117" s="21">
        <v>1.5327253250527157</v>
      </c>
      <c r="O117" s="21">
        <v>9.5301820978124052</v>
      </c>
      <c r="P117" s="21">
        <v>0.25068857185813109</v>
      </c>
      <c r="Q117" s="21">
        <v>5.962695114614065</v>
      </c>
      <c r="R117" s="21">
        <v>80.873317430477314</v>
      </c>
      <c r="S117" s="21">
        <v>1.8503914601853613</v>
      </c>
      <c r="T117" s="18">
        <f t="shared" si="14"/>
        <v>100</v>
      </c>
    </row>
    <row r="118" spans="2:33" x14ac:dyDescent="0.3">
      <c r="B118" s="42">
        <v>45321</v>
      </c>
      <c r="C118" s="40">
        <f t="shared" si="12"/>
        <v>166</v>
      </c>
      <c r="D118" s="40">
        <v>7.08</v>
      </c>
      <c r="E118" s="37">
        <v>9.9499999999999993</v>
      </c>
      <c r="G118" s="21">
        <v>9.7712655917078752</v>
      </c>
      <c r="H118" s="21">
        <v>73.269455625744015</v>
      </c>
      <c r="I118" s="21">
        <v>0.34451073550097455</v>
      </c>
      <c r="J118" s="21">
        <v>1.1731236120748705</v>
      </c>
      <c r="K118" s="21">
        <v>3.8978929942764196</v>
      </c>
      <c r="L118" s="21">
        <v>11.543751440695866</v>
      </c>
      <c r="M118" s="18">
        <f t="shared" si="13"/>
        <v>100.00000000000003</v>
      </c>
      <c r="N118" s="21">
        <v>0.74992989987859437</v>
      </c>
      <c r="O118" s="21">
        <v>13.99094318695186</v>
      </c>
      <c r="P118" s="21">
        <v>0.11555697733657906</v>
      </c>
      <c r="Q118" s="21">
        <v>2.3342942313919575</v>
      </c>
      <c r="R118" s="21">
        <v>80.775104624854478</v>
      </c>
      <c r="S118" s="21">
        <v>2.0341710795865318</v>
      </c>
      <c r="T118" s="18">
        <f t="shared" si="14"/>
        <v>100</v>
      </c>
      <c r="U118" s="2">
        <f>33.14*10</f>
        <v>331.4</v>
      </c>
      <c r="V118" s="2">
        <f>33.87*10</f>
        <v>338.7</v>
      </c>
      <c r="W118" s="2">
        <f>0.7318*10</f>
        <v>7.3179999999999996</v>
      </c>
      <c r="X118" s="2">
        <f>15.96*10</f>
        <v>159.60000000000002</v>
      </c>
      <c r="Y118" s="37">
        <v>0</v>
      </c>
      <c r="Z118" s="2">
        <v>0</v>
      </c>
      <c r="AA118" s="2">
        <v>27.837</v>
      </c>
      <c r="AB118" s="2">
        <v>4.88</v>
      </c>
      <c r="AC118" s="2">
        <v>0</v>
      </c>
      <c r="AD118" s="2">
        <v>0</v>
      </c>
      <c r="AE118" s="2">
        <v>0</v>
      </c>
      <c r="AF118" s="2">
        <v>22.664999999999999</v>
      </c>
      <c r="AG118" s="18">
        <v>0</v>
      </c>
    </row>
    <row r="119" spans="2:33" x14ac:dyDescent="0.3">
      <c r="B119" s="42">
        <v>45322</v>
      </c>
      <c r="C119" s="40">
        <f t="shared" si="12"/>
        <v>167</v>
      </c>
      <c r="D119" s="40">
        <v>7.11</v>
      </c>
      <c r="G119" s="21">
        <v>10.505655231021645</v>
      </c>
      <c r="H119" s="21">
        <v>69.383251960968536</v>
      </c>
      <c r="I119" s="21">
        <v>0.73635550894798651</v>
      </c>
      <c r="J119" s="21">
        <v>2.7019536027803239</v>
      </c>
      <c r="K119" s="21">
        <v>4.1220718433609402</v>
      </c>
      <c r="L119" s="21">
        <v>12.550711852920561</v>
      </c>
      <c r="M119" s="18">
        <f t="shared" si="13"/>
        <v>99.999999999999986</v>
      </c>
      <c r="N119" s="21">
        <v>7.3497385370956447</v>
      </c>
      <c r="O119" s="21">
        <v>9.4716532228670332</v>
      </c>
      <c r="P119" s="21">
        <v>0.25593802149108091</v>
      </c>
      <c r="Q119" s="21">
        <v>6.211943303965958</v>
      </c>
      <c r="R119" s="21">
        <v>74.696101429311639</v>
      </c>
      <c r="S119" s="21">
        <v>2.0146254852686325</v>
      </c>
      <c r="T119" s="18">
        <f t="shared" si="14"/>
        <v>99.999999999999986</v>
      </c>
    </row>
    <row r="120" spans="2:33" x14ac:dyDescent="0.3">
      <c r="B120" s="42">
        <v>45323</v>
      </c>
      <c r="C120" s="40">
        <f t="shared" si="12"/>
        <v>168</v>
      </c>
    </row>
    <row r="121" spans="2:33" x14ac:dyDescent="0.3">
      <c r="B121" s="42">
        <v>45324</v>
      </c>
      <c r="C121" s="40">
        <f t="shared" si="12"/>
        <v>169</v>
      </c>
      <c r="D121" s="40">
        <v>6.88</v>
      </c>
      <c r="G121" s="21">
        <v>8.9880825693193227</v>
      </c>
      <c r="H121" s="21">
        <v>74.691508249407718</v>
      </c>
      <c r="I121" s="21">
        <v>0.4394915332829562</v>
      </c>
      <c r="J121" s="21">
        <v>1.572930223589101</v>
      </c>
      <c r="K121" s="21">
        <v>3.5453216410513075</v>
      </c>
      <c r="L121" s="21">
        <v>10.762665783349606</v>
      </c>
      <c r="M121" s="18">
        <f t="shared" ref="M121:M138" si="15">SUM(G121:L121)</f>
        <v>100</v>
      </c>
      <c r="N121" s="21">
        <v>0.21068915835404101</v>
      </c>
      <c r="O121" s="21">
        <v>15.469150032806125</v>
      </c>
      <c r="P121" s="21">
        <v>0.19486916379147276</v>
      </c>
      <c r="Q121" s="21">
        <v>3.2015286898242303</v>
      </c>
      <c r="R121" s="21">
        <v>79.453626397582255</v>
      </c>
      <c r="S121" s="21">
        <v>1.4701365576418757</v>
      </c>
      <c r="T121" s="18">
        <f>SUM(N121:S121)</f>
        <v>100</v>
      </c>
    </row>
    <row r="122" spans="2:33" x14ac:dyDescent="0.3">
      <c r="B122" s="42">
        <v>45327</v>
      </c>
      <c r="C122" s="40">
        <f t="shared" si="12"/>
        <v>172</v>
      </c>
      <c r="D122" s="40">
        <v>7.11</v>
      </c>
      <c r="G122" s="21">
        <v>9.8005741573656184</v>
      </c>
      <c r="H122" s="21">
        <v>73.559626940714736</v>
      </c>
      <c r="I122" s="21">
        <v>0.22299698108666963</v>
      </c>
      <c r="J122" s="21">
        <v>0.82339855799431483</v>
      </c>
      <c r="K122" s="21">
        <v>3.8574161762898704</v>
      </c>
      <c r="L122" s="21">
        <v>11.735987186548774</v>
      </c>
      <c r="M122" s="18">
        <f t="shared" si="15"/>
        <v>99.999999999999972</v>
      </c>
    </row>
    <row r="123" spans="2:33" x14ac:dyDescent="0.3">
      <c r="B123" s="42">
        <v>45328</v>
      </c>
      <c r="C123" s="40">
        <f t="shared" si="12"/>
        <v>173</v>
      </c>
      <c r="D123" s="40">
        <v>7.01</v>
      </c>
      <c r="E123" s="37">
        <v>8.7200000000000006</v>
      </c>
      <c r="G123" s="21">
        <v>10.782552462941549</v>
      </c>
      <c r="H123" s="21">
        <v>70.324872330619243</v>
      </c>
      <c r="I123" s="21">
        <v>0.40339190354440518</v>
      </c>
      <c r="J123" s="21">
        <v>1.4712435962193302</v>
      </c>
      <c r="K123" s="21">
        <v>4.1878858720102112</v>
      </c>
      <c r="L123" s="21">
        <v>12.830053834665256</v>
      </c>
      <c r="M123" s="18">
        <f t="shared" si="15"/>
        <v>99.999999999999986</v>
      </c>
      <c r="N123" s="21">
        <v>2.9798443986100307</v>
      </c>
      <c r="O123" s="21">
        <v>5.7873378438599588</v>
      </c>
      <c r="P123" s="21">
        <v>0.19699189350329357</v>
      </c>
      <c r="Q123" s="21">
        <v>3.4921925810123238</v>
      </c>
      <c r="R123" s="21">
        <v>86.391188691479286</v>
      </c>
      <c r="S123" s="21">
        <v>1.1524445915350969</v>
      </c>
      <c r="T123" s="18">
        <f>SUM(N123:S123)</f>
        <v>100</v>
      </c>
      <c r="U123" s="2">
        <f>27.18*10</f>
        <v>271.8</v>
      </c>
      <c r="V123" s="2">
        <f>29.56*10</f>
        <v>295.59999999999997</v>
      </c>
      <c r="W123" s="2">
        <f>2.383*10</f>
        <v>23.83</v>
      </c>
      <c r="X123" s="2">
        <f>11.33*10</f>
        <v>113.3</v>
      </c>
      <c r="Y123" s="37">
        <v>19.042000000000002</v>
      </c>
      <c r="Z123" s="2">
        <v>0</v>
      </c>
      <c r="AA123" s="2">
        <v>14.106</v>
      </c>
      <c r="AB123" s="2">
        <v>0</v>
      </c>
      <c r="AC123" s="2">
        <v>1.6E-2</v>
      </c>
      <c r="AD123" s="2">
        <v>1E-3</v>
      </c>
      <c r="AE123" s="2">
        <v>0</v>
      </c>
      <c r="AF123" s="2">
        <v>52.058999999999997</v>
      </c>
      <c r="AG123" s="18">
        <v>0</v>
      </c>
    </row>
    <row r="124" spans="2:33" x14ac:dyDescent="0.3">
      <c r="B124" s="42">
        <v>45329</v>
      </c>
      <c r="C124" s="40">
        <f t="shared" si="12"/>
        <v>174</v>
      </c>
      <c r="D124" s="40">
        <v>6.89</v>
      </c>
      <c r="G124" s="21">
        <v>9.7382423200617385</v>
      </c>
      <c r="H124" s="21">
        <v>73.843377640003652</v>
      </c>
      <c r="I124" s="21">
        <v>0.2210407315880738</v>
      </c>
      <c r="J124" s="21">
        <v>0.74971587073922563</v>
      </c>
      <c r="K124" s="21">
        <v>3.945647393171535</v>
      </c>
      <c r="L124" s="21">
        <v>11.501976044435786</v>
      </c>
      <c r="M124" s="18">
        <f t="shared" si="15"/>
        <v>100.00000000000003</v>
      </c>
      <c r="N124" s="21">
        <v>5.1592969960226496</v>
      </c>
      <c r="O124" s="21">
        <v>7.1058556812527378</v>
      </c>
      <c r="P124" s="21">
        <v>0.20861454225395287</v>
      </c>
      <c r="Q124" s="21">
        <v>4.6457282028676898</v>
      </c>
      <c r="R124" s="21">
        <v>81.513534097012766</v>
      </c>
      <c r="S124" s="21">
        <v>1.3669704805902012</v>
      </c>
      <c r="T124" s="18">
        <f>SUM(N124:S124)</f>
        <v>100</v>
      </c>
    </row>
    <row r="125" spans="2:33" x14ac:dyDescent="0.3">
      <c r="B125" s="42">
        <v>45330</v>
      </c>
      <c r="C125" s="40">
        <f t="shared" si="12"/>
        <v>175</v>
      </c>
      <c r="D125" s="40">
        <v>6.92</v>
      </c>
      <c r="G125" s="21">
        <v>10.494479434414243</v>
      </c>
      <c r="H125" s="21">
        <v>71.004980426384193</v>
      </c>
      <c r="I125" s="21">
        <v>0.41288926460476399</v>
      </c>
      <c r="J125" s="21">
        <v>1.4098396215253193</v>
      </c>
      <c r="K125" s="21">
        <v>4.2388135456623397</v>
      </c>
      <c r="L125" s="21">
        <v>12.43899770740917</v>
      </c>
      <c r="M125" s="18">
        <f t="shared" si="15"/>
        <v>100.00000000000003</v>
      </c>
      <c r="N125" s="21">
        <v>3.9762360537944588</v>
      </c>
      <c r="O125" s="21">
        <v>4.5758760310965725</v>
      </c>
      <c r="P125" s="21">
        <v>0.17891206534258822</v>
      </c>
      <c r="Q125" s="21">
        <v>3.1561461748688004</v>
      </c>
      <c r="R125" s="21">
        <v>87.189723203242352</v>
      </c>
      <c r="S125" s="21">
        <v>0.92310647165522786</v>
      </c>
      <c r="T125" s="18">
        <f>SUM(N125:S125)</f>
        <v>100</v>
      </c>
      <c r="U125" s="2">
        <f>26.64*10</f>
        <v>266.39999999999998</v>
      </c>
      <c r="V125" s="2">
        <f>28.02*10</f>
        <v>280.2</v>
      </c>
      <c r="W125" s="2">
        <f>1.379*10</f>
        <v>13.79</v>
      </c>
      <c r="X125" s="2">
        <f>10.74*10</f>
        <v>107.4</v>
      </c>
      <c r="Y125" s="37">
        <v>0</v>
      </c>
      <c r="Z125" s="2">
        <v>0</v>
      </c>
      <c r="AA125" s="2">
        <v>14.926</v>
      </c>
      <c r="AB125" s="2">
        <v>4.5140000000000002</v>
      </c>
      <c r="AC125" s="2">
        <v>0.42</v>
      </c>
      <c r="AD125" s="2">
        <v>0</v>
      </c>
      <c r="AE125" s="2">
        <v>0</v>
      </c>
      <c r="AF125" s="2">
        <v>1E-3</v>
      </c>
      <c r="AG125" s="18">
        <v>0</v>
      </c>
    </row>
    <row r="126" spans="2:33" x14ac:dyDescent="0.3">
      <c r="B126" s="42">
        <v>45331</v>
      </c>
      <c r="C126" s="40">
        <f t="shared" si="12"/>
        <v>176</v>
      </c>
      <c r="D126" s="40">
        <v>7.23</v>
      </c>
      <c r="G126" s="21">
        <v>9.6696437492933089</v>
      </c>
      <c r="H126" s="21">
        <v>71.943969803192303</v>
      </c>
      <c r="I126" s="21">
        <v>0.59677554983778902</v>
      </c>
      <c r="J126" s="21">
        <v>2.1153940606451407</v>
      </c>
      <c r="K126" s="21">
        <v>4.0182402242053872</v>
      </c>
      <c r="L126" s="21">
        <v>11.655976612826096</v>
      </c>
      <c r="M126" s="18">
        <f t="shared" si="15"/>
        <v>100.00000000000003</v>
      </c>
      <c r="N126" s="21">
        <v>1.9286072319607395</v>
      </c>
      <c r="O126" s="21">
        <v>4.4411442657429312</v>
      </c>
      <c r="P126" s="21">
        <v>0.23970258209862075</v>
      </c>
      <c r="Q126" s="21">
        <v>3.8407325955823706</v>
      </c>
      <c r="R126" s="21">
        <v>88.750484827378997</v>
      </c>
      <c r="S126" s="21">
        <v>0.79932849723634758</v>
      </c>
      <c r="T126" s="18">
        <f>SUM(N126:S126)</f>
        <v>100</v>
      </c>
    </row>
    <row r="127" spans="2:33" x14ac:dyDescent="0.3">
      <c r="B127" s="42">
        <v>45334</v>
      </c>
      <c r="C127" s="40">
        <f t="shared" si="12"/>
        <v>179</v>
      </c>
      <c r="D127" s="40">
        <v>7.11</v>
      </c>
      <c r="G127" s="21">
        <v>12.781156810944818</v>
      </c>
      <c r="H127" s="21">
        <v>60.881022116190799</v>
      </c>
      <c r="I127" s="21">
        <v>1.3420523996903615</v>
      </c>
      <c r="J127" s="21">
        <v>4.8944973655567363</v>
      </c>
      <c r="K127" s="21">
        <v>4.9669688820355216</v>
      </c>
      <c r="L127" s="21">
        <v>15.13430242558178</v>
      </c>
      <c r="M127" s="18">
        <f t="shared" si="15"/>
        <v>100</v>
      </c>
      <c r="N127" s="21"/>
      <c r="O127" s="21"/>
      <c r="P127" s="21"/>
      <c r="Q127" s="21"/>
      <c r="R127" s="21"/>
      <c r="S127" s="21"/>
    </row>
    <row r="128" spans="2:33" x14ac:dyDescent="0.3">
      <c r="B128" s="42">
        <v>45335</v>
      </c>
      <c r="C128" s="40">
        <f t="shared" si="12"/>
        <v>180</v>
      </c>
      <c r="D128" s="40">
        <v>7.32</v>
      </c>
      <c r="E128" s="37">
        <v>7.07</v>
      </c>
      <c r="F128" s="18">
        <v>2.5099999999999998</v>
      </c>
      <c r="G128" s="21">
        <v>9.8763672617257861</v>
      </c>
      <c r="H128" s="21">
        <v>72.885512290237159</v>
      </c>
      <c r="I128" s="21">
        <v>0.3671378283531786</v>
      </c>
      <c r="J128" s="21">
        <v>1.215812396022681</v>
      </c>
      <c r="K128" s="21">
        <v>3.8844860967485602</v>
      </c>
      <c r="L128" s="21">
        <v>11.770684126912636</v>
      </c>
      <c r="M128" s="18">
        <f t="shared" si="15"/>
        <v>100.00000000000001</v>
      </c>
      <c r="N128" s="21">
        <v>1.7441918586982834</v>
      </c>
      <c r="O128" s="21">
        <v>5.2853430126334446</v>
      </c>
      <c r="P128" s="21">
        <v>0.17546380050235141</v>
      </c>
      <c r="Q128" s="21">
        <v>2.5827601255427988</v>
      </c>
      <c r="R128" s="21">
        <v>89.280286774081929</v>
      </c>
      <c r="S128" s="21">
        <v>0.93195442854120103</v>
      </c>
      <c r="T128" s="18">
        <f t="shared" ref="T128:T138" si="16">SUM(N128:S128)</f>
        <v>100.00000000000001</v>
      </c>
      <c r="U128" s="2">
        <f>18.33*10</f>
        <v>183.29999999999998</v>
      </c>
      <c r="V128" s="2">
        <f>28.6*10</f>
        <v>286</v>
      </c>
      <c r="W128" s="2">
        <f>10.27*10</f>
        <v>102.69999999999999</v>
      </c>
      <c r="X128" s="2">
        <f>14.39*10</f>
        <v>143.9</v>
      </c>
      <c r="Y128" s="37">
        <v>53.533999999999999</v>
      </c>
      <c r="Z128" s="2">
        <v>1E-3</v>
      </c>
      <c r="AA128" s="2">
        <v>19.192</v>
      </c>
      <c r="AB128" s="2">
        <v>6.1449999999999996</v>
      </c>
      <c r="AC128" s="2">
        <v>5.0000000000000001E-3</v>
      </c>
      <c r="AD128" s="2">
        <v>0</v>
      </c>
      <c r="AE128" s="2">
        <v>0</v>
      </c>
      <c r="AF128" s="2">
        <v>0</v>
      </c>
      <c r="AG128" s="18">
        <v>13.228</v>
      </c>
    </row>
    <row r="129" spans="2:33" x14ac:dyDescent="0.3">
      <c r="B129" s="42">
        <v>45336</v>
      </c>
      <c r="C129" s="40">
        <f t="shared" si="12"/>
        <v>181</v>
      </c>
      <c r="D129" s="40">
        <v>7.2</v>
      </c>
      <c r="G129" s="21">
        <v>10.383029496086724</v>
      </c>
      <c r="H129" s="21">
        <v>70.464032499623315</v>
      </c>
      <c r="I129" s="21">
        <v>0.61384901350212118</v>
      </c>
      <c r="J129" s="21">
        <v>2.2011719439679878</v>
      </c>
      <c r="K129" s="21">
        <v>4.053108762900818</v>
      </c>
      <c r="L129" s="21">
        <v>12.28480828391903</v>
      </c>
      <c r="M129" s="18">
        <f t="shared" si="15"/>
        <v>100</v>
      </c>
      <c r="N129" s="21">
        <v>3.1456512692576211</v>
      </c>
      <c r="O129" s="21">
        <v>4.5156172545588236</v>
      </c>
      <c r="P129" s="21">
        <v>0.21759662662417875</v>
      </c>
      <c r="Q129" s="21">
        <v>5.7868149987339157</v>
      </c>
      <c r="R129" s="21">
        <v>85.508611270579337</v>
      </c>
      <c r="S129" s="21">
        <v>0.82570858024613702</v>
      </c>
      <c r="T129" s="18">
        <f t="shared" si="16"/>
        <v>100.00000000000001</v>
      </c>
    </row>
    <row r="130" spans="2:33" x14ac:dyDescent="0.3">
      <c r="B130" s="42">
        <v>45337</v>
      </c>
      <c r="C130" s="40">
        <f t="shared" si="12"/>
        <v>182</v>
      </c>
      <c r="D130" s="40">
        <v>7.19</v>
      </c>
      <c r="G130" s="21">
        <v>10.428744819476801</v>
      </c>
      <c r="H130" s="21">
        <v>72.128789161791701</v>
      </c>
      <c r="I130" s="21">
        <v>0.25414697666830083</v>
      </c>
      <c r="J130" s="21">
        <v>0.6958868106876166</v>
      </c>
      <c r="K130" s="21">
        <v>4.1155273970594601</v>
      </c>
      <c r="L130" s="21">
        <v>12.376904834316127</v>
      </c>
      <c r="M130" s="18">
        <f t="shared" si="15"/>
        <v>100</v>
      </c>
      <c r="N130" s="21">
        <v>2.8953501613435702</v>
      </c>
      <c r="O130" s="21">
        <v>4.6586941922492713</v>
      </c>
      <c r="P130" s="21">
        <v>0.1995383662602449</v>
      </c>
      <c r="Q130" s="21">
        <v>2.9892361893605233</v>
      </c>
      <c r="R130" s="21">
        <v>88.371067630825621</v>
      </c>
      <c r="S130" s="21">
        <v>0.8861134599607764</v>
      </c>
      <c r="T130" s="18">
        <f t="shared" si="16"/>
        <v>100.00000000000001</v>
      </c>
      <c r="U130" s="2">
        <f>6.418*10</f>
        <v>64.180000000000007</v>
      </c>
      <c r="V130" s="2">
        <f>31.25*10</f>
        <v>312.5</v>
      </c>
      <c r="W130" s="2">
        <f>24.84*10</f>
        <v>248.4</v>
      </c>
      <c r="X130" s="2">
        <f>12.35*10</f>
        <v>123.5</v>
      </c>
      <c r="Y130" s="37">
        <v>44.206000000000003</v>
      </c>
      <c r="Z130" s="2">
        <v>5.9710000000000001</v>
      </c>
      <c r="AA130" s="2">
        <v>8.2739999999999991</v>
      </c>
      <c r="AB130" s="2">
        <v>0</v>
      </c>
      <c r="AC130" s="2">
        <v>0</v>
      </c>
      <c r="AD130" s="2">
        <v>0</v>
      </c>
      <c r="AE130" s="2">
        <v>0</v>
      </c>
      <c r="AF130" s="2">
        <v>21.027000000000001</v>
      </c>
      <c r="AG130" s="18">
        <v>2E-3</v>
      </c>
    </row>
    <row r="131" spans="2:33" x14ac:dyDescent="0.3">
      <c r="B131" s="42">
        <v>45338</v>
      </c>
      <c r="C131" s="40">
        <f t="shared" si="12"/>
        <v>183</v>
      </c>
      <c r="D131" s="40">
        <v>6.92</v>
      </c>
      <c r="G131" s="21">
        <v>9.5661700599394308</v>
      </c>
      <c r="H131" s="21">
        <v>70.941728420862731</v>
      </c>
      <c r="I131" s="21">
        <v>0.88760367299414544</v>
      </c>
      <c r="J131" s="21">
        <v>3.2058962876414978</v>
      </c>
      <c r="K131" s="21">
        <v>3.8987915702845348</v>
      </c>
      <c r="L131" s="21">
        <v>11.499809988277674</v>
      </c>
      <c r="M131" s="18">
        <f t="shared" si="15"/>
        <v>100.00000000000001</v>
      </c>
      <c r="N131" s="21">
        <v>2.9397067031720692</v>
      </c>
      <c r="O131" s="21">
        <v>5.1973234567977613</v>
      </c>
      <c r="P131" s="21">
        <v>0.59343049409581039</v>
      </c>
      <c r="Q131" s="21">
        <v>3.8453863974233227</v>
      </c>
      <c r="R131" s="21">
        <v>86.469525375993896</v>
      </c>
      <c r="S131" s="21">
        <v>0.95462757251715691</v>
      </c>
      <c r="T131" s="18">
        <f t="shared" si="16"/>
        <v>100.00000000000001</v>
      </c>
    </row>
    <row r="132" spans="2:33" x14ac:dyDescent="0.3">
      <c r="B132" s="42">
        <v>45341</v>
      </c>
      <c r="C132" s="40">
        <f t="shared" si="12"/>
        <v>186</v>
      </c>
      <c r="D132" s="40">
        <v>7.21</v>
      </c>
      <c r="G132" s="21">
        <v>11.471549493820408</v>
      </c>
      <c r="H132" s="21">
        <v>66.932253239036527</v>
      </c>
      <c r="I132" s="21">
        <v>0.47972692306483389</v>
      </c>
      <c r="J132" s="21">
        <v>3.0021135071378531</v>
      </c>
      <c r="K132" s="21">
        <v>4.486395040521983</v>
      </c>
      <c r="L132" s="21">
        <v>13.627961796418367</v>
      </c>
      <c r="M132" s="18">
        <f t="shared" si="15"/>
        <v>99.999999999999957</v>
      </c>
      <c r="N132" s="21">
        <v>3.8923162432194549</v>
      </c>
      <c r="O132" s="21">
        <v>4.4887583008868299</v>
      </c>
      <c r="P132" s="21">
        <v>0.43731850860980165</v>
      </c>
      <c r="Q132" s="21">
        <v>3.9749515787740606</v>
      </c>
      <c r="R132" s="21">
        <v>86.450156744168041</v>
      </c>
      <c r="S132" s="21">
        <v>0.75649862434182791</v>
      </c>
      <c r="T132" s="18">
        <f t="shared" si="16"/>
        <v>100.00000000000001</v>
      </c>
    </row>
    <row r="133" spans="2:33" x14ac:dyDescent="0.3">
      <c r="B133" s="42">
        <v>45342</v>
      </c>
      <c r="C133" s="40">
        <f t="shared" si="12"/>
        <v>187</v>
      </c>
      <c r="D133" s="40">
        <v>7.19</v>
      </c>
      <c r="E133" s="37">
        <v>7.37</v>
      </c>
      <c r="F133" s="18">
        <v>2.88</v>
      </c>
      <c r="G133" s="21">
        <v>9.6543237710175607</v>
      </c>
      <c r="H133" s="21">
        <v>73.522488201126961</v>
      </c>
      <c r="I133" s="21">
        <v>0.56163542002432165</v>
      </c>
      <c r="J133" s="21">
        <v>0.96599386710889323</v>
      </c>
      <c r="K133" s="21">
        <v>3.7868299173437467</v>
      </c>
      <c r="L133" s="21">
        <v>11.508728823378512</v>
      </c>
      <c r="M133" s="18">
        <f t="shared" si="15"/>
        <v>100</v>
      </c>
      <c r="N133" s="21">
        <v>2.7241040463508792</v>
      </c>
      <c r="O133" s="21">
        <v>5.5438765557278442</v>
      </c>
      <c r="P133" s="21">
        <v>0.3346241181545771</v>
      </c>
      <c r="Q133" s="21">
        <v>3.6432584861696355</v>
      </c>
      <c r="R133" s="21">
        <v>86.731888004447285</v>
      </c>
      <c r="S133" s="21">
        <v>1.0222487891497796</v>
      </c>
      <c r="T133" s="18">
        <f t="shared" si="16"/>
        <v>100</v>
      </c>
      <c r="U133" s="2">
        <f>27.77*10</f>
        <v>277.7</v>
      </c>
      <c r="V133" s="2">
        <f>31.12*10</f>
        <v>311.2</v>
      </c>
      <c r="W133" s="2">
        <f>3.346*10</f>
        <v>33.46</v>
      </c>
      <c r="X133" s="2">
        <f>15.8*10</f>
        <v>158</v>
      </c>
      <c r="Y133" s="37">
        <v>32.649000000000001</v>
      </c>
      <c r="Z133" s="2">
        <v>31.405000000000001</v>
      </c>
      <c r="AA133" s="2">
        <v>0.61</v>
      </c>
      <c r="AB133" s="2">
        <v>15.093999999999999</v>
      </c>
      <c r="AC133" s="2">
        <v>1.0860000000000001</v>
      </c>
      <c r="AD133" s="2">
        <v>0</v>
      </c>
      <c r="AE133" s="2">
        <v>0</v>
      </c>
      <c r="AF133" s="2">
        <v>1E-3</v>
      </c>
      <c r="AG133" s="18">
        <v>12.744999999999999</v>
      </c>
    </row>
    <row r="134" spans="2:33" x14ac:dyDescent="0.3">
      <c r="B134" s="42">
        <v>45343</v>
      </c>
      <c r="C134" s="40">
        <f t="shared" ref="C134:C155" si="17">B134-$B$5</f>
        <v>188</v>
      </c>
      <c r="D134" s="40">
        <v>7.12</v>
      </c>
      <c r="G134" s="21">
        <v>9.172690242131214</v>
      </c>
      <c r="H134" s="21">
        <v>73.890735665101843</v>
      </c>
      <c r="I134" s="21">
        <v>0.27221969351427833</v>
      </c>
      <c r="J134" s="21">
        <v>0.89506589197608533</v>
      </c>
      <c r="K134" s="21">
        <v>4.2546411914841622</v>
      </c>
      <c r="L134" s="21">
        <v>11.514647315792399</v>
      </c>
      <c r="M134" s="18">
        <f t="shared" si="15"/>
        <v>99.999999999999986</v>
      </c>
      <c r="N134" s="21">
        <v>6.5200244392533104</v>
      </c>
      <c r="O134" s="21">
        <v>4.4452844265885956</v>
      </c>
      <c r="P134" s="21">
        <v>6.5993813840155208E-2</v>
      </c>
      <c r="Q134" s="21">
        <v>5.3032428571652002</v>
      </c>
      <c r="R134" s="21">
        <v>81.628389125645995</v>
      </c>
      <c r="S134" s="21">
        <v>2.0370653375067436</v>
      </c>
      <c r="T134" s="18">
        <f t="shared" si="16"/>
        <v>100</v>
      </c>
    </row>
    <row r="135" spans="2:33" x14ac:dyDescent="0.3">
      <c r="B135" s="42">
        <v>45344</v>
      </c>
      <c r="C135" s="40">
        <f t="shared" si="17"/>
        <v>189</v>
      </c>
      <c r="D135" s="40">
        <v>7.22</v>
      </c>
      <c r="G135" s="21">
        <v>9.6248282974088557</v>
      </c>
      <c r="H135" s="21">
        <v>70.72910067270476</v>
      </c>
      <c r="I135" s="21">
        <v>1.0165200333373279</v>
      </c>
      <c r="J135" s="21">
        <v>3.1537586247813962</v>
      </c>
      <c r="K135" s="21">
        <v>4.0307154222749153</v>
      </c>
      <c r="L135" s="21">
        <v>11.445076949492751</v>
      </c>
      <c r="M135" s="18">
        <f t="shared" si="15"/>
        <v>100</v>
      </c>
      <c r="N135" s="21">
        <v>4.5756966684065947</v>
      </c>
      <c r="O135" s="21">
        <v>5.8982479878597767</v>
      </c>
      <c r="P135" s="21">
        <v>0.37631601497407341</v>
      </c>
      <c r="Q135" s="21">
        <v>7.1386551640011033</v>
      </c>
      <c r="R135" s="21">
        <v>80.189945779838837</v>
      </c>
      <c r="S135" s="21">
        <v>1.8211383849196201</v>
      </c>
      <c r="T135" s="18">
        <f t="shared" si="16"/>
        <v>100.00000000000001</v>
      </c>
      <c r="U135" s="2">
        <f>19.47*10</f>
        <v>194.7</v>
      </c>
      <c r="V135" s="2">
        <f>14.4*10</f>
        <v>144</v>
      </c>
      <c r="W135" s="2">
        <f>4.931*10</f>
        <v>49.31</v>
      </c>
      <c r="X135" s="2">
        <f>14.14*10</f>
        <v>141.4</v>
      </c>
      <c r="Y135" s="37">
        <v>13.766</v>
      </c>
      <c r="Z135" s="2">
        <v>0</v>
      </c>
      <c r="AA135" s="2">
        <v>15.699</v>
      </c>
      <c r="AB135" s="2">
        <v>9.2260000000000009</v>
      </c>
      <c r="AC135" s="2">
        <v>2.99</v>
      </c>
      <c r="AD135" s="2">
        <v>1E-3</v>
      </c>
      <c r="AE135" s="2">
        <v>0</v>
      </c>
      <c r="AF135" s="2">
        <v>16.526</v>
      </c>
      <c r="AG135" s="18">
        <v>0</v>
      </c>
    </row>
    <row r="136" spans="2:33" x14ac:dyDescent="0.3">
      <c r="B136" s="42">
        <v>45345</v>
      </c>
      <c r="C136" s="40">
        <f t="shared" si="17"/>
        <v>190</v>
      </c>
      <c r="D136" s="40">
        <v>7.28</v>
      </c>
      <c r="G136" s="21">
        <v>9.89199134382004</v>
      </c>
      <c r="H136" s="21">
        <v>70.90927946013106</v>
      </c>
      <c r="I136" s="21">
        <v>0.77749216150503297</v>
      </c>
      <c r="J136" s="21">
        <v>2.8506763003357043</v>
      </c>
      <c r="K136" s="21">
        <v>3.8378474161244505</v>
      </c>
      <c r="L136" s="21">
        <v>11.732713318083695</v>
      </c>
      <c r="M136" s="18">
        <f t="shared" si="15"/>
        <v>99.999999999999986</v>
      </c>
      <c r="N136" s="21">
        <v>1.8298023882815275</v>
      </c>
      <c r="O136" s="21">
        <v>6.1357783488072544</v>
      </c>
      <c r="P136" s="21">
        <v>0.98016387119021309</v>
      </c>
      <c r="Q136" s="21">
        <v>6.6048115004239181</v>
      </c>
      <c r="R136" s="21">
        <v>82.426390485761118</v>
      </c>
      <c r="S136" s="21">
        <v>2.0230534055359799</v>
      </c>
      <c r="T136" s="18">
        <f t="shared" si="16"/>
        <v>100.00000000000001</v>
      </c>
    </row>
    <row r="137" spans="2:33" x14ac:dyDescent="0.3">
      <c r="B137" s="42">
        <v>45348</v>
      </c>
      <c r="C137" s="40">
        <f t="shared" si="17"/>
        <v>193</v>
      </c>
      <c r="D137" s="40">
        <v>7.03</v>
      </c>
      <c r="G137" s="21">
        <v>8.4186961137689824</v>
      </c>
      <c r="H137" s="21">
        <v>75.117885742058547</v>
      </c>
      <c r="I137" s="21">
        <v>0.76845878654033817</v>
      </c>
      <c r="J137" s="21">
        <v>2.1375055053039413</v>
      </c>
      <c r="K137" s="21">
        <v>3.4010343688233462</v>
      </c>
      <c r="L137" s="21">
        <v>10.156419483504859</v>
      </c>
      <c r="M137" s="18">
        <f t="shared" si="15"/>
        <v>100.00000000000001</v>
      </c>
      <c r="N137" s="21">
        <v>0.17814231068192612</v>
      </c>
      <c r="O137" s="21">
        <v>4.4860361851005353</v>
      </c>
      <c r="P137" s="21">
        <v>1.6968037391508446</v>
      </c>
      <c r="Q137" s="21">
        <v>9.5134163488076453</v>
      </c>
      <c r="R137" s="21">
        <v>82.838144099523333</v>
      </c>
      <c r="S137" s="21">
        <v>1.2874573167357095</v>
      </c>
      <c r="T137" s="18">
        <f t="shared" si="16"/>
        <v>100</v>
      </c>
    </row>
    <row r="138" spans="2:33" x14ac:dyDescent="0.3">
      <c r="B138" s="42">
        <v>45349</v>
      </c>
      <c r="C138" s="40">
        <f t="shared" si="17"/>
        <v>194</v>
      </c>
      <c r="D138" s="40">
        <v>6.89</v>
      </c>
      <c r="E138" s="37">
        <v>7.19</v>
      </c>
      <c r="F138" s="18">
        <v>2.93</v>
      </c>
      <c r="G138" s="21">
        <v>9.2138888547595954</v>
      </c>
      <c r="H138" s="21">
        <v>70.520606620522429</v>
      </c>
      <c r="I138" s="21">
        <v>1.6996747226887159</v>
      </c>
      <c r="J138" s="21">
        <v>4.1247055989213131</v>
      </c>
      <c r="K138" s="21">
        <v>3.5742638688693642</v>
      </c>
      <c r="L138" s="21">
        <v>10.866860334238588</v>
      </c>
      <c r="M138" s="18">
        <f t="shared" si="15"/>
        <v>100</v>
      </c>
      <c r="N138" s="21">
        <v>0.63151546311781726</v>
      </c>
      <c r="O138" s="21">
        <v>5.5183414792479724</v>
      </c>
      <c r="P138" s="21">
        <v>0.86833376178699873</v>
      </c>
      <c r="Q138" s="21">
        <v>7.304464822542081</v>
      </c>
      <c r="R138" s="21">
        <v>84.455800922865379</v>
      </c>
      <c r="S138" s="21">
        <v>1.2215435504397629</v>
      </c>
      <c r="T138" s="18">
        <f t="shared" si="16"/>
        <v>100.00000000000001</v>
      </c>
      <c r="U138" s="2">
        <f>62.13*10</f>
        <v>621.30000000000007</v>
      </c>
      <c r="V138" s="2">
        <f>64.11*10</f>
        <v>641.1</v>
      </c>
      <c r="W138" s="2">
        <f>1.98*10</f>
        <v>19.8</v>
      </c>
      <c r="X138" s="2">
        <f>16.17*10</f>
        <v>161.70000000000002</v>
      </c>
      <c r="Y138" s="37">
        <v>66.619</v>
      </c>
      <c r="Z138" s="2">
        <v>11.500999999999999</v>
      </c>
      <c r="AA138" s="2">
        <v>8.4480000000000004</v>
      </c>
      <c r="AB138" s="2">
        <v>12.422000000000001</v>
      </c>
      <c r="AC138" s="2">
        <v>1.4999999999999999E-2</v>
      </c>
      <c r="AD138" s="2">
        <v>0</v>
      </c>
      <c r="AE138" s="2">
        <v>0</v>
      </c>
      <c r="AF138" s="2">
        <v>1E-3</v>
      </c>
      <c r="AG138" s="18">
        <v>15.461</v>
      </c>
    </row>
    <row r="139" spans="2:33" x14ac:dyDescent="0.3">
      <c r="B139" s="42">
        <v>45350</v>
      </c>
      <c r="C139" s="40">
        <f t="shared" si="17"/>
        <v>195</v>
      </c>
    </row>
    <row r="140" spans="2:33" x14ac:dyDescent="0.3">
      <c r="B140" s="42">
        <v>45351</v>
      </c>
      <c r="C140" s="40">
        <f t="shared" si="17"/>
        <v>196</v>
      </c>
    </row>
    <row r="141" spans="2:33" x14ac:dyDescent="0.3">
      <c r="B141" s="42">
        <v>45352</v>
      </c>
      <c r="C141" s="40">
        <f t="shared" si="17"/>
        <v>197</v>
      </c>
      <c r="D141" s="40">
        <v>6.91</v>
      </c>
      <c r="G141" s="21">
        <v>9.0872299228397146</v>
      </c>
      <c r="H141" s="21">
        <v>71.839509067641998</v>
      </c>
      <c r="I141" s="21">
        <v>1.5796651609969712</v>
      </c>
      <c r="J141" s="21">
        <v>2.6736332635880777</v>
      </c>
      <c r="K141" s="21">
        <v>3.6704194148144285</v>
      </c>
      <c r="L141" s="21">
        <v>11.149543170118818</v>
      </c>
      <c r="M141" s="18">
        <f t="shared" ref="M141:M154" si="18">SUM(G141:L141)</f>
        <v>100</v>
      </c>
      <c r="N141" s="21">
        <v>0.46790089867056633</v>
      </c>
      <c r="O141" s="21">
        <v>7.6370008397236289</v>
      </c>
      <c r="P141" s="21">
        <v>0.77028103903453515</v>
      </c>
      <c r="Q141" s="21">
        <v>5.5752997973946048</v>
      </c>
      <c r="R141" s="21">
        <v>84.452905668599513</v>
      </c>
      <c r="S141" s="21">
        <v>1.096611756577154</v>
      </c>
      <c r="T141" s="18">
        <f t="shared" ref="T141:T154" si="19">SUM(N141:S141)</f>
        <v>100</v>
      </c>
    </row>
    <row r="142" spans="2:33" x14ac:dyDescent="0.3">
      <c r="B142" s="19">
        <v>45355</v>
      </c>
      <c r="C142" s="40">
        <f t="shared" si="17"/>
        <v>200</v>
      </c>
      <c r="D142" s="40">
        <v>7.13</v>
      </c>
      <c r="G142" s="21">
        <v>10.023046153183238</v>
      </c>
      <c r="H142" s="21">
        <v>70.695501737518569</v>
      </c>
      <c r="I142" s="21">
        <v>1.0058987031126743</v>
      </c>
      <c r="J142" s="21">
        <v>2.6123080190990011</v>
      </c>
      <c r="K142" s="21">
        <v>3.8898528821231819</v>
      </c>
      <c r="L142" s="21">
        <v>11.773392504963349</v>
      </c>
      <c r="M142" s="18">
        <f t="shared" si="18"/>
        <v>100.00000000000003</v>
      </c>
      <c r="N142" s="21">
        <v>1.5872048639843699</v>
      </c>
      <c r="O142" s="21">
        <v>6.3945247676805703</v>
      </c>
      <c r="P142" s="21">
        <v>0.87488927903361935</v>
      </c>
      <c r="Q142" s="21">
        <v>5.7124360113230344</v>
      </c>
      <c r="R142" s="21">
        <v>83.554873962827529</v>
      </c>
      <c r="S142" s="21">
        <v>1.8760711151508791</v>
      </c>
      <c r="T142" s="18">
        <f t="shared" si="19"/>
        <v>100</v>
      </c>
    </row>
    <row r="143" spans="2:33" x14ac:dyDescent="0.3">
      <c r="B143" s="19">
        <v>45356</v>
      </c>
      <c r="C143" s="40">
        <f t="shared" si="17"/>
        <v>201</v>
      </c>
      <c r="D143" s="40">
        <v>7.11</v>
      </c>
      <c r="E143" s="37">
        <v>7.73</v>
      </c>
      <c r="F143" s="18">
        <v>3.15</v>
      </c>
      <c r="G143" s="21">
        <v>8.9616900451585302</v>
      </c>
      <c r="H143" s="21">
        <v>70.571303078754511</v>
      </c>
      <c r="I143" s="21">
        <v>2.0323441433157745</v>
      </c>
      <c r="J143" s="21">
        <v>4.3380869352257525</v>
      </c>
      <c r="K143" s="21">
        <v>3.4899518114136052</v>
      </c>
      <c r="L143" s="21">
        <v>10.606623986131824</v>
      </c>
      <c r="M143" s="18">
        <f t="shared" si="18"/>
        <v>99.999999999999986</v>
      </c>
      <c r="N143" s="21">
        <v>0.15318728563437897</v>
      </c>
      <c r="O143" s="21">
        <v>5.974197540560775</v>
      </c>
      <c r="P143" s="21">
        <v>0.99395847015338101</v>
      </c>
      <c r="Q143" s="21">
        <v>11.383600645701081</v>
      </c>
      <c r="R143" s="21">
        <v>80.215183663138419</v>
      </c>
      <c r="S143" s="21">
        <v>1.2798723948119799</v>
      </c>
      <c r="T143" s="18">
        <f t="shared" si="19"/>
        <v>100.00000000000001</v>
      </c>
      <c r="U143" s="2">
        <f>38.42*10</f>
        <v>384.20000000000005</v>
      </c>
      <c r="V143" s="2">
        <f>42.31*10</f>
        <v>423.1</v>
      </c>
      <c r="W143" s="2">
        <f>3.89*10</f>
        <v>38.9</v>
      </c>
      <c r="X143" s="2">
        <f>8.98*10</f>
        <v>89.800000000000011</v>
      </c>
      <c r="Y143" s="37">
        <v>24.617000000000001</v>
      </c>
      <c r="Z143" s="2">
        <v>0</v>
      </c>
      <c r="AA143" s="2">
        <v>9.8379999999999992</v>
      </c>
      <c r="AB143" s="2">
        <v>5.1440000000000001</v>
      </c>
      <c r="AC143" s="2">
        <v>0</v>
      </c>
      <c r="AD143" s="2">
        <v>0</v>
      </c>
      <c r="AE143" s="2">
        <v>0</v>
      </c>
      <c r="AF143" s="2">
        <v>0</v>
      </c>
      <c r="AG143" s="18">
        <v>11.92</v>
      </c>
    </row>
    <row r="144" spans="2:33" x14ac:dyDescent="0.3">
      <c r="B144" s="19">
        <v>45357</v>
      </c>
      <c r="C144" s="40">
        <f t="shared" si="17"/>
        <v>202</v>
      </c>
      <c r="D144" s="40">
        <v>7.09</v>
      </c>
      <c r="G144" s="21">
        <v>10.523189406277469</v>
      </c>
      <c r="H144" s="21">
        <v>69.281963029758458</v>
      </c>
      <c r="I144" s="21">
        <v>0.77167069882061801</v>
      </c>
      <c r="J144" s="21">
        <v>2.8797804560347933</v>
      </c>
      <c r="K144" s="21">
        <v>4.0954774401766025</v>
      </c>
      <c r="L144" s="21">
        <v>12.447918968932047</v>
      </c>
      <c r="M144" s="18">
        <f t="shared" si="18"/>
        <v>99.999999999999986</v>
      </c>
      <c r="N144" s="21">
        <v>2.8542142061441647</v>
      </c>
      <c r="O144" s="21">
        <v>5.4173860166850707</v>
      </c>
      <c r="P144" s="21">
        <v>0.34557716455459997</v>
      </c>
      <c r="Q144" s="21">
        <v>6.9334480307081465</v>
      </c>
      <c r="R144" s="21">
        <v>82.727835859847815</v>
      </c>
      <c r="S144" s="21">
        <v>1.7215387220602156</v>
      </c>
      <c r="T144" s="18">
        <f t="shared" si="19"/>
        <v>100.00000000000001</v>
      </c>
    </row>
    <row r="145" spans="2:33" x14ac:dyDescent="0.3">
      <c r="B145" s="19">
        <v>45358</v>
      </c>
      <c r="C145" s="40">
        <f t="shared" si="17"/>
        <v>203</v>
      </c>
      <c r="D145" s="40">
        <v>7.12</v>
      </c>
      <c r="G145" s="21">
        <v>9.1269020171192032</v>
      </c>
      <c r="H145" s="21">
        <v>69.82222186931395</v>
      </c>
      <c r="I145" s="21">
        <v>1.3546504836488653</v>
      </c>
      <c r="J145" s="21">
        <v>4.8632106137954025</v>
      </c>
      <c r="K145" s="21">
        <v>3.7664708511979694</v>
      </c>
      <c r="L145" s="21">
        <v>11.066544164924624</v>
      </c>
      <c r="M145" s="18">
        <f t="shared" si="18"/>
        <v>100.00000000000001</v>
      </c>
      <c r="N145" s="21">
        <v>1.4034638591212467</v>
      </c>
      <c r="O145" s="21">
        <v>6.0026193200863007</v>
      </c>
      <c r="P145" s="21">
        <v>0.91005180429073274</v>
      </c>
      <c r="Q145" s="21">
        <v>8.7411945573238263</v>
      </c>
      <c r="R145" s="21">
        <v>80.920361078111767</v>
      </c>
      <c r="S145" s="21">
        <v>2.0223093810661124</v>
      </c>
      <c r="T145" s="18">
        <f t="shared" si="19"/>
        <v>99.999999999999986</v>
      </c>
      <c r="U145" s="2">
        <f>28.95*10</f>
        <v>289.5</v>
      </c>
      <c r="V145" s="2">
        <f>31.78*10</f>
        <v>317.8</v>
      </c>
      <c r="W145" s="2">
        <f>2.839*10</f>
        <v>28.39</v>
      </c>
      <c r="X145" s="2">
        <f>6.42*10</f>
        <v>64.2</v>
      </c>
      <c r="Y145" s="37">
        <v>3.2410000000000001</v>
      </c>
      <c r="Z145" s="2">
        <v>1.323</v>
      </c>
      <c r="AA145" s="2">
        <v>3.1219999999999999</v>
      </c>
      <c r="AB145" s="2">
        <v>0.123</v>
      </c>
      <c r="AC145" s="2">
        <v>1.367</v>
      </c>
      <c r="AD145" s="2">
        <v>0</v>
      </c>
      <c r="AE145" s="2">
        <v>0</v>
      </c>
      <c r="AF145" s="2">
        <v>0</v>
      </c>
      <c r="AG145" s="18">
        <v>0</v>
      </c>
    </row>
    <row r="146" spans="2:33" x14ac:dyDescent="0.3">
      <c r="B146" s="19">
        <v>45359</v>
      </c>
      <c r="C146" s="40">
        <f t="shared" si="17"/>
        <v>204</v>
      </c>
      <c r="D146" s="40">
        <v>7.22</v>
      </c>
      <c r="G146" s="21">
        <v>9.3215698476202515</v>
      </c>
      <c r="H146" s="21">
        <v>70.665479117470085</v>
      </c>
      <c r="I146" s="21">
        <v>0.66164695584974476</v>
      </c>
      <c r="J146" s="21">
        <v>3.410156718703246</v>
      </c>
      <c r="K146" s="21">
        <v>4.2360955577120993</v>
      </c>
      <c r="L146" s="21">
        <v>11.705051802644578</v>
      </c>
      <c r="M146" s="18">
        <f t="shared" si="18"/>
        <v>100.00000000000001</v>
      </c>
      <c r="N146" s="21">
        <v>0.95566763212694283</v>
      </c>
      <c r="O146" s="21">
        <v>5.6336077932431641</v>
      </c>
      <c r="P146" s="21">
        <v>0.58113089768322501</v>
      </c>
      <c r="Q146" s="21">
        <v>5.5990846812948423</v>
      </c>
      <c r="R146" s="21">
        <v>85.50911359320466</v>
      </c>
      <c r="S146" s="21">
        <v>1.7213954024471525</v>
      </c>
      <c r="T146" s="18">
        <f t="shared" si="19"/>
        <v>99.999999999999986</v>
      </c>
    </row>
    <row r="147" spans="2:33" x14ac:dyDescent="0.3">
      <c r="B147" s="42">
        <v>45362</v>
      </c>
      <c r="C147" s="40">
        <f t="shared" si="17"/>
        <v>207</v>
      </c>
      <c r="D147" s="40">
        <v>7.1</v>
      </c>
      <c r="G147" s="21">
        <v>9.1319322548367481</v>
      </c>
      <c r="H147" s="21">
        <v>71.460507771328523</v>
      </c>
      <c r="I147" s="21">
        <v>0.86464648917947884</v>
      </c>
      <c r="J147" s="21">
        <v>2.4212801525320415</v>
      </c>
      <c r="K147" s="21">
        <v>4.3897018056477215</v>
      </c>
      <c r="L147" s="21">
        <v>11.73193152647549</v>
      </c>
      <c r="M147" s="18">
        <f t="shared" si="18"/>
        <v>99.999999999999986</v>
      </c>
      <c r="N147" s="21">
        <v>0.10577471799860208</v>
      </c>
      <c r="O147" s="21">
        <v>6.8291691175537226</v>
      </c>
      <c r="P147" s="21">
        <v>1.2626916039902383</v>
      </c>
      <c r="Q147" s="21">
        <v>4.2614927255672486</v>
      </c>
      <c r="R147" s="21">
        <v>85.748132583644249</v>
      </c>
      <c r="S147" s="21">
        <v>1.7927392512459475</v>
      </c>
      <c r="T147" s="18">
        <f t="shared" si="19"/>
        <v>100.00000000000001</v>
      </c>
    </row>
    <row r="148" spans="2:33" x14ac:dyDescent="0.3">
      <c r="B148" s="42">
        <v>45363</v>
      </c>
      <c r="C148" s="40">
        <f t="shared" si="17"/>
        <v>208</v>
      </c>
      <c r="D148" s="40">
        <v>7.09</v>
      </c>
      <c r="E148" s="37">
        <v>8.82</v>
      </c>
      <c r="F148" s="18">
        <v>3.48</v>
      </c>
      <c r="G148" s="21">
        <v>8.8138953889728029</v>
      </c>
      <c r="H148" s="21">
        <v>73.399930798807461</v>
      </c>
      <c r="I148" s="21">
        <v>1.4171893041883166</v>
      </c>
      <c r="J148" s="21">
        <v>2.4567355997732099</v>
      </c>
      <c r="K148" s="21">
        <v>3.4439636606935173</v>
      </c>
      <c r="L148" s="21">
        <v>10.468285247564699</v>
      </c>
      <c r="M148" s="18">
        <f t="shared" si="18"/>
        <v>99.999999999999986</v>
      </c>
      <c r="N148" s="21">
        <v>0.14172705113824541</v>
      </c>
      <c r="O148" s="21">
        <v>14.004799606510138</v>
      </c>
      <c r="P148" s="21">
        <v>0.83812534423119445</v>
      </c>
      <c r="Q148" s="21">
        <v>8.3979150146048465</v>
      </c>
      <c r="R148" s="21">
        <v>75.634948691534092</v>
      </c>
      <c r="S148" s="21">
        <v>0.98248429198148612</v>
      </c>
      <c r="T148" s="18">
        <f t="shared" si="19"/>
        <v>100.00000000000001</v>
      </c>
      <c r="U148" s="2">
        <f>38.75*10</f>
        <v>387.5</v>
      </c>
      <c r="V148" s="2">
        <f>40*10</f>
        <v>400</v>
      </c>
      <c r="W148" s="2">
        <f>1.251*10</f>
        <v>12.509999999999998</v>
      </c>
      <c r="X148" s="2">
        <f>9.066*10</f>
        <v>90.660000000000011</v>
      </c>
      <c r="Y148" s="37">
        <v>2.105</v>
      </c>
      <c r="Z148" s="2">
        <v>3.5339999999999998</v>
      </c>
      <c r="AA148" s="2">
        <v>2.5230000000000001</v>
      </c>
      <c r="AB148" s="2">
        <v>0.61899999999999999</v>
      </c>
      <c r="AC148" s="2">
        <v>3.6379999999999999</v>
      </c>
      <c r="AD148" s="2">
        <v>0</v>
      </c>
      <c r="AE148" s="2">
        <v>0</v>
      </c>
      <c r="AF148" s="2">
        <v>0</v>
      </c>
      <c r="AG148" s="18">
        <v>0</v>
      </c>
    </row>
    <row r="149" spans="2:33" x14ac:dyDescent="0.3">
      <c r="B149" s="42">
        <v>45364</v>
      </c>
      <c r="C149" s="40">
        <f t="shared" si="17"/>
        <v>209</v>
      </c>
      <c r="D149" s="40">
        <v>7.12</v>
      </c>
      <c r="G149" s="21">
        <v>8.5446761090127445</v>
      </c>
      <c r="H149" s="21">
        <v>74.659597431922805</v>
      </c>
      <c r="I149" s="21">
        <v>1.858124127094388</v>
      </c>
      <c r="J149" s="21">
        <v>1.2363151986440672</v>
      </c>
      <c r="K149" s="21">
        <v>3.3908123345677339</v>
      </c>
      <c r="L149" s="21">
        <v>10.310474798758252</v>
      </c>
      <c r="M149" s="18">
        <f t="shared" si="18"/>
        <v>99.999999999999986</v>
      </c>
      <c r="N149" s="21">
        <v>0.15386649608097003</v>
      </c>
      <c r="O149" s="21">
        <v>12.984368085628418</v>
      </c>
      <c r="P149" s="21">
        <v>1.2224189812010375</v>
      </c>
      <c r="Q149" s="21">
        <v>8.176018513028561</v>
      </c>
      <c r="R149" s="21">
        <v>76.12304485376346</v>
      </c>
      <c r="S149" s="21">
        <v>1.3402830702975563</v>
      </c>
      <c r="T149" s="18">
        <f t="shared" si="19"/>
        <v>100.00000000000001</v>
      </c>
    </row>
    <row r="150" spans="2:33" x14ac:dyDescent="0.3">
      <c r="B150" s="42">
        <v>45365</v>
      </c>
      <c r="C150" s="40">
        <f t="shared" si="17"/>
        <v>210</v>
      </c>
      <c r="D150" s="40">
        <v>7.23</v>
      </c>
      <c r="G150" s="21">
        <v>9.9129179139652965</v>
      </c>
      <c r="H150" s="21">
        <v>72.987834032202898</v>
      </c>
      <c r="I150" s="21">
        <v>1.3758601577082803</v>
      </c>
      <c r="J150" s="21">
        <v>1.9220889108155885</v>
      </c>
      <c r="K150" s="21">
        <v>3.4076263998828451</v>
      </c>
      <c r="L150" s="21">
        <v>10.393672585425104</v>
      </c>
      <c r="M150" s="18">
        <f t="shared" si="18"/>
        <v>100.00000000000001</v>
      </c>
      <c r="N150" s="21">
        <v>0.17719755237621709</v>
      </c>
      <c r="O150" s="21">
        <v>7.8231357128794032</v>
      </c>
      <c r="P150" s="21">
        <v>1.1615090640522427</v>
      </c>
      <c r="Q150" s="21">
        <v>7.438774220777546</v>
      </c>
      <c r="R150" s="21">
        <v>82.173418849748089</v>
      </c>
      <c r="S150" s="21">
        <v>1.2259646001665074</v>
      </c>
      <c r="T150" s="18">
        <f t="shared" si="19"/>
        <v>100</v>
      </c>
      <c r="U150" s="2">
        <f>37.93*10</f>
        <v>379.3</v>
      </c>
      <c r="V150" s="2">
        <f>38.74*10</f>
        <v>387.40000000000003</v>
      </c>
      <c r="W150" s="2">
        <f>0.812*10</f>
        <v>8.120000000000001</v>
      </c>
      <c r="X150" s="2">
        <f>8.675*10</f>
        <v>86.75</v>
      </c>
      <c r="Y150" s="37">
        <v>3.5230000000000001</v>
      </c>
      <c r="Z150" s="2">
        <v>5.2130000000000001</v>
      </c>
      <c r="AA150" s="2">
        <v>2.0409999999999999</v>
      </c>
      <c r="AB150" s="2">
        <v>1.002</v>
      </c>
      <c r="AC150" s="2">
        <v>23.36</v>
      </c>
      <c r="AD150" s="2">
        <v>0</v>
      </c>
      <c r="AE150" s="2">
        <v>0</v>
      </c>
      <c r="AF150" s="2">
        <v>0</v>
      </c>
      <c r="AG150" s="18">
        <v>0</v>
      </c>
    </row>
    <row r="151" spans="2:33" x14ac:dyDescent="0.3">
      <c r="B151" s="42">
        <v>45369</v>
      </c>
      <c r="C151" s="40">
        <f t="shared" si="17"/>
        <v>214</v>
      </c>
      <c r="D151" s="40">
        <v>7.32</v>
      </c>
      <c r="G151" s="21">
        <v>8.7958806499104618</v>
      </c>
      <c r="H151" s="21">
        <v>72.408913712393854</v>
      </c>
      <c r="I151" s="21">
        <v>1.2232454881814043</v>
      </c>
      <c r="J151" s="21">
        <v>3.2848297634069197</v>
      </c>
      <c r="K151" s="21">
        <v>3.7854342462132067</v>
      </c>
      <c r="L151" s="21">
        <v>10.501696139894152</v>
      </c>
      <c r="M151" s="18">
        <f t="shared" si="18"/>
        <v>99.999999999999986</v>
      </c>
      <c r="N151" s="21">
        <v>0.13098215580365641</v>
      </c>
      <c r="O151" s="21">
        <v>6.4433107538531278</v>
      </c>
      <c r="P151" s="21">
        <v>0.99690772854029319</v>
      </c>
      <c r="Q151" s="21">
        <v>7.2654823377313367</v>
      </c>
      <c r="R151" s="21">
        <v>83.902678275297887</v>
      </c>
      <c r="S151" s="21">
        <v>1.2606387487737047</v>
      </c>
      <c r="T151" s="18">
        <f t="shared" si="19"/>
        <v>100</v>
      </c>
    </row>
    <row r="152" spans="2:33" x14ac:dyDescent="0.3">
      <c r="B152" s="42">
        <v>45370</v>
      </c>
      <c r="C152" s="40">
        <f t="shared" si="17"/>
        <v>215</v>
      </c>
      <c r="D152" s="40">
        <v>7.2</v>
      </c>
      <c r="E152" s="37">
        <f>8.64</f>
        <v>8.64</v>
      </c>
      <c r="F152" s="18">
        <v>3.48</v>
      </c>
      <c r="G152" s="21">
        <v>9.0307385278678787</v>
      </c>
      <c r="H152" s="21">
        <v>73.322312435370392</v>
      </c>
      <c r="I152" s="21">
        <v>0.7598537338517376</v>
      </c>
      <c r="J152" s="21">
        <v>2.6632376920315748</v>
      </c>
      <c r="K152" s="21">
        <v>3.5209065235865302</v>
      </c>
      <c r="L152" s="21">
        <v>10.702951087291877</v>
      </c>
      <c r="M152" s="18">
        <f t="shared" si="18"/>
        <v>100</v>
      </c>
      <c r="N152" s="21">
        <v>1.2267990860405251</v>
      </c>
      <c r="O152" s="21">
        <v>7.1072979553885887</v>
      </c>
      <c r="P152" s="21">
        <v>6.8603896258845165E-2</v>
      </c>
      <c r="Q152" s="21">
        <v>6.275636316278292</v>
      </c>
      <c r="R152" s="21">
        <v>84.030710327090233</v>
      </c>
      <c r="S152" s="21">
        <v>1.2909524189435191</v>
      </c>
      <c r="T152" s="18">
        <f t="shared" si="19"/>
        <v>100</v>
      </c>
      <c r="U152" s="2">
        <f>38.9*10</f>
        <v>389</v>
      </c>
      <c r="V152" s="2">
        <f>42.74*10</f>
        <v>427.40000000000003</v>
      </c>
      <c r="W152" s="2">
        <f>3.836*10</f>
        <v>38.36</v>
      </c>
      <c r="X152" s="2">
        <f>10.7*10</f>
        <v>107</v>
      </c>
      <c r="Y152" s="37">
        <v>6.234</v>
      </c>
      <c r="Z152" s="2">
        <v>2.423</v>
      </c>
      <c r="AA152" s="2">
        <v>1.512</v>
      </c>
      <c r="AB152" s="2">
        <v>0.23499999999999999</v>
      </c>
      <c r="AC152" s="2">
        <v>1.375</v>
      </c>
      <c r="AD152" s="2">
        <v>0</v>
      </c>
      <c r="AE152" s="2">
        <v>0</v>
      </c>
      <c r="AF152" s="2">
        <v>0</v>
      </c>
      <c r="AG152" s="18">
        <v>0</v>
      </c>
    </row>
    <row r="153" spans="2:33" x14ac:dyDescent="0.3">
      <c r="B153" s="42">
        <v>45371</v>
      </c>
      <c r="C153" s="40">
        <f t="shared" si="17"/>
        <v>216</v>
      </c>
      <c r="D153" s="40">
        <v>7.12</v>
      </c>
      <c r="G153" s="21">
        <v>9.4527011213051768</v>
      </c>
      <c r="H153" s="21">
        <v>71.620709986354356</v>
      </c>
      <c r="I153" s="21">
        <v>0.89724009480261302</v>
      </c>
      <c r="J153" s="21">
        <v>3.137450239485589</v>
      </c>
      <c r="K153" s="21">
        <v>3.7229823201836392</v>
      </c>
      <c r="L153" s="21">
        <v>11.168916237868629</v>
      </c>
      <c r="M153" s="18">
        <f t="shared" si="18"/>
        <v>100</v>
      </c>
      <c r="N153" s="21">
        <v>0.87827635821468353</v>
      </c>
      <c r="O153" s="21">
        <v>6.4932701837854658</v>
      </c>
      <c r="P153" s="21">
        <v>0.80705316551139217</v>
      </c>
      <c r="Q153" s="21">
        <v>5.7100293208698307</v>
      </c>
      <c r="R153" s="21">
        <v>84.944357679762021</v>
      </c>
      <c r="S153" s="21">
        <v>1.1670132918566076</v>
      </c>
      <c r="T153" s="18">
        <f t="shared" si="19"/>
        <v>100</v>
      </c>
    </row>
    <row r="154" spans="2:33" x14ac:dyDescent="0.3">
      <c r="B154" s="42">
        <v>45372</v>
      </c>
      <c r="C154" s="40">
        <f t="shared" si="17"/>
        <v>217</v>
      </c>
      <c r="D154" s="40">
        <v>7.31</v>
      </c>
      <c r="G154" s="21">
        <v>8.6882153847613335</v>
      </c>
      <c r="H154" s="21">
        <v>72.338873951196518</v>
      </c>
      <c r="I154" s="21">
        <v>1.5164010646874055</v>
      </c>
      <c r="J154" s="21">
        <v>3.4094626236636469</v>
      </c>
      <c r="K154" s="21">
        <v>3.5577822304982187</v>
      </c>
      <c r="L154" s="21">
        <v>10.489264745192882</v>
      </c>
      <c r="M154" s="18">
        <f t="shared" si="18"/>
        <v>100</v>
      </c>
      <c r="N154" s="21">
        <v>0.13461894270316047</v>
      </c>
      <c r="O154" s="21">
        <v>7.2182252399401392</v>
      </c>
      <c r="P154" s="21">
        <v>0.85916759347645055</v>
      </c>
      <c r="Q154" s="21">
        <v>9.3561932149139793</v>
      </c>
      <c r="R154" s="21">
        <v>81.409759940515045</v>
      </c>
      <c r="S154" s="21">
        <v>1.0220350684512096</v>
      </c>
      <c r="T154" s="18">
        <f t="shared" si="19"/>
        <v>99.999999999999972</v>
      </c>
      <c r="U154" s="2">
        <f>43.78*10</f>
        <v>437.8</v>
      </c>
      <c r="V154" s="2">
        <f>45.73*10</f>
        <v>457.29999999999995</v>
      </c>
      <c r="W154" s="2">
        <f>1.946*10</f>
        <v>19.46</v>
      </c>
      <c r="X154" s="2">
        <f>11.33*10</f>
        <v>113.3</v>
      </c>
      <c r="Y154" s="37">
        <v>1.343</v>
      </c>
      <c r="Z154" s="2">
        <v>0.13400000000000001</v>
      </c>
      <c r="AA154" s="2">
        <v>1.698</v>
      </c>
      <c r="AB154" s="2">
        <v>0.129</v>
      </c>
      <c r="AC154" s="2">
        <v>2.46</v>
      </c>
      <c r="AD154" s="2">
        <v>0</v>
      </c>
      <c r="AE154" s="2">
        <v>0</v>
      </c>
      <c r="AF154" s="2">
        <v>0</v>
      </c>
      <c r="AG154" s="18">
        <v>0</v>
      </c>
    </row>
    <row r="155" spans="2:33" x14ac:dyDescent="0.3">
      <c r="B155" s="42">
        <v>45373</v>
      </c>
      <c r="C155" s="40">
        <f t="shared" si="17"/>
        <v>218</v>
      </c>
    </row>
  </sheetData>
  <mergeCells count="7">
    <mergeCell ref="E2:F3"/>
    <mergeCell ref="Y3:AG3"/>
    <mergeCell ref="G2:T2"/>
    <mergeCell ref="Y2:AG2"/>
    <mergeCell ref="G3:M3"/>
    <mergeCell ref="N3:T3"/>
    <mergeCell ref="U2:X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B1307-9224-4B76-A0C3-1FB48180DCC3}">
  <dimension ref="A1:BZ447"/>
  <sheetViews>
    <sheetView tabSelected="1" zoomScale="70" zoomScaleNormal="70" workbookViewId="0">
      <selection activeCell="G34" sqref="G34"/>
    </sheetView>
  </sheetViews>
  <sheetFormatPr baseColWidth="10" defaultRowHeight="14.4" x14ac:dyDescent="0.3"/>
  <cols>
    <col min="1" max="1" width="12.21875" customWidth="1"/>
    <col min="2" max="2" width="11.5546875" style="20"/>
    <col min="3" max="4" width="11.6640625" style="20" bestFit="1" customWidth="1"/>
    <col min="5" max="5" width="11.6640625" style="2" customWidth="1"/>
    <col min="6" max="6" width="14" style="37" bestFit="1" customWidth="1"/>
    <col min="7" max="7" width="13.5546875" style="51" customWidth="1"/>
    <col min="8" max="8" width="11.6640625" style="37" bestFit="1" customWidth="1"/>
    <col min="9" max="12" width="11.6640625" style="53" bestFit="1" customWidth="1"/>
    <col min="13" max="13" width="11.6640625" style="22" bestFit="1" customWidth="1"/>
    <col min="14" max="24" width="11.6640625" style="21" bestFit="1" customWidth="1"/>
    <col min="25" max="25" width="11.6640625" style="22" bestFit="1" customWidth="1"/>
    <col min="26" max="35" width="11.6640625" style="21" bestFit="1" customWidth="1"/>
    <col min="36" max="36" width="11.6640625" style="2" bestFit="1" customWidth="1"/>
    <col min="37" max="44" width="11.6640625" style="37" bestFit="1" customWidth="1"/>
    <col min="45" max="45" width="13" style="37" bestFit="1" customWidth="1"/>
    <col min="46" max="46" width="11.6640625" style="37" bestFit="1" customWidth="1"/>
    <col min="47" max="47" width="13" style="37" bestFit="1" customWidth="1"/>
    <col min="48" max="48" width="11.6640625" style="37" bestFit="1" customWidth="1"/>
    <col min="49" max="50" width="11.6640625" style="37" customWidth="1"/>
    <col min="51" max="51" width="13.109375" style="37" bestFit="1" customWidth="1"/>
    <col min="52" max="56" width="11.6640625" style="37" bestFit="1" customWidth="1"/>
    <col min="57" max="57" width="14.109375" style="37" bestFit="1" customWidth="1"/>
    <col min="58" max="59" width="11.6640625" style="37" bestFit="1" customWidth="1"/>
    <col min="60" max="60" width="11.6640625" style="2" customWidth="1"/>
    <col min="61" max="61" width="13.109375" style="2" bestFit="1" customWidth="1"/>
    <col min="62" max="62" width="13.109375" style="2" customWidth="1"/>
    <col min="63" max="63" width="13.44140625" style="2" bestFit="1" customWidth="1"/>
    <col min="64" max="64" width="13.44140625" style="2" customWidth="1"/>
    <col min="65" max="65" width="10.88671875" style="2" bestFit="1" customWidth="1"/>
    <col min="66" max="66" width="10.88671875" style="2" customWidth="1"/>
    <col min="67" max="67" width="11.6640625" style="22" bestFit="1" customWidth="1"/>
    <col min="68" max="68" width="11.6640625" style="21" customWidth="1"/>
    <col min="69" max="69" width="13.109375" style="2" bestFit="1" customWidth="1"/>
    <col min="70" max="70" width="13.109375" style="2" customWidth="1"/>
    <col min="71" max="71" width="13.44140625" style="2" bestFit="1" customWidth="1"/>
    <col min="72" max="72" width="13.44140625" style="2" customWidth="1"/>
    <col min="73" max="73" width="10.88671875" style="2" bestFit="1" customWidth="1"/>
    <col min="74" max="74" width="10.88671875" style="2" customWidth="1"/>
    <col min="75" max="75" width="12.44140625" style="52" bestFit="1" customWidth="1"/>
    <col min="76" max="76" width="13.109375" style="51" bestFit="1" customWidth="1"/>
    <col min="77" max="77" width="13.44140625" style="51" bestFit="1" customWidth="1"/>
    <col min="78" max="78" width="10.88671875" style="51" bestFit="1" customWidth="1"/>
  </cols>
  <sheetData>
    <row r="1" spans="1:78" ht="15" thickBot="1" x14ac:dyDescent="0.35">
      <c r="B1" s="2"/>
      <c r="C1" s="2"/>
      <c r="D1" s="2"/>
      <c r="F1" s="2"/>
      <c r="H1" s="2"/>
      <c r="I1" s="109"/>
      <c r="J1" s="109"/>
      <c r="K1" s="109"/>
      <c r="L1" s="109"/>
      <c r="M1" s="21"/>
      <c r="Y1" s="2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57"/>
      <c r="BO1" s="21"/>
      <c r="BW1" s="51"/>
    </row>
    <row r="2" spans="1:78" ht="15" thickBot="1" x14ac:dyDescent="0.35">
      <c r="B2" s="3" t="s">
        <v>6</v>
      </c>
      <c r="C2" s="4">
        <v>30</v>
      </c>
      <c r="D2" s="2"/>
      <c r="F2" s="2"/>
      <c r="H2" s="2"/>
      <c r="I2" s="108"/>
      <c r="J2" s="108"/>
      <c r="K2" s="108"/>
      <c r="L2" s="108"/>
      <c r="M2" s="184" t="s">
        <v>8</v>
      </c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AI2" s="58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187" t="s">
        <v>10</v>
      </c>
      <c r="BH2" s="188"/>
      <c r="BI2" s="188"/>
      <c r="BJ2" s="188"/>
      <c r="BK2" s="188"/>
      <c r="BL2" s="188"/>
      <c r="BM2" s="188"/>
      <c r="BN2" s="188"/>
      <c r="BO2" s="107"/>
      <c r="BP2" s="106"/>
      <c r="BQ2" s="105"/>
      <c r="BR2" s="105"/>
      <c r="BS2" s="105"/>
      <c r="BT2" s="105"/>
      <c r="BU2" s="105"/>
      <c r="BV2" s="105"/>
      <c r="BW2" s="104"/>
      <c r="BX2" s="104"/>
      <c r="BY2" s="104"/>
      <c r="BZ2" s="104"/>
    </row>
    <row r="3" spans="1:78" ht="16.2" thickBot="1" x14ac:dyDescent="0.35">
      <c r="B3" s="2"/>
      <c r="C3" s="2"/>
      <c r="D3" s="2"/>
      <c r="F3" s="2"/>
      <c r="H3" s="103" t="s">
        <v>91</v>
      </c>
      <c r="I3" s="189" t="s">
        <v>90</v>
      </c>
      <c r="J3" s="190"/>
      <c r="K3" s="189" t="s">
        <v>44</v>
      </c>
      <c r="L3" s="190"/>
      <c r="M3" s="176" t="s">
        <v>89</v>
      </c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67" t="s">
        <v>88</v>
      </c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7"/>
      <c r="AK3" s="5"/>
      <c r="AL3" s="6"/>
      <c r="AM3" s="5"/>
      <c r="AN3" s="6"/>
      <c r="AO3" s="5"/>
      <c r="AP3" s="6"/>
      <c r="AQ3" s="5"/>
      <c r="AR3" s="6"/>
      <c r="AS3" s="5"/>
      <c r="AT3" s="6"/>
      <c r="AU3" s="5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178" t="s">
        <v>13</v>
      </c>
      <c r="BH3" s="179"/>
      <c r="BI3" s="179"/>
      <c r="BJ3" s="179"/>
      <c r="BK3" s="179"/>
      <c r="BL3" s="179"/>
      <c r="BM3" s="179"/>
      <c r="BN3" s="179"/>
      <c r="BO3" s="178" t="s">
        <v>87</v>
      </c>
      <c r="BP3" s="179"/>
      <c r="BQ3" s="179"/>
      <c r="BR3" s="179"/>
      <c r="BS3" s="179"/>
      <c r="BT3" s="179"/>
      <c r="BU3" s="179"/>
      <c r="BV3" s="179"/>
      <c r="BW3" s="181" t="s">
        <v>86</v>
      </c>
      <c r="BX3" s="182"/>
      <c r="BY3" s="182"/>
      <c r="BZ3" s="183"/>
    </row>
    <row r="4" spans="1:78" ht="16.2" thickBot="1" x14ac:dyDescent="0.35">
      <c r="A4" s="8" t="s">
        <v>85</v>
      </c>
      <c r="B4" s="10" t="s">
        <v>84</v>
      </c>
      <c r="C4" s="11" t="s">
        <v>16</v>
      </c>
      <c r="D4" s="12" t="s">
        <v>0</v>
      </c>
      <c r="E4" s="114" t="s">
        <v>47</v>
      </c>
      <c r="F4" s="113" t="s">
        <v>83</v>
      </c>
      <c r="G4" s="101" t="s">
        <v>47</v>
      </c>
      <c r="H4" s="14" t="s">
        <v>82</v>
      </c>
      <c r="I4" s="49" t="s">
        <v>81</v>
      </c>
      <c r="J4" s="49" t="s">
        <v>47</v>
      </c>
      <c r="K4" s="49" t="s">
        <v>49</v>
      </c>
      <c r="L4" s="49" t="s">
        <v>47</v>
      </c>
      <c r="M4" s="99" t="s">
        <v>80</v>
      </c>
      <c r="N4" s="99" t="s">
        <v>47</v>
      </c>
      <c r="O4" s="99" t="s">
        <v>79</v>
      </c>
      <c r="P4" s="99" t="s">
        <v>47</v>
      </c>
      <c r="Q4" s="99" t="s">
        <v>78</v>
      </c>
      <c r="R4" s="99" t="s">
        <v>47</v>
      </c>
      <c r="S4" s="99" t="s">
        <v>77</v>
      </c>
      <c r="T4" s="99" t="s">
        <v>47</v>
      </c>
      <c r="U4" s="99" t="s">
        <v>76</v>
      </c>
      <c r="V4" s="99" t="s">
        <v>47</v>
      </c>
      <c r="W4" s="99" t="s">
        <v>59</v>
      </c>
      <c r="X4" s="100" t="s">
        <v>47</v>
      </c>
      <c r="Y4" s="99" t="s">
        <v>80</v>
      </c>
      <c r="Z4" s="99" t="s">
        <v>47</v>
      </c>
      <c r="AA4" s="99" t="s">
        <v>79</v>
      </c>
      <c r="AB4" s="99" t="s">
        <v>47</v>
      </c>
      <c r="AC4" s="99" t="s">
        <v>78</v>
      </c>
      <c r="AD4" s="99" t="s">
        <v>47</v>
      </c>
      <c r="AE4" s="99" t="s">
        <v>77</v>
      </c>
      <c r="AF4" s="99" t="s">
        <v>47</v>
      </c>
      <c r="AG4" s="99" t="s">
        <v>76</v>
      </c>
      <c r="AH4" s="99" t="s">
        <v>47</v>
      </c>
      <c r="AI4" s="99" t="s">
        <v>59</v>
      </c>
      <c r="AJ4" s="98" t="s">
        <v>47</v>
      </c>
      <c r="AK4" s="15" t="s">
        <v>50</v>
      </c>
      <c r="AL4" s="15" t="s">
        <v>47</v>
      </c>
      <c r="AM4" s="15" t="s">
        <v>75</v>
      </c>
      <c r="AN4" s="15" t="s">
        <v>47</v>
      </c>
      <c r="AO4" s="15" t="s">
        <v>51</v>
      </c>
      <c r="AP4" s="15" t="s">
        <v>47</v>
      </c>
      <c r="AQ4" s="15" t="s">
        <v>74</v>
      </c>
      <c r="AR4" s="15" t="s">
        <v>47</v>
      </c>
      <c r="AS4" s="15" t="s">
        <v>52</v>
      </c>
      <c r="AT4" s="15" t="s">
        <v>47</v>
      </c>
      <c r="AU4" s="15" t="s">
        <v>73</v>
      </c>
      <c r="AV4" s="15" t="s">
        <v>47</v>
      </c>
      <c r="AW4" s="15" t="s">
        <v>53</v>
      </c>
      <c r="AX4" s="15" t="s">
        <v>47</v>
      </c>
      <c r="AY4" s="15" t="s">
        <v>54</v>
      </c>
      <c r="AZ4" s="15" t="s">
        <v>47</v>
      </c>
      <c r="BA4" s="15" t="s">
        <v>72</v>
      </c>
      <c r="BB4" s="15" t="s">
        <v>47</v>
      </c>
      <c r="BC4" s="15" t="s">
        <v>71</v>
      </c>
      <c r="BD4" s="15" t="s">
        <v>47</v>
      </c>
      <c r="BE4" s="15" t="s">
        <v>70</v>
      </c>
      <c r="BF4" s="15" t="s">
        <v>47</v>
      </c>
      <c r="BG4" s="17" t="s">
        <v>30</v>
      </c>
      <c r="BH4" s="17"/>
      <c r="BI4" s="17" t="s">
        <v>31</v>
      </c>
      <c r="BJ4" s="17"/>
      <c r="BK4" s="17" t="s">
        <v>32</v>
      </c>
      <c r="BL4" s="17"/>
      <c r="BM4" s="17" t="s">
        <v>33</v>
      </c>
      <c r="BN4" s="17"/>
      <c r="BO4" s="97" t="s">
        <v>30</v>
      </c>
      <c r="BP4" s="97"/>
      <c r="BQ4" s="17" t="s">
        <v>31</v>
      </c>
      <c r="BR4" s="17"/>
      <c r="BS4" s="17" t="s">
        <v>32</v>
      </c>
      <c r="BT4" s="17"/>
      <c r="BU4" s="17" t="s">
        <v>33</v>
      </c>
      <c r="BV4" s="17"/>
      <c r="BW4" s="96" t="s">
        <v>30</v>
      </c>
      <c r="BX4" s="96" t="s">
        <v>31</v>
      </c>
      <c r="BY4" s="96" t="s">
        <v>32</v>
      </c>
      <c r="BZ4" s="96" t="s">
        <v>33</v>
      </c>
    </row>
    <row r="5" spans="1:78" x14ac:dyDescent="0.3">
      <c r="A5" s="191" t="s">
        <v>57</v>
      </c>
      <c r="B5" s="95" t="s">
        <v>104</v>
      </c>
      <c r="C5" s="94">
        <v>0</v>
      </c>
      <c r="D5" s="93">
        <v>7.07</v>
      </c>
      <c r="E5" s="88"/>
      <c r="F5" s="86">
        <v>1.522</v>
      </c>
      <c r="G5" s="85"/>
      <c r="H5" s="90">
        <v>0.16600000000000001</v>
      </c>
      <c r="I5" s="86">
        <f>H5*0.2907</f>
        <v>4.8256200000000006E-2</v>
      </c>
      <c r="J5" s="92"/>
      <c r="K5" s="92"/>
      <c r="L5" s="91"/>
      <c r="M5" s="89">
        <v>16.016435940904447</v>
      </c>
      <c r="O5" s="88">
        <v>80.198738659721485</v>
      </c>
      <c r="Q5" s="88">
        <v>0.82407638822930374</v>
      </c>
      <c r="S5" s="88">
        <v>2.9607490111447707</v>
      </c>
      <c r="U5" s="88">
        <v>0</v>
      </c>
      <c r="W5" s="88">
        <v>0</v>
      </c>
      <c r="X5" s="88"/>
      <c r="Y5" s="89">
        <v>1.0973447803348431</v>
      </c>
      <c r="AA5" s="21">
        <v>5.4947097832749119</v>
      </c>
      <c r="AB5" s="88"/>
      <c r="AC5" s="88">
        <v>5.6460496364932895E-2</v>
      </c>
      <c r="AE5" s="21">
        <v>0.20285177584132327</v>
      </c>
      <c r="AF5" s="88"/>
      <c r="AG5" s="88">
        <v>0</v>
      </c>
      <c r="AI5" s="21">
        <v>0</v>
      </c>
      <c r="AJ5" s="87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>
        <v>0</v>
      </c>
      <c r="BH5" s="87"/>
      <c r="BI5" s="87">
        <v>0</v>
      </c>
      <c r="BJ5" s="87"/>
      <c r="BK5" s="87">
        <v>0</v>
      </c>
      <c r="BL5" s="87"/>
      <c r="BM5" s="87">
        <v>0</v>
      </c>
      <c r="BN5" s="87"/>
      <c r="BO5" s="89">
        <f>(BG5/1000)/60.2*1000</f>
        <v>0</v>
      </c>
      <c r="BP5" s="88"/>
      <c r="BQ5" s="87">
        <f>BI5/74.08</f>
        <v>0</v>
      </c>
      <c r="BR5" s="87"/>
      <c r="BS5" s="87">
        <f>(BK5/1000)/88.12*1000</f>
        <v>0</v>
      </c>
      <c r="BT5" s="87"/>
      <c r="BU5" s="87">
        <f>BM5/88.12</f>
        <v>0</v>
      </c>
      <c r="BV5" s="87"/>
      <c r="BW5" s="86">
        <f>BO5*0.05</f>
        <v>0</v>
      </c>
      <c r="BX5" s="85">
        <f t="shared" ref="BX5:BX36" si="0">BQ5*0.05</f>
        <v>0</v>
      </c>
      <c r="BY5" s="85">
        <f t="shared" ref="BY5:BY36" si="1">BS5*0.05</f>
        <v>0</v>
      </c>
      <c r="BZ5" s="84">
        <f t="shared" ref="BZ5:BZ36" si="2">BU5*0.05</f>
        <v>0</v>
      </c>
    </row>
    <row r="6" spans="1:78" x14ac:dyDescent="0.3">
      <c r="A6" s="192"/>
      <c r="B6" s="70" t="s">
        <v>103</v>
      </c>
      <c r="C6" s="20">
        <v>0</v>
      </c>
      <c r="D6" s="69">
        <v>7.12</v>
      </c>
      <c r="E6" s="21"/>
      <c r="F6" s="52">
        <v>1.508</v>
      </c>
      <c r="H6" s="37">
        <v>0.16500000000000001</v>
      </c>
      <c r="I6" s="52">
        <f>H6*0.2907</f>
        <v>4.7965500000000001E-2</v>
      </c>
      <c r="L6" s="68"/>
      <c r="M6" s="22">
        <v>16.259227714047856</v>
      </c>
      <c r="O6" s="21">
        <v>80.16094509471499</v>
      </c>
      <c r="Q6" s="21">
        <v>0.76289343516761532</v>
      </c>
      <c r="S6" s="21">
        <v>2.8169337560695484</v>
      </c>
      <c r="U6" s="21">
        <v>0</v>
      </c>
      <c r="W6" s="21">
        <v>0</v>
      </c>
      <c r="Y6" s="22">
        <v>1.1037324820781875</v>
      </c>
      <c r="AA6" s="21">
        <v>5.4416015601208558</v>
      </c>
      <c r="AC6" s="21">
        <v>5.1787838854806034E-2</v>
      </c>
      <c r="AE6" s="21">
        <v>0.19122318360485216</v>
      </c>
      <c r="AG6" s="21">
        <v>0</v>
      </c>
      <c r="AI6" s="21">
        <v>0</v>
      </c>
      <c r="BG6" s="37">
        <v>0</v>
      </c>
      <c r="BI6" s="2">
        <v>0</v>
      </c>
      <c r="BK6" s="2">
        <v>0</v>
      </c>
      <c r="BM6" s="2">
        <v>0</v>
      </c>
      <c r="BO6" s="22">
        <f>(BG6/1000)/60.2*1000</f>
        <v>0</v>
      </c>
      <c r="BQ6" s="2">
        <f>BI6/74.08</f>
        <v>0</v>
      </c>
      <c r="BS6" s="2">
        <f>(BK6/1000)/88.12*1000</f>
        <v>0</v>
      </c>
      <c r="BU6" s="2">
        <f>BM6/88.12</f>
        <v>0</v>
      </c>
      <c r="BW6" s="52">
        <f>BO6*0.05</f>
        <v>0</v>
      </c>
      <c r="BX6" s="51">
        <f t="shared" si="0"/>
        <v>0</v>
      </c>
      <c r="BY6" s="51">
        <f t="shared" si="1"/>
        <v>0</v>
      </c>
      <c r="BZ6" s="67">
        <f t="shared" si="2"/>
        <v>0</v>
      </c>
    </row>
    <row r="7" spans="1:78" x14ac:dyDescent="0.3">
      <c r="A7" s="192"/>
      <c r="B7" s="70" t="s">
        <v>102</v>
      </c>
      <c r="C7" s="20">
        <v>0</v>
      </c>
      <c r="D7" s="69">
        <v>7.09</v>
      </c>
      <c r="E7" s="21"/>
      <c r="F7" s="52">
        <v>1.534</v>
      </c>
      <c r="H7" s="37">
        <v>0.14899999999999999</v>
      </c>
      <c r="I7" s="52">
        <f>H7*0.2907</f>
        <v>4.33143E-2</v>
      </c>
      <c r="L7" s="68"/>
      <c r="M7" s="22">
        <v>16.874313105911952</v>
      </c>
      <c r="O7" s="21">
        <v>79.709908203740923</v>
      </c>
      <c r="Q7" s="21">
        <v>0.71741149220511868</v>
      </c>
      <c r="S7" s="21">
        <v>2.6983671981420239</v>
      </c>
      <c r="U7" s="21">
        <v>0</v>
      </c>
      <c r="W7" s="21">
        <v>0</v>
      </c>
      <c r="Y7" s="22">
        <v>1.1652363699016137</v>
      </c>
      <c r="AA7" s="21">
        <v>5.5042764406200861</v>
      </c>
      <c r="AC7" s="21">
        <v>4.9540029135166037E-2</v>
      </c>
      <c r="AE7" s="21">
        <v>0.18633265715112338</v>
      </c>
      <c r="AG7" s="21">
        <v>0</v>
      </c>
      <c r="AI7" s="21">
        <v>0</v>
      </c>
      <c r="BG7" s="37">
        <v>0</v>
      </c>
      <c r="BI7" s="2">
        <v>0</v>
      </c>
      <c r="BK7" s="2">
        <v>0</v>
      </c>
      <c r="BM7" s="2">
        <v>0</v>
      </c>
      <c r="BO7" s="22">
        <f>(BG7/1000)/60.2*1000</f>
        <v>0</v>
      </c>
      <c r="BQ7" s="2">
        <f>BI7/74.08</f>
        <v>0</v>
      </c>
      <c r="BS7" s="2">
        <f>(BK7/1000)/88.12*1000</f>
        <v>0</v>
      </c>
      <c r="BU7" s="2">
        <f>BM7/88.12</f>
        <v>0</v>
      </c>
      <c r="BW7" s="52">
        <f>BO7*0.05</f>
        <v>0</v>
      </c>
      <c r="BX7" s="51">
        <f t="shared" si="0"/>
        <v>0</v>
      </c>
      <c r="BY7" s="51">
        <f t="shared" si="1"/>
        <v>0</v>
      </c>
      <c r="BZ7" s="67">
        <f t="shared" si="2"/>
        <v>0</v>
      </c>
    </row>
    <row r="8" spans="1:78" x14ac:dyDescent="0.3">
      <c r="A8" s="192"/>
      <c r="B8" s="83" t="s">
        <v>63</v>
      </c>
      <c r="C8" s="80">
        <v>0</v>
      </c>
      <c r="D8" s="79">
        <f>AVERAGE(D5:D7)</f>
        <v>7.0933333333333337</v>
      </c>
      <c r="E8" s="76">
        <f>_xlfn.STDEV.S(D5:D7)</f>
        <v>2.5166114784235766E-2</v>
      </c>
      <c r="F8" s="74">
        <f>AVERAGE(F5:F7)</f>
        <v>1.5213333333333334</v>
      </c>
      <c r="G8" s="73">
        <f>_xlfn.STDEV.S(F5:F7)</f>
        <v>1.3012814197295434E-2</v>
      </c>
      <c r="H8" s="77">
        <f>AVERAGE(H5:H7)</f>
        <v>0.16</v>
      </c>
      <c r="I8" s="74">
        <f>AVERAGE(I5:I7)</f>
        <v>4.6511999999999998E-2</v>
      </c>
      <c r="J8" s="82">
        <f>_xlfn.STDEV.S(I5:I7)</f>
        <v>2.7731012585190634E-3</v>
      </c>
      <c r="K8" s="82"/>
      <c r="L8" s="81" t="e">
        <f>_xlfn.STDEV.S(K5:K7)</f>
        <v>#DIV/0!</v>
      </c>
      <c r="M8" s="77">
        <f>AVERAGE(M5:M7)</f>
        <v>16.383325586954751</v>
      </c>
      <c r="N8" s="76">
        <f>_xlfn.STDEV.S(M5:M7)</f>
        <v>0.44219737573321299</v>
      </c>
      <c r="O8" s="76">
        <f>AVERAGE(O5:O7)</f>
        <v>80.023197319392466</v>
      </c>
      <c r="P8" s="76">
        <f>_xlfn.STDEV.S(O5:O7)</f>
        <v>0.27197360327478348</v>
      </c>
      <c r="Q8" s="76">
        <f>AVERAGE(Q5:Q7)</f>
        <v>0.76812710520067917</v>
      </c>
      <c r="R8" s="76">
        <f>_xlfn.STDEV.S(Q5:Q7)</f>
        <v>5.3524699788731145E-2</v>
      </c>
      <c r="S8" s="76">
        <f>AVERAGE(S5:S7)</f>
        <v>2.825349988452114</v>
      </c>
      <c r="T8" s="76">
        <f>_xlfn.STDEV.S(S5:S7)</f>
        <v>0.13139322156903727</v>
      </c>
      <c r="U8" s="76">
        <f>AVERAGE(U5:U7)</f>
        <v>0</v>
      </c>
      <c r="V8" s="76">
        <f>_xlfn.STDEV.S(U5:U7)</f>
        <v>0</v>
      </c>
      <c r="W8" s="76">
        <f>AVERAGE(W5:W7)</f>
        <v>0</v>
      </c>
      <c r="X8" s="76">
        <f>_xlfn.STDEV.S(W5:W7)</f>
        <v>0</v>
      </c>
      <c r="Y8" s="77">
        <f>AVERAGE(Y5:Y7)</f>
        <v>1.1221045441048814</v>
      </c>
      <c r="Z8" s="76">
        <f>_xlfn.STDEV.S(Y5:Y7)</f>
        <v>3.7489551621888287E-2</v>
      </c>
      <c r="AA8" s="76">
        <f>AVERAGE(AA5:AA7)</f>
        <v>5.4801959280052843</v>
      </c>
      <c r="AB8" s="76">
        <f>_xlfn.STDEV.S(AA5:AA7)</f>
        <v>3.3764243771910028E-2</v>
      </c>
      <c r="AC8" s="76">
        <f>AVERAGE(AC5:AC7)</f>
        <v>5.2596121451634982E-2</v>
      </c>
      <c r="AD8" s="76">
        <f>_xlfn.STDEV.S(AC5:AC7)</f>
        <v>3.5303267889561811E-3</v>
      </c>
      <c r="AE8" s="76">
        <f>AVERAGE(AE5:AE7)</f>
        <v>0.19346920553243294</v>
      </c>
      <c r="AF8" s="76">
        <f>_xlfn.STDEV.S(AE5:AE7)</f>
        <v>8.4855041953680131E-3</v>
      </c>
      <c r="AG8" s="76">
        <f>AVERAGE(AG5:AG7)</f>
        <v>0</v>
      </c>
      <c r="AH8" s="76">
        <f>_xlfn.STDEV.S(AG5:AG7)</f>
        <v>0</v>
      </c>
      <c r="AI8" s="76">
        <f>AVERAGE(AI5:AI7)</f>
        <v>0</v>
      </c>
      <c r="AJ8" s="76">
        <f>_xlfn.STDEV.S(AI5:AI7)</f>
        <v>0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5"/>
      <c r="BI8" s="75"/>
      <c r="BJ8" s="75"/>
      <c r="BK8" s="75"/>
      <c r="BL8" s="75"/>
      <c r="BM8" s="75"/>
      <c r="BN8" s="75"/>
      <c r="BO8" s="77">
        <f>AVERAGE(BO5:BO7)</f>
        <v>0</v>
      </c>
      <c r="BP8" s="76">
        <f>_xlfn.STDEV.S(BO5:BO7)</f>
        <v>0</v>
      </c>
      <c r="BQ8" s="75">
        <f>AVERAGE(BQ5:BQ7)</f>
        <v>0</v>
      </c>
      <c r="BR8" s="75">
        <f>_xlfn.STDEV.S(BQ5:BQ7)</f>
        <v>0</v>
      </c>
      <c r="BS8" s="75">
        <f>AVERAGE(BS5:BS7)</f>
        <v>0</v>
      </c>
      <c r="BT8" s="75">
        <f>_xlfn.STDEV.S(BS5:BS7)</f>
        <v>0</v>
      </c>
      <c r="BU8" s="75">
        <f>AVERAGE(BU5:BU7)</f>
        <v>0</v>
      </c>
      <c r="BV8" s="75">
        <f>_xlfn.STDEV.S(BU5:BU7)</f>
        <v>0</v>
      </c>
      <c r="BW8" s="74">
        <f>AVERAGE(BW5:BW7)</f>
        <v>0</v>
      </c>
      <c r="BX8" s="73">
        <f t="shared" si="0"/>
        <v>0</v>
      </c>
      <c r="BY8" s="73">
        <f t="shared" si="1"/>
        <v>0</v>
      </c>
      <c r="BZ8" s="72">
        <f t="shared" si="2"/>
        <v>0</v>
      </c>
    </row>
    <row r="9" spans="1:78" x14ac:dyDescent="0.3">
      <c r="A9" s="191" t="s">
        <v>58</v>
      </c>
      <c r="B9" s="70" t="s">
        <v>101</v>
      </c>
      <c r="C9" s="20">
        <v>0</v>
      </c>
      <c r="D9" s="69">
        <v>7.11</v>
      </c>
      <c r="E9" s="21"/>
      <c r="F9" s="52">
        <v>1.548</v>
      </c>
      <c r="H9" s="37">
        <v>0.155</v>
      </c>
      <c r="I9" s="52">
        <f>H9*0.2907</f>
        <v>4.5058500000000001E-2</v>
      </c>
      <c r="L9" s="68"/>
      <c r="M9" s="22">
        <v>16.335801695417761</v>
      </c>
      <c r="O9" s="21">
        <v>80.330390660820399</v>
      </c>
      <c r="Q9" s="21">
        <v>0.69641340649117933</v>
      </c>
      <c r="S9" s="21">
        <v>2.6373942372706467</v>
      </c>
      <c r="U9" s="21">
        <v>0</v>
      </c>
      <c r="W9" s="21">
        <v>0</v>
      </c>
      <c r="Y9" s="22">
        <v>1.1383451926238897</v>
      </c>
      <c r="AA9" s="21">
        <v>5.5977487811935251</v>
      </c>
      <c r="AC9" s="21">
        <v>4.8528922433016049E-2</v>
      </c>
      <c r="AE9" s="21">
        <v>0.1837843717148657</v>
      </c>
      <c r="AG9" s="21">
        <v>0</v>
      </c>
      <c r="AI9" s="21">
        <v>0</v>
      </c>
      <c r="BG9" s="37">
        <v>0.1</v>
      </c>
      <c r="BI9" s="2">
        <v>0</v>
      </c>
      <c r="BK9" s="2">
        <v>0</v>
      </c>
      <c r="BM9" s="2">
        <v>0</v>
      </c>
      <c r="BO9" s="22">
        <f>(BG9/1000)/60.2*1000</f>
        <v>1.6611295681063123E-3</v>
      </c>
      <c r="BQ9" s="2">
        <f>BI9/74.08</f>
        <v>0</v>
      </c>
      <c r="BS9" s="2">
        <f>(BK9/1000)/88.12*1000</f>
        <v>0</v>
      </c>
      <c r="BU9" s="2">
        <f>BM9/88.12</f>
        <v>0</v>
      </c>
      <c r="BW9" s="52">
        <f>BO9*0.05</f>
        <v>8.3056478405315619E-5</v>
      </c>
      <c r="BX9" s="51">
        <f t="shared" si="0"/>
        <v>0</v>
      </c>
      <c r="BY9" s="51">
        <f t="shared" si="1"/>
        <v>0</v>
      </c>
      <c r="BZ9" s="67">
        <f t="shared" si="2"/>
        <v>0</v>
      </c>
    </row>
    <row r="10" spans="1:78" x14ac:dyDescent="0.3">
      <c r="A10" s="192"/>
      <c r="B10" s="70" t="s">
        <v>100</v>
      </c>
      <c r="C10" s="20">
        <v>0</v>
      </c>
      <c r="D10" s="69">
        <v>7.06</v>
      </c>
      <c r="E10" s="21"/>
      <c r="F10" s="52">
        <v>1.528</v>
      </c>
      <c r="H10" s="37">
        <v>0.14799999999999999</v>
      </c>
      <c r="I10" s="52">
        <f>H10*0.2907</f>
        <v>4.3023600000000002E-2</v>
      </c>
      <c r="L10" s="68"/>
      <c r="M10" s="22">
        <v>16.223919235052207</v>
      </c>
      <c r="O10" s="21">
        <v>80.670277926174037</v>
      </c>
      <c r="Q10" s="21">
        <v>0.64085124863393517</v>
      </c>
      <c r="S10" s="21">
        <v>2.4649515901398322</v>
      </c>
      <c r="U10" s="21">
        <v>0</v>
      </c>
      <c r="W10" s="21">
        <v>0</v>
      </c>
      <c r="Y10" s="22">
        <v>1.1159421939055392</v>
      </c>
      <c r="AA10" s="21">
        <v>5.5488051701716046</v>
      </c>
      <c r="AC10" s="21">
        <v>4.4080159547549437E-2</v>
      </c>
      <c r="AE10" s="21">
        <v>0.16954864268730685</v>
      </c>
      <c r="AG10" s="21">
        <v>0</v>
      </c>
      <c r="AI10" s="21">
        <v>0</v>
      </c>
      <c r="BG10" s="37">
        <v>0</v>
      </c>
      <c r="BI10" s="2">
        <v>0</v>
      </c>
      <c r="BK10" s="2">
        <v>0</v>
      </c>
      <c r="BM10" s="2">
        <v>0</v>
      </c>
      <c r="BO10" s="22">
        <f>(BG10/1000)/60.2*1000</f>
        <v>0</v>
      </c>
      <c r="BQ10" s="2">
        <f>BI10/74.08</f>
        <v>0</v>
      </c>
      <c r="BS10" s="2">
        <f>(BK10/1000)/88.12*1000</f>
        <v>0</v>
      </c>
      <c r="BU10" s="2">
        <f>BM10/88.12</f>
        <v>0</v>
      </c>
      <c r="BW10" s="52">
        <f>BO10*0.05</f>
        <v>0</v>
      </c>
      <c r="BX10" s="51">
        <f t="shared" si="0"/>
        <v>0</v>
      </c>
      <c r="BY10" s="51">
        <f t="shared" si="1"/>
        <v>0</v>
      </c>
      <c r="BZ10" s="67">
        <f t="shared" si="2"/>
        <v>0</v>
      </c>
    </row>
    <row r="11" spans="1:78" x14ac:dyDescent="0.3">
      <c r="A11" s="192"/>
      <c r="B11" s="70" t="s">
        <v>99</v>
      </c>
      <c r="C11" s="20">
        <v>0</v>
      </c>
      <c r="D11" s="69">
        <v>7.04</v>
      </c>
      <c r="E11" s="21"/>
      <c r="F11" s="52">
        <v>1.53</v>
      </c>
      <c r="G11" s="67"/>
      <c r="H11" s="37">
        <v>0.13800000000000001</v>
      </c>
      <c r="I11" s="52">
        <f>H11*0.2907</f>
        <v>4.0116600000000002E-2</v>
      </c>
      <c r="L11" s="68"/>
      <c r="M11" s="22">
        <v>15.248706411722271</v>
      </c>
      <c r="O11" s="21">
        <v>81.012065258086636</v>
      </c>
      <c r="Q11" s="21">
        <v>0.91718335670847773</v>
      </c>
      <c r="S11" s="21">
        <v>2.8220449734826238</v>
      </c>
      <c r="U11" s="21">
        <v>0</v>
      </c>
      <c r="W11" s="21">
        <v>0</v>
      </c>
      <c r="Y11" s="22">
        <v>1.0502362453318292</v>
      </c>
      <c r="AA11" s="21">
        <v>5.5796081940317492</v>
      </c>
      <c r="AC11" s="21">
        <v>6.3169896437238832E-2</v>
      </c>
      <c r="AE11" s="21">
        <v>0.19436494067651233</v>
      </c>
      <c r="AG11" s="21">
        <v>0</v>
      </c>
      <c r="AI11" s="21">
        <v>0</v>
      </c>
      <c r="BG11" s="37">
        <v>0</v>
      </c>
      <c r="BI11" s="2">
        <v>0</v>
      </c>
      <c r="BK11" s="2">
        <v>0</v>
      </c>
      <c r="BM11" s="2">
        <v>0</v>
      </c>
      <c r="BO11" s="22">
        <f>(BG11/1000)/60.2*1000</f>
        <v>0</v>
      </c>
      <c r="BQ11" s="2">
        <f>BI11/74.08</f>
        <v>0</v>
      </c>
      <c r="BS11" s="2">
        <f>(BK11/1000)/88.12*1000</f>
        <v>0</v>
      </c>
      <c r="BU11" s="2">
        <f>BM11/88.12</f>
        <v>0</v>
      </c>
      <c r="BW11" s="52">
        <f>BO11*0.05</f>
        <v>0</v>
      </c>
      <c r="BX11" s="51">
        <f t="shared" si="0"/>
        <v>0</v>
      </c>
      <c r="BY11" s="51">
        <f t="shared" si="1"/>
        <v>0</v>
      </c>
      <c r="BZ11" s="67">
        <f t="shared" si="2"/>
        <v>0</v>
      </c>
    </row>
    <row r="12" spans="1:78" ht="15" thickBot="1" x14ac:dyDescent="0.35">
      <c r="A12" s="192"/>
      <c r="B12" s="66" t="s">
        <v>63</v>
      </c>
      <c r="C12" s="65">
        <v>0</v>
      </c>
      <c r="D12" s="79">
        <f>AVERAGE(D9:D11)</f>
        <v>7.07</v>
      </c>
      <c r="E12" s="76">
        <f>_xlfn.STDEV.S(D9:D11)</f>
        <v>3.6055512754640105E-2</v>
      </c>
      <c r="F12" s="56">
        <f>AVERAGE(F9:F11)</f>
        <v>1.5353333333333332</v>
      </c>
      <c r="G12" s="55">
        <f>_xlfn.STDEV.S(F9:F11)</f>
        <v>1.1015141094572214E-2</v>
      </c>
      <c r="H12" s="60">
        <f>AVERAGE(H9:H11)</f>
        <v>0.14699999999999999</v>
      </c>
      <c r="I12" s="56">
        <f>AVERAGE(I9:I11)</f>
        <v>4.2732899999999997E-2</v>
      </c>
      <c r="J12" s="63">
        <f>_xlfn.STDEV.S(I9:I11)</f>
        <v>2.4837418887638059E-3</v>
      </c>
      <c r="K12" s="63"/>
      <c r="L12" s="62" t="e">
        <f>_xlfn.STDEV.S(K9:K11)</f>
        <v>#DIV/0!</v>
      </c>
      <c r="M12" s="77">
        <f>AVERAGE(M9:M11)</f>
        <v>15.93614244739741</v>
      </c>
      <c r="N12" s="58">
        <f>_xlfn.STDEV.S(M9:M11)</f>
        <v>0.5979595710354747</v>
      </c>
      <c r="O12" s="58">
        <f>AVERAGE(O9:O11)</f>
        <v>80.670911281693691</v>
      </c>
      <c r="P12" s="58">
        <f>_xlfn.STDEV.S(O9:O11)</f>
        <v>0.34083773997891204</v>
      </c>
      <c r="Q12" s="58">
        <f>AVERAGE(Q9:Q11)</f>
        <v>0.75148267061119733</v>
      </c>
      <c r="R12" s="58">
        <f>_xlfn.STDEV.S(Q9:Q11)</f>
        <v>0.14616540759109428</v>
      </c>
      <c r="S12" s="58">
        <f>AVERAGE(S9:S11)</f>
        <v>2.6414636002977012</v>
      </c>
      <c r="T12" s="58">
        <f>_xlfn.STDEV.S(S9:S11)</f>
        <v>0.17858146850495141</v>
      </c>
      <c r="U12" s="58">
        <f>AVERAGE(U9:U11)</f>
        <v>0</v>
      </c>
      <c r="V12" s="58">
        <f>_xlfn.STDEV.S(U9:U11)</f>
        <v>0</v>
      </c>
      <c r="W12" s="76">
        <f>AVERAGE(W9:W11)</f>
        <v>0</v>
      </c>
      <c r="X12" s="76">
        <f>_xlfn.STDEV.S(W9:W11)</f>
        <v>0</v>
      </c>
      <c r="Y12" s="59">
        <f>AVERAGE(Y9:Y11)</f>
        <v>1.1015078772870861</v>
      </c>
      <c r="Z12" s="76">
        <f>_xlfn.STDEV.S(Y9:Y11)</f>
        <v>4.579365425918841E-2</v>
      </c>
      <c r="AA12" s="76">
        <f>AVERAGE(AA9:AA11)</f>
        <v>5.5753873817989588</v>
      </c>
      <c r="AB12" s="58">
        <f>_xlfn.STDEV.S(AA9:AA11)</f>
        <v>2.4743296201084768E-2</v>
      </c>
      <c r="AC12" s="58">
        <f>AVERAGE(AC9:AC11)</f>
        <v>5.1926326139268099E-2</v>
      </c>
      <c r="AD12" s="58">
        <f>_xlfn.STDEV.S(AC9:AC11)</f>
        <v>9.9880567472773775E-3</v>
      </c>
      <c r="AE12" s="58">
        <f>AVERAGE(AE9:AE11)</f>
        <v>0.18256598502622831</v>
      </c>
      <c r="AF12" s="58">
        <f>_xlfn.STDEV.S(AE9:AE11)</f>
        <v>1.245293182606199E-2</v>
      </c>
      <c r="AG12" s="58">
        <f>AVERAGE(AG9:AG11)</f>
        <v>0</v>
      </c>
      <c r="AH12" s="58">
        <f>_xlfn.STDEV.S(AG9:AG11)</f>
        <v>0</v>
      </c>
      <c r="AI12" s="58">
        <f>AVERAGE(AI9:AI11)</f>
        <v>0</v>
      </c>
      <c r="AJ12" s="57">
        <f>_xlfn.STDEV.S(AI9:AI11)</f>
        <v>0</v>
      </c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57"/>
      <c r="BI12" s="57"/>
      <c r="BJ12" s="57"/>
      <c r="BK12" s="57"/>
      <c r="BL12" s="57"/>
      <c r="BM12" s="57"/>
      <c r="BN12" s="57"/>
      <c r="BO12" s="59">
        <f>AVERAGE(BO9:BO11)</f>
        <v>5.5370985603543741E-4</v>
      </c>
      <c r="BP12" s="58">
        <f>_xlfn.STDEV.S(BO9:BO11)</f>
        <v>9.5905360330502624E-4</v>
      </c>
      <c r="BQ12" s="57">
        <f>AVERAGE(BQ9:BQ11)</f>
        <v>0</v>
      </c>
      <c r="BR12" s="57">
        <f>_xlfn.STDEV.S(BQ9:BQ11)</f>
        <v>0</v>
      </c>
      <c r="BS12" s="57">
        <f>AVERAGE(BS9:BS11)</f>
        <v>0</v>
      </c>
      <c r="BT12" s="57">
        <f>_xlfn.STDEV.S(BS9:BS11)</f>
        <v>0</v>
      </c>
      <c r="BU12" s="57">
        <f>AVERAGE(BU9:BU11)</f>
        <v>0</v>
      </c>
      <c r="BV12" s="57">
        <f>_xlfn.STDEV.S(BU9:BU11)</f>
        <v>0</v>
      </c>
      <c r="BW12" s="56">
        <f>AVERAGE(BW9:BW11)</f>
        <v>2.7685492801771873E-5</v>
      </c>
      <c r="BX12" s="55">
        <f t="shared" si="0"/>
        <v>0</v>
      </c>
      <c r="BY12" s="55">
        <f t="shared" si="1"/>
        <v>0</v>
      </c>
      <c r="BZ12" s="54">
        <f t="shared" si="2"/>
        <v>0</v>
      </c>
    </row>
    <row r="13" spans="1:78" x14ac:dyDescent="0.3">
      <c r="A13" s="191" t="s">
        <v>57</v>
      </c>
      <c r="B13" s="95" t="s">
        <v>104</v>
      </c>
      <c r="C13" s="94">
        <v>1</v>
      </c>
      <c r="D13" s="93"/>
      <c r="E13" s="88"/>
      <c r="F13" s="86">
        <v>1.234</v>
      </c>
      <c r="G13" s="85"/>
      <c r="H13" s="90">
        <v>0.17399999999999999</v>
      </c>
      <c r="I13" s="86">
        <f>H13*0.2907</f>
        <v>5.0581799999999996E-2</v>
      </c>
      <c r="J13" s="92"/>
      <c r="K13" s="92"/>
      <c r="L13" s="91"/>
      <c r="M13" s="89">
        <v>15.393118762395307</v>
      </c>
      <c r="O13" s="21">
        <v>80.345666297015356</v>
      </c>
      <c r="Q13" s="21">
        <v>0.17884588952902525</v>
      </c>
      <c r="S13" s="21">
        <v>1.0499855335936246</v>
      </c>
      <c r="U13" s="21">
        <v>3.0323835174666942</v>
      </c>
      <c r="W13" s="88">
        <v>0</v>
      </c>
      <c r="X13" s="88"/>
      <c r="Y13" s="89">
        <v>0.85507527451609877</v>
      </c>
      <c r="Z13" s="88"/>
      <c r="AA13" s="88">
        <v>4.4631366603195559</v>
      </c>
      <c r="AC13" s="21">
        <v>9.9347442481052088E-3</v>
      </c>
      <c r="AE13" s="21">
        <v>5.8325845608937069E-2</v>
      </c>
      <c r="AG13" s="21">
        <v>0.16844644731581646</v>
      </c>
      <c r="AI13" s="21">
        <v>0</v>
      </c>
      <c r="AJ13" s="87"/>
      <c r="AK13" s="89">
        <f>8*(AG13-$AG$5)/(2*($AA$5-AA13)+2*($AI$5-AI13))</f>
        <v>0.6531633815089477</v>
      </c>
      <c r="AL13" s="89"/>
      <c r="AM13" s="89">
        <f>(AG13-$AG$5)/(($AA$5-AA13)+($AI$5-AI13))</f>
        <v>0.16329084537723693</v>
      </c>
      <c r="AN13" s="89"/>
      <c r="AO13" s="37">
        <f>8*(BW13-$BW$5)/(2*($AA$5-AA13)+2*($AI$5-AI13))</f>
        <v>0.63731968760644875</v>
      </c>
      <c r="AQ13" s="37">
        <f>(BW13-$BW$5)/(($AA$5-AA13)+($AI$5-AI13))</f>
        <v>0.15932992190161219</v>
      </c>
      <c r="AS13" s="37">
        <f>14*(BX13-$BX$5)/(2*($AA$5-AA13)+2*($AI$5-AI13))</f>
        <v>4.6716169349546857E-3</v>
      </c>
      <c r="AU13" s="37">
        <f>(BX13-$BX$5)/(($AA$5-AA13)+($AI$5-AI13))</f>
        <v>6.6737384785066941E-4</v>
      </c>
      <c r="AY13" s="90"/>
      <c r="AZ13" s="90"/>
      <c r="BA13" s="90"/>
      <c r="BB13" s="90"/>
      <c r="BC13" s="90"/>
      <c r="BD13" s="90"/>
      <c r="BE13" s="90"/>
      <c r="BF13" s="90"/>
      <c r="BG13" s="90">
        <v>197.89</v>
      </c>
      <c r="BH13" s="87"/>
      <c r="BI13" s="87">
        <v>1.02</v>
      </c>
      <c r="BJ13" s="87"/>
      <c r="BK13" s="87">
        <v>0</v>
      </c>
      <c r="BL13" s="87"/>
      <c r="BM13" s="87">
        <v>0</v>
      </c>
      <c r="BN13" s="87"/>
      <c r="BO13" s="89">
        <f>(BG13/1000)/60.2*1000</f>
        <v>3.2872093023255808</v>
      </c>
      <c r="BP13" s="88"/>
      <c r="BQ13" s="87">
        <f>BI13/74.08</f>
        <v>1.3768898488120952E-2</v>
      </c>
      <c r="BR13" s="87"/>
      <c r="BS13" s="87">
        <f>(BK13/1000)/88.12*1000</f>
        <v>0</v>
      </c>
      <c r="BT13" s="87"/>
      <c r="BU13" s="87">
        <f>BM13/88.12</f>
        <v>0</v>
      </c>
      <c r="BV13" s="87"/>
      <c r="BW13" s="86">
        <f>BO13*0.05</f>
        <v>0.16436046511627905</v>
      </c>
      <c r="BX13" s="85">
        <f t="shared" si="0"/>
        <v>6.8844492440604766E-4</v>
      </c>
      <c r="BY13" s="85">
        <f t="shared" si="1"/>
        <v>0</v>
      </c>
      <c r="BZ13" s="84">
        <f t="shared" si="2"/>
        <v>0</v>
      </c>
    </row>
    <row r="14" spans="1:78" x14ac:dyDescent="0.3">
      <c r="A14" s="192"/>
      <c r="B14" s="70" t="s">
        <v>103</v>
      </c>
      <c r="C14" s="20">
        <v>1</v>
      </c>
      <c r="D14" s="69"/>
      <c r="E14" s="21"/>
      <c r="F14" s="52">
        <v>1.234</v>
      </c>
      <c r="H14" s="37">
        <v>0.16200000000000001</v>
      </c>
      <c r="I14" s="52">
        <f>H14*0.2907</f>
        <v>4.7093400000000001E-2</v>
      </c>
      <c r="L14" s="68"/>
      <c r="M14" s="22">
        <v>14.938600842226792</v>
      </c>
      <c r="O14" s="21">
        <v>80.267715643425333</v>
      </c>
      <c r="Q14" s="21">
        <v>0.35095272749542133</v>
      </c>
      <c r="S14" s="21">
        <v>1.7645143326367623</v>
      </c>
      <c r="U14" s="21">
        <v>2.6782164542156832</v>
      </c>
      <c r="W14" s="21">
        <v>0</v>
      </c>
      <c r="Y14" s="22">
        <v>0.82982717233747949</v>
      </c>
      <c r="AA14" s="21">
        <v>4.4588065646744779</v>
      </c>
      <c r="AC14" s="21">
        <v>1.9495139642424494E-2</v>
      </c>
      <c r="AE14" s="21">
        <v>9.8017341427448904E-2</v>
      </c>
      <c r="AG14" s="21">
        <v>0.14877275392668066</v>
      </c>
      <c r="AI14" s="21">
        <v>0</v>
      </c>
      <c r="AK14" s="22">
        <f>8*(AG14-$AG$6)/(2*($AA$6-AA14)+2*($AI$6-AI14))</f>
        <v>0.60550879732190421</v>
      </c>
      <c r="AL14" s="22"/>
      <c r="AM14" s="22">
        <f>(AG14-$AG$6)/(($AA$6-AA14)+($AI$6-AI14))</f>
        <v>0.15137719933047605</v>
      </c>
      <c r="AN14" s="22"/>
      <c r="AO14" s="37">
        <f>8*(BW14-$BW$6)/(2*($AA$6-AA14)+2*($AI$6-AI14))</f>
        <v>0.54769552932520815</v>
      </c>
      <c r="AQ14" s="37">
        <f>(BW14-$BW$6)/(($AA$6-AA14)+($AI$6-AI14))</f>
        <v>0.13692388233130204</v>
      </c>
      <c r="AS14" s="37">
        <f>14*(BX14-$BX$6)/(2*($AA$6-AA14)+2*($AI$6-AI14))</f>
        <v>5.0476988128091548E-3</v>
      </c>
      <c r="AU14" s="37">
        <f>(BX14-$BX$6)/(($AA$6-AA14)+($AI$6-AI14))</f>
        <v>7.2109983040130783E-4</v>
      </c>
      <c r="BG14" s="37">
        <v>162.02000000000001</v>
      </c>
      <c r="BI14" s="2">
        <v>1.05</v>
      </c>
      <c r="BK14" s="2">
        <v>0</v>
      </c>
      <c r="BM14" s="2">
        <v>0</v>
      </c>
      <c r="BO14" s="22">
        <f>(BG14/1000)/60.2*1000</f>
        <v>2.6913621262458474</v>
      </c>
      <c r="BQ14" s="2">
        <f>BI14/74.08</f>
        <v>1.4173866090712743E-2</v>
      </c>
      <c r="BS14" s="2">
        <f>(BK14/1000)/88.12*1000</f>
        <v>0</v>
      </c>
      <c r="BU14" s="2">
        <f>BM14/88.12</f>
        <v>0</v>
      </c>
      <c r="BW14" s="52">
        <f>BO14*0.05</f>
        <v>0.13456810631229238</v>
      </c>
      <c r="BX14" s="51">
        <f t="shared" si="0"/>
        <v>7.086933045356372E-4</v>
      </c>
      <c r="BY14" s="51">
        <f t="shared" si="1"/>
        <v>0</v>
      </c>
      <c r="BZ14" s="67">
        <f t="shared" si="2"/>
        <v>0</v>
      </c>
    </row>
    <row r="15" spans="1:78" x14ac:dyDescent="0.3">
      <c r="A15" s="192"/>
      <c r="B15" s="70" t="s">
        <v>102</v>
      </c>
      <c r="C15" s="20">
        <v>1</v>
      </c>
      <c r="D15" s="69"/>
      <c r="E15" s="21"/>
      <c r="F15" s="52">
        <v>1.27</v>
      </c>
      <c r="H15" s="37">
        <v>0.161</v>
      </c>
      <c r="I15" s="52">
        <f>H15*0.2907</f>
        <v>4.6802700000000003E-2</v>
      </c>
      <c r="L15" s="68"/>
      <c r="M15" s="22">
        <v>15.150118612917963</v>
      </c>
      <c r="O15" s="21">
        <v>80.528080003938101</v>
      </c>
      <c r="Q15" s="21">
        <v>0.42565619110011066</v>
      </c>
      <c r="S15" s="21">
        <v>1.502757603604624</v>
      </c>
      <c r="U15" s="21">
        <v>2.3933875884392148</v>
      </c>
      <c r="W15" s="21">
        <v>0</v>
      </c>
      <c r="Y15" s="22">
        <v>0.86612848675095733</v>
      </c>
      <c r="AA15" s="21">
        <v>4.6037701655549821</v>
      </c>
      <c r="AC15" s="21">
        <v>2.4334657839534077E-2</v>
      </c>
      <c r="AE15" s="21">
        <v>8.5912275832200832E-2</v>
      </c>
      <c r="AG15" s="21">
        <v>0.13682936900677622</v>
      </c>
      <c r="AI15" s="21">
        <v>0</v>
      </c>
      <c r="AK15" s="22">
        <f>8*(AG15-$AG$7)/(2*($AA$7-AA15)+2*($AI$7-AI15))</f>
        <v>0.60778863088714774</v>
      </c>
      <c r="AL15" s="22"/>
      <c r="AM15" s="22">
        <f>(AG15-$AG$7)/(($AA$7-AA15)+($AI$7-AI15))</f>
        <v>0.15194715772178694</v>
      </c>
      <c r="AN15" s="22"/>
      <c r="AO15" s="37">
        <f>8*(BW15-$BW$7)/(2*($AA$7-AA15)+2*($AI$7-AI15))</f>
        <v>0.53605873257995318</v>
      </c>
      <c r="AQ15" s="37">
        <f>(BW15-$BW$7)/(($AA$7-AA15)+($AI$7-AI15))</f>
        <v>0.13401468314498829</v>
      </c>
      <c r="AS15" s="37">
        <f>14*(BX15-$BX$7)/(2*($AA$7-AA15)+2*($AI$7-AI15))</f>
        <v>5.1941623722689149E-3</v>
      </c>
      <c r="AU15" s="37">
        <f>(BX15-$BX$7)/(($AA$7-AA15)+($AI$7-AI15))</f>
        <v>7.4202319603841648E-4</v>
      </c>
      <c r="BG15" s="37">
        <v>145.30000000000001</v>
      </c>
      <c r="BI15" s="2">
        <v>0.99</v>
      </c>
      <c r="BK15" s="2">
        <v>0</v>
      </c>
      <c r="BM15" s="2">
        <v>0</v>
      </c>
      <c r="BO15" s="22">
        <f>(BG15/1000)/60.2*1000</f>
        <v>2.4136212624584719</v>
      </c>
      <c r="BQ15" s="2">
        <f>BI15/74.08</f>
        <v>1.3363930885529158E-2</v>
      </c>
      <c r="BS15" s="2">
        <f>(BK15/1000)/88.12*1000</f>
        <v>0</v>
      </c>
      <c r="BU15" s="2">
        <f>BM15/88.12</f>
        <v>0</v>
      </c>
      <c r="BW15" s="52">
        <f>BO15*0.05</f>
        <v>0.12068106312292359</v>
      </c>
      <c r="BX15" s="51">
        <f t="shared" si="0"/>
        <v>6.6819654427645791E-4</v>
      </c>
      <c r="BY15" s="51">
        <f t="shared" si="1"/>
        <v>0</v>
      </c>
      <c r="BZ15" s="67">
        <f t="shared" si="2"/>
        <v>0</v>
      </c>
    </row>
    <row r="16" spans="1:78" x14ac:dyDescent="0.3">
      <c r="A16" s="192"/>
      <c r="B16" s="83" t="s">
        <v>63</v>
      </c>
      <c r="C16" s="80">
        <v>1</v>
      </c>
      <c r="D16" s="79"/>
      <c r="E16" s="76"/>
      <c r="F16" s="74">
        <f>AVERAGE(F13:F15)</f>
        <v>1.246</v>
      </c>
      <c r="G16" s="73">
        <f>_xlfn.STDEV.S(F13:F15)</f>
        <v>2.0784609690826544E-2</v>
      </c>
      <c r="H16" s="78">
        <f>AVERAGE(H13:H15)</f>
        <v>0.16566666666666666</v>
      </c>
      <c r="I16" s="74">
        <f>AVERAGE(I13:I15)</f>
        <v>4.8159299999999995E-2</v>
      </c>
      <c r="J16" s="82">
        <f>_xlfn.STDEV.S(I13:I15)</f>
        <v>2.102975584737014E-3</v>
      </c>
      <c r="K16" s="82"/>
      <c r="L16" s="81" t="e">
        <f>_xlfn.STDEV.S(K13:K15)</f>
        <v>#DIV/0!</v>
      </c>
      <c r="M16" s="77">
        <f>AVERAGE(M13:M15)</f>
        <v>15.160612739180023</v>
      </c>
      <c r="N16" s="76">
        <f>_xlfn.STDEV.S(M13:M15)</f>
        <v>0.22744060752882522</v>
      </c>
      <c r="O16" s="76">
        <f>AVERAGE(O13:O15)</f>
        <v>80.38048731479293</v>
      </c>
      <c r="P16" s="76">
        <f>_xlfn.STDEV.S(O13:O15)</f>
        <v>0.13362925396635705</v>
      </c>
      <c r="Q16" s="76">
        <f>AVERAGE(Q13:Q15)</f>
        <v>0.31848493604151912</v>
      </c>
      <c r="R16" s="76">
        <f>_xlfn.STDEV.S(Q13:Q15)</f>
        <v>0.12656796337076401</v>
      </c>
      <c r="S16" s="76">
        <f>AVERAGE(S13:S15)</f>
        <v>1.4390858232783368</v>
      </c>
      <c r="T16" s="76">
        <f>_xlfn.STDEV.S(S13:S15)</f>
        <v>0.36149470656283117</v>
      </c>
      <c r="U16" s="76">
        <f>AVERAGE(U13:U15)</f>
        <v>2.7013291867071971</v>
      </c>
      <c r="V16" s="76">
        <f>_xlfn.STDEV.S(U13:U15)</f>
        <v>0.32012434791943128</v>
      </c>
      <c r="W16" s="76">
        <f>AVERAGE(W13:W15)</f>
        <v>0</v>
      </c>
      <c r="X16" s="76">
        <f>_xlfn.STDEV.S(W13:W15)</f>
        <v>0</v>
      </c>
      <c r="Y16" s="77">
        <f>AVERAGE(Y13:Y15)</f>
        <v>0.85034364453484523</v>
      </c>
      <c r="Z16" s="76">
        <f>_xlfn.STDEV.S(Y13:Y15)</f>
        <v>1.8607460835540317E-2</v>
      </c>
      <c r="AA16" s="76">
        <f>AVERAGE(AA13:AA15)</f>
        <v>4.5085711301830056</v>
      </c>
      <c r="AB16" s="76">
        <f>_xlfn.STDEV.S(AA13:AA15)</f>
        <v>8.247320585432609E-2</v>
      </c>
      <c r="AC16" s="76">
        <f>AVERAGE(AC13:AC15)</f>
        <v>1.792151391002126E-2</v>
      </c>
      <c r="AD16" s="76">
        <f>_xlfn.STDEV.S(AC13:AC15)</f>
        <v>7.3277964845795017E-3</v>
      </c>
      <c r="AE16" s="76">
        <f>AVERAGE(AE13:AE15)</f>
        <v>8.0751820956195597E-2</v>
      </c>
      <c r="AF16" s="76">
        <f>_xlfn.STDEV.S(AE13:AE15)</f>
        <v>2.0342724276094404E-2</v>
      </c>
      <c r="AG16" s="76">
        <f>AVERAGE(AG13:AG15)</f>
        <v>0.15134952341642446</v>
      </c>
      <c r="AH16" s="76">
        <f>_xlfn.STDEV.S(AG13:AG15)</f>
        <v>1.5965265921758127E-2</v>
      </c>
      <c r="AI16" s="76">
        <f>AVERAGE(AI13:AI15)</f>
        <v>0</v>
      </c>
      <c r="AJ16" s="75">
        <f>_xlfn.STDEV.S(AI13:AI15)</f>
        <v>0</v>
      </c>
      <c r="AK16" s="77">
        <f>AVERAGE(AK13:AK15)</f>
        <v>0.62215360323933322</v>
      </c>
      <c r="AL16" s="77">
        <f>_xlfn.STDEV.S(AK13:AK15)</f>
        <v>2.6879437708391407E-2</v>
      </c>
      <c r="AM16" s="77">
        <f>AVERAGE(AM13:AM15)</f>
        <v>0.1555384008098333</v>
      </c>
      <c r="AN16" s="77">
        <f>_xlfn.STDEV.S(AM13:AM15)</f>
        <v>6.7198594270978518E-3</v>
      </c>
      <c r="AO16" s="78">
        <f>AVERAGE(AO13:AO15)</f>
        <v>0.57369131650387006</v>
      </c>
      <c r="AP16" s="78">
        <f>_xlfn.STDEV.S(AO13:AO15)</f>
        <v>5.5410116102551171E-2</v>
      </c>
      <c r="AQ16" s="78">
        <f>AVERAGE(AQ13:AQ15)</f>
        <v>0.14342282912596752</v>
      </c>
      <c r="AR16" s="78">
        <f>_xlfn.STDEV.S(AQ13:AQ15)</f>
        <v>1.3852529025637793E-2</v>
      </c>
      <c r="AS16" s="78">
        <f>AVERAGE(AS13:AS15)</f>
        <v>4.9711593733442515E-3</v>
      </c>
      <c r="AT16" s="78">
        <f>_xlfn.STDEV.S(AS13:AS15)</f>
        <v>2.6954989864528037E-4</v>
      </c>
      <c r="AU16" s="78">
        <f>AVERAGE(AU13:AU15)</f>
        <v>7.101656247634645E-4</v>
      </c>
      <c r="AV16" s="78">
        <f>_xlfn.STDEV.S(AU13:AU15)</f>
        <v>3.850712837789721E-5</v>
      </c>
      <c r="AW16" s="78"/>
      <c r="AX16" s="78"/>
      <c r="AY16" s="79">
        <f>SUM(AK16,AO16,AS16)</f>
        <v>1.2008160791165476</v>
      </c>
      <c r="AZ16" s="77">
        <f>SUM(AL16,AP16,AT16)</f>
        <v>8.2559103709587855E-2</v>
      </c>
      <c r="BA16" s="78"/>
      <c r="BB16" s="78"/>
      <c r="BC16" s="78"/>
      <c r="BD16" s="78"/>
      <c r="BE16" s="78"/>
      <c r="BF16" s="78"/>
      <c r="BG16" s="78"/>
      <c r="BH16" s="75"/>
      <c r="BI16" s="75"/>
      <c r="BJ16" s="75"/>
      <c r="BK16" s="75"/>
      <c r="BL16" s="75"/>
      <c r="BM16" s="75"/>
      <c r="BN16" s="75"/>
      <c r="BO16" s="77">
        <f>AVERAGE(BO13:BO15)</f>
        <v>2.7973975636766331</v>
      </c>
      <c r="BP16" s="76">
        <f>_xlfn.STDEV.S(BO13:BO15)</f>
        <v>0.44634252692643078</v>
      </c>
      <c r="BQ16" s="75">
        <f>AVERAGE(BQ13:BQ15)</f>
        <v>1.376889848812095E-2</v>
      </c>
      <c r="BR16" s="75">
        <f>_xlfn.STDEV.S(BQ13:BQ15)</f>
        <v>4.0496760259179244E-4</v>
      </c>
      <c r="BS16" s="75">
        <f>AVERAGE(BS13:BS15)</f>
        <v>0</v>
      </c>
      <c r="BT16" s="75">
        <f>_xlfn.STDEV.S(BS13:BS15)</f>
        <v>0</v>
      </c>
      <c r="BU16" s="75">
        <f>AVERAGE(BU13:BU15)</f>
        <v>0</v>
      </c>
      <c r="BV16" s="75">
        <f>_xlfn.STDEV.S(BU13:BU15)</f>
        <v>0</v>
      </c>
      <c r="BW16" s="74">
        <f>AVERAGE(BW13:BW15)</f>
        <v>0.13986987818383168</v>
      </c>
      <c r="BX16" s="73">
        <f t="shared" si="0"/>
        <v>6.8844492440604756E-4</v>
      </c>
      <c r="BY16" s="73">
        <f t="shared" si="1"/>
        <v>0</v>
      </c>
      <c r="BZ16" s="72">
        <f t="shared" si="2"/>
        <v>0</v>
      </c>
    </row>
    <row r="17" spans="1:78" x14ac:dyDescent="0.3">
      <c r="A17" s="191" t="s">
        <v>58</v>
      </c>
      <c r="B17" s="70" t="s">
        <v>101</v>
      </c>
      <c r="C17" s="20">
        <v>1</v>
      </c>
      <c r="D17" s="69"/>
      <c r="E17" s="21"/>
      <c r="F17" s="52">
        <v>1.28</v>
      </c>
      <c r="H17" s="37">
        <v>0.16800000000000001</v>
      </c>
      <c r="I17" s="52">
        <f>H17*0.2907</f>
        <v>4.8837600000000009E-2</v>
      </c>
      <c r="L17" s="68"/>
      <c r="M17" s="22">
        <v>15.53866469364314</v>
      </c>
      <c r="O17" s="21">
        <v>83.012596410054698</v>
      </c>
      <c r="Q17" s="21">
        <v>0.13552333066520106</v>
      </c>
      <c r="S17" s="21">
        <v>0.90491756197205153</v>
      </c>
      <c r="U17" s="21">
        <v>0.40829800366493174</v>
      </c>
      <c r="W17" s="21">
        <v>0</v>
      </c>
      <c r="Y17" s="22">
        <v>0.89533638437753893</v>
      </c>
      <c r="AA17" s="21">
        <v>4.7831779237746366</v>
      </c>
      <c r="AC17" s="21">
        <v>7.8088414460878667E-3</v>
      </c>
      <c r="AE17" s="21">
        <v>5.2141264006246871E-2</v>
      </c>
      <c r="AG17" s="21">
        <v>2.3526092206589615E-2</v>
      </c>
      <c r="AI17" s="21">
        <v>0</v>
      </c>
      <c r="AO17" s="37">
        <f>8*(BW17-$BV$9)/(2*($AA$9-AA17)+2*($AI$9-AI17))</f>
        <v>0.23488306991578908</v>
      </c>
      <c r="AQ17" s="37">
        <f>(BW17-$BW$9)/(($AA$9-AA17)+($AI$9-AI17))</f>
        <v>5.8618804000081244E-2</v>
      </c>
      <c r="AS17" s="37">
        <f>14*(BX17-$BX$9)/(2*($AA$9-AA17)+2*($AI$9-AI17))</f>
        <v>0</v>
      </c>
      <c r="AU17" s="37">
        <f>(BX17-$BX$9)/(($AA$9-AA17)+($AI$9-AI17))</f>
        <v>0</v>
      </c>
      <c r="BG17" s="37">
        <v>57.59</v>
      </c>
      <c r="BI17" s="2">
        <v>0</v>
      </c>
      <c r="BK17" s="2">
        <v>0</v>
      </c>
      <c r="BM17" s="2">
        <v>0</v>
      </c>
      <c r="BO17" s="22">
        <f>(BG17/1000)/60.2*1000</f>
        <v>0.95664451827242525</v>
      </c>
      <c r="BQ17" s="2">
        <f>BI17/74.08</f>
        <v>0</v>
      </c>
      <c r="BS17" s="2">
        <f>(BK17/1000)/88.12*1000</f>
        <v>0</v>
      </c>
      <c r="BU17" s="2">
        <f>BM17/88.12</f>
        <v>0</v>
      </c>
      <c r="BW17" s="52">
        <f>BO17*0.05</f>
        <v>4.7832225913621268E-2</v>
      </c>
      <c r="BX17" s="51">
        <f t="shared" si="0"/>
        <v>0</v>
      </c>
      <c r="BY17" s="51">
        <f t="shared" si="1"/>
        <v>0</v>
      </c>
      <c r="BZ17" s="67">
        <f t="shared" si="2"/>
        <v>0</v>
      </c>
    </row>
    <row r="18" spans="1:78" x14ac:dyDescent="0.3">
      <c r="A18" s="192"/>
      <c r="B18" s="70" t="s">
        <v>100</v>
      </c>
      <c r="C18" s="20">
        <v>1</v>
      </c>
      <c r="D18" s="69"/>
      <c r="E18" s="21"/>
      <c r="F18" s="52">
        <v>1.3340000000000001</v>
      </c>
      <c r="H18" s="37">
        <v>0.152</v>
      </c>
      <c r="I18" s="52">
        <f>H18*0.2907</f>
        <v>4.4186400000000001E-2</v>
      </c>
      <c r="L18" s="68"/>
      <c r="M18" s="22">
        <v>15.736491650989665</v>
      </c>
      <c r="O18" s="21">
        <v>82.852255480451973</v>
      </c>
      <c r="Q18" s="21">
        <v>0.14838984432556332</v>
      </c>
      <c r="S18" s="21">
        <v>0.96953160832774898</v>
      </c>
      <c r="U18" s="21">
        <v>0.29333141590504186</v>
      </c>
      <c r="W18" s="21">
        <v>0</v>
      </c>
      <c r="Y18" s="22">
        <v>0.94498804422418703</v>
      </c>
      <c r="AA18" s="21">
        <v>4.9753396501888698</v>
      </c>
      <c r="AC18" s="21">
        <v>8.9109206729142097E-3</v>
      </c>
      <c r="AE18" s="21">
        <v>5.8221095189889466E-2</v>
      </c>
      <c r="AG18" s="21">
        <v>1.7614769999143003E-2</v>
      </c>
      <c r="AI18" s="21">
        <v>0</v>
      </c>
      <c r="AO18" s="37">
        <f>8*(BW18-$BV$10)/(2*($AA$10-AA18)+2*($AI$10-AI18))</f>
        <v>0.4634062538121711</v>
      </c>
      <c r="AQ18" s="37">
        <f>(BW18-$BW$10)/(($AA$10-AA18)+($AI$10-AI18))</f>
        <v>0.11585156345304277</v>
      </c>
      <c r="AS18" s="37">
        <f>14*(BX18-$BX$10)/(2*($AA$10-AA18)+2*($AI$10-AI18))</f>
        <v>0</v>
      </c>
      <c r="AU18" s="37">
        <f>(BX18-$BX$10)/(($AA$10-AA18)+($AI$10-AI18))</f>
        <v>0</v>
      </c>
      <c r="BG18" s="37">
        <v>79.989999999999995</v>
      </c>
      <c r="BI18" s="2">
        <v>0</v>
      </c>
      <c r="BK18" s="2">
        <v>0</v>
      </c>
      <c r="BM18" s="2">
        <v>0</v>
      </c>
      <c r="BO18" s="22">
        <f>(BG18/1000)/60.2*1000</f>
        <v>1.3287375415282392</v>
      </c>
      <c r="BQ18" s="2">
        <f>BI18/74.08</f>
        <v>0</v>
      </c>
      <c r="BS18" s="2">
        <f>(BK18/1000)/88.12*1000</f>
        <v>0</v>
      </c>
      <c r="BU18" s="2">
        <f>BM18/88.12</f>
        <v>0</v>
      </c>
      <c r="BW18" s="52">
        <f>BO18*0.05</f>
        <v>6.6436877076411965E-2</v>
      </c>
      <c r="BX18" s="51">
        <f t="shared" si="0"/>
        <v>0</v>
      </c>
      <c r="BY18" s="51">
        <f t="shared" si="1"/>
        <v>0</v>
      </c>
      <c r="BZ18" s="67">
        <f t="shared" si="2"/>
        <v>0</v>
      </c>
    </row>
    <row r="19" spans="1:78" x14ac:dyDescent="0.3">
      <c r="A19" s="192"/>
      <c r="B19" s="70" t="s">
        <v>99</v>
      </c>
      <c r="C19" s="20">
        <v>1</v>
      </c>
      <c r="D19" s="69"/>
      <c r="E19" s="21"/>
      <c r="F19" s="52">
        <v>1.3120000000000001</v>
      </c>
      <c r="G19" s="67"/>
      <c r="H19" s="37">
        <v>0.159</v>
      </c>
      <c r="I19" s="52">
        <f>H19*0.2907</f>
        <v>4.62213E-2</v>
      </c>
      <c r="L19" s="68"/>
      <c r="M19" s="22">
        <v>15.52995759720212</v>
      </c>
      <c r="O19" s="21">
        <v>81.054936390763757</v>
      </c>
      <c r="Q19" s="21">
        <v>0.56594422403422673</v>
      </c>
      <c r="S19" s="21">
        <v>2.4707842600260768</v>
      </c>
      <c r="U19" s="21">
        <v>0.37837752797383439</v>
      </c>
      <c r="W19" s="21">
        <v>0</v>
      </c>
      <c r="Y19" s="22">
        <v>0.91720554936495757</v>
      </c>
      <c r="AA19" s="21">
        <v>4.7871371828102083</v>
      </c>
      <c r="AC19" s="21">
        <v>3.34248937684644E-2</v>
      </c>
      <c r="AE19" s="21">
        <v>0.14592551334382201</v>
      </c>
      <c r="AG19" s="21">
        <v>2.2347129168924448E-2</v>
      </c>
      <c r="AI19" s="21">
        <v>0</v>
      </c>
      <c r="AO19" s="37">
        <f>8*(BW19-$BV$11)/(2*($AA$11-AA19)+2*($AI$11-AI19))</f>
        <v>0.37151971552541241</v>
      </c>
      <c r="AQ19" s="37">
        <f>(BW19-$BW$10)/(($AA$10-AA19)+($AI$10-AI19))</f>
        <v>9.6636135933420506E-2</v>
      </c>
      <c r="AS19" s="37">
        <f>14*(BX19-$BX$11)/(2*($AA$11-AA19)+2*($AI$11-AI19))</f>
        <v>0</v>
      </c>
      <c r="AU19" s="37">
        <f>(BX19-$BX$11)/(($AA$11-AA19)+($AI$11-AI19))</f>
        <v>0</v>
      </c>
      <c r="BG19" s="37">
        <v>88.62</v>
      </c>
      <c r="BI19" s="2">
        <v>0</v>
      </c>
      <c r="BK19" s="2">
        <v>0</v>
      </c>
      <c r="BM19" s="2">
        <v>0</v>
      </c>
      <c r="BO19" s="22">
        <f>(BG19/1000)/60.2*1000</f>
        <v>1.472093023255814</v>
      </c>
      <c r="BQ19" s="2">
        <f>BI19/74.08</f>
        <v>0</v>
      </c>
      <c r="BS19" s="2">
        <f>(BK19/1000)/88.12*1000</f>
        <v>0</v>
      </c>
      <c r="BU19" s="2">
        <f>BM19/88.12</f>
        <v>0</v>
      </c>
      <c r="BW19" s="52">
        <f>BO19*0.05</f>
        <v>7.3604651162790705E-2</v>
      </c>
      <c r="BX19" s="51">
        <f t="shared" si="0"/>
        <v>0</v>
      </c>
      <c r="BY19" s="51">
        <f t="shared" si="1"/>
        <v>0</v>
      </c>
      <c r="BZ19" s="67">
        <f t="shared" si="2"/>
        <v>0</v>
      </c>
    </row>
    <row r="20" spans="1:78" ht="15" thickBot="1" x14ac:dyDescent="0.35">
      <c r="A20" s="192"/>
      <c r="B20" s="66" t="s">
        <v>63</v>
      </c>
      <c r="C20" s="65">
        <v>1</v>
      </c>
      <c r="D20" s="64"/>
      <c r="E20" s="58"/>
      <c r="F20" s="56">
        <f>AVERAGE(F17:F19)</f>
        <v>1.3086666666666666</v>
      </c>
      <c r="G20" s="55">
        <f>_xlfn.STDEV.S(F17:F19)</f>
        <v>2.7153882472555093E-2</v>
      </c>
      <c r="H20" s="60">
        <f>AVERAGE(H17:H19)</f>
        <v>0.15966666666666665</v>
      </c>
      <c r="I20" s="56">
        <f>AVERAGE(I17:I19)</f>
        <v>4.6415100000000008E-2</v>
      </c>
      <c r="J20" s="63">
        <f>_xlfn.STDEV.S(I17:I19)</f>
        <v>2.3316483847269985E-3</v>
      </c>
      <c r="K20" s="63"/>
      <c r="L20" s="62" t="e">
        <f>_xlfn.STDEV.S(K17:K19)</f>
        <v>#DIV/0!</v>
      </c>
      <c r="M20" s="59">
        <f>AVERAGE(M17:M19)</f>
        <v>15.601704647278309</v>
      </c>
      <c r="N20" s="58">
        <f>_xlfn.STDEV.S(M17:M19)</f>
        <v>0.11681012652686505</v>
      </c>
      <c r="O20" s="58">
        <f>AVERAGE(O17:O19)</f>
        <v>82.306596093756809</v>
      </c>
      <c r="P20" s="58">
        <f>_xlfn.STDEV.S(O17:O19)</f>
        <v>1.086929764289744</v>
      </c>
      <c r="Q20" s="58">
        <f>AVERAGE(Q17:Q19)</f>
        <v>0.28328579967499706</v>
      </c>
      <c r="R20" s="58">
        <f>_xlfn.STDEV.S(Q17:Q19)</f>
        <v>0.24487389701512663</v>
      </c>
      <c r="S20" s="58">
        <f>AVERAGE(S17:S19)</f>
        <v>1.4484111434419591</v>
      </c>
      <c r="T20" s="58">
        <f>_xlfn.STDEV.S(S17:S19)</f>
        <v>0.88599031365024261</v>
      </c>
      <c r="U20" s="58">
        <f>AVERAGE(U17:U19)</f>
        <v>0.36000231584793596</v>
      </c>
      <c r="V20" s="58">
        <f>_xlfn.STDEV.S(U17:U19)</f>
        <v>5.9645329999858519E-2</v>
      </c>
      <c r="W20" s="58">
        <f>AVERAGE(W17:W19)</f>
        <v>0</v>
      </c>
      <c r="X20" s="58">
        <f>_xlfn.STDEV.S(W17:W19)</f>
        <v>0</v>
      </c>
      <c r="Y20" s="59">
        <f>AVERAGE(Y17:Y19)</f>
        <v>0.91917665932222781</v>
      </c>
      <c r="Z20" s="58">
        <f>_xlfn.STDEV.S(Y17:Y19)</f>
        <v>2.4884448702544113E-2</v>
      </c>
      <c r="AA20" s="58">
        <f>AVERAGE(AA17:AA19)</f>
        <v>4.8485515855912382</v>
      </c>
      <c r="AB20" s="58">
        <f>_xlfn.STDEV.S(AA17:AA19)</f>
        <v>0.10981952889326009</v>
      </c>
      <c r="AC20" s="58">
        <f>AVERAGE(AC17:AC19)</f>
        <v>1.6714885295822161E-2</v>
      </c>
      <c r="AD20" s="58">
        <f>_xlfn.STDEV.S(AC17:AC19)</f>
        <v>1.4481779311340931E-2</v>
      </c>
      <c r="AE20" s="58">
        <f>AVERAGE(AE17:AE19)</f>
        <v>8.5429290846652781E-2</v>
      </c>
      <c r="AF20" s="58">
        <f>_xlfn.STDEV.S(AE17:AE19)</f>
        <v>5.2479384420224019E-2</v>
      </c>
      <c r="AG20" s="58">
        <f>AVERAGE(AG17:AG19)</f>
        <v>2.1162663791552353E-2</v>
      </c>
      <c r="AH20" s="58">
        <f>_xlfn.STDEV.S(AG17:AG19)</f>
        <v>3.1286021211889155E-3</v>
      </c>
      <c r="AI20" s="58">
        <f>AVERAGE(AI17:AI19)</f>
        <v>0</v>
      </c>
      <c r="AJ20" s="57">
        <f>_xlfn.STDEV.S(AI17:AI19)</f>
        <v>0</v>
      </c>
      <c r="AK20" s="60"/>
      <c r="AL20" s="60"/>
      <c r="AM20" s="60"/>
      <c r="AN20" s="60"/>
      <c r="AO20" s="60">
        <f>AVERAGE(AO17:AO19)</f>
        <v>0.35660301308445752</v>
      </c>
      <c r="AP20" s="60">
        <f>_xlfn.STDEV.S(AO17:AO19)</f>
        <v>0.11498953171188621</v>
      </c>
      <c r="AQ20" s="60">
        <f>AVERAGE(AQ17:AQ19)</f>
        <v>9.036883446218151E-2</v>
      </c>
      <c r="AR20" s="60">
        <f>_xlfn.STDEV.S(AQ17:AQ19)</f>
        <v>2.9126559862927278E-2</v>
      </c>
      <c r="AS20" s="60">
        <f>AVERAGE(AS17:AS19)</f>
        <v>0</v>
      </c>
      <c r="AT20" s="60">
        <f>_xlfn.STDEV.S(AS17:AS19)</f>
        <v>0</v>
      </c>
      <c r="AU20" s="60">
        <f>AVERAGE(AU17:AU19)</f>
        <v>0</v>
      </c>
      <c r="AV20" s="60">
        <f>_xlfn.STDEV.S(AU17:AU19)</f>
        <v>0</v>
      </c>
      <c r="AW20" s="60"/>
      <c r="AX20" s="60"/>
      <c r="AY20" s="59">
        <f>SUM(AK20,AO20,AS20)</f>
        <v>0.35660301308445752</v>
      </c>
      <c r="AZ20" s="59">
        <f>SUM(AL20,AP20,AT20)</f>
        <v>0.11498953171188621</v>
      </c>
      <c r="BA20" s="60"/>
      <c r="BB20" s="60"/>
      <c r="BC20" s="60"/>
      <c r="BD20" s="60"/>
      <c r="BE20" s="60"/>
      <c r="BF20" s="60"/>
      <c r="BG20" s="60"/>
      <c r="BH20" s="57"/>
      <c r="BI20" s="57"/>
      <c r="BJ20" s="57"/>
      <c r="BK20" s="57"/>
      <c r="BL20" s="57"/>
      <c r="BM20" s="57"/>
      <c r="BN20" s="57"/>
      <c r="BO20" s="59">
        <f>AVERAGE(BO17:BO19)</f>
        <v>1.2524916943521596</v>
      </c>
      <c r="BP20" s="58">
        <f>_xlfn.STDEV.S(BO17:BO19)</f>
        <v>0.26604860877497816</v>
      </c>
      <c r="BQ20" s="57">
        <f>AVERAGE(BQ17:BQ19)</f>
        <v>0</v>
      </c>
      <c r="BR20" s="57">
        <f>_xlfn.STDEV.S(BQ17:BQ19)</f>
        <v>0</v>
      </c>
      <c r="BS20" s="57">
        <f>AVERAGE(BS17:BS19)</f>
        <v>0</v>
      </c>
      <c r="BT20" s="57">
        <f>_xlfn.STDEV.S(BS17:BS19)</f>
        <v>0</v>
      </c>
      <c r="BU20" s="57">
        <f>AVERAGE(BU17:BU19)</f>
        <v>0</v>
      </c>
      <c r="BV20" s="57">
        <f>_xlfn.STDEV.S(BU17:BU19)</f>
        <v>0</v>
      </c>
      <c r="BW20" s="56">
        <f>AVERAGE(BW17:BW19)</f>
        <v>6.262458471760797E-2</v>
      </c>
      <c r="BX20" s="55">
        <f t="shared" si="0"/>
        <v>0</v>
      </c>
      <c r="BY20" s="55">
        <f t="shared" si="1"/>
        <v>0</v>
      </c>
      <c r="BZ20" s="54">
        <f t="shared" si="2"/>
        <v>0</v>
      </c>
    </row>
    <row r="21" spans="1:78" x14ac:dyDescent="0.3">
      <c r="A21" s="191" t="s">
        <v>57</v>
      </c>
      <c r="B21" s="95" t="s">
        <v>104</v>
      </c>
      <c r="C21" s="94">
        <v>2</v>
      </c>
      <c r="D21" s="93"/>
      <c r="E21" s="88"/>
      <c r="F21" s="86">
        <v>1.23</v>
      </c>
      <c r="G21" s="85"/>
      <c r="H21" s="90">
        <v>0.21</v>
      </c>
      <c r="I21" s="86">
        <f>H21*0.2907</f>
        <v>6.1047000000000004E-2</v>
      </c>
      <c r="J21" s="92"/>
      <c r="K21" s="92"/>
      <c r="L21" s="91"/>
      <c r="M21" s="89">
        <v>8.2293268001304085</v>
      </c>
      <c r="O21" s="88">
        <v>50.430963609417034</v>
      </c>
      <c r="Q21" s="88">
        <v>0.20917661801480619</v>
      </c>
      <c r="S21" s="88">
        <v>33.430022786419229</v>
      </c>
      <c r="U21" s="88">
        <v>7.7005101860185263</v>
      </c>
      <c r="W21" s="88">
        <v>0</v>
      </c>
      <c r="X21" s="88"/>
      <c r="Y21" s="89">
        <v>0.45565064497366353</v>
      </c>
      <c r="AA21" s="21">
        <v>2.7923184548838291</v>
      </c>
      <c r="AC21" s="21">
        <v>1.1581926836390276E-2</v>
      </c>
      <c r="AE21" s="21">
        <v>1.8509911945500579</v>
      </c>
      <c r="AG21" s="21">
        <v>0.4263705304339116</v>
      </c>
      <c r="AI21" s="21">
        <v>0</v>
      </c>
      <c r="AJ21" s="87"/>
      <c r="AK21" s="89">
        <f>8*(AG21-$AG$5)/(2*($AA$5-AA21)+2*($AI$5-AI21))</f>
        <v>0.63110109324952424</v>
      </c>
      <c r="AL21" s="89"/>
      <c r="AM21" s="89">
        <f>(AG21-$AG$5)/(($AA$5-AA21)+($AI$5-AI21))</f>
        <v>0.15777527331238106</v>
      </c>
      <c r="AN21" s="89"/>
      <c r="AO21" s="37">
        <f>8*(BW21-$BW$5)/(2*($AA$5-AA21)+2*($AI$5-AI21))</f>
        <v>0.38051692848376317</v>
      </c>
      <c r="AQ21" s="37">
        <f>(BW21-$BW$5)/(($AA$5-AA21)+($AI$5-AI21))</f>
        <v>9.5129232120940793E-2</v>
      </c>
      <c r="AS21" s="37">
        <f>14*(BX21-$BX$5)/(2*($AA$5-AA21)+2*($AI$5-AI21))</f>
        <v>7.4303241790168477E-3</v>
      </c>
      <c r="AU21" s="37">
        <f>(BX21-$BX$5)/(($AA$5-AA21)+($AI$5-AI21))</f>
        <v>1.0614748827166927E-3</v>
      </c>
      <c r="AY21" s="90"/>
      <c r="AZ21" s="90"/>
      <c r="BA21" s="90"/>
      <c r="BB21" s="90"/>
      <c r="BC21" s="90"/>
      <c r="BD21" s="90"/>
      <c r="BE21" s="90"/>
      <c r="BF21" s="90"/>
      <c r="BG21" s="90">
        <v>309.52</v>
      </c>
      <c r="BH21" s="87"/>
      <c r="BI21" s="87">
        <v>4.25</v>
      </c>
      <c r="BJ21" s="87"/>
      <c r="BK21" s="87">
        <v>0</v>
      </c>
      <c r="BL21" s="87"/>
      <c r="BM21" s="87">
        <v>0</v>
      </c>
      <c r="BN21" s="87"/>
      <c r="BO21" s="89">
        <f>(BG21/1000)/60.2*1000</f>
        <v>5.1415282392026569</v>
      </c>
      <c r="BP21" s="88"/>
      <c r="BQ21" s="87">
        <f>BI21/74.08</f>
        <v>5.7370410367170631E-2</v>
      </c>
      <c r="BR21" s="87"/>
      <c r="BS21" s="87">
        <f>(BK21/1000)/88.12*1000</f>
        <v>0</v>
      </c>
      <c r="BT21" s="87"/>
      <c r="BU21" s="87">
        <f>BM21/88.12</f>
        <v>0</v>
      </c>
      <c r="BV21" s="87"/>
      <c r="BW21" s="86">
        <f>BO21*0.05</f>
        <v>0.25707641196013287</v>
      </c>
      <c r="BX21" s="85">
        <f t="shared" si="0"/>
        <v>2.8685205183585317E-3</v>
      </c>
      <c r="BY21" s="85">
        <f t="shared" si="1"/>
        <v>0</v>
      </c>
      <c r="BZ21" s="84">
        <f t="shared" si="2"/>
        <v>0</v>
      </c>
    </row>
    <row r="22" spans="1:78" x14ac:dyDescent="0.3">
      <c r="A22" s="192"/>
      <c r="B22" s="70" t="s">
        <v>103</v>
      </c>
      <c r="C22" s="20">
        <v>2</v>
      </c>
      <c r="D22" s="69"/>
      <c r="E22" s="21"/>
      <c r="F22" s="52">
        <v>1.1234</v>
      </c>
      <c r="H22" s="37">
        <v>0.216</v>
      </c>
      <c r="I22" s="52">
        <f>H22*0.2907</f>
        <v>6.2791200000000005E-2</v>
      </c>
      <c r="L22" s="68"/>
      <c r="M22" s="22">
        <v>8.7434529472168769</v>
      </c>
      <c r="O22" s="21">
        <v>45.71560556368641</v>
      </c>
      <c r="Q22" s="21">
        <v>0.49795960276685552</v>
      </c>
      <c r="S22" s="21">
        <v>36.951608013357259</v>
      </c>
      <c r="U22" s="21">
        <v>8.091373872972607</v>
      </c>
      <c r="W22" s="21">
        <v>0</v>
      </c>
      <c r="Y22" s="22">
        <v>0.44216052320321586</v>
      </c>
      <c r="AA22" s="21">
        <v>2.3118596504857525</v>
      </c>
      <c r="AC22" s="21">
        <v>2.5182051052672863E-2</v>
      </c>
      <c r="AE22" s="21">
        <v>1.8686601770513216</v>
      </c>
      <c r="AG22" s="21">
        <v>0.40918457807280934</v>
      </c>
      <c r="AI22" s="21">
        <v>0</v>
      </c>
      <c r="AK22" s="22">
        <f>8*(AG22-$AG$6)/(2*($AA$6-AA22)+2*($AI$6-AI22))</f>
        <v>0.5229627105201351</v>
      </c>
      <c r="AL22" s="22"/>
      <c r="AM22" s="22">
        <f>(AG22-$AG$6)/(($AA$6-AA22)+($AI$6-AI22))</f>
        <v>0.13074067763003377</v>
      </c>
      <c r="AN22" s="22"/>
      <c r="AO22" s="37">
        <f>8*(BW22-$BW$6)/(2*($AA$6-AA22)+2*($AI$6-AI22))</f>
        <v>0.30638425856554052</v>
      </c>
      <c r="AQ22" s="37">
        <f>(BW22-$BW$6)/(($AA$6-AA22)+($AI$6-AI22))</f>
        <v>7.6596064641385131E-2</v>
      </c>
      <c r="AS22" s="37">
        <f>14*(BX22-$BX$6)/(2*($AA$6-AA22)+2*($AI$6-AI22))</f>
        <v>9.6915574222737385E-3</v>
      </c>
      <c r="AU22" s="37">
        <f>(BX22-$BX$6)/(($AA$6-AA22)+($AI$6-AI22))</f>
        <v>1.3845082031819628E-3</v>
      </c>
      <c r="BG22" s="37">
        <v>288.63</v>
      </c>
      <c r="BI22" s="2">
        <v>6.42</v>
      </c>
      <c r="BK22" s="2">
        <v>0</v>
      </c>
      <c r="BM22" s="2">
        <v>0</v>
      </c>
      <c r="BO22" s="22">
        <f>(BG22/1000)/60.2*1000</f>
        <v>4.7945182724252495</v>
      </c>
      <c r="BQ22" s="2">
        <f>BI22/74.08</f>
        <v>8.6663066954643625E-2</v>
      </c>
      <c r="BS22" s="2">
        <f>(BK22/1000)/88.12*1000</f>
        <v>0</v>
      </c>
      <c r="BU22" s="2">
        <f>BM22/88.12</f>
        <v>0</v>
      </c>
      <c r="BW22" s="52">
        <f>BO22*0.05</f>
        <v>0.2397259136212625</v>
      </c>
      <c r="BX22" s="51">
        <f t="shared" si="0"/>
        <v>4.3331533477321818E-3</v>
      </c>
      <c r="BY22" s="51">
        <f t="shared" si="1"/>
        <v>0</v>
      </c>
      <c r="BZ22" s="67">
        <f t="shared" si="2"/>
        <v>0</v>
      </c>
    </row>
    <row r="23" spans="1:78" x14ac:dyDescent="0.3">
      <c r="A23" s="192"/>
      <c r="B23" s="70" t="s">
        <v>102</v>
      </c>
      <c r="C23" s="20">
        <v>2</v>
      </c>
      <c r="D23" s="69"/>
      <c r="E23" s="21"/>
      <c r="F23" s="52">
        <v>1.278</v>
      </c>
      <c r="H23" s="37">
        <v>0.20799999999999999</v>
      </c>
      <c r="I23" s="52">
        <f>H23*0.2907</f>
        <v>6.0465600000000001E-2</v>
      </c>
      <c r="L23" s="68"/>
      <c r="M23" s="22">
        <v>8.9788974946435491</v>
      </c>
      <c r="O23" s="21">
        <v>49.195093314524705</v>
      </c>
      <c r="Q23" s="21">
        <v>0.11278555993701074</v>
      </c>
      <c r="S23" s="21">
        <v>34.16083499084796</v>
      </c>
      <c r="U23" s="21">
        <v>7.5523886400467903</v>
      </c>
      <c r="W23" s="21">
        <v>0</v>
      </c>
      <c r="Y23" s="22">
        <v>0.5165548411347971</v>
      </c>
      <c r="AA23" s="21">
        <v>2.83018751766078</v>
      </c>
      <c r="AC23" s="21">
        <v>6.4885390472847315E-3</v>
      </c>
      <c r="AE23" s="21">
        <v>1.9652685312708329</v>
      </c>
      <c r="AG23" s="21">
        <v>0.43448796653207478</v>
      </c>
      <c r="AI23" s="21">
        <v>0</v>
      </c>
      <c r="AK23" s="22">
        <f>8*(AG23-$AG$7)/(2*($AA$7-AA23)+2*($AI$7-AI23))</f>
        <v>0.6499229891745627</v>
      </c>
      <c r="AL23" s="22"/>
      <c r="AM23" s="22">
        <f>(AG23-$AG$7)/(($AA$7-AA23)+($AI$7-AI23))</f>
        <v>0.16248074729364068</v>
      </c>
      <c r="AN23" s="22"/>
      <c r="AO23" s="37">
        <f>8*(BW23-$BW$7)/(2*($AA$7-AA23)+2*($AI$7-AI23))</f>
        <v>0.34735958999663491</v>
      </c>
      <c r="AQ23" s="37">
        <f>(BW23-$BW$7)/(($AA$7-AA23)+($AI$7-AI23))</f>
        <v>8.6839897499158727E-2</v>
      </c>
      <c r="AS23" s="37">
        <f>14*(BX23-$BX$7)/(2*($AA$7-AA23)+2*($AI$7-AI23))</f>
        <v>4.4523753170566827E-3</v>
      </c>
      <c r="AU23" s="37">
        <f>(BX23-$BX$7)/(($AA$7-AA23)+($AI$7-AI23))</f>
        <v>6.3605361672238326E-4</v>
      </c>
      <c r="BG23" s="37">
        <v>279.58999999999997</v>
      </c>
      <c r="BI23" s="2">
        <v>2.52</v>
      </c>
      <c r="BK23" s="2">
        <v>0</v>
      </c>
      <c r="BM23" s="2">
        <v>0</v>
      </c>
      <c r="BO23" s="22">
        <f>(BG23/1000)/60.2*1000</f>
        <v>4.644352159468438</v>
      </c>
      <c r="BQ23" s="2">
        <f>BI23/74.08</f>
        <v>3.4017278617710582E-2</v>
      </c>
      <c r="BS23" s="2">
        <f>(BK23/1000)/88.12*1000</f>
        <v>0</v>
      </c>
      <c r="BU23" s="2">
        <f>BM23/88.12</f>
        <v>0</v>
      </c>
      <c r="BW23" s="52">
        <f>BO23*0.05</f>
        <v>0.23221760797342192</v>
      </c>
      <c r="BX23" s="51">
        <f t="shared" si="0"/>
        <v>1.7008639308855292E-3</v>
      </c>
      <c r="BY23" s="51">
        <f t="shared" si="1"/>
        <v>0</v>
      </c>
      <c r="BZ23" s="67">
        <f t="shared" si="2"/>
        <v>0</v>
      </c>
    </row>
    <row r="24" spans="1:78" x14ac:dyDescent="0.3">
      <c r="A24" s="192"/>
      <c r="B24" s="83" t="s">
        <v>63</v>
      </c>
      <c r="C24" s="80">
        <v>2</v>
      </c>
      <c r="D24" s="79"/>
      <c r="E24" s="76"/>
      <c r="F24" s="74">
        <f>AVERAGE(F21:F23)</f>
        <v>1.2104666666666666</v>
      </c>
      <c r="G24" s="73">
        <f>_xlfn.STDEV.S(F21:F23)</f>
        <v>7.9129345588936459E-2</v>
      </c>
      <c r="H24" s="78">
        <f>AVERAGE(H21:H23)</f>
        <v>0.21133333333333335</v>
      </c>
      <c r="I24" s="74">
        <f>AVERAGE(I21:I23)</f>
        <v>6.1434600000000006E-2</v>
      </c>
      <c r="J24" s="82">
        <f>_xlfn.STDEV.S(I21:I23)</f>
        <v>1.2102806120896114E-3</v>
      </c>
      <c r="K24" s="82"/>
      <c r="L24" s="81" t="e">
        <f>_xlfn.STDEV.S(K21:K23)</f>
        <v>#DIV/0!</v>
      </c>
      <c r="M24" s="77">
        <f>AVERAGE(M21:M23)</f>
        <v>8.6505590806636121</v>
      </c>
      <c r="N24" s="76">
        <f>_xlfn.STDEV.S(M21:M23)</f>
        <v>0.38332233087917006</v>
      </c>
      <c r="O24" s="76">
        <f>AVERAGE(O21:O23)</f>
        <v>48.447220829209385</v>
      </c>
      <c r="P24" s="76">
        <f>_xlfn.STDEV.S(O21:O23)</f>
        <v>2.4450225593188137</v>
      </c>
      <c r="Q24" s="76">
        <f>AVERAGE(Q21:Q23)</f>
        <v>0.27330726023955748</v>
      </c>
      <c r="R24" s="76">
        <f>_xlfn.STDEV.S(Q21:Q23)</f>
        <v>0.20043531443234017</v>
      </c>
      <c r="S24" s="76">
        <f>AVERAGE(S21:S23)</f>
        <v>34.847488596874818</v>
      </c>
      <c r="T24" s="76">
        <f>_xlfn.STDEV.S(S21:S23)</f>
        <v>1.8584968411728082</v>
      </c>
      <c r="U24" s="76">
        <f>AVERAGE(U21:U23)</f>
        <v>7.7814242330126406</v>
      </c>
      <c r="V24" s="76">
        <f>_xlfn.STDEV.S(U21:U23)</f>
        <v>0.27845391464073294</v>
      </c>
      <c r="W24" s="76">
        <f>AVERAGE(W21:W23)</f>
        <v>0</v>
      </c>
      <c r="X24" s="76">
        <f>_xlfn.STDEV.S(W21:W23)</f>
        <v>0</v>
      </c>
      <c r="Y24" s="77">
        <f>AVERAGE(Y21:Y23)</f>
        <v>0.47145533643722554</v>
      </c>
      <c r="Z24" s="76">
        <f>_xlfn.STDEV.S(Y21:Y23)</f>
        <v>3.9635461891090525E-2</v>
      </c>
      <c r="AA24" s="76">
        <f>AVERAGE(AA21:AA23)</f>
        <v>2.6447885410101204</v>
      </c>
      <c r="AB24" s="76">
        <f>_xlfn.STDEV.S(AA21:AA23)</f>
        <v>0.28894593108095701</v>
      </c>
      <c r="AC24" s="76">
        <f>AVERAGE(AC21:AC23)</f>
        <v>1.441750564544929E-2</v>
      </c>
      <c r="AD24" s="76">
        <f>_xlfn.STDEV.S(AC21:AC23)</f>
        <v>9.6639654469935863E-3</v>
      </c>
      <c r="AE24" s="76">
        <f>AVERAGE(AE21:AE23)</f>
        <v>1.8949733009574041</v>
      </c>
      <c r="AF24" s="76">
        <f>_xlfn.STDEV.S(AE21:AE23)</f>
        <v>6.1515142763964935E-2</v>
      </c>
      <c r="AG24" s="76">
        <f>AVERAGE(AG21:AG23)</f>
        <v>0.42334769167959863</v>
      </c>
      <c r="AH24" s="76">
        <f>_xlfn.STDEV.S(AG21:AG23)</f>
        <v>1.2919695525864935E-2</v>
      </c>
      <c r="AI24" s="76">
        <f>AVERAGE(AI21:AI23)</f>
        <v>0</v>
      </c>
      <c r="AJ24" s="75">
        <f>_xlfn.STDEV.S(AI21:AI23)</f>
        <v>0</v>
      </c>
      <c r="AK24" s="77">
        <f>AVERAGE(AK21:AK23)</f>
        <v>0.60132893098140727</v>
      </c>
      <c r="AL24" s="77">
        <f>_xlfn.STDEV.S(AK21:AK23)</f>
        <v>6.8516525915955404E-2</v>
      </c>
      <c r="AM24" s="77">
        <f>AVERAGE(AM21:AM23)</f>
        <v>0.15033223274535182</v>
      </c>
      <c r="AN24" s="77">
        <f>_xlfn.STDEV.S(AM21:AM23)</f>
        <v>1.7129131478988851E-2</v>
      </c>
      <c r="AO24" s="78">
        <f>AVERAGE(AO21:AO23)</f>
        <v>0.34475359234864622</v>
      </c>
      <c r="AP24" s="78">
        <f>_xlfn.STDEV.S(AO21:AO23)</f>
        <v>3.7134978189128247E-2</v>
      </c>
      <c r="AQ24" s="78">
        <f>AVERAGE(AQ21:AQ23)</f>
        <v>8.6188398087161555E-2</v>
      </c>
      <c r="AR24" s="78">
        <f>_xlfn.STDEV.S(AQ21:AQ23)</f>
        <v>9.2837445472820617E-3</v>
      </c>
      <c r="AS24" s="78">
        <f>AVERAGE(AS21:AS23)</f>
        <v>7.1914189727824221E-3</v>
      </c>
      <c r="AT24" s="78">
        <f>_xlfn.STDEV.S(AS21:AS23)</f>
        <v>2.6277488571172644E-3</v>
      </c>
      <c r="AU24" s="78">
        <f>AVERAGE(AU21:AU23)</f>
        <v>1.0273455675403464E-3</v>
      </c>
      <c r="AV24" s="80">
        <f>_xlfn.STDEV.S(AU21:AU23)</f>
        <v>3.7539269387389497E-4</v>
      </c>
      <c r="AW24" s="80"/>
      <c r="AX24" s="80"/>
      <c r="AY24" s="79">
        <f>SUM(AK24,AO24,AS24)</f>
        <v>0.95327394230283591</v>
      </c>
      <c r="AZ24" s="77">
        <f>SUM(AL24,AP24,AT24)</f>
        <v>0.10827925296220091</v>
      </c>
      <c r="BA24" s="78"/>
      <c r="BB24" s="78"/>
      <c r="BC24" s="78"/>
      <c r="BD24" s="78"/>
      <c r="BE24" s="78"/>
      <c r="BF24" s="78"/>
      <c r="BG24" s="78"/>
      <c r="BH24" s="75"/>
      <c r="BI24" s="75"/>
      <c r="BJ24" s="75"/>
      <c r="BK24" s="75"/>
      <c r="BL24" s="75"/>
      <c r="BM24" s="75"/>
      <c r="BN24" s="75"/>
      <c r="BO24" s="77">
        <f>AVERAGE(BO21:BO23)</f>
        <v>4.8601328903654482</v>
      </c>
      <c r="BP24" s="76">
        <f>_xlfn.STDEV.S(BO21:BO23)</f>
        <v>0.25499994535401427</v>
      </c>
      <c r="BQ24" s="75">
        <f>AVERAGE(BQ21:BQ23)</f>
        <v>5.9350251979841617E-2</v>
      </c>
      <c r="BR24" s="75">
        <f>_xlfn.STDEV.S(BQ21:BQ23)</f>
        <v>2.637867674870626E-2</v>
      </c>
      <c r="BS24" s="75">
        <f>AVERAGE(BS21:BS23)</f>
        <v>0</v>
      </c>
      <c r="BT24" s="75">
        <f>_xlfn.STDEV.S(BS21:BS23)</f>
        <v>0</v>
      </c>
      <c r="BU24" s="75">
        <f>AVERAGE(BU21:BU23)</f>
        <v>0</v>
      </c>
      <c r="BV24" s="75">
        <f>_xlfn.STDEV.S(BU21:BU23)</f>
        <v>0</v>
      </c>
      <c r="BW24" s="74">
        <f>AVERAGE(BW21:BW23)</f>
        <v>0.24300664451827245</v>
      </c>
      <c r="BX24" s="73">
        <f t="shared" si="0"/>
        <v>2.967512598992081E-3</v>
      </c>
      <c r="BY24" s="73">
        <f t="shared" si="1"/>
        <v>0</v>
      </c>
      <c r="BZ24" s="72">
        <f t="shared" si="2"/>
        <v>0</v>
      </c>
    </row>
    <row r="25" spans="1:78" x14ac:dyDescent="0.3">
      <c r="A25" s="191" t="s">
        <v>58</v>
      </c>
      <c r="B25" s="70" t="s">
        <v>101</v>
      </c>
      <c r="C25" s="20">
        <v>2</v>
      </c>
      <c r="D25" s="69"/>
      <c r="E25" s="21"/>
      <c r="F25" s="52">
        <v>1.486</v>
      </c>
      <c r="H25" s="37">
        <v>0.218</v>
      </c>
      <c r="I25" s="52">
        <f>H25*0.2907</f>
        <v>6.3372600000000001E-2</v>
      </c>
      <c r="L25" s="68"/>
      <c r="M25" s="22">
        <v>10.622498280782642</v>
      </c>
      <c r="O25" s="21">
        <v>59.05172372427274</v>
      </c>
      <c r="Q25" s="21">
        <v>0.22373873909546349</v>
      </c>
      <c r="S25" s="21">
        <v>29.756049325520724</v>
      </c>
      <c r="U25" s="21">
        <v>0.34598993032842695</v>
      </c>
      <c r="W25" s="21">
        <v>0</v>
      </c>
      <c r="Y25" s="22">
        <v>0.71057193033914345</v>
      </c>
      <c r="AA25" s="21">
        <v>3.950153363876912</v>
      </c>
      <c r="AC25" s="21">
        <v>1.4966579756320373E-2</v>
      </c>
      <c r="AE25" s="21">
        <v>1.9904746369085029</v>
      </c>
      <c r="AG25" s="21">
        <v>2.3144341959193269E-2</v>
      </c>
      <c r="AI25" s="21">
        <v>0</v>
      </c>
      <c r="AO25" s="37">
        <f>8*(BW25-$BV$9)/(2*($AA$9-AA25)+2*($AI$9-AI25))</f>
        <v>0.39437317865251226</v>
      </c>
      <c r="AQ25" s="37">
        <f>(BW25-$BW$9)/(($AA$9-AA25)+($AI$9-AI25))</f>
        <v>9.85428839387886E-2</v>
      </c>
      <c r="AS25" s="37">
        <f>14*(BX25-$BX$9)/(2*($AA$9-AA25)+2*($AI$9-AI25))</f>
        <v>6.8822070961072578E-4</v>
      </c>
      <c r="AU25" s="37">
        <f>(BX25-$BX$9)/(($AA$9-AA25)+($AI$9-AI25))</f>
        <v>9.8317244230103685E-5</v>
      </c>
      <c r="BG25" s="37">
        <v>195.58</v>
      </c>
      <c r="BI25" s="2">
        <v>0.24</v>
      </c>
      <c r="BK25" s="2">
        <v>0</v>
      </c>
      <c r="BM25" s="2">
        <v>0</v>
      </c>
      <c r="BO25" s="22">
        <f>(BG25/1000)/60.2*1000</f>
        <v>3.2488372093023257</v>
      </c>
      <c r="BQ25" s="2">
        <f>BI25/74.08</f>
        <v>3.2397408207343412E-3</v>
      </c>
      <c r="BS25" s="2">
        <f>(BK25/1000)/88.12*1000</f>
        <v>0</v>
      </c>
      <c r="BU25" s="2">
        <f>BM25/88.12</f>
        <v>0</v>
      </c>
      <c r="BW25" s="52">
        <f>BO25*0.05</f>
        <v>0.1624418604651163</v>
      </c>
      <c r="BX25" s="51">
        <f t="shared" si="0"/>
        <v>1.6198704103671707E-4</v>
      </c>
      <c r="BY25" s="51">
        <f t="shared" si="1"/>
        <v>0</v>
      </c>
      <c r="BZ25" s="67">
        <f t="shared" si="2"/>
        <v>0</v>
      </c>
    </row>
    <row r="26" spans="1:78" x14ac:dyDescent="0.3">
      <c r="A26" s="192"/>
      <c r="B26" s="70" t="s">
        <v>100</v>
      </c>
      <c r="C26" s="20">
        <v>2</v>
      </c>
      <c r="D26" s="69"/>
      <c r="E26" s="21"/>
      <c r="F26" s="52">
        <v>1.534</v>
      </c>
      <c r="H26" s="37">
        <v>0.20100000000000001</v>
      </c>
      <c r="I26" s="52">
        <f>H26*0.2907</f>
        <v>5.8430700000000009E-2</v>
      </c>
      <c r="L26" s="68"/>
      <c r="M26" s="22">
        <v>10.706239434171842</v>
      </c>
      <c r="O26" s="21">
        <v>60.593422462677147</v>
      </c>
      <c r="Q26" s="21">
        <v>0.22481832875923213</v>
      </c>
      <c r="S26" s="21">
        <v>28.229910884855343</v>
      </c>
      <c r="U26" s="21">
        <v>0.24560888953643248</v>
      </c>
      <c r="W26" s="21">
        <v>0</v>
      </c>
      <c r="Y26" s="22">
        <v>0.73930710514084008</v>
      </c>
      <c r="AA26" s="21">
        <v>4.1842094067573008</v>
      </c>
      <c r="AC26" s="21">
        <v>1.5524572268306119E-2</v>
      </c>
      <c r="AE26" s="21">
        <v>1.9493841720046203</v>
      </c>
      <c r="AG26" s="21">
        <v>1.6960240636919959E-2</v>
      </c>
      <c r="AI26" s="21">
        <v>0</v>
      </c>
      <c r="AO26" s="37">
        <f>8*(BW26-$BV$10)/(2*($AA$10-AA26)+2*($AI$10-AI26))</f>
        <v>0.55869441120828378</v>
      </c>
      <c r="AQ26" s="37">
        <f>(BW26-$BW$10)/(($AA$10-AA26)+($AI$10-AI26))</f>
        <v>0.13967360280207095</v>
      </c>
      <c r="AS26" s="37">
        <f>14*(BX26-$BX$10)/(2*($AA$10-AA26)+2*($AI$10-AI26))</f>
        <v>2.2158636135483968E-3</v>
      </c>
      <c r="AU26" s="37">
        <f>(BX26-$BX$10)/(($AA$10-AA26)+($AI$10-AI26))</f>
        <v>3.1655194479262812E-4</v>
      </c>
      <c r="BG26" s="37">
        <v>229.48</v>
      </c>
      <c r="BI26" s="2">
        <v>0.64</v>
      </c>
      <c r="BK26" s="2">
        <v>0</v>
      </c>
      <c r="BM26" s="2">
        <v>0</v>
      </c>
      <c r="BO26" s="22">
        <f>(BG26/1000)/60.2*1000</f>
        <v>3.8119601328903649</v>
      </c>
      <c r="BQ26" s="2">
        <f>BI26/74.08</f>
        <v>8.6393088552915772E-3</v>
      </c>
      <c r="BS26" s="2">
        <f>(BK26/1000)/88.12*1000</f>
        <v>0</v>
      </c>
      <c r="BU26" s="2">
        <f>BM26/88.12</f>
        <v>0</v>
      </c>
      <c r="BW26" s="52">
        <f>BO26*0.05</f>
        <v>0.19059800664451826</v>
      </c>
      <c r="BX26" s="51">
        <f t="shared" si="0"/>
        <v>4.3196544276457888E-4</v>
      </c>
      <c r="BY26" s="51">
        <f t="shared" si="1"/>
        <v>0</v>
      </c>
      <c r="BZ26" s="67">
        <f t="shared" si="2"/>
        <v>0</v>
      </c>
    </row>
    <row r="27" spans="1:78" x14ac:dyDescent="0.3">
      <c r="A27" s="192"/>
      <c r="B27" s="70" t="s">
        <v>99</v>
      </c>
      <c r="C27" s="20">
        <v>2</v>
      </c>
      <c r="D27" s="69"/>
      <c r="E27" s="21"/>
      <c r="F27" s="52">
        <v>1.5</v>
      </c>
      <c r="G27" s="67"/>
      <c r="H27" s="37">
        <v>0.2</v>
      </c>
      <c r="I27" s="52">
        <f>H27*0.2907</f>
        <v>5.8140000000000004E-2</v>
      </c>
      <c r="L27" s="68"/>
      <c r="M27" s="22">
        <v>10.712703039467311</v>
      </c>
      <c r="O27" s="21">
        <v>58.996701371770421</v>
      </c>
      <c r="Q27" s="21">
        <v>0.4606928519898239</v>
      </c>
      <c r="S27" s="21">
        <v>29.513108835657231</v>
      </c>
      <c r="U27" s="21">
        <v>0.31679390111521349</v>
      </c>
      <c r="W27" s="21">
        <v>0</v>
      </c>
      <c r="Y27" s="22">
        <v>0.72335734224591031</v>
      </c>
      <c r="AA27" s="21">
        <v>3.9836535138083651</v>
      </c>
      <c r="AC27" s="21">
        <v>3.1107513741332846E-2</v>
      </c>
      <c r="AE27" s="21">
        <v>1.9928232762659366</v>
      </c>
      <c r="AG27" s="21">
        <v>2.1390977935836566E-2</v>
      </c>
      <c r="AI27" s="21">
        <v>0</v>
      </c>
      <c r="AO27" s="37">
        <f>8*(BW27-$BV$11)/(2*($AA$11-AA27)+2*($AI$11-AI27))</f>
        <v>0.68709850391003213</v>
      </c>
      <c r="AQ27" s="37">
        <f>(BW27-$BW$10)/(($AA$10-AA27)+($AI$10-AI27))</f>
        <v>0.17515524272543845</v>
      </c>
      <c r="AS27" s="37">
        <f>14*(BX27-$BX$11)/(2*($AA$11-AA27)+2*($AI$11-AI27))</f>
        <v>6.5128218208977066E-4</v>
      </c>
      <c r="AU27" s="37">
        <f>(BX27-$BX$11)/(($AA$11-AA27)+($AI$11-AI27))</f>
        <v>9.3040311727110098E-5</v>
      </c>
      <c r="BG27" s="37">
        <v>330.07</v>
      </c>
      <c r="BI27" s="2">
        <v>0.22</v>
      </c>
      <c r="BK27" s="2">
        <v>0</v>
      </c>
      <c r="BM27" s="2">
        <v>0</v>
      </c>
      <c r="BO27" s="22">
        <f>(BG27/1000)/60.2*1000</f>
        <v>5.4828903654485046</v>
      </c>
      <c r="BQ27" s="2">
        <f>BI27/74.08</f>
        <v>2.9697624190064796E-3</v>
      </c>
      <c r="BS27" s="2">
        <f>(BK27/1000)/88.12*1000</f>
        <v>0</v>
      </c>
      <c r="BU27" s="2">
        <f>BM27/88.12</f>
        <v>0</v>
      </c>
      <c r="BW27" s="52">
        <f>BO27*0.05</f>
        <v>0.27414451827242525</v>
      </c>
      <c r="BX27" s="51">
        <f t="shared" si="0"/>
        <v>1.4848812095032398E-4</v>
      </c>
      <c r="BY27" s="51">
        <f t="shared" si="1"/>
        <v>0</v>
      </c>
      <c r="BZ27" s="67">
        <f t="shared" si="2"/>
        <v>0</v>
      </c>
    </row>
    <row r="28" spans="1:78" ht="15" thickBot="1" x14ac:dyDescent="0.35">
      <c r="A28" s="192"/>
      <c r="B28" s="66" t="s">
        <v>63</v>
      </c>
      <c r="C28" s="65">
        <v>2</v>
      </c>
      <c r="D28" s="64"/>
      <c r="E28" s="58"/>
      <c r="F28" s="56">
        <f>AVERAGE(F25:F27)</f>
        <v>1.5066666666666666</v>
      </c>
      <c r="G28" s="55">
        <f>_xlfn.STDEV.S(F25:F27)</f>
        <v>2.4684678108764846E-2</v>
      </c>
      <c r="H28" s="60">
        <f>AVERAGE(H25:H27)</f>
        <v>0.20633333333333334</v>
      </c>
      <c r="I28" s="56">
        <f>AVERAGE(I25:I27)</f>
        <v>5.9981100000000002E-2</v>
      </c>
      <c r="J28" s="63">
        <f>_xlfn.STDEV.S(I25:I27)</f>
        <v>2.9407194374846406E-3</v>
      </c>
      <c r="K28" s="63"/>
      <c r="L28" s="62" t="e">
        <f>_xlfn.STDEV.S(K25:K27)</f>
        <v>#DIV/0!</v>
      </c>
      <c r="M28" s="59">
        <f>AVERAGE(M25:M27)</f>
        <v>10.680480251473933</v>
      </c>
      <c r="N28" s="58">
        <f>_xlfn.STDEV.S(M25:M27)</f>
        <v>5.0317752754749243E-2</v>
      </c>
      <c r="O28" s="58">
        <f>AVERAGE(O25:O27)</f>
        <v>59.547282519573436</v>
      </c>
      <c r="P28" s="58">
        <f>_xlfn.STDEV.S(O25:O27)</f>
        <v>0.90640137369517415</v>
      </c>
      <c r="Q28" s="58">
        <f>AVERAGE(Q25:Q27)</f>
        <v>0.30308330661483984</v>
      </c>
      <c r="R28" s="58">
        <f>_xlfn.STDEV.S(Q25:Q27)</f>
        <v>0.13649493753777978</v>
      </c>
      <c r="S28" s="58">
        <f>AVERAGE(S25:S27)</f>
        <v>29.166356348677766</v>
      </c>
      <c r="T28" s="58">
        <f>_xlfn.STDEV.S(S25:S27)</f>
        <v>0.82003207281116353</v>
      </c>
      <c r="U28" s="58">
        <f>AVERAGE(U25:U27)</f>
        <v>0.3027975736600243</v>
      </c>
      <c r="V28" s="58">
        <f>_xlfn.STDEV.S(U25:U27)</f>
        <v>5.1633431265951026E-2</v>
      </c>
      <c r="W28" s="58">
        <f>AVERAGE(W25:W27)</f>
        <v>0</v>
      </c>
      <c r="X28" s="58">
        <f>_xlfn.STDEV.S(W25:W27)</f>
        <v>0</v>
      </c>
      <c r="Y28" s="59">
        <f>AVERAGE(Y25:Y27)</f>
        <v>0.72441212590863124</v>
      </c>
      <c r="Z28" s="58">
        <f>_xlfn.STDEV.S(Y25:Y27)</f>
        <v>1.4396596616991549E-2</v>
      </c>
      <c r="AA28" s="58">
        <f>AVERAGE(AA25:AA27)</f>
        <v>4.0393387614808587</v>
      </c>
      <c r="AB28" s="58">
        <f>_xlfn.STDEV.S(AA25:AA27)</f>
        <v>0.1265748510110396</v>
      </c>
      <c r="AC28" s="58">
        <f>AVERAGE(AC25:AC27)</f>
        <v>2.0532888588653112E-2</v>
      </c>
      <c r="AD28" s="58">
        <f>_xlfn.STDEV.S(AC25:AC27)</f>
        <v>9.1621428580121646E-3</v>
      </c>
      <c r="AE28" s="58">
        <f>AVERAGE(AE25:AE27)</f>
        <v>1.9775606950596867</v>
      </c>
      <c r="AF28" s="58">
        <f>_xlfn.STDEV.S(AE25:AE27)</f>
        <v>2.442982532300083E-2</v>
      </c>
      <c r="AG28" s="58">
        <f>AVERAGE(AG25:AG27)</f>
        <v>2.0498520177316598E-2</v>
      </c>
      <c r="AH28" s="58">
        <f>_xlfn.STDEV.S(AG25:AG27)</f>
        <v>3.1871833849172358E-3</v>
      </c>
      <c r="AI28" s="58">
        <f>AVERAGE(AI25:AI27)</f>
        <v>0</v>
      </c>
      <c r="AJ28" s="57">
        <f>_xlfn.STDEV.S(AI25:AI27)</f>
        <v>0</v>
      </c>
      <c r="AK28" s="60"/>
      <c r="AL28" s="60"/>
      <c r="AM28" s="60"/>
      <c r="AN28" s="60"/>
      <c r="AO28" s="60">
        <f>AVERAGE(AO25:AO27)</f>
        <v>0.54672203125694274</v>
      </c>
      <c r="AP28" s="60">
        <f>_xlfn.STDEV.S(AO25:AO27)</f>
        <v>0.14672945315462269</v>
      </c>
      <c r="AQ28" s="60">
        <f>AVERAGE(AQ25:AQ27)</f>
        <v>0.137790576488766</v>
      </c>
      <c r="AR28" s="60">
        <f>_xlfn.STDEV.S(AQ25:AQ27)</f>
        <v>3.8340875326289131E-2</v>
      </c>
      <c r="AS28" s="60">
        <f>AVERAGE(AS25:AS27)</f>
        <v>1.1851221684162979E-3</v>
      </c>
      <c r="AT28" s="60">
        <f>_xlfn.STDEV.S(AS25:AS27)</f>
        <v>8.9283932414438937E-4</v>
      </c>
      <c r="AU28" s="60">
        <f>AVERAGE(AU25:AU27)</f>
        <v>1.6930316691661398E-4</v>
      </c>
      <c r="AV28" s="60">
        <f>_xlfn.STDEV.S(AU25:AU27)</f>
        <v>1.2754847487776993E-4</v>
      </c>
      <c r="AW28" s="60"/>
      <c r="AX28" s="60"/>
      <c r="AY28" s="59">
        <f>SUM(AK28,AO28,AS28)</f>
        <v>0.54790715342535901</v>
      </c>
      <c r="AZ28" s="59">
        <f>SUM(AL28,AP28,AT28)</f>
        <v>0.14762229247876707</v>
      </c>
      <c r="BA28" s="60"/>
      <c r="BB28" s="60"/>
      <c r="BC28" s="60"/>
      <c r="BD28" s="60"/>
      <c r="BE28" s="60"/>
      <c r="BF28" s="60"/>
      <c r="BG28" s="60"/>
      <c r="BH28" s="57"/>
      <c r="BI28" s="57"/>
      <c r="BJ28" s="57"/>
      <c r="BK28" s="57"/>
      <c r="BL28" s="57"/>
      <c r="BM28" s="57"/>
      <c r="BN28" s="57"/>
      <c r="BO28" s="59">
        <f>AVERAGE(BO25:BO27)</f>
        <v>4.1812292358803989</v>
      </c>
      <c r="BP28" s="58">
        <f>_xlfn.STDEV.S(BO25:BO27)</f>
        <v>1.1619028052892262</v>
      </c>
      <c r="BQ28" s="57">
        <f>AVERAGE(BQ25:BQ27)</f>
        <v>4.949604031677466E-3</v>
      </c>
      <c r="BR28" s="57">
        <f>_xlfn.STDEV.S(BQ25:BQ27)</f>
        <v>3.1982281576524228E-3</v>
      </c>
      <c r="BS28" s="57">
        <f>AVERAGE(BS25:BS27)</f>
        <v>0</v>
      </c>
      <c r="BT28" s="57">
        <f>_xlfn.STDEV.S(BS25:BS27)</f>
        <v>0</v>
      </c>
      <c r="BU28" s="57">
        <f>AVERAGE(BU25:BU27)</f>
        <v>0</v>
      </c>
      <c r="BV28" s="57">
        <f>_xlfn.STDEV.S(BU25:BU27)</f>
        <v>0</v>
      </c>
      <c r="BW28" s="56">
        <f>AVERAGE(BW25:BW27)</f>
        <v>0.20906146179401994</v>
      </c>
      <c r="BX28" s="55">
        <f t="shared" si="0"/>
        <v>2.474802015838733E-4</v>
      </c>
      <c r="BY28" s="55">
        <f t="shared" si="1"/>
        <v>0</v>
      </c>
      <c r="BZ28" s="54">
        <f t="shared" si="2"/>
        <v>0</v>
      </c>
    </row>
    <row r="29" spans="1:78" x14ac:dyDescent="0.3">
      <c r="A29" s="191" t="s">
        <v>57</v>
      </c>
      <c r="B29" s="95" t="s">
        <v>104</v>
      </c>
      <c r="C29" s="94">
        <v>3</v>
      </c>
      <c r="D29" s="93"/>
      <c r="E29" s="88"/>
      <c r="F29" s="86">
        <v>1.256</v>
      </c>
      <c r="G29" s="85"/>
      <c r="H29" s="90">
        <v>0.25700000000000001</v>
      </c>
      <c r="I29" s="86">
        <f>H29*0.2907</f>
        <v>7.470990000000001E-2</v>
      </c>
      <c r="J29" s="92"/>
      <c r="K29" s="92">
        <f>(I29-$I$5)/($AA$5/1000-AA29/1000)*0.05</f>
        <v>0.27053793727787123</v>
      </c>
      <c r="L29" s="91"/>
      <c r="M29" s="89">
        <v>3.5476844729437262</v>
      </c>
      <c r="O29" s="88">
        <v>10.711395443041043</v>
      </c>
      <c r="Q29" s="88">
        <v>0.87535585690452167</v>
      </c>
      <c r="S29" s="88">
        <v>69.699379030641524</v>
      </c>
      <c r="U29" s="88">
        <v>15.166185196469181</v>
      </c>
      <c r="W29" s="88">
        <v>0</v>
      </c>
      <c r="X29" s="88"/>
      <c r="Y29" s="89">
        <v>0.20058441921014289</v>
      </c>
      <c r="AA29" s="21">
        <v>0.60561728368413437</v>
      </c>
      <c r="AC29" s="21">
        <v>4.9492210341270555E-2</v>
      </c>
      <c r="AE29" s="21">
        <v>3.9407702598107028</v>
      </c>
      <c r="AG29" s="21">
        <v>0.85748901078088968</v>
      </c>
      <c r="AI29" s="21">
        <v>0</v>
      </c>
      <c r="AJ29" s="87"/>
      <c r="AK29" s="89">
        <f>8*(AG29-$AG$5)/(2*($AA$5-AA29)+2*($AI$5-AI29))</f>
        <v>0.70155269989484759</v>
      </c>
      <c r="AL29" s="89"/>
      <c r="AM29" s="89">
        <f>(AG29-$AG$5)/(($AA$5-AA29)+($AI$5-AI29))</f>
        <v>0.1753881749737119</v>
      </c>
      <c r="AN29" s="89"/>
      <c r="AO29" s="37">
        <f>8*(BW29-$BW$5)/(2*($AA$5-AA29)+2*($AI$5-AI29))</f>
        <v>0.33676564831887035</v>
      </c>
      <c r="AQ29" s="37">
        <f>(BW29-$BW$5)/(($AA$5-AA29)+($AI$5-AI29))</f>
        <v>8.4191412079717587E-2</v>
      </c>
      <c r="AS29" s="37">
        <f>14*(BX29-$BX$5)/(2*($AA$5-AA29)+2*($AI$5-AI29))</f>
        <v>6.7548544017371195E-3</v>
      </c>
      <c r="AU29" s="37">
        <f>(BX29-$BX$5)/(($AA$5-AA29)+($AI$5-AI29))</f>
        <v>9.6497920024815988E-4</v>
      </c>
      <c r="AY29" s="90"/>
      <c r="AZ29" s="90"/>
      <c r="BA29" s="90"/>
      <c r="BB29" s="90"/>
      <c r="BC29" s="90"/>
      <c r="BD29" s="90"/>
      <c r="BE29" s="90"/>
      <c r="BF29" s="90"/>
      <c r="BG29" s="90">
        <v>495.59</v>
      </c>
      <c r="BH29" s="87"/>
      <c r="BI29" s="87">
        <v>6.99</v>
      </c>
      <c r="BJ29" s="87"/>
      <c r="BK29" s="87">
        <v>0</v>
      </c>
      <c r="BL29" s="87"/>
      <c r="BM29" s="87">
        <v>0</v>
      </c>
      <c r="BN29" s="87"/>
      <c r="BO29" s="89">
        <f>(BG29/1000)/60.2*1000</f>
        <v>8.2323920265780721</v>
      </c>
      <c r="BP29" s="88"/>
      <c r="BQ29" s="87">
        <f>BI29/74.08</f>
        <v>9.4357451403887696E-2</v>
      </c>
      <c r="BR29" s="87"/>
      <c r="BS29" s="87">
        <f>(BK29/1000)/88.12*1000</f>
        <v>0</v>
      </c>
      <c r="BT29" s="87"/>
      <c r="BU29" s="87">
        <f>BM29/88.12</f>
        <v>0</v>
      </c>
      <c r="BV29" s="87"/>
      <c r="BW29" s="86">
        <f>BO29*0.05</f>
        <v>0.41161960132890363</v>
      </c>
      <c r="BX29" s="85">
        <f t="shared" si="0"/>
        <v>4.7178725701943853E-3</v>
      </c>
      <c r="BY29" s="85">
        <f t="shared" si="1"/>
        <v>0</v>
      </c>
      <c r="BZ29" s="84">
        <f t="shared" si="2"/>
        <v>0</v>
      </c>
    </row>
    <row r="30" spans="1:78" x14ac:dyDescent="0.3">
      <c r="A30" s="192"/>
      <c r="B30" s="70" t="s">
        <v>103</v>
      </c>
      <c r="C30" s="20">
        <v>3</v>
      </c>
      <c r="D30" s="69"/>
      <c r="E30" s="21"/>
      <c r="F30" s="52">
        <v>1.232</v>
      </c>
      <c r="H30" s="37">
        <v>0.26800000000000002</v>
      </c>
      <c r="I30" s="52">
        <f>H30*0.2907</f>
        <v>7.7907600000000007E-2</v>
      </c>
      <c r="K30" s="53">
        <f>(I30-$I$6)/($AA$6/1000-AA30/1000)*0.05</f>
        <v>0.310788412883514</v>
      </c>
      <c r="L30" s="68"/>
      <c r="M30" s="22">
        <v>3.3222344554432155</v>
      </c>
      <c r="O30" s="21">
        <v>11.260210781776951</v>
      </c>
      <c r="Q30" s="21">
        <v>0.47652665907719371</v>
      </c>
      <c r="S30" s="21">
        <v>69.502487143178243</v>
      </c>
      <c r="U30" s="21">
        <v>15.438540960524405</v>
      </c>
      <c r="W30" s="21">
        <v>0</v>
      </c>
      <c r="Y30" s="22">
        <v>0.18424832763204477</v>
      </c>
      <c r="AA30" s="21">
        <v>0.62448181582354401</v>
      </c>
      <c r="AC30" s="21">
        <v>2.6427767571673467E-2</v>
      </c>
      <c r="AE30" s="21">
        <v>3.8545494588490414</v>
      </c>
      <c r="AG30" s="21">
        <v>0.85620849196687976</v>
      </c>
      <c r="AI30" s="21">
        <v>0</v>
      </c>
      <c r="AK30" s="22">
        <f>8*(AG30-$AG$6)/(2*($AA$6-AA30)+2*($AI$6-AI30))</f>
        <v>0.71097131681685244</v>
      </c>
      <c r="AL30" s="22"/>
      <c r="AM30" s="22">
        <f>(AG30-$AG$6)/(($AA$6-AA30)+($AI$6-AI30))</f>
        <v>0.17774282920421311</v>
      </c>
      <c r="AN30" s="22"/>
      <c r="AO30" s="37">
        <f>8*(BW30-$BW$6)/(2*($AA$6-AA30)+2*($AI$6-AI30))</f>
        <v>0.30825136175784174</v>
      </c>
      <c r="AQ30" s="37">
        <f>(BW30-$BW$6)/(($AA$6-AA30)+($AI$6-AI30))</f>
        <v>7.7062840439460434E-2</v>
      </c>
      <c r="AS30" s="37">
        <f>14*(BX30-$BX$6)/(2*($AA$6-AA30)+2*($AI$6-AI30))</f>
        <v>6.4144197607570834E-3</v>
      </c>
      <c r="AU30" s="37">
        <f>(BX30-$BX$6)/(($AA$6-AA30)+($AI$6-AI30))</f>
        <v>9.1634568010815474E-4</v>
      </c>
      <c r="BG30" s="37">
        <v>446.95</v>
      </c>
      <c r="BI30" s="2">
        <v>6.54</v>
      </c>
      <c r="BK30" s="2">
        <v>0</v>
      </c>
      <c r="BM30" s="2">
        <v>0</v>
      </c>
      <c r="BO30" s="22">
        <f>(BG30/1000)/60.2*1000</f>
        <v>7.4244186046511631</v>
      </c>
      <c r="BQ30" s="2">
        <f>BI30/74.08</f>
        <v>8.8282937365010805E-2</v>
      </c>
      <c r="BS30" s="2">
        <f>(BK30/1000)/88.12*1000</f>
        <v>0</v>
      </c>
      <c r="BU30" s="2">
        <f>BM30/88.12</f>
        <v>0</v>
      </c>
      <c r="BW30" s="52">
        <f>BO30*0.05</f>
        <v>0.3712209302325582</v>
      </c>
      <c r="BX30" s="51">
        <f t="shared" si="0"/>
        <v>4.4141468682505408E-3</v>
      </c>
      <c r="BY30" s="51">
        <f t="shared" si="1"/>
        <v>0</v>
      </c>
      <c r="BZ30" s="67">
        <f t="shared" si="2"/>
        <v>0</v>
      </c>
    </row>
    <row r="31" spans="1:78" x14ac:dyDescent="0.3">
      <c r="A31" s="192"/>
      <c r="B31" s="70" t="s">
        <v>102</v>
      </c>
      <c r="C31" s="20">
        <v>3</v>
      </c>
      <c r="D31" s="69"/>
      <c r="E31" s="21"/>
      <c r="F31" s="52">
        <v>1.2649999999999999</v>
      </c>
      <c r="H31" s="37">
        <v>0.25700000000000001</v>
      </c>
      <c r="I31" s="52">
        <f>H31*0.2907</f>
        <v>7.470990000000001E-2</v>
      </c>
      <c r="K31" s="53">
        <f>(I31-$I$7)/($AA$7/1000-AA31/1000)*0.05</f>
        <v>0.32418514729154285</v>
      </c>
      <c r="L31" s="68"/>
      <c r="M31" s="22">
        <v>3.8708886100913458</v>
      </c>
      <c r="O31" s="21">
        <v>11.626083288729953</v>
      </c>
      <c r="Q31" s="21">
        <v>0.43607818851690694</v>
      </c>
      <c r="S31" s="21">
        <v>68.95077543147417</v>
      </c>
      <c r="U31" s="21">
        <v>15.116174481187613</v>
      </c>
      <c r="W31" s="21">
        <v>0</v>
      </c>
      <c r="Y31" s="22">
        <v>0.22042648145940852</v>
      </c>
      <c r="AA31" s="21">
        <v>0.66204349714633037</v>
      </c>
      <c r="AC31" s="21">
        <v>2.483232932236356E-2</v>
      </c>
      <c r="AE31" s="21">
        <v>3.9263792770050872</v>
      </c>
      <c r="AG31" s="21">
        <v>0.86078559463793436</v>
      </c>
      <c r="AI31" s="21">
        <v>0</v>
      </c>
      <c r="AK31" s="22">
        <f>8*(AG31-$AG$7)/(2*($AA$7-AA31)+2*($AI$7-AI31))</f>
        <v>0.71106500218919066</v>
      </c>
      <c r="AL31" s="22"/>
      <c r="AM31" s="22">
        <f>(AG31-$AG$7)/(($AA$7-AA31)+($AI$7-AI31))</f>
        <v>0.17776625054729767</v>
      </c>
      <c r="AN31" s="22"/>
      <c r="AO31" s="37">
        <f>8*(BW31-$BW$7)/(2*($AA$7-AA31)+2*($AI$7-AI31))</f>
        <v>0.32878628914583535</v>
      </c>
      <c r="AQ31" s="37">
        <f>(BW31-$BW$7)/(($AA$7-AA31)+($AI$7-AI31))</f>
        <v>8.2196572286458838E-2</v>
      </c>
      <c r="AS31" s="37">
        <f>14*(BX31-$BX$7)/(2*($AA$7-AA31)+2*($AI$7-AI31))</f>
        <v>6.8104657822183213E-3</v>
      </c>
      <c r="AU31" s="37">
        <f>(BX31-$BX$7)/(($AA$7-AA31)+($AI$7-AI31))</f>
        <v>9.7292368317404598E-4</v>
      </c>
      <c r="BG31" s="37">
        <v>479.21</v>
      </c>
      <c r="BI31" s="2">
        <v>6.98</v>
      </c>
      <c r="BK31" s="2">
        <v>0</v>
      </c>
      <c r="BM31" s="2">
        <v>0</v>
      </c>
      <c r="BO31" s="22">
        <f>(BG31/1000)/60.2*1000</f>
        <v>7.960299003322258</v>
      </c>
      <c r="BQ31" s="2">
        <f>BI31/74.08</f>
        <v>9.4222462203023771E-2</v>
      </c>
      <c r="BS31" s="2">
        <f>(BK31/1000)/88.12*1000</f>
        <v>0</v>
      </c>
      <c r="BU31" s="2">
        <f>BM31/88.12</f>
        <v>0</v>
      </c>
      <c r="BW31" s="52">
        <f>BO31*0.05</f>
        <v>0.39801495016611294</v>
      </c>
      <c r="BX31" s="51">
        <f t="shared" si="0"/>
        <v>4.7111231101511887E-3</v>
      </c>
      <c r="BY31" s="51">
        <f t="shared" si="1"/>
        <v>0</v>
      </c>
      <c r="BZ31" s="67">
        <f t="shared" si="2"/>
        <v>0</v>
      </c>
    </row>
    <row r="32" spans="1:78" x14ac:dyDescent="0.3">
      <c r="A32" s="192"/>
      <c r="B32" s="83" t="s">
        <v>63</v>
      </c>
      <c r="C32" s="80">
        <v>3</v>
      </c>
      <c r="D32" s="79"/>
      <c r="E32" s="76"/>
      <c r="F32" s="74">
        <f>AVERAGE(F29:F31)</f>
        <v>1.2510000000000001</v>
      </c>
      <c r="G32" s="73">
        <f>_xlfn.STDEV.S(F29:F31)</f>
        <v>1.7058722109231948E-2</v>
      </c>
      <c r="H32" s="78">
        <f>AVERAGE(H29:H31)</f>
        <v>0.26066666666666666</v>
      </c>
      <c r="I32" s="74">
        <f>AVERAGE(I29:I31)</f>
        <v>7.5775800000000004E-2</v>
      </c>
      <c r="J32" s="82">
        <f>_xlfn.STDEV.S(I29:I31)</f>
        <v>1.8461929557876649E-3</v>
      </c>
      <c r="K32" s="74">
        <f>AVERAGE(K29:K31)</f>
        <v>0.30183716581764269</v>
      </c>
      <c r="L32" s="81">
        <f>_xlfn.STDEV.S(K29:K31)</f>
        <v>2.7921307340245536E-2</v>
      </c>
      <c r="M32" s="77">
        <f>AVERAGE(M29:M31)</f>
        <v>3.5802691794927628</v>
      </c>
      <c r="N32" s="76">
        <f>_xlfn.STDEV.S(M29:M31)</f>
        <v>0.27577466830517394</v>
      </c>
      <c r="O32" s="76">
        <f>AVERAGE(O29:O31)</f>
        <v>11.199229837849316</v>
      </c>
      <c r="P32" s="76">
        <f>_xlfn.STDEV.S(O29:O31)</f>
        <v>0.46038296059311729</v>
      </c>
      <c r="Q32" s="76">
        <f>AVERAGE(Q29:Q31)</f>
        <v>0.59598690149954081</v>
      </c>
      <c r="R32" s="76">
        <f>_xlfn.STDEV.S(Q29:Q31)</f>
        <v>0.24278443036100797</v>
      </c>
      <c r="S32" s="76">
        <f>AVERAGE(S29:S31)</f>
        <v>69.384213868431317</v>
      </c>
      <c r="T32" s="76">
        <f>_xlfn.STDEV.S(S29:S31)</f>
        <v>0.38806347781142847</v>
      </c>
      <c r="U32" s="76">
        <f>AVERAGE(U29:U31)</f>
        <v>15.240300212727066</v>
      </c>
      <c r="V32" s="76">
        <f>_xlfn.STDEV.S(U29:U31)</f>
        <v>0.17349297817542769</v>
      </c>
      <c r="W32" s="76">
        <f>AVERAGE(W29:W31)</f>
        <v>0</v>
      </c>
      <c r="X32" s="76">
        <f>_xlfn.STDEV.S(W29:W31)</f>
        <v>0</v>
      </c>
      <c r="Y32" s="77">
        <f>AVERAGE(Y29:Y31)</f>
        <v>0.20175307610053206</v>
      </c>
      <c r="Z32" s="76">
        <f>_xlfn.STDEV.S(Y29:Y31)</f>
        <v>1.8117367987229526E-2</v>
      </c>
      <c r="AA32" s="76">
        <f>AVERAGE(AA29:AA31)</f>
        <v>0.63071419888466951</v>
      </c>
      <c r="AB32" s="76">
        <f>_xlfn.STDEV.S(AA29:AA31)</f>
        <v>2.8724751354638062E-2</v>
      </c>
      <c r="AC32" s="76">
        <f>AVERAGE(AC29:AC31)</f>
        <v>3.35841024117692E-2</v>
      </c>
      <c r="AD32" s="76">
        <f>_xlfn.STDEV.S(AC29:AC31)</f>
        <v>1.379990142081957E-2</v>
      </c>
      <c r="AE32" s="76">
        <f>AVERAGE(AE29:AE31)</f>
        <v>3.9072329985549437</v>
      </c>
      <c r="AF32" s="76">
        <f>_xlfn.STDEV.S(AE29:AE31)</f>
        <v>4.6189193687327185E-2</v>
      </c>
      <c r="AG32" s="76">
        <f>AVERAGE(AG29:AG31)</f>
        <v>0.85816103246190123</v>
      </c>
      <c r="AH32" s="76">
        <f>_xlfn.STDEV.S(AG29:AG31)</f>
        <v>2.361393035933666E-3</v>
      </c>
      <c r="AI32" s="76">
        <f>AVERAGE(AI29:AI31)</f>
        <v>0</v>
      </c>
      <c r="AJ32" s="75">
        <f>_xlfn.STDEV.S(AI29:AI31)</f>
        <v>0</v>
      </c>
      <c r="AK32" s="77">
        <f>AVERAGE(AK29:AK31)</f>
        <v>0.70786300630029686</v>
      </c>
      <c r="AL32" s="77">
        <f>_xlfn.STDEV.S(AK29:AK31)</f>
        <v>5.4650864069325086E-3</v>
      </c>
      <c r="AM32" s="77">
        <f>AVERAGE(AM29:AM31)</f>
        <v>0.17696575157507421</v>
      </c>
      <c r="AN32" s="77">
        <f>_xlfn.STDEV.S(AM29:AM31)</f>
        <v>1.3662716017331271E-3</v>
      </c>
      <c r="AO32" s="78">
        <f>AVERAGE(AO29:AO31)</f>
        <v>0.32460109974084911</v>
      </c>
      <c r="AP32" s="78">
        <f>_xlfn.STDEV.S(AO29:AO31)</f>
        <v>1.4710642143965736E-2</v>
      </c>
      <c r="AQ32" s="78">
        <f>AVERAGE(AQ29:AQ31)</f>
        <v>8.1150274935212277E-2</v>
      </c>
      <c r="AR32" s="78">
        <f>_xlfn.STDEV.S(AQ29:AQ31)</f>
        <v>3.6776605359914341E-3</v>
      </c>
      <c r="AS32" s="78">
        <f>AVERAGE(AS29:AS31)</f>
        <v>6.6599133149041756E-3</v>
      </c>
      <c r="AT32" s="78">
        <f>_xlfn.STDEV.S(AS29:AS31)</f>
        <v>2.1441424918970379E-4</v>
      </c>
      <c r="AU32" s="78">
        <f>AVERAGE(AU29:AU31)</f>
        <v>9.5141618784345353E-4</v>
      </c>
      <c r="AV32" s="80">
        <f>_xlfn.STDEV.S(AU29:AU31)</f>
        <v>3.0630607027100579E-5</v>
      </c>
      <c r="AW32" s="80"/>
      <c r="AX32" s="80"/>
      <c r="AY32" s="79">
        <f>SUM(AK32,AO32,AS32)</f>
        <v>1.03912401935605</v>
      </c>
      <c r="AZ32" s="77">
        <f>SUM(AL32,AP32,AT32)</f>
        <v>2.0390142800087947E-2</v>
      </c>
      <c r="BA32" s="78"/>
      <c r="BB32" s="78"/>
      <c r="BC32" s="78"/>
      <c r="BD32" s="78"/>
      <c r="BE32" s="78"/>
      <c r="BF32" s="78"/>
      <c r="BG32" s="78"/>
      <c r="BH32" s="75"/>
      <c r="BI32" s="75"/>
      <c r="BJ32" s="75"/>
      <c r="BK32" s="75"/>
      <c r="BL32" s="75"/>
      <c r="BM32" s="75"/>
      <c r="BN32" s="75"/>
      <c r="BO32" s="77">
        <f>AVERAGE(BO29:BO31)</f>
        <v>7.8723698781838314</v>
      </c>
      <c r="BP32" s="76">
        <f>_xlfn.STDEV.S(BO29:BO31)</f>
        <v>0.41110085249337125</v>
      </c>
      <c r="BQ32" s="75">
        <f>AVERAGE(BQ29:BQ31)</f>
        <v>9.2287616990640753E-2</v>
      </c>
      <c r="BR32" s="75">
        <f>_xlfn.STDEV.S(BQ29:BQ31)</f>
        <v>3.4688109921180792E-3</v>
      </c>
      <c r="BS32" s="75">
        <f>AVERAGE(BS29:BS31)</f>
        <v>0</v>
      </c>
      <c r="BT32" s="75">
        <f>_xlfn.STDEV.S(BS29:BS31)</f>
        <v>0</v>
      </c>
      <c r="BU32" s="75">
        <f>AVERAGE(BU29:BU31)</f>
        <v>0</v>
      </c>
      <c r="BV32" s="75">
        <f>_xlfn.STDEV.S(BU29:BU31)</f>
        <v>0</v>
      </c>
      <c r="BW32" s="74">
        <f>AVERAGE(BW29:BW31)</f>
        <v>0.39361849390919157</v>
      </c>
      <c r="BX32" s="73">
        <f t="shared" si="0"/>
        <v>4.614380849532038E-3</v>
      </c>
      <c r="BY32" s="73">
        <f t="shared" si="1"/>
        <v>0</v>
      </c>
      <c r="BZ32" s="72">
        <f t="shared" si="2"/>
        <v>0</v>
      </c>
    </row>
    <row r="33" spans="1:78" x14ac:dyDescent="0.3">
      <c r="A33" s="191" t="s">
        <v>58</v>
      </c>
      <c r="B33" s="70" t="s">
        <v>101</v>
      </c>
      <c r="C33" s="20">
        <v>3</v>
      </c>
      <c r="D33" s="69"/>
      <c r="E33" s="21"/>
      <c r="F33" s="52">
        <v>1.29</v>
      </c>
      <c r="H33" s="37">
        <v>0.34300000000000003</v>
      </c>
      <c r="I33" s="52">
        <f>H33*0.2907</f>
        <v>9.971010000000001E-2</v>
      </c>
      <c r="K33" s="53">
        <f>(I33-$I$9)/($AA$9/1000-AA33/1000)*0.05</f>
        <v>0.697238363502661</v>
      </c>
      <c r="L33" s="68"/>
      <c r="M33" s="22">
        <v>4.7274837683024789</v>
      </c>
      <c r="O33" s="21">
        <v>28.9064838122864</v>
      </c>
      <c r="Q33" s="21">
        <v>6.2802040570093615E-2</v>
      </c>
      <c r="S33" s="21">
        <v>65.863609434113286</v>
      </c>
      <c r="U33" s="21">
        <v>0.43962094472774588</v>
      </c>
      <c r="W33" s="21">
        <v>0</v>
      </c>
      <c r="Y33" s="22">
        <v>0.27452526875189137</v>
      </c>
      <c r="AA33" s="21">
        <v>1.6786012657404814</v>
      </c>
      <c r="AC33" s="21">
        <v>3.6469182995974314E-3</v>
      </c>
      <c r="AE33" s="21">
        <v>3.8247037889591899</v>
      </c>
      <c r="AG33" s="21">
        <v>2.5528814886588286E-2</v>
      </c>
      <c r="AI33" s="21">
        <v>0</v>
      </c>
      <c r="AO33" s="37">
        <f>8*(BW33-$BV$9)/(2*($AA$9-AA33)+2*($AI$9-AI33))</f>
        <v>0.44290600102295885</v>
      </c>
      <c r="AQ33" s="37">
        <f>(BW33-$BW$9)/(($AA$9-AA33)+($AI$9-AI33))</f>
        <v>0.11070530776985398</v>
      </c>
      <c r="AS33" s="37">
        <f>14*(BX33-$BX$9)/(2*($AA$9-AA33)+2*($AI$9-AI33))</f>
        <v>4.7497601776248077E-3</v>
      </c>
      <c r="AU33" s="37">
        <f>(BX33-$BX$9)/(($AA$9-AA33)+($AI$9-AI33))</f>
        <v>6.785371682321153E-4</v>
      </c>
      <c r="BG33" s="37">
        <v>522.48</v>
      </c>
      <c r="BI33" s="2">
        <v>3.94</v>
      </c>
      <c r="BK33" s="2">
        <v>0</v>
      </c>
      <c r="BM33" s="2">
        <v>0</v>
      </c>
      <c r="BO33" s="22">
        <f>(BG33/1000)/60.2*1000</f>
        <v>8.6790697674418613</v>
      </c>
      <c r="BQ33" s="2">
        <f>BI33/74.08</f>
        <v>5.318574514038877E-2</v>
      </c>
      <c r="BS33" s="2">
        <f>(BK33/1000)/88.12*1000</f>
        <v>0</v>
      </c>
      <c r="BU33" s="2">
        <f>BM33/88.12</f>
        <v>0</v>
      </c>
      <c r="BW33" s="52">
        <f>BO33*0.05</f>
        <v>0.43395348837209308</v>
      </c>
      <c r="BX33" s="51">
        <f t="shared" si="0"/>
        <v>2.6592872570194385E-3</v>
      </c>
      <c r="BY33" s="51">
        <f t="shared" si="1"/>
        <v>0</v>
      </c>
      <c r="BZ33" s="67">
        <f t="shared" si="2"/>
        <v>0</v>
      </c>
    </row>
    <row r="34" spans="1:78" x14ac:dyDescent="0.3">
      <c r="A34" s="192"/>
      <c r="B34" s="70" t="s">
        <v>100</v>
      </c>
      <c r="C34" s="20">
        <v>3</v>
      </c>
      <c r="D34" s="69"/>
      <c r="E34" s="21"/>
      <c r="F34" s="52">
        <v>1.34</v>
      </c>
      <c r="H34" s="37">
        <v>0.307</v>
      </c>
      <c r="I34" s="52">
        <f>H34*0.2907</f>
        <v>8.9244900000000002E-2</v>
      </c>
      <c r="K34" s="53">
        <f>(I34-$I$10)/($AA$10/1000-AA34/1000)*0.05</f>
        <v>0.65154817902001561</v>
      </c>
      <c r="L34" s="68"/>
      <c r="M34" s="22">
        <v>5.1369996995457239</v>
      </c>
      <c r="O34" s="21">
        <v>33.185363428468378</v>
      </c>
      <c r="Q34" s="21">
        <v>0.23457146580436322</v>
      </c>
      <c r="S34" s="21">
        <v>61.163591741454958</v>
      </c>
      <c r="U34" s="21">
        <v>0.27947366472658364</v>
      </c>
      <c r="W34" s="21">
        <v>0</v>
      </c>
      <c r="Y34" s="22">
        <v>0.30986812723565221</v>
      </c>
      <c r="AA34" s="21">
        <v>2.0017689349141592</v>
      </c>
      <c r="AC34" s="21">
        <v>1.4149547413473212E-2</v>
      </c>
      <c r="AE34" s="21">
        <v>3.6894391155223696</v>
      </c>
      <c r="AG34" s="21">
        <v>1.6858085685340658E-2</v>
      </c>
      <c r="AI34" s="21">
        <v>0</v>
      </c>
      <c r="AO34" s="37">
        <f>8*(BW34-$BV$10)/(2*($AA$10-AA34)+2*($AI$10-AI34))</f>
        <v>0.55964555330637245</v>
      </c>
      <c r="AQ34" s="37">
        <f>(BW34-$BW$10)/(($AA$10-AA34)+($AI$10-AI34))</f>
        <v>0.13991138832659311</v>
      </c>
      <c r="AS34" s="37">
        <f>14*(BX34-$BX$10)/(2*($AA$10-AA34)+2*($AI$10-AI34))</f>
        <v>6.699917124012739E-3</v>
      </c>
      <c r="AU34" s="37">
        <f>(BX34-$BX$10)/(($AA$10-AA34)+($AI$10-AI34))</f>
        <v>9.5713101771610555E-4</v>
      </c>
      <c r="BG34" s="37">
        <v>597.51</v>
      </c>
      <c r="BI34" s="2">
        <v>5.03</v>
      </c>
      <c r="BK34" s="2">
        <v>0</v>
      </c>
      <c r="BM34" s="2">
        <v>0</v>
      </c>
      <c r="BO34" s="22">
        <f>(BG34/1000)/60.2*1000</f>
        <v>9.9254152823920272</v>
      </c>
      <c r="BQ34" s="2">
        <f>BI34/74.08</f>
        <v>6.7899568034557239E-2</v>
      </c>
      <c r="BS34" s="2">
        <f>(BK34/1000)/88.12*1000</f>
        <v>0</v>
      </c>
      <c r="BU34" s="2">
        <f>BM34/88.12</f>
        <v>0</v>
      </c>
      <c r="BW34" s="52">
        <f>BO34*0.05</f>
        <v>0.49627076411960136</v>
      </c>
      <c r="BX34" s="51">
        <f t="shared" si="0"/>
        <v>3.3949784017278622E-3</v>
      </c>
      <c r="BY34" s="51">
        <f t="shared" si="1"/>
        <v>0</v>
      </c>
      <c r="BZ34" s="67">
        <f t="shared" si="2"/>
        <v>0</v>
      </c>
    </row>
    <row r="35" spans="1:78" x14ac:dyDescent="0.3">
      <c r="A35" s="192"/>
      <c r="B35" s="70" t="s">
        <v>99</v>
      </c>
      <c r="C35" s="20">
        <v>3</v>
      </c>
      <c r="D35" s="69"/>
      <c r="E35" s="21"/>
      <c r="F35" s="52">
        <v>1.1257999999999999</v>
      </c>
      <c r="G35" s="67"/>
      <c r="H35" s="37">
        <v>0.32100000000000001</v>
      </c>
      <c r="I35" s="52">
        <f>H35*0.2907</f>
        <v>9.33147E-2</v>
      </c>
      <c r="K35" s="53">
        <f>(I35-$I$11)/($AA$11/1000-AA35/1000)*0.05</f>
        <v>0.63932925817506159</v>
      </c>
      <c r="L35" s="68"/>
      <c r="M35" s="22">
        <v>4.6147093212208006</v>
      </c>
      <c r="O35" s="21">
        <v>28.002922861115071</v>
      </c>
      <c r="Q35" s="21">
        <v>0.47493050097564071</v>
      </c>
      <c r="S35" s="21">
        <v>66.534917602295735</v>
      </c>
      <c r="U35" s="21">
        <v>0.37251971439276321</v>
      </c>
      <c r="W35" s="21">
        <v>0</v>
      </c>
      <c r="Y35" s="22">
        <v>0.23386657919517986</v>
      </c>
      <c r="AA35" s="21">
        <v>1.4191463256157997</v>
      </c>
      <c r="AC35" s="21">
        <v>2.4068768775503922E-2</v>
      </c>
      <c r="AE35" s="21">
        <v>3.3718902954792518</v>
      </c>
      <c r="AG35" s="21">
        <v>1.8878742998433055E-2</v>
      </c>
      <c r="AI35" s="21">
        <v>0</v>
      </c>
      <c r="AO35" s="37">
        <f>8*(BW35-$BV$11)/(2*($AA$11-AA35)+2*($AI$11-AI35))</f>
        <v>0.56248546665305177</v>
      </c>
      <c r="AQ35" s="37">
        <f>(BW35-$BW$10)/(($AA$10-AA35)+($AI$10-AI35))</f>
        <v>0.14167025798228436</v>
      </c>
      <c r="AS35" s="37">
        <f>14*(BX35-$BX$11)/(2*($AA$11-AA35)+2*($AI$11-AI35))</f>
        <v>5.6552898343330861E-3</v>
      </c>
      <c r="AU35" s="37">
        <f>(BX35-$BX$11)/(($AA$11-AA35)+($AI$11-AI35))</f>
        <v>8.0789854776186943E-4</v>
      </c>
      <c r="BG35" s="37">
        <v>704.4</v>
      </c>
      <c r="BI35" s="2">
        <v>4.9800000000000004</v>
      </c>
      <c r="BK35" s="2">
        <v>0</v>
      </c>
      <c r="BM35" s="2">
        <v>0</v>
      </c>
      <c r="BO35" s="22">
        <f>(BG35/1000)/60.2*1000</f>
        <v>11.700996677740864</v>
      </c>
      <c r="BQ35" s="2">
        <f>BI35/74.08</f>
        <v>6.7224622030237588E-2</v>
      </c>
      <c r="BS35" s="2">
        <f>(BK35/1000)/88.12*1000</f>
        <v>0</v>
      </c>
      <c r="BU35" s="2">
        <f>BM35/88.12</f>
        <v>0</v>
      </c>
      <c r="BW35" s="52">
        <f>BO35*0.05</f>
        <v>0.58504983388704324</v>
      </c>
      <c r="BX35" s="51">
        <f t="shared" si="0"/>
        <v>3.3612311015118797E-3</v>
      </c>
      <c r="BY35" s="51">
        <f t="shared" si="1"/>
        <v>0</v>
      </c>
      <c r="BZ35" s="67">
        <f t="shared" si="2"/>
        <v>0</v>
      </c>
    </row>
    <row r="36" spans="1:78" ht="15" thickBot="1" x14ac:dyDescent="0.35">
      <c r="A36" s="192"/>
      <c r="B36" s="66" t="s">
        <v>63</v>
      </c>
      <c r="C36" s="65">
        <v>3</v>
      </c>
      <c r="D36" s="64"/>
      <c r="E36" s="58"/>
      <c r="F36" s="56">
        <f>AVERAGE(F33:F35)</f>
        <v>1.2519333333333333</v>
      </c>
      <c r="G36" s="55">
        <f>_xlfn.STDEV.S(F33:F35)</f>
        <v>0.11205897256950624</v>
      </c>
      <c r="H36" s="60">
        <f>AVERAGE(H33:H35)</f>
        <v>0.32366666666666671</v>
      </c>
      <c r="I36" s="56">
        <f>AVERAGE(I33:I35)</f>
        <v>9.4089900000000004E-2</v>
      </c>
      <c r="J36" s="63">
        <f>_xlfn.STDEV.S(I33:I35)</f>
        <v>5.2754908814251636E-3</v>
      </c>
      <c r="K36" s="63">
        <f>AVERAGE(K33:K35)</f>
        <v>0.66270526689924603</v>
      </c>
      <c r="L36" s="62">
        <f>_xlfn.STDEV.S(K33:K35)</f>
        <v>3.0524196589253646E-2</v>
      </c>
      <c r="M36" s="59">
        <f>AVERAGE(M33:M35)</f>
        <v>4.8263975963563341</v>
      </c>
      <c r="N36" s="58">
        <f>_xlfn.STDEV.S(M33:M35)</f>
        <v>0.27483589441319095</v>
      </c>
      <c r="O36" s="58">
        <f>AVERAGE(O33:O35)</f>
        <v>30.031590033956615</v>
      </c>
      <c r="P36" s="58">
        <f>_xlfn.STDEV.S(O33:O35)</f>
        <v>2.7683606278929935</v>
      </c>
      <c r="Q36" s="58">
        <f>AVERAGE(Q33:Q35)</f>
        <v>0.25743466911669916</v>
      </c>
      <c r="R36" s="58">
        <f>_xlfn.STDEV.S(Q33:Q35)</f>
        <v>0.20701331241815718</v>
      </c>
      <c r="S36" s="58">
        <f>AVERAGE(S33:S35)</f>
        <v>64.520706259287991</v>
      </c>
      <c r="T36" s="58">
        <f>_xlfn.STDEV.S(S33:S35)</f>
        <v>2.9266580050547613</v>
      </c>
      <c r="U36" s="58">
        <f>AVERAGE(U33:U35)</f>
        <v>0.36387144128236426</v>
      </c>
      <c r="V36" s="58">
        <f>_xlfn.STDEV.S(U33:U35)</f>
        <v>8.0423145261713846E-2</v>
      </c>
      <c r="W36" s="58">
        <f>AVERAGE(W33:W35)</f>
        <v>0</v>
      </c>
      <c r="X36" s="58">
        <f>_xlfn.STDEV.S(W33:W35)</f>
        <v>0</v>
      </c>
      <c r="Y36" s="77">
        <f>AVERAGE(Y33:Y35)</f>
        <v>0.27275332506090783</v>
      </c>
      <c r="Z36" s="58">
        <f>_xlfn.STDEV.S(Y33:Y35)</f>
        <v>3.8031745482820928E-2</v>
      </c>
      <c r="AA36" s="58">
        <f>AVERAGE(AA33:AA35)</f>
        <v>1.6998388420901467</v>
      </c>
      <c r="AB36" s="58">
        <f>_xlfn.STDEV.S(AA33:AA35)</f>
        <v>0.29189133629368597</v>
      </c>
      <c r="AC36" s="58">
        <f>AVERAGE(AC33:AC35)</f>
        <v>1.395507816285819E-2</v>
      </c>
      <c r="AD36" s="58">
        <f>_xlfn.STDEV.S(AC33:AC35)</f>
        <v>1.0212314034152424E-2</v>
      </c>
      <c r="AE36" s="58">
        <f>AVERAGE(AE33:AE35)</f>
        <v>3.6286777333202704</v>
      </c>
      <c r="AF36" s="58">
        <f>_xlfn.STDEV.S(AE33:AE35)</f>
        <v>0.23244133484539423</v>
      </c>
      <c r="AG36" s="58">
        <f>AVERAGE(AG33:AG35)</f>
        <v>2.0421881190120665E-2</v>
      </c>
      <c r="AH36" s="58">
        <f>_xlfn.STDEV.S(AG33:AG35)</f>
        <v>4.5366664886594636E-3</v>
      </c>
      <c r="AI36" s="58">
        <f>AVERAGE(AI33:AI35)</f>
        <v>0</v>
      </c>
      <c r="AJ36" s="75">
        <f>_xlfn.STDEV.S(AI33:AI35)</f>
        <v>0</v>
      </c>
      <c r="AK36" s="60"/>
      <c r="AL36" s="60"/>
      <c r="AM36" s="60"/>
      <c r="AN36" s="60"/>
      <c r="AO36" s="60">
        <f>AVERAGE(AO33:AO35)</f>
        <v>0.52167900699412773</v>
      </c>
      <c r="AP36" s="60">
        <f>_xlfn.STDEV.S(AO33:AO35)</f>
        <v>6.8234200583390942E-2</v>
      </c>
      <c r="AQ36" s="60">
        <f>AVERAGE(AQ33:AQ35)</f>
        <v>0.13076231802624383</v>
      </c>
      <c r="AR36" s="60">
        <f>_xlfn.STDEV.S(AQ33:AQ35)</f>
        <v>1.739212899374646E-2</v>
      </c>
      <c r="AS36" s="60">
        <f>AVERAGE(AS33:AS35)</f>
        <v>5.7016557119902106E-3</v>
      </c>
      <c r="AT36" s="60">
        <f>_xlfn.STDEV.S(AS33:AS35)</f>
        <v>9.7590490051257649E-4</v>
      </c>
      <c r="AU36" s="60">
        <f>AVERAGE(AU33:AU35)</f>
        <v>8.1452224457003017E-4</v>
      </c>
      <c r="AV36" s="60">
        <f>_xlfn.STDEV.S(AU33:AU35)</f>
        <v>1.3941498578751095E-4</v>
      </c>
      <c r="AW36" s="60"/>
      <c r="AX36" s="60"/>
      <c r="AY36" s="59">
        <f>SUM(AK36,AO36,AS36)</f>
        <v>0.52738066270611794</v>
      </c>
      <c r="AZ36" s="59">
        <f>SUM(AL36,AP36,AT36)</f>
        <v>6.9210105483903522E-2</v>
      </c>
      <c r="BA36" s="60"/>
      <c r="BB36" s="60"/>
      <c r="BC36" s="60"/>
      <c r="BD36" s="60"/>
      <c r="BE36" s="60"/>
      <c r="BF36" s="60"/>
      <c r="BG36" s="60"/>
      <c r="BH36" s="57"/>
      <c r="BI36" s="57"/>
      <c r="BJ36" s="57"/>
      <c r="BK36" s="57"/>
      <c r="BL36" s="57"/>
      <c r="BM36" s="57"/>
      <c r="BN36" s="57"/>
      <c r="BO36" s="59">
        <f>AVERAGE(BO33:BO35)</f>
        <v>10.101827242524918</v>
      </c>
      <c r="BP36" s="58">
        <f>_xlfn.STDEV.S(BO33:BO35)</f>
        <v>1.5186676553992078</v>
      </c>
      <c r="BQ36" s="57">
        <f>AVERAGE(BQ33:BQ35)</f>
        <v>6.2769978401727863E-2</v>
      </c>
      <c r="BR36" s="57">
        <f>_xlfn.STDEV.S(BQ33:BQ35)</f>
        <v>8.3070472150461889E-3</v>
      </c>
      <c r="BS36" s="57">
        <f>AVERAGE(BS33:BS35)</f>
        <v>0</v>
      </c>
      <c r="BT36" s="57">
        <f>_xlfn.STDEV.S(BS33:BS35)</f>
        <v>0</v>
      </c>
      <c r="BU36" s="57">
        <f>AVERAGE(BU33:BU35)</f>
        <v>0</v>
      </c>
      <c r="BV36" s="57">
        <f>_xlfn.STDEV.S(BU33:BU35)</f>
        <v>0</v>
      </c>
      <c r="BW36" s="56">
        <f>AVERAGE(BW33:BW35)</f>
        <v>0.50509136212624595</v>
      </c>
      <c r="BX36" s="55">
        <f t="shared" si="0"/>
        <v>3.1384989200863933E-3</v>
      </c>
      <c r="BY36" s="55">
        <f t="shared" si="1"/>
        <v>0</v>
      </c>
      <c r="BZ36" s="54">
        <f t="shared" si="2"/>
        <v>0</v>
      </c>
    </row>
    <row r="37" spans="1:78" x14ac:dyDescent="0.3">
      <c r="A37" s="191" t="s">
        <v>57</v>
      </c>
      <c r="B37" s="95" t="s">
        <v>104</v>
      </c>
      <c r="C37" s="94">
        <v>4</v>
      </c>
      <c r="D37" s="93"/>
      <c r="E37" s="88"/>
      <c r="F37" s="86">
        <v>1.1579999999999999</v>
      </c>
      <c r="G37" s="85"/>
      <c r="H37" s="90">
        <v>0.29399999999999998</v>
      </c>
      <c r="I37" s="86">
        <f>H37*0.2907</f>
        <v>8.5465799999999995E-2</v>
      </c>
      <c r="J37" s="92"/>
      <c r="K37" s="92">
        <f>(I37-$I$5)/($AA$5/1000-AA37/1000)*0.05</f>
        <v>0.34556068572520426</v>
      </c>
      <c r="L37" s="91"/>
      <c r="M37" s="89">
        <v>3.1110245205235674</v>
      </c>
      <c r="O37" s="21">
        <v>2.1248460323471203</v>
      </c>
      <c r="Q37" s="88">
        <v>0.3105761868833119</v>
      </c>
      <c r="S37" s="21">
        <v>76.06268776327056</v>
      </c>
      <c r="U37" s="88">
        <v>18.390865496975444</v>
      </c>
      <c r="W37" s="21">
        <v>0</v>
      </c>
      <c r="X37" s="88"/>
      <c r="Y37" s="89">
        <v>0.16217151064998037</v>
      </c>
      <c r="AA37" s="21">
        <v>0.11076399066965796</v>
      </c>
      <c r="AC37" s="21">
        <v>1.6189717910131067E-2</v>
      </c>
      <c r="AE37" s="21">
        <v>3.9649963853680648</v>
      </c>
      <c r="AG37" s="21">
        <v>0.95867918112814365</v>
      </c>
      <c r="AI37" s="21">
        <v>0</v>
      </c>
      <c r="AJ37" s="87"/>
      <c r="AK37" s="89">
        <f>8*(AG37-$AG$5)/(2*($AA$5-AA37)+2*($AI$5-AI37))</f>
        <v>0.71225024772342327</v>
      </c>
      <c r="AL37" s="89"/>
      <c r="AM37" s="89">
        <f>(AG37-$AG$5)/(($AA$5-AA37)+($AI$5-AI37))</f>
        <v>0.17806256193085582</v>
      </c>
      <c r="AN37" s="89"/>
      <c r="AO37" s="37">
        <f>8*(BW37-$BW$5)/(2*($AA$5-AA37)+2*($AI$5-AI37))</f>
        <v>0.36227428570287534</v>
      </c>
      <c r="AQ37" s="37">
        <f>(BW37-$BW$5)/(($AA$5-AA37)+($AI$5-AI37))</f>
        <v>9.0568571425718836E-2</v>
      </c>
      <c r="AS37" s="37">
        <f>14*(BX37-$BX$5)/(2*($AA$5-AA37)+2*($AI$5-AI37))</f>
        <v>7.5029578518442342E-3</v>
      </c>
      <c r="AU37" s="37">
        <f>(BX37-$BX$5)/(($AA$5-AA37)+($AI$5-AI37))</f>
        <v>1.0718511216920336E-3</v>
      </c>
      <c r="AY37" s="90"/>
      <c r="AZ37" s="90"/>
      <c r="BA37" s="90"/>
      <c r="BB37" s="90"/>
      <c r="BC37" s="90"/>
      <c r="BD37" s="90"/>
      <c r="BE37" s="90"/>
      <c r="BF37" s="90"/>
      <c r="BG37" s="90">
        <v>587.09</v>
      </c>
      <c r="BH37" s="87"/>
      <c r="BI37" s="87">
        <v>8.5500000000000007</v>
      </c>
      <c r="BJ37" s="87"/>
      <c r="BK37" s="87">
        <v>0</v>
      </c>
      <c r="BL37" s="87"/>
      <c r="BM37" s="87">
        <v>0</v>
      </c>
      <c r="BN37" s="87"/>
      <c r="BO37" s="89">
        <f>(BG37/1000)/60.2*1000</f>
        <v>9.7523255813953469</v>
      </c>
      <c r="BP37" s="88"/>
      <c r="BQ37" s="87">
        <f>BI37/74.08</f>
        <v>0.11541576673866091</v>
      </c>
      <c r="BR37" s="87"/>
      <c r="BS37" s="87">
        <f>(BK37/1000)/88.12*1000</f>
        <v>0</v>
      </c>
      <c r="BT37" s="87"/>
      <c r="BU37" s="87">
        <f>BM37/88.12</f>
        <v>0</v>
      </c>
      <c r="BV37" s="87"/>
      <c r="BW37" s="86">
        <f>BO37*0.05</f>
        <v>0.48761627906976734</v>
      </c>
      <c r="BX37" s="85">
        <f t="shared" ref="BX37:BX72" si="3">BQ37*0.05</f>
        <v>5.7707883369330464E-3</v>
      </c>
      <c r="BY37" s="85">
        <f t="shared" ref="BY37:BY72" si="4">BS37*0.05</f>
        <v>0</v>
      </c>
      <c r="BZ37" s="84">
        <f t="shared" ref="BZ37:BZ72" si="5">BU37*0.05</f>
        <v>0</v>
      </c>
    </row>
    <row r="38" spans="1:78" x14ac:dyDescent="0.3">
      <c r="A38" s="192"/>
      <c r="B38" s="70" t="s">
        <v>103</v>
      </c>
      <c r="C38" s="20">
        <v>4</v>
      </c>
      <c r="D38" s="69"/>
      <c r="E38" s="21"/>
      <c r="F38" s="52">
        <v>1.1279999999999999</v>
      </c>
      <c r="H38" s="37">
        <v>0.29299999999999998</v>
      </c>
      <c r="I38" s="52">
        <f>H38*0.2907</f>
        <v>8.5175100000000004E-2</v>
      </c>
      <c r="K38" s="53">
        <f>(I38-$I$6)/($AA$6/1000-AA38/1000)*0.05</f>
        <v>0.34461907405417924</v>
      </c>
      <c r="L38" s="68"/>
      <c r="M38" s="22">
        <v>2.6324354580134242</v>
      </c>
      <c r="O38" s="21">
        <v>0.84574934280607461</v>
      </c>
      <c r="Q38" s="21">
        <v>0.39331534658221068</v>
      </c>
      <c r="S38" s="21">
        <v>76.831822147023033</v>
      </c>
      <c r="U38" s="21">
        <v>19.296677705575249</v>
      </c>
      <c r="W38" s="21">
        <v>0</v>
      </c>
      <c r="Y38" s="22">
        <v>0.13366860027431071</v>
      </c>
      <c r="AA38" s="21">
        <v>4.2945072211236592E-2</v>
      </c>
      <c r="AC38" s="21">
        <v>1.997158626776915E-2</v>
      </c>
      <c r="AE38" s="21">
        <v>3.9013310247187007</v>
      </c>
      <c r="AG38" s="21">
        <v>0.97983784977401234</v>
      </c>
      <c r="AI38" s="21">
        <v>0</v>
      </c>
      <c r="AK38" s="22">
        <f>8*(AG38-$AG$6)/(2*($AA$6-AA38)+2*($AI$6-AI38))</f>
        <v>0.72598643901005777</v>
      </c>
      <c r="AL38" s="22"/>
      <c r="AM38" s="22">
        <f>(AG38-$AG$6)/(($AA$6-AA38)+($AI$6-AI38))</f>
        <v>0.18149660975251444</v>
      </c>
      <c r="AN38" s="22"/>
      <c r="AO38" s="37">
        <f>8*(BW38-$BW$6)/(2*($AA$6-AA38)+2*($AI$6-AI38))</f>
        <v>0.32937319895372685</v>
      </c>
      <c r="AQ38" s="37">
        <f>(BW38-$BW$6)/(($AA$6-AA38)+($AI$6-AI38))</f>
        <v>8.2343299738431713E-2</v>
      </c>
      <c r="AS38" s="37">
        <f>14*(BX38-$BX$6)/(2*($AA$6-AA38)+2*($AI$6-AI38))</f>
        <v>6.869909767443963E-3</v>
      </c>
      <c r="AU38" s="37">
        <f>(BX38-$BX$6)/(($AA$6-AA38)+($AI$6-AI38))</f>
        <v>9.8141568106342313E-4</v>
      </c>
      <c r="BG38" s="37">
        <v>535.23</v>
      </c>
      <c r="BI38" s="2">
        <v>7.85</v>
      </c>
      <c r="BK38" s="2">
        <v>0</v>
      </c>
      <c r="BM38" s="2">
        <v>0</v>
      </c>
      <c r="BO38" s="22">
        <f>(BG38/1000)/60.2*1000</f>
        <v>8.8908637873754159</v>
      </c>
      <c r="BQ38" s="2">
        <f>BI38/74.08</f>
        <v>0.10596652267818574</v>
      </c>
      <c r="BS38" s="2">
        <f>(BK38/1000)/88.12*1000</f>
        <v>0</v>
      </c>
      <c r="BU38" s="2">
        <f>BM38/88.12</f>
        <v>0</v>
      </c>
      <c r="BW38" s="52">
        <f>BO38*0.05</f>
        <v>0.4445431893687708</v>
      </c>
      <c r="BX38" s="51">
        <f t="shared" si="3"/>
        <v>5.2983261339092872E-3</v>
      </c>
      <c r="BY38" s="51">
        <f t="shared" si="4"/>
        <v>0</v>
      </c>
      <c r="BZ38" s="67">
        <f t="shared" si="5"/>
        <v>0</v>
      </c>
    </row>
    <row r="39" spans="1:78" x14ac:dyDescent="0.3">
      <c r="A39" s="192"/>
      <c r="B39" s="70" t="s">
        <v>102</v>
      </c>
      <c r="C39" s="20">
        <v>4</v>
      </c>
      <c r="D39" s="69"/>
      <c r="E39" s="21"/>
      <c r="F39" s="52">
        <v>1.1419999999999999</v>
      </c>
      <c r="H39" s="37">
        <v>0.29699999999999999</v>
      </c>
      <c r="I39" s="52">
        <f>H39*0.2907</f>
        <v>8.6337899999999995E-2</v>
      </c>
      <c r="K39" s="53">
        <f>(I39-$I$7)/($AA$7/1000-AA39/1000)*0.05</f>
        <v>0.39081976045477429</v>
      </c>
      <c r="L39" s="68"/>
      <c r="M39" s="22">
        <v>3.2136067816140543</v>
      </c>
      <c r="O39" s="21">
        <v>0</v>
      </c>
      <c r="Q39" s="21">
        <v>0.60800119032352629</v>
      </c>
      <c r="S39" s="21">
        <v>77.081280659537583</v>
      </c>
      <c r="U39" s="21">
        <v>19.097111368524825</v>
      </c>
      <c r="W39" s="21">
        <v>0</v>
      </c>
      <c r="Y39" s="22">
        <v>0.16520432309148692</v>
      </c>
      <c r="AA39" s="21">
        <v>0</v>
      </c>
      <c r="AC39" s="21">
        <v>3.1255978690637329E-2</v>
      </c>
      <c r="AE39" s="21">
        <v>3.962575902951019</v>
      </c>
      <c r="AG39" s="21">
        <v>0.98173969967019492</v>
      </c>
      <c r="AI39" s="21">
        <v>0</v>
      </c>
      <c r="AK39" s="22">
        <f>8*(AG39-$AG$7)/(2*($AA$7-AA39)+2*($AI$7-AI39))</f>
        <v>0.71343778624577703</v>
      </c>
      <c r="AL39" s="22"/>
      <c r="AM39" s="22">
        <f>(AG39-$AG$7)/(($AA$7-AA39)+($AI$7-AI39))</f>
        <v>0.17835944656144426</v>
      </c>
      <c r="AN39" s="22"/>
      <c r="AO39" s="37">
        <f>8*(BW39-$BW$7)/(2*($AA$7-AA39)+2*($AI$7-AI39))</f>
        <v>0.31987209778091996</v>
      </c>
      <c r="AQ39" s="37">
        <f>(BW39-$BW$7)/(($AA$7-AA39)+($AI$7-AI39))</f>
        <v>7.996802444522999E-2</v>
      </c>
      <c r="AS39" s="37">
        <f>14*(BX39-$BX$7)/(2*($AA$7-AA39)+2*($AI$7-AI39))</f>
        <v>6.5664141184096783E-3</v>
      </c>
      <c r="AU39" s="37">
        <f>(BX39-$BX$7)/(($AA$7-AA39)+($AI$7-AI39))</f>
        <v>9.3805915977281107E-4</v>
      </c>
      <c r="BG39" s="37">
        <v>529.96</v>
      </c>
      <c r="BI39" s="2">
        <v>7.65</v>
      </c>
      <c r="BK39" s="2">
        <v>0</v>
      </c>
      <c r="BM39" s="2">
        <v>0</v>
      </c>
      <c r="BO39" s="22">
        <f>(BG39/1000)/60.2*1000</f>
        <v>8.8033222591362108</v>
      </c>
      <c r="BQ39" s="2">
        <f>BI39/74.08</f>
        <v>0.10326673866090713</v>
      </c>
      <c r="BS39" s="2">
        <f>(BK39/1000)/88.12*1000</f>
        <v>0</v>
      </c>
      <c r="BU39" s="2">
        <f>BM39/88.12</f>
        <v>0</v>
      </c>
      <c r="BW39" s="52">
        <f>BO39*0.05</f>
        <v>0.44016611295681057</v>
      </c>
      <c r="BX39" s="51">
        <f t="shared" si="3"/>
        <v>5.1633369330453573E-3</v>
      </c>
      <c r="BY39" s="51">
        <f t="shared" si="4"/>
        <v>0</v>
      </c>
      <c r="BZ39" s="67">
        <f t="shared" si="5"/>
        <v>0</v>
      </c>
    </row>
    <row r="40" spans="1:78" x14ac:dyDescent="0.3">
      <c r="A40" s="192"/>
      <c r="B40" s="83" t="s">
        <v>63</v>
      </c>
      <c r="C40" s="80">
        <v>4</v>
      </c>
      <c r="D40" s="79"/>
      <c r="E40" s="76"/>
      <c r="F40" s="74">
        <f>AVERAGE(F37:F39)</f>
        <v>1.1426666666666665</v>
      </c>
      <c r="G40" s="73">
        <f>_xlfn.STDEV.S(F37:F39)</f>
        <v>1.5011106998930284E-2</v>
      </c>
      <c r="H40" s="78">
        <f>AVERAGE(H37:H39)</f>
        <v>0.29466666666666663</v>
      </c>
      <c r="I40" s="74">
        <f>AVERAGE(I37:I39)</f>
        <v>8.5659599999999989E-2</v>
      </c>
      <c r="J40" s="82">
        <f>_xlfn.STDEV.S(I37:I39)</f>
        <v>6.0514030604480159E-4</v>
      </c>
      <c r="K40" s="74">
        <f>AVERAGE(K37:K39)</f>
        <v>0.36033317341138593</v>
      </c>
      <c r="L40" s="81">
        <f>_xlfn.STDEV.S(K37:K39)</f>
        <v>2.6406356248076406E-2</v>
      </c>
      <c r="M40" s="77">
        <f>AVERAGE(M37:M39)</f>
        <v>2.9856889200503485</v>
      </c>
      <c r="N40" s="76">
        <f>_xlfn.STDEV.S(M37:M39)</f>
        <v>0.31019636748906948</v>
      </c>
      <c r="O40" s="76">
        <f>AVERAGE(O37:O39)</f>
        <v>0.99019845838439835</v>
      </c>
      <c r="P40" s="76">
        <f>_xlfn.STDEV.S(O37:O39)</f>
        <v>1.0697625089424496</v>
      </c>
      <c r="Q40" s="76">
        <f>AVERAGE(Q37:Q39)</f>
        <v>0.43729757459634966</v>
      </c>
      <c r="R40" s="76">
        <f>_xlfn.STDEV.S(Q37:Q39)</f>
        <v>0.15351298138486089</v>
      </c>
      <c r="S40" s="76">
        <f>AVERAGE(S37:S39)</f>
        <v>76.658596856610401</v>
      </c>
      <c r="T40" s="76">
        <f>_xlfn.STDEV.S(S37:S39)</f>
        <v>0.53093137316447825</v>
      </c>
      <c r="U40" s="76">
        <f>AVERAGE(U37:U39)</f>
        <v>18.928218190358507</v>
      </c>
      <c r="V40" s="76">
        <f>_xlfn.STDEV.S(U37:U39)</f>
        <v>0.47593867098130843</v>
      </c>
      <c r="W40" s="76">
        <f>AVERAGE(W37:W39)</f>
        <v>0</v>
      </c>
      <c r="X40" s="76">
        <f>_xlfn.STDEV.S(W37:W39)</f>
        <v>0</v>
      </c>
      <c r="Y40" s="77">
        <f>AVERAGE(Y37:Y39)</f>
        <v>0.15368147800525933</v>
      </c>
      <c r="Z40" s="76">
        <f>_xlfn.STDEV.S(Y37:Y39)</f>
        <v>1.7397871827662243E-2</v>
      </c>
      <c r="AA40" s="76">
        <f>AVERAGE(AA37:AA39)</f>
        <v>5.123635429363152E-2</v>
      </c>
      <c r="AB40" s="76">
        <f>_xlfn.STDEV.S(AA37:AA39)</f>
        <v>5.5845540790598495E-2</v>
      </c>
      <c r="AC40" s="76">
        <f>AVERAGE(AC37:AC39)</f>
        <v>2.2472427622845847E-2</v>
      </c>
      <c r="AD40" s="76">
        <f>_xlfn.STDEV.S(AC37:AC39)</f>
        <v>7.8382848308160974E-3</v>
      </c>
      <c r="AE40" s="76">
        <f>AVERAGE(AE37:AE39)</f>
        <v>3.942967771012595</v>
      </c>
      <c r="AF40" s="76">
        <f>_xlfn.STDEV.S(AE37:AE39)</f>
        <v>3.6078784143030437E-2</v>
      </c>
      <c r="AG40" s="76">
        <f>AVERAGE(AG37:AG39)</f>
        <v>0.97341891019078364</v>
      </c>
      <c r="AH40" s="76">
        <f>_xlfn.STDEV.S(AG37:AG39)</f>
        <v>1.2800350303289663E-2</v>
      </c>
      <c r="AI40" s="76">
        <f>AVERAGE(AI37:AI39)</f>
        <v>0</v>
      </c>
      <c r="AJ40" s="75">
        <f>_xlfn.STDEV.S(AI37:AI39)</f>
        <v>0</v>
      </c>
      <c r="AK40" s="77">
        <f>AVERAGE(AK37:AK39)</f>
        <v>0.71722482432641943</v>
      </c>
      <c r="AL40" s="77">
        <f>_xlfn.STDEV.S(AK37:AK39)</f>
        <v>7.6109776529648121E-3</v>
      </c>
      <c r="AM40" s="77">
        <f>AVERAGE(AM37:AM39)</f>
        <v>0.17930620608160486</v>
      </c>
      <c r="AN40" s="77">
        <f>_xlfn.STDEV.S(AM37:AM39)</f>
        <v>1.902744413241203E-3</v>
      </c>
      <c r="AO40" s="78">
        <f>AVERAGE(AO37:AO39)</f>
        <v>0.33717319414584068</v>
      </c>
      <c r="AP40" s="78">
        <f>_xlfn.STDEV.S(AO37:AO39)</f>
        <v>2.2251209605096849E-2</v>
      </c>
      <c r="AQ40" s="78">
        <f>AVERAGE(AQ37:AQ39)</f>
        <v>8.4293298536460171E-2</v>
      </c>
      <c r="AR40" s="78">
        <f>_xlfn.STDEV.S(AQ37:AQ39)</f>
        <v>5.5628024012742121E-3</v>
      </c>
      <c r="AS40" s="78">
        <f>AVERAGE(AS37:AS39)</f>
        <v>6.9797605792326252E-3</v>
      </c>
      <c r="AT40" s="78">
        <f>_xlfn.STDEV.S(AS37:AS39)</f>
        <v>4.7783777769956111E-4</v>
      </c>
      <c r="AU40" s="78">
        <f>AVERAGE(AU37:AU39)</f>
        <v>9.9710865417608919E-4</v>
      </c>
      <c r="AV40" s="80">
        <f>_xlfn.STDEV.S(AU37:AU39)</f>
        <v>6.8262539671366018E-5</v>
      </c>
      <c r="AW40" s="80"/>
      <c r="AX40" s="80"/>
      <c r="AY40" s="79">
        <f>SUM(AK40,AO40,AS40)</f>
        <v>1.0613777790514927</v>
      </c>
      <c r="AZ40" s="77">
        <f>SUM(AL40,AP40,AT40)</f>
        <v>3.0340025035761223E-2</v>
      </c>
      <c r="BA40" s="78"/>
      <c r="BB40" s="78"/>
      <c r="BC40" s="78"/>
      <c r="BD40" s="78"/>
      <c r="BE40" s="78"/>
      <c r="BF40" s="78"/>
      <c r="BG40" s="78"/>
      <c r="BH40" s="75"/>
      <c r="BI40" s="75"/>
      <c r="BJ40" s="75"/>
      <c r="BK40" s="75"/>
      <c r="BL40" s="75"/>
      <c r="BM40" s="75"/>
      <c r="BN40" s="75"/>
      <c r="BO40" s="77">
        <f>AVERAGE(BO37:BO39)</f>
        <v>9.1488372093023234</v>
      </c>
      <c r="BP40" s="76">
        <f>_xlfn.STDEV.S(BO37:BO39)</f>
        <v>0.52446595812333574</v>
      </c>
      <c r="BQ40" s="75">
        <f>AVERAGE(BQ37:BQ39)</f>
        <v>0.10821634269258458</v>
      </c>
      <c r="BR40" s="75">
        <f>_xlfn.STDEV.S(BQ37:BQ39)</f>
        <v>6.3793407481811705E-3</v>
      </c>
      <c r="BS40" s="75">
        <f>AVERAGE(BS37:BS39)</f>
        <v>0</v>
      </c>
      <c r="BT40" s="75">
        <f>_xlfn.STDEV.S(BS37:BS39)</f>
        <v>0</v>
      </c>
      <c r="BU40" s="75">
        <f>AVERAGE(BU37:BU39)</f>
        <v>0</v>
      </c>
      <c r="BV40" s="75">
        <f>_xlfn.STDEV.S(BU37:BU39)</f>
        <v>0</v>
      </c>
      <c r="BW40" s="74">
        <f>AVERAGE(BW37:BW39)</f>
        <v>0.45744186046511626</v>
      </c>
      <c r="BX40" s="73">
        <f t="shared" si="3"/>
        <v>5.4108171346292297E-3</v>
      </c>
      <c r="BY40" s="73">
        <f t="shared" si="4"/>
        <v>0</v>
      </c>
      <c r="BZ40" s="72">
        <f t="shared" si="5"/>
        <v>0</v>
      </c>
    </row>
    <row r="41" spans="1:78" x14ac:dyDescent="0.3">
      <c r="A41" s="191" t="s">
        <v>58</v>
      </c>
      <c r="B41" s="70" t="s">
        <v>101</v>
      </c>
      <c r="C41" s="20">
        <v>4</v>
      </c>
      <c r="D41" s="69"/>
      <c r="E41" s="21"/>
      <c r="F41" s="52">
        <v>1.38</v>
      </c>
      <c r="H41" s="37">
        <v>0.42699999999999999</v>
      </c>
      <c r="I41" s="52">
        <f>H41*0.2907</f>
        <v>0.1241289</v>
      </c>
      <c r="K41" s="53">
        <f>(I41-$I$9)/($AA$9/1000-AA41/1000)*0.05</f>
        <v>0.76856476934126317</v>
      </c>
      <c r="L41" s="68"/>
      <c r="M41" s="22">
        <v>1.7026885058537931</v>
      </c>
      <c r="O41" s="21">
        <v>7.3037414122240767</v>
      </c>
      <c r="Q41" s="21">
        <v>0.55254689368776944</v>
      </c>
      <c r="S41" s="21">
        <v>90.03869131481629</v>
      </c>
      <c r="U41" s="21">
        <v>0.40233187341807292</v>
      </c>
      <c r="W41" s="21">
        <v>0</v>
      </c>
      <c r="Y41" s="22">
        <v>0.10577349614855368</v>
      </c>
      <c r="AA41" s="21">
        <v>0.45371908101801228</v>
      </c>
      <c r="AC41" s="21">
        <v>3.4325019832134318E-2</v>
      </c>
      <c r="AE41" s="21">
        <v>5.5933349736409852</v>
      </c>
      <c r="AG41" s="21">
        <v>2.4993443437904512E-2</v>
      </c>
      <c r="AI41" s="21">
        <v>0</v>
      </c>
      <c r="AO41" s="37">
        <f>8*(BW41-$BV$9)/(2*($AA$9-AA41)+2*($AI$9-AI41))</f>
        <v>0.59653711778882046</v>
      </c>
      <c r="AQ41" s="37">
        <f>(BW41-$BW$9)/(($AA$9-AA41)+($AI$9-AI41))</f>
        <v>0.14911813325769097</v>
      </c>
      <c r="AS41" s="37">
        <f>14*(BX41-$BX$9)/(2*($AA$9-AA41)+2*($AI$9-AI41))</f>
        <v>7.6600155964956802E-3</v>
      </c>
      <c r="AU41" s="37">
        <f>(BX41-$BX$9)/(($AA$9-AA41)+($AI$9-AI41))</f>
        <v>1.0942879423565257E-3</v>
      </c>
      <c r="BG41" s="37">
        <v>923.65</v>
      </c>
      <c r="BI41" s="2">
        <v>8.34</v>
      </c>
      <c r="BK41" s="2">
        <v>0</v>
      </c>
      <c r="BM41" s="2">
        <v>0</v>
      </c>
      <c r="BO41" s="22">
        <f>(BG41/1000)/60.2*1000</f>
        <v>15.343023255813952</v>
      </c>
      <c r="BQ41" s="2">
        <f>BI41/74.08</f>
        <v>0.11258099352051835</v>
      </c>
      <c r="BS41" s="2">
        <f>(BK41/1000)/88.12*1000</f>
        <v>0</v>
      </c>
      <c r="BU41" s="2">
        <f>BM41/88.12</f>
        <v>0</v>
      </c>
      <c r="BW41" s="52">
        <f>BO41*0.05</f>
        <v>0.76715116279069762</v>
      </c>
      <c r="BX41" s="51">
        <f t="shared" si="3"/>
        <v>5.6290496760259181E-3</v>
      </c>
      <c r="BY41" s="51">
        <f t="shared" si="4"/>
        <v>0</v>
      </c>
      <c r="BZ41" s="67">
        <f t="shared" si="5"/>
        <v>0</v>
      </c>
    </row>
    <row r="42" spans="1:78" x14ac:dyDescent="0.3">
      <c r="A42" s="192"/>
      <c r="B42" s="70" t="s">
        <v>100</v>
      </c>
      <c r="C42" s="20">
        <v>4</v>
      </c>
      <c r="D42" s="69"/>
      <c r="E42" s="21"/>
      <c r="F42" s="52">
        <v>1.3340000000000001</v>
      </c>
      <c r="H42" s="37">
        <v>0.42</v>
      </c>
      <c r="I42" s="52">
        <f>H42*0.2907</f>
        <v>0.12209400000000001</v>
      </c>
      <c r="K42" s="53">
        <f>(I42-$I$10)/($AA$10/1000-AA42/1000)*0.05</f>
        <v>0.75177252417223039</v>
      </c>
      <c r="L42" s="68"/>
      <c r="M42" s="22">
        <v>1.05448995164599</v>
      </c>
      <c r="O42" s="21">
        <v>4.8271499058731324</v>
      </c>
      <c r="Q42" s="21">
        <v>0.37700893224618304</v>
      </c>
      <c r="S42" s="21">
        <v>93.457237077896167</v>
      </c>
      <c r="U42" s="21">
        <v>0.28411413233853755</v>
      </c>
      <c r="W42" s="21">
        <v>0</v>
      </c>
      <c r="Y42" s="22">
        <v>6.3322906983357588E-2</v>
      </c>
      <c r="AA42" s="21">
        <v>0.28987394712220638</v>
      </c>
      <c r="AC42" s="21">
        <v>2.2639667178672822E-2</v>
      </c>
      <c r="AE42" s="21">
        <v>5.6121766937348534</v>
      </c>
      <c r="AG42" s="21">
        <v>1.7061265255916273E-2</v>
      </c>
      <c r="AI42" s="21">
        <v>0</v>
      </c>
      <c r="AO42" s="37">
        <f>8*(BW42-$BV$10)/(2*($AA$10-AA42)+2*($AI$10-AI42))</f>
        <v>0.58975135107805166</v>
      </c>
      <c r="AQ42" s="37">
        <f>(BW42-$BW$10)/(($AA$10-AA42)+($AI$10-AI42))</f>
        <v>0.14743783776951291</v>
      </c>
      <c r="AS42" s="37">
        <f>14*(BX42-$BX$10)/(2*($AA$10-AA42)+2*($AI$10-AI42))</f>
        <v>6.5942535148492297E-3</v>
      </c>
      <c r="AU42" s="37">
        <f>(BX42-$BX$10)/(($AA$10-AA42)+($AI$10-AI42))</f>
        <v>9.4203621640703275E-4</v>
      </c>
      <c r="BG42" s="37">
        <v>933.54</v>
      </c>
      <c r="BI42" s="2">
        <v>7.34</v>
      </c>
      <c r="BK42" s="2">
        <v>0</v>
      </c>
      <c r="BM42" s="2">
        <v>0</v>
      </c>
      <c r="BO42" s="22">
        <f>(BG42/1000)/60.2*1000</f>
        <v>15.507308970099666</v>
      </c>
      <c r="BQ42" s="2">
        <f>BI42/74.08</f>
        <v>9.908207343412527E-2</v>
      </c>
      <c r="BS42" s="2">
        <f>(BK42/1000)/88.12*1000</f>
        <v>0</v>
      </c>
      <c r="BU42" s="2">
        <f>BM42/88.12</f>
        <v>0</v>
      </c>
      <c r="BW42" s="52">
        <f>BO42*0.05</f>
        <v>0.77536544850498335</v>
      </c>
      <c r="BX42" s="51">
        <f t="shared" si="3"/>
        <v>4.954103671706264E-3</v>
      </c>
      <c r="BY42" s="51">
        <f t="shared" si="4"/>
        <v>0</v>
      </c>
      <c r="BZ42" s="67">
        <f t="shared" si="5"/>
        <v>0</v>
      </c>
    </row>
    <row r="43" spans="1:78" x14ac:dyDescent="0.3">
      <c r="A43" s="192"/>
      <c r="B43" s="70" t="s">
        <v>99</v>
      </c>
      <c r="C43" s="20">
        <v>4</v>
      </c>
      <c r="D43" s="69"/>
      <c r="E43" s="21"/>
      <c r="F43" s="52">
        <v>1.3320000000000001</v>
      </c>
      <c r="G43" s="67"/>
      <c r="H43" s="37">
        <v>0.40300000000000002</v>
      </c>
      <c r="I43" s="52">
        <f>H43*0.2907</f>
        <v>0.11715210000000001</v>
      </c>
      <c r="K43" s="53">
        <f>(I43-$I$11)/($AA$11/1000-AA43/1000)*0.05</f>
        <v>0.71885154812239149</v>
      </c>
      <c r="L43" s="68"/>
      <c r="M43" s="22">
        <v>1.2955862656728818</v>
      </c>
      <c r="O43" s="21">
        <v>3.6919828106503392</v>
      </c>
      <c r="Q43" s="21">
        <v>0.3863885899516224</v>
      </c>
      <c r="S43" s="21">
        <v>94.272341688743182</v>
      </c>
      <c r="U43" s="21">
        <v>0.35370064498198195</v>
      </c>
      <c r="W43" s="21">
        <v>0</v>
      </c>
      <c r="Y43" s="22">
        <v>7.7684277151084738E-2</v>
      </c>
      <c r="AA43" s="21">
        <v>0.22137392429877545</v>
      </c>
      <c r="AC43" s="21">
        <v>2.3168135619459698E-2</v>
      </c>
      <c r="AE43" s="21">
        <v>5.6526368899306982</v>
      </c>
      <c r="AG43" s="21">
        <v>2.1208143109657882E-2</v>
      </c>
      <c r="AI43" s="21">
        <v>0</v>
      </c>
      <c r="AO43" s="37">
        <f>8*(BW43-$BV$11)/(2*($AA$11-AA43)+2*($AI$11-AI43))</f>
        <v>0.64813462197318428</v>
      </c>
      <c r="AQ43" s="37">
        <f>(BW43-$BW$10)/(($AA$10-AA43)+($AI$10-AI43))</f>
        <v>0.16297052850506383</v>
      </c>
      <c r="AS43" s="37">
        <f>14*(BX43-$BX$11)/(2*($AA$11-AA43)+2*($AI$11-AI43))</f>
        <v>7.3185233935145139E-3</v>
      </c>
      <c r="AU43" s="37">
        <f>(BX43-$BX$11)/(($AA$11-AA43)+($AI$11-AI43))</f>
        <v>1.0455033419306447E-3</v>
      </c>
      <c r="BG43" s="37">
        <v>1045.33</v>
      </c>
      <c r="BI43" s="2">
        <v>8.3000000000000007</v>
      </c>
      <c r="BK43" s="2">
        <v>0</v>
      </c>
      <c r="BM43" s="2">
        <v>0</v>
      </c>
      <c r="BO43" s="22">
        <f>(BG43/1000)/60.2*1000</f>
        <v>17.36428571428571</v>
      </c>
      <c r="BQ43" s="2">
        <f>BI43/74.08</f>
        <v>0.11204103671706264</v>
      </c>
      <c r="BS43" s="2">
        <f>(BK43/1000)/88.12*1000</f>
        <v>0</v>
      </c>
      <c r="BU43" s="2">
        <f>BM43/88.12</f>
        <v>0</v>
      </c>
      <c r="BW43" s="52">
        <f>BO43*0.05</f>
        <v>0.86821428571428561</v>
      </c>
      <c r="BX43" s="51">
        <f t="shared" si="3"/>
        <v>5.6020518358531326E-3</v>
      </c>
      <c r="BY43" s="51">
        <f t="shared" si="4"/>
        <v>0</v>
      </c>
      <c r="BZ43" s="67">
        <f t="shared" si="5"/>
        <v>0</v>
      </c>
    </row>
    <row r="44" spans="1:78" ht="15" thickBot="1" x14ac:dyDescent="0.35">
      <c r="A44" s="192"/>
      <c r="B44" s="66" t="s">
        <v>63</v>
      </c>
      <c r="C44" s="65">
        <v>4</v>
      </c>
      <c r="D44" s="64"/>
      <c r="E44" s="58"/>
      <c r="F44" s="56">
        <f>AVERAGE(F41:F43)</f>
        <v>1.3486666666666667</v>
      </c>
      <c r="G44" s="55">
        <f>_xlfn.STDEV.S(F41:F43)</f>
        <v>2.7153882472554965E-2</v>
      </c>
      <c r="H44" s="60">
        <f>AVERAGE(H41:H43)</f>
        <v>0.41666666666666669</v>
      </c>
      <c r="I44" s="56">
        <f>AVERAGE(I41:I43)</f>
        <v>0.121125</v>
      </c>
      <c r="J44" s="63">
        <f>_xlfn.STDEV.S(I41:I43)</f>
        <v>3.5879179631089636E-3</v>
      </c>
      <c r="K44" s="63">
        <f>AVERAGE(K41:K43)</f>
        <v>0.74639628054529494</v>
      </c>
      <c r="L44" s="62">
        <f>_xlfn.STDEV.S(K41:K43)</f>
        <v>2.5288912345951944E-2</v>
      </c>
      <c r="M44" s="59">
        <f>AVERAGE(M41:M43)</f>
        <v>1.3509215743908882</v>
      </c>
      <c r="N44" s="58">
        <f>_xlfn.STDEV.S(M41:M43)</f>
        <v>0.32762301309959835</v>
      </c>
      <c r="O44" s="58">
        <f>AVERAGE(O41:O43)</f>
        <v>5.2742913762491828</v>
      </c>
      <c r="P44" s="58">
        <f>_xlfn.STDEV.S(O41:O43)</f>
        <v>1.8469303370479357</v>
      </c>
      <c r="Q44" s="58">
        <f>AVERAGE(Q41:Q43)</f>
        <v>0.43864813862852498</v>
      </c>
      <c r="R44" s="58">
        <f>_xlfn.STDEV.S(Q41:Q43)</f>
        <v>9.875064201159478E-2</v>
      </c>
      <c r="S44" s="58">
        <f>AVERAGE(S41:S43)</f>
        <v>92.589423360485213</v>
      </c>
      <c r="T44" s="58">
        <f>_xlfn.STDEV.S(S41:S43)</f>
        <v>2.2462801157152668</v>
      </c>
      <c r="U44" s="58">
        <f>AVERAGE(U41:U43)</f>
        <v>0.34671555024619743</v>
      </c>
      <c r="V44" s="58">
        <f>_xlfn.STDEV.S(U41:U43)</f>
        <v>5.941760881959119E-2</v>
      </c>
      <c r="W44" s="58">
        <f>AVERAGE(W41:W43)</f>
        <v>0</v>
      </c>
      <c r="X44" s="58">
        <f>_xlfn.STDEV.S(W41:W43)</f>
        <v>0</v>
      </c>
      <c r="Y44" s="59">
        <f>AVERAGE(Y41:Y43)</f>
        <v>8.2260226760998659E-2</v>
      </c>
      <c r="Z44" s="58">
        <f>_xlfn.STDEV.S(Y41:Y43)</f>
        <v>2.1592072995486593E-2</v>
      </c>
      <c r="AA44" s="58">
        <f>AVERAGE(AA41:AA43)</f>
        <v>0.32165565081299802</v>
      </c>
      <c r="AB44" s="58">
        <f>_xlfn.STDEV.S(AA41:AA43)</f>
        <v>0.11938854836138456</v>
      </c>
      <c r="AC44" s="58">
        <f>AVERAGE(AC41:AC43)</f>
        <v>2.6710940876755612E-2</v>
      </c>
      <c r="AD44" s="58">
        <f>_xlfn.STDEV.S(AC41:AC43)</f>
        <v>6.5992778754408307E-3</v>
      </c>
      <c r="AE44" s="58">
        <f>AVERAGE(AE41:AE43)</f>
        <v>5.6193828524355114</v>
      </c>
      <c r="AF44" s="58">
        <f>_xlfn.STDEV.S(AE41:AE43)</f>
        <v>3.0300591765217134E-2</v>
      </c>
      <c r="AG44" s="58">
        <f>AVERAGE(AG41:AG43)</f>
        <v>2.1087617267826222E-2</v>
      </c>
      <c r="AH44" s="58">
        <f>_xlfn.STDEV.S(AG41:AG43)</f>
        <v>3.967462354782271E-3</v>
      </c>
      <c r="AI44" s="58">
        <f>AVERAGE(AI41:AI43)</f>
        <v>0</v>
      </c>
      <c r="AJ44" s="57">
        <f>_xlfn.STDEV.S(AI41:AI43)</f>
        <v>0</v>
      </c>
      <c r="AK44" s="60"/>
      <c r="AL44" s="60"/>
      <c r="AM44" s="60"/>
      <c r="AN44" s="60"/>
      <c r="AO44" s="60">
        <f>AVERAGE(AO41:AO43)</f>
        <v>0.61147436361335217</v>
      </c>
      <c r="AP44" s="60">
        <f>_xlfn.STDEV.S(AO41:AO43)</f>
        <v>3.1929493649609862E-2</v>
      </c>
      <c r="AQ44" s="60">
        <f>AVERAGE(AQ41:AQ43)</f>
        <v>0.15317549984408924</v>
      </c>
      <c r="AR44" s="60">
        <f>_xlfn.STDEV.S(AQ41:AQ43)</f>
        <v>8.524247068444412E-3</v>
      </c>
      <c r="AS44" s="60">
        <f>AVERAGE(AS41:AS43)</f>
        <v>7.1909308349531404E-3</v>
      </c>
      <c r="AT44" s="60">
        <f>_xlfn.STDEV.S(AS41:AS43)</f>
        <v>5.4421695987815551E-4</v>
      </c>
      <c r="AU44" s="60">
        <f>AVERAGE(AU41:AU43)</f>
        <v>1.0272758335647346E-3</v>
      </c>
      <c r="AV44" s="60">
        <f>_xlfn.STDEV.S(AU41:AU43)</f>
        <v>7.7745279982593637E-5</v>
      </c>
      <c r="AW44" s="60"/>
      <c r="AX44" s="60"/>
      <c r="AY44" s="59">
        <f>SUM(AK44,AO44,AS44)</f>
        <v>0.61866529444830531</v>
      </c>
      <c r="AZ44" s="59">
        <f>SUM(AL44,AP44,AT44)</f>
        <v>3.2473710609488018E-2</v>
      </c>
      <c r="BA44" s="60"/>
      <c r="BB44" s="60"/>
      <c r="BC44" s="60"/>
      <c r="BD44" s="60"/>
      <c r="BE44" s="60"/>
      <c r="BF44" s="60"/>
      <c r="BG44" s="60"/>
      <c r="BH44" s="57"/>
      <c r="BI44" s="57"/>
      <c r="BJ44" s="57"/>
      <c r="BK44" s="57"/>
      <c r="BL44" s="57"/>
      <c r="BM44" s="57"/>
      <c r="BN44" s="57"/>
      <c r="BO44" s="59">
        <f>AVERAGE(BO41:BO43)</f>
        <v>16.071539313399779</v>
      </c>
      <c r="BP44" s="58">
        <f>_xlfn.STDEV.S(BO41:BO43)</f>
        <v>1.1225606405590052</v>
      </c>
      <c r="BQ44" s="57">
        <f>AVERAGE(BQ41:BQ43)</f>
        <v>0.10790136789056876</v>
      </c>
      <c r="BR44" s="57">
        <f>_xlfn.STDEV.S(BQ41:BQ43)</f>
        <v>7.6425031481505215E-3</v>
      </c>
      <c r="BS44" s="57">
        <f>AVERAGE(BS41:BS43)</f>
        <v>0</v>
      </c>
      <c r="BT44" s="57">
        <f>_xlfn.STDEV.S(BS41:BS43)</f>
        <v>0</v>
      </c>
      <c r="BU44" s="57">
        <f>AVERAGE(BU41:BU43)</f>
        <v>0</v>
      </c>
      <c r="BV44" s="57">
        <f>_xlfn.STDEV.S(BU41:BU43)</f>
        <v>0</v>
      </c>
      <c r="BW44" s="56">
        <f>AVERAGE(BW41:BW43)</f>
        <v>0.80357696566998893</v>
      </c>
      <c r="BX44" s="55">
        <f t="shared" si="3"/>
        <v>5.395068394528438E-3</v>
      </c>
      <c r="BY44" s="55">
        <f t="shared" si="4"/>
        <v>0</v>
      </c>
      <c r="BZ44" s="54">
        <f t="shared" si="5"/>
        <v>0</v>
      </c>
    </row>
    <row r="45" spans="1:78" x14ac:dyDescent="0.3">
      <c r="A45" s="191" t="s">
        <v>57</v>
      </c>
      <c r="B45" s="95" t="s">
        <v>104</v>
      </c>
      <c r="C45" s="94">
        <v>5</v>
      </c>
      <c r="D45" s="93"/>
      <c r="E45" s="88"/>
      <c r="F45" s="86">
        <v>1.3160000000000001</v>
      </c>
      <c r="G45" s="85"/>
      <c r="H45" s="90">
        <v>0.29099999999999998</v>
      </c>
      <c r="I45" s="86">
        <f>H45*0.2907</f>
        <v>8.4593699999999994E-2</v>
      </c>
      <c r="J45" s="92"/>
      <c r="K45" s="92">
        <f>(I45-$I$5)/($AA$5/1000-AA45/1000)*0.05</f>
        <v>0.33065895591616135</v>
      </c>
      <c r="L45" s="91"/>
      <c r="M45" s="89">
        <v>2.3840232855389583</v>
      </c>
      <c r="O45" s="21">
        <v>0</v>
      </c>
      <c r="Q45" s="21">
        <v>0.1993543186124683</v>
      </c>
      <c r="S45" s="21">
        <v>81.815923385401348</v>
      </c>
      <c r="U45" s="21">
        <v>15.600699010447219</v>
      </c>
      <c r="W45" s="21">
        <v>0</v>
      </c>
      <c r="X45" s="88"/>
      <c r="Y45" s="89">
        <v>0.14123064773883595</v>
      </c>
      <c r="AA45" s="21">
        <v>0</v>
      </c>
      <c r="AC45" s="21">
        <v>1.1809842512007248E-2</v>
      </c>
      <c r="AE45" s="21">
        <v>4.84681333658156</v>
      </c>
      <c r="AG45" s="21">
        <v>0.92419266195463223</v>
      </c>
      <c r="AI45" s="21">
        <v>0</v>
      </c>
      <c r="AJ45" s="87"/>
      <c r="AK45" s="89">
        <f>8*(AG45-$AG$5)/(2*($AA$5-AA45)+2*($AI$5-AI45))</f>
        <v>0.67278724329917383</v>
      </c>
      <c r="AL45" s="89"/>
      <c r="AM45" s="89">
        <f>(AG45-$AG$5)/(($AA$5-AA45)+($AI$5-AI45))</f>
        <v>0.16819681082479346</v>
      </c>
      <c r="AN45" s="89"/>
      <c r="AO45" s="37">
        <f>8*(BW45-$BW$5)/(2*($AA$5-AA45)+2*($AI$5-AI45))</f>
        <v>0.36188235896616305</v>
      </c>
      <c r="AQ45" s="37">
        <f>(BW45-$BW$5)/(($AA$5-AA45)+($AI$5-AI45))</f>
        <v>9.0470589741540763E-2</v>
      </c>
      <c r="AS45" s="37">
        <f>14*(BX45-$BX$5)/(2*($AA$5-AA45)+2*($AI$5-AI45))</f>
        <v>7.3345140157532905E-3</v>
      </c>
      <c r="AU45" s="37">
        <f>(BX45-$BX$5)/(($AA$5-AA45)+($AI$5-AI45))</f>
        <v>1.0477877165361844E-3</v>
      </c>
      <c r="AY45" s="90"/>
      <c r="AZ45" s="90"/>
      <c r="BA45" s="90"/>
      <c r="BB45" s="90"/>
      <c r="BC45" s="90"/>
      <c r="BD45" s="90"/>
      <c r="BE45" s="90"/>
      <c r="BF45" s="90"/>
      <c r="BG45" s="90">
        <v>598.52</v>
      </c>
      <c r="BH45" s="87"/>
      <c r="BI45" s="87">
        <v>8.5299999999999994</v>
      </c>
      <c r="BJ45" s="87"/>
      <c r="BK45" s="87">
        <v>0</v>
      </c>
      <c r="BL45" s="87"/>
      <c r="BM45" s="87">
        <v>0</v>
      </c>
      <c r="BN45" s="87"/>
      <c r="BO45" s="89">
        <f>(BG45/1000)/60.2*1000</f>
        <v>9.9421926910298986</v>
      </c>
      <c r="BP45" s="88"/>
      <c r="BQ45" s="87">
        <f>BI45/74.08</f>
        <v>0.11514578833693304</v>
      </c>
      <c r="BR45" s="87"/>
      <c r="BS45" s="87">
        <f>(BK45/1000)/88.12*1000</f>
        <v>0</v>
      </c>
      <c r="BT45" s="87"/>
      <c r="BU45" s="87">
        <f>BM45/88.12</f>
        <v>0</v>
      </c>
      <c r="BV45" s="87"/>
      <c r="BW45" s="86">
        <f>BO45*0.05</f>
        <v>0.49710963455149493</v>
      </c>
      <c r="BX45" s="85">
        <f t="shared" si="3"/>
        <v>5.7572894168466523E-3</v>
      </c>
      <c r="BY45" s="85">
        <f t="shared" si="4"/>
        <v>0</v>
      </c>
      <c r="BZ45" s="84">
        <f t="shared" si="5"/>
        <v>0</v>
      </c>
    </row>
    <row r="46" spans="1:78" x14ac:dyDescent="0.3">
      <c r="A46" s="192"/>
      <c r="B46" s="70" t="s">
        <v>103</v>
      </c>
      <c r="C46" s="20">
        <v>5</v>
      </c>
      <c r="D46" s="69"/>
      <c r="E46" s="21"/>
      <c r="F46" s="52">
        <v>1.268</v>
      </c>
      <c r="H46" s="37">
        <v>0.28799999999999998</v>
      </c>
      <c r="I46" s="52">
        <f>H46*0.2907</f>
        <v>8.3721599999999993E-2</v>
      </c>
      <c r="K46" s="53">
        <f>(I46-$I$6)/($AA$6/1000-AA46/1000)*0.05</f>
        <v>0.32854390021901808</v>
      </c>
      <c r="L46" s="68"/>
      <c r="M46" s="22">
        <v>2.0950673475544166</v>
      </c>
      <c r="O46" s="21">
        <v>0</v>
      </c>
      <c r="Q46" s="21">
        <v>0.18645882649131243</v>
      </c>
      <c r="S46" s="21">
        <v>81.754182631108506</v>
      </c>
      <c r="U46" s="21">
        <v>15.964291194845776</v>
      </c>
      <c r="W46" s="21">
        <v>0</v>
      </c>
      <c r="Y46" s="22">
        <v>0.11958585432840482</v>
      </c>
      <c r="AA46" s="21">
        <v>0</v>
      </c>
      <c r="AC46" s="21">
        <v>1.0643017318304249E-2</v>
      </c>
      <c r="AE46" s="21">
        <v>4.6665057265456769</v>
      </c>
      <c r="AG46" s="21">
        <v>0.91123724662673466</v>
      </c>
      <c r="AI46" s="21">
        <v>0</v>
      </c>
      <c r="AK46" s="22">
        <f>8*(AG46-$AG$6)/(2*($AA$6-AA46)+2*($AI$6-AI46))</f>
        <v>0.66983018624869439</v>
      </c>
      <c r="AL46" s="22"/>
      <c r="AM46" s="22">
        <f>(AG46-$AG$6)/(($AA$6-AA46)+($AI$6-AI46))</f>
        <v>0.1674575465621736</v>
      </c>
      <c r="AN46" s="22"/>
      <c r="AO46" s="37">
        <f>8*(BW46-$BW$6)/(2*($AA$6-AA46)+2*($AI$6-AI46))</f>
        <v>0.33855701091850426</v>
      </c>
      <c r="AQ46" s="37">
        <f>(BW46-$BW$6)/(($AA$6-AA46)+($AI$6-AI46))</f>
        <v>8.4639252729626066E-2</v>
      </c>
      <c r="AS46" s="37">
        <f>14*(BX46-$BX$6)/(2*($AA$6-AA46)+2*($AI$6-AI46))</f>
        <v>6.9025166075471645E-3</v>
      </c>
      <c r="AU46" s="37">
        <f>(BX46-$BX$6)/(($AA$6-AA46)+($AI$6-AI46))</f>
        <v>9.8607380107816655E-4</v>
      </c>
      <c r="BG46" s="37">
        <v>554.53</v>
      </c>
      <c r="BI46" s="2">
        <v>7.95</v>
      </c>
      <c r="BK46" s="2">
        <v>0</v>
      </c>
      <c r="BM46" s="2">
        <v>0</v>
      </c>
      <c r="BO46" s="22">
        <f>(BG46/1000)/60.2*1000</f>
        <v>9.2114617940199324</v>
      </c>
      <c r="BQ46" s="2">
        <f>BI46/74.08</f>
        <v>0.10731641468682505</v>
      </c>
      <c r="BS46" s="2">
        <f>(BK46/1000)/88.12*1000</f>
        <v>0</v>
      </c>
      <c r="BU46" s="2">
        <f>BM46/88.12</f>
        <v>0</v>
      </c>
      <c r="BW46" s="52">
        <f>BO46*0.05</f>
        <v>0.46057308970099664</v>
      </c>
      <c r="BX46" s="51">
        <f t="shared" si="3"/>
        <v>5.365820734341253E-3</v>
      </c>
      <c r="BY46" s="51">
        <f t="shared" si="4"/>
        <v>0</v>
      </c>
      <c r="BZ46" s="67">
        <f t="shared" si="5"/>
        <v>0</v>
      </c>
    </row>
    <row r="47" spans="1:78" x14ac:dyDescent="0.3">
      <c r="A47" s="192"/>
      <c r="B47" s="70" t="s">
        <v>102</v>
      </c>
      <c r="C47" s="20">
        <v>5</v>
      </c>
      <c r="D47" s="69"/>
      <c r="E47" s="21"/>
      <c r="F47" s="52">
        <v>1.3260000000000001</v>
      </c>
      <c r="H47" s="37">
        <v>0.27400000000000002</v>
      </c>
      <c r="I47" s="52">
        <f>H47*0.2907</f>
        <v>7.9651800000000009E-2</v>
      </c>
      <c r="K47" s="53">
        <f>(I47-$I$7)/($AA$7/1000-AA47/1000)*0.05</f>
        <v>0.33008425714085682</v>
      </c>
      <c r="L47" s="68"/>
      <c r="M47" s="22">
        <v>2.5401969384408494</v>
      </c>
      <c r="O47" s="21">
        <v>0</v>
      </c>
      <c r="Q47" s="21">
        <v>0.36357116647546811</v>
      </c>
      <c r="S47" s="21">
        <v>81.472845614430327</v>
      </c>
      <c r="U47" s="21">
        <v>15.623386280653371</v>
      </c>
      <c r="W47" s="21">
        <v>0</v>
      </c>
      <c r="Y47" s="22">
        <v>0.15162593118390175</v>
      </c>
      <c r="AA47" s="21">
        <v>0</v>
      </c>
      <c r="AC47" s="21">
        <v>2.1701788485067843E-2</v>
      </c>
      <c r="AE47" s="21">
        <v>4.8631647001640248</v>
      </c>
      <c r="AG47" s="21">
        <v>0.93256961978069264</v>
      </c>
      <c r="AI47" s="21">
        <v>0</v>
      </c>
      <c r="AK47" s="22">
        <f>8*(AG47-$AG$7)/(2*($AA$7-AA47)+2*($AI$7-AI47))</f>
        <v>0.67770551122656453</v>
      </c>
      <c r="AL47" s="22"/>
      <c r="AM47" s="22">
        <f>(AG47-$AG$7)/(($AA$7-AA47)+($AI$7-AI47))</f>
        <v>0.16942637780664113</v>
      </c>
      <c r="AN47" s="22"/>
      <c r="AO47" s="37">
        <f>8*(BW47-$BW$7)/(2*($AA$7-AA47)+2*($AI$7-AI47))</f>
        <v>0.35220576122367769</v>
      </c>
      <c r="AQ47" s="37">
        <f>(BW47-$BW$7)/(($AA$7-AA47)+($AI$7-AI47))</f>
        <v>8.8051440305919423E-2</v>
      </c>
      <c r="AS47" s="37">
        <f>14*(BX47-$BX$7)/(2*($AA$7-AA47)+2*($AI$7-AI47))</f>
        <v>7.338933426457874E-3</v>
      </c>
      <c r="AU47" s="37">
        <f>(BX47-$BX$7)/(($AA$7-AA47)+($AI$7-AI47))</f>
        <v>1.0484190609225535E-3</v>
      </c>
      <c r="BG47" s="37">
        <v>583.53</v>
      </c>
      <c r="BI47" s="2">
        <v>8.5500000000000007</v>
      </c>
      <c r="BK47" s="2">
        <v>0</v>
      </c>
      <c r="BM47" s="2">
        <v>0</v>
      </c>
      <c r="BO47" s="22">
        <f>(BG47/1000)/60.2*1000</f>
        <v>9.6931893687707635</v>
      </c>
      <c r="BQ47" s="2">
        <f>BI47/74.08</f>
        <v>0.11541576673866091</v>
      </c>
      <c r="BS47" s="2">
        <f>(BK47/1000)/88.12*1000</f>
        <v>0</v>
      </c>
      <c r="BU47" s="2">
        <f>BM47/88.12</f>
        <v>0</v>
      </c>
      <c r="BW47" s="52">
        <f>BO47*0.05</f>
        <v>0.48465946843853819</v>
      </c>
      <c r="BX47" s="51">
        <f t="shared" si="3"/>
        <v>5.7707883369330464E-3</v>
      </c>
      <c r="BY47" s="51">
        <f t="shared" si="4"/>
        <v>0</v>
      </c>
      <c r="BZ47" s="67">
        <f t="shared" si="5"/>
        <v>0</v>
      </c>
    </row>
    <row r="48" spans="1:78" x14ac:dyDescent="0.3">
      <c r="A48" s="192"/>
      <c r="B48" s="83" t="s">
        <v>63</v>
      </c>
      <c r="C48" s="80">
        <v>5</v>
      </c>
      <c r="D48" s="79"/>
      <c r="E48" s="76"/>
      <c r="F48" s="74">
        <f>AVERAGE(F45:F47)</f>
        <v>1.3033333333333335</v>
      </c>
      <c r="G48" s="73">
        <f>_xlfn.STDEV.S(F45:F47)</f>
        <v>3.1005375877955987E-2</v>
      </c>
      <c r="H48" s="78">
        <f>AVERAGE(H45:H47)</f>
        <v>0.28433333333333333</v>
      </c>
      <c r="I48" s="74">
        <f>AVERAGE(I45:I47)</f>
        <v>8.2655699999999999E-2</v>
      </c>
      <c r="J48" s="82">
        <f>_xlfn.STDEV.S(I45:I47)</f>
        <v>2.637745440712571E-3</v>
      </c>
      <c r="K48" s="74">
        <f>AVERAGE(K45:K47)</f>
        <v>0.32976237109201212</v>
      </c>
      <c r="L48" s="81">
        <f>_xlfn.STDEV.S(K45:K47)</f>
        <v>1.0936512798123551E-3</v>
      </c>
      <c r="M48" s="77">
        <f>AVERAGE(M45:M47)</f>
        <v>2.3397625238447413</v>
      </c>
      <c r="N48" s="76">
        <f>_xlfn.STDEV.S(M45:M47)</f>
        <v>0.22584142542942592</v>
      </c>
      <c r="O48" s="76">
        <f>AVERAGE(O45:O47)</f>
        <v>0</v>
      </c>
      <c r="P48" s="76">
        <f>_xlfn.STDEV.S(O45:O47)</f>
        <v>0</v>
      </c>
      <c r="Q48" s="76">
        <f>AVERAGE(Q45:Q47)</f>
        <v>0.2497947705264163</v>
      </c>
      <c r="R48" s="76">
        <f>_xlfn.STDEV.S(Q45:Q47)</f>
        <v>9.8743985313679922E-2</v>
      </c>
      <c r="S48" s="76">
        <f>AVERAGE(S45:S47)</f>
        <v>81.680983876980051</v>
      </c>
      <c r="T48" s="76">
        <f>_xlfn.STDEV.S(S45:S47)</f>
        <v>0.18287736994521395</v>
      </c>
      <c r="U48" s="76">
        <f>AVERAGE(U45:U47)</f>
        <v>15.729458828648788</v>
      </c>
      <c r="V48" s="76">
        <f>_xlfn.STDEV.S(U45:U47)</f>
        <v>0.20368691223936999</v>
      </c>
      <c r="W48" s="76">
        <f>AVERAGE(W45:W47)</f>
        <v>0</v>
      </c>
      <c r="X48" s="76">
        <f>_xlfn.STDEV.S(W45:W47)</f>
        <v>0</v>
      </c>
      <c r="Y48" s="77">
        <f>AVERAGE(Y45:Y47)</f>
        <v>0.13748081108371416</v>
      </c>
      <c r="Z48" s="76">
        <f>_xlfn.STDEV.S(Y45:Y47)</f>
        <v>1.6345873712702193E-2</v>
      </c>
      <c r="AA48" s="76">
        <f>AVERAGE(AA45:AA47)</f>
        <v>0</v>
      </c>
      <c r="AB48" s="76">
        <f>_xlfn.STDEV.S(AA45:AA47)</f>
        <v>0</v>
      </c>
      <c r="AC48" s="76">
        <f>AVERAGE(AC45:AC47)</f>
        <v>1.4718216105126447E-2</v>
      </c>
      <c r="AD48" s="76">
        <f>_xlfn.STDEV.S(AC45:AC47)</f>
        <v>6.0760252342773637E-3</v>
      </c>
      <c r="AE48" s="76">
        <f>AVERAGE(AE45:AE47)</f>
        <v>4.7921612544304208</v>
      </c>
      <c r="AF48" s="76">
        <f>_xlfn.STDEV.S(AE45:AE47)</f>
        <v>0.10912756543947404</v>
      </c>
      <c r="AG48" s="76">
        <f>AVERAGE(AG45:AG47)</f>
        <v>0.92266650945401985</v>
      </c>
      <c r="AH48" s="76">
        <f>_xlfn.STDEV.S(AG45:AG47)</f>
        <v>1.0747762194348682E-2</v>
      </c>
      <c r="AI48" s="76">
        <f>AVERAGE(AI45:AI47)</f>
        <v>0</v>
      </c>
      <c r="AJ48" s="75">
        <f>_xlfn.STDEV.S(AI45:AI47)</f>
        <v>0</v>
      </c>
      <c r="AK48" s="77">
        <f>AVERAGE(AK45:AK47)</f>
        <v>0.67344098025814425</v>
      </c>
      <c r="AL48" s="77">
        <f>_xlfn.STDEV.S(AK45:AK47)</f>
        <v>3.9781547085815088E-3</v>
      </c>
      <c r="AM48" s="77">
        <f>AVERAGE(AM45:AM47)</f>
        <v>0.16836024506453606</v>
      </c>
      <c r="AN48" s="77">
        <f>_xlfn.STDEV.S(AM45:AM47)</f>
        <v>9.945386771453772E-4</v>
      </c>
      <c r="AO48" s="78">
        <f>AVERAGE(AO45:AO47)</f>
        <v>0.35088171036944837</v>
      </c>
      <c r="AP48" s="78">
        <f>_xlfn.STDEV.S(AO45:AO47)</f>
        <v>1.1718907730012386E-2</v>
      </c>
      <c r="AQ48" s="78">
        <f>AVERAGE(AQ45:AQ47)</f>
        <v>8.7720427592362094E-2</v>
      </c>
      <c r="AR48" s="78">
        <f>_xlfn.STDEV.S(AQ45:AQ47)</f>
        <v>2.9297269325030966E-3</v>
      </c>
      <c r="AS48" s="78">
        <f>AVERAGE(AS45:AS47)</f>
        <v>7.1919880165861099E-3</v>
      </c>
      <c r="AT48" s="78">
        <f>_xlfn.STDEV.S(AS45:AS47)</f>
        <v>2.5069933244025236E-4</v>
      </c>
      <c r="AU48" s="78">
        <f>AVERAGE(AU45:AU47)</f>
        <v>1.0274268595123015E-3</v>
      </c>
      <c r="AV48" s="80">
        <f>_xlfn.STDEV.S(AU45:AU47)</f>
        <v>3.5814190348607434E-5</v>
      </c>
      <c r="AW48" s="80"/>
      <c r="AX48" s="80"/>
      <c r="AY48" s="79">
        <f>SUM(AK48,AO48,AS48)</f>
        <v>1.0315146786441787</v>
      </c>
      <c r="AZ48" s="77">
        <f>SUM(AL48,AP48,AT48)</f>
        <v>1.5947761771034148E-2</v>
      </c>
      <c r="BA48" s="78"/>
      <c r="BB48" s="78"/>
      <c r="BC48" s="78"/>
      <c r="BD48" s="78"/>
      <c r="BE48" s="78"/>
      <c r="BF48" s="78"/>
      <c r="BG48" s="78"/>
      <c r="BH48" s="75"/>
      <c r="BI48" s="75"/>
      <c r="BJ48" s="75"/>
      <c r="BK48" s="75"/>
      <c r="BL48" s="75"/>
      <c r="BM48" s="75"/>
      <c r="BN48" s="75"/>
      <c r="BO48" s="77">
        <f>AVERAGE(BO45:BO47)</f>
        <v>9.6156146179401976</v>
      </c>
      <c r="BP48" s="76">
        <f>_xlfn.STDEV.S(BO45:BO47)</f>
        <v>0.37149063573132729</v>
      </c>
      <c r="BQ48" s="75">
        <f>AVERAGE(BQ45:BQ47)</f>
        <v>0.11262598992080634</v>
      </c>
      <c r="BR48" s="75">
        <f>_xlfn.STDEV.S(BQ45:BQ47)</f>
        <v>4.6002080342448003E-3</v>
      </c>
      <c r="BS48" s="75">
        <f>AVERAGE(BS45:BS47)</f>
        <v>0</v>
      </c>
      <c r="BT48" s="75">
        <f>_xlfn.STDEV.S(BS45:BS47)</f>
        <v>0</v>
      </c>
      <c r="BU48" s="75">
        <f>AVERAGE(BU45:BU47)</f>
        <v>0</v>
      </c>
      <c r="BV48" s="75">
        <f>_xlfn.STDEV.S(BU45:BU47)</f>
        <v>0</v>
      </c>
      <c r="BW48" s="74">
        <f>AVERAGE(BW45:BW47)</f>
        <v>0.48078073089700996</v>
      </c>
      <c r="BX48" s="73">
        <f t="shared" si="3"/>
        <v>5.6312994960403175E-3</v>
      </c>
      <c r="BY48" s="73">
        <f t="shared" si="4"/>
        <v>0</v>
      </c>
      <c r="BZ48" s="72">
        <f t="shared" si="5"/>
        <v>0</v>
      </c>
    </row>
    <row r="49" spans="1:78" x14ac:dyDescent="0.3">
      <c r="A49" s="191" t="s">
        <v>58</v>
      </c>
      <c r="B49" s="70" t="s">
        <v>101</v>
      </c>
      <c r="C49" s="20">
        <v>5</v>
      </c>
      <c r="D49" s="69"/>
      <c r="E49" s="21"/>
      <c r="F49" s="52">
        <v>1.228</v>
      </c>
      <c r="H49" s="37">
        <v>0.42799999999999999</v>
      </c>
      <c r="I49" s="52">
        <f>H49*0.2907</f>
        <v>0.12441960000000001</v>
      </c>
      <c r="K49" s="53">
        <f>(I49-$I$9)/($AA$9/1000-AA49/1000)*0.05</f>
        <v>0.72983406091909975</v>
      </c>
      <c r="L49" s="68"/>
      <c r="M49" s="22">
        <v>1.2233797119882055</v>
      </c>
      <c r="O49" s="21">
        <v>2.9092572429841432</v>
      </c>
      <c r="Q49" s="21">
        <v>0.19955082453205678</v>
      </c>
      <c r="S49" s="21">
        <v>95.234292894185558</v>
      </c>
      <c r="U49" s="21">
        <v>0.43351932631003054</v>
      </c>
      <c r="W49" s="21">
        <v>0</v>
      </c>
      <c r="Y49" s="22">
        <v>6.7627325051304144E-2</v>
      </c>
      <c r="AA49" s="21">
        <v>0.16082111163132187</v>
      </c>
      <c r="AC49" s="21">
        <v>1.1030989269025302E-2</v>
      </c>
      <c r="AE49" s="21">
        <v>5.2644656589239585</v>
      </c>
      <c r="AG49" s="21">
        <v>2.3964556636912313E-2</v>
      </c>
      <c r="AI49" s="21">
        <v>0</v>
      </c>
      <c r="AO49" s="37">
        <f>8*(BW49-$BV$9)/(2*($AA$9-AA49)+2*($AI$9-AI49))</f>
        <v>0.70447251568186253</v>
      </c>
      <c r="AQ49" s="37">
        <f>(BW49-$BW$9)/(($AA$9-AA49)+($AI$9-AI49))</f>
        <v>0.17610285255788491</v>
      </c>
      <c r="AS49" s="37">
        <f>14*(BX49-$BX$9)/(2*($AA$9-AA49)+2*($AI$9-AI49))</f>
        <v>1.1166489013351464E-2</v>
      </c>
      <c r="AU49" s="37">
        <f>(BX49-$BX$9)/(($AA$9-AA49)+($AI$9-AI49))</f>
        <v>1.5952127161930664E-3</v>
      </c>
      <c r="BG49" s="37">
        <v>1152.8800000000001</v>
      </c>
      <c r="BI49" s="2">
        <v>12.85</v>
      </c>
      <c r="BK49" s="2">
        <v>0</v>
      </c>
      <c r="BM49" s="2">
        <v>0</v>
      </c>
      <c r="BO49" s="22">
        <f>(BG49/1000)/60.2*1000</f>
        <v>19.150830564784055</v>
      </c>
      <c r="BQ49" s="2">
        <f>BI49/74.08</f>
        <v>0.17346112311015119</v>
      </c>
      <c r="BS49" s="2">
        <f>(BK49/1000)/88.12*1000</f>
        <v>0</v>
      </c>
      <c r="BU49" s="2">
        <f>BM49/88.12</f>
        <v>0</v>
      </c>
      <c r="BW49" s="52">
        <f>BO49*0.05</f>
        <v>0.9575415282392028</v>
      </c>
      <c r="BX49" s="51">
        <f t="shared" si="3"/>
        <v>8.6730561555075601E-3</v>
      </c>
      <c r="BY49" s="51">
        <f t="shared" si="4"/>
        <v>0</v>
      </c>
      <c r="BZ49" s="67">
        <f t="shared" si="5"/>
        <v>0</v>
      </c>
    </row>
    <row r="50" spans="1:78" x14ac:dyDescent="0.3">
      <c r="A50" s="192"/>
      <c r="B50" s="70" t="s">
        <v>100</v>
      </c>
      <c r="C50" s="20">
        <v>5</v>
      </c>
      <c r="D50" s="69"/>
      <c r="E50" s="21"/>
      <c r="F50" s="52">
        <v>1.19</v>
      </c>
      <c r="H50" s="37">
        <v>0.41699999999999998</v>
      </c>
      <c r="I50" s="52">
        <f>H50*0.2907</f>
        <v>0.12122190000000001</v>
      </c>
      <c r="K50" s="53">
        <f>(I50-$I$10)/($AA$10/1000-AA50/1000)*0.05</f>
        <v>0.70866317129068368</v>
      </c>
      <c r="L50" s="68"/>
      <c r="M50" s="22">
        <v>0.84487169165478637</v>
      </c>
      <c r="O50" s="21">
        <v>0.58792616056155245</v>
      </c>
      <c r="Q50" s="21">
        <v>0.21263668310119418</v>
      </c>
      <c r="S50" s="21">
        <v>98.053444363069346</v>
      </c>
      <c r="U50" s="21">
        <v>0.30112110161311467</v>
      </c>
      <c r="W50" s="21">
        <v>0</v>
      </c>
      <c r="Y50" s="22">
        <v>4.5258513847442929E-2</v>
      </c>
      <c r="AA50" s="21">
        <v>3.1494325756059594E-2</v>
      </c>
      <c r="AC50" s="21">
        <v>1.139062932474477E-2</v>
      </c>
      <c r="AE50" s="21">
        <v>5.2525764720599852</v>
      </c>
      <c r="AG50" s="21">
        <v>1.6130607383023698E-2</v>
      </c>
      <c r="AI50" s="21">
        <v>0</v>
      </c>
      <c r="AO50" s="37">
        <f>8*(BW50-$BV$10)/(2*($AA$10-AA50)+2*($AI$10-AI50))</f>
        <v>0.71634999238728292</v>
      </c>
      <c r="AQ50" s="37">
        <f>(BW50-$BW$10)/(($AA$10-AA50)+($AI$10-AI50))</f>
        <v>0.17908749809682073</v>
      </c>
      <c r="AS50" s="37">
        <f>14*(BX50-$BX$10)/(2*($AA$10-AA50)+2*($AI$10-AI50))</f>
        <v>1.3375827136331776E-2</v>
      </c>
      <c r="AU50" s="37">
        <f>(BX50-$BX$10)/(($AA$10-AA50)+($AI$10-AI50))</f>
        <v>1.9108324480473964E-3</v>
      </c>
      <c r="BG50" s="37">
        <v>1189.6500000000001</v>
      </c>
      <c r="BI50" s="2">
        <v>15.62</v>
      </c>
      <c r="BK50" s="2">
        <v>0</v>
      </c>
      <c r="BM50" s="2">
        <v>0</v>
      </c>
      <c r="BO50" s="22">
        <f>(BG50/1000)/60.2*1000</f>
        <v>19.761627906976745</v>
      </c>
      <c r="BQ50" s="2">
        <f>BI50/74.08</f>
        <v>0.21085313174946005</v>
      </c>
      <c r="BS50" s="2">
        <f>(BK50/1000)/88.12*1000</f>
        <v>0</v>
      </c>
      <c r="BU50" s="2">
        <f>BM50/88.12</f>
        <v>0</v>
      </c>
      <c r="BW50" s="52">
        <f>BO50*0.05</f>
        <v>0.98808139534883732</v>
      </c>
      <c r="BX50" s="51">
        <f t="shared" si="3"/>
        <v>1.0542656587473003E-2</v>
      </c>
      <c r="BY50" s="51">
        <f t="shared" si="4"/>
        <v>0</v>
      </c>
      <c r="BZ50" s="67">
        <f t="shared" si="5"/>
        <v>0</v>
      </c>
    </row>
    <row r="51" spans="1:78" x14ac:dyDescent="0.3">
      <c r="A51" s="192"/>
      <c r="B51" s="70" t="s">
        <v>99</v>
      </c>
      <c r="C51" s="20">
        <v>5</v>
      </c>
      <c r="D51" s="69"/>
      <c r="E51" s="21"/>
      <c r="F51" s="52">
        <v>1.254</v>
      </c>
      <c r="G51" s="67"/>
      <c r="H51" s="37">
        <v>0.41299999999999998</v>
      </c>
      <c r="I51" s="52">
        <f>H51*0.2907</f>
        <v>0.1200591</v>
      </c>
      <c r="K51" s="53">
        <f>(I51-$I$11)/($AA$11/1000-AA51/1000)*0.05</f>
        <v>0.73806335188545602</v>
      </c>
      <c r="L51" s="68"/>
      <c r="M51" s="22">
        <v>1.0994530143687018</v>
      </c>
      <c r="O51" s="21">
        <v>2.9037379050760719</v>
      </c>
      <c r="Q51" s="21">
        <v>0.17491245332732641</v>
      </c>
      <c r="S51" s="21">
        <v>95.456616306389719</v>
      </c>
      <c r="U51" s="21">
        <v>0.36528032083819051</v>
      </c>
      <c r="W51" s="21">
        <v>0</v>
      </c>
      <c r="Y51" s="22">
        <v>6.2063573744483028E-2</v>
      </c>
      <c r="AA51" s="21">
        <v>0.16391455501153765</v>
      </c>
      <c r="AC51" s="21">
        <v>9.8737206629445923E-3</v>
      </c>
      <c r="AE51" s="21">
        <v>5.3884783325026184</v>
      </c>
      <c r="AG51" s="21">
        <v>2.0619891740227533E-2</v>
      </c>
      <c r="AI51" s="21">
        <v>0</v>
      </c>
      <c r="AO51" s="37">
        <f>8*(BW51-$BV$11)/(2*($AA$11-AA51)+2*($AI$11-AI51))</f>
        <v>0.73578461389427119</v>
      </c>
      <c r="AQ51" s="37">
        <f>(BW51-$BW$10)/(($AA$10-AA51)+($AI$10-AI51))</f>
        <v>0.18499837498731153</v>
      </c>
      <c r="AS51" s="37">
        <f>14*(BX51-$BX$11)/(2*($AA$11-AA51)+2*($AI$11-AI51))</f>
        <v>1.6200368216800536E-2</v>
      </c>
      <c r="AU51" s="37">
        <f>(BX51-$BX$11)/(($AA$11-AA51)+($AI$11-AI51))</f>
        <v>2.3143383166857913E-3</v>
      </c>
      <c r="BG51" s="37">
        <v>1199.42</v>
      </c>
      <c r="BI51" s="2">
        <v>18.57</v>
      </c>
      <c r="BK51" s="2">
        <v>0</v>
      </c>
      <c r="BM51" s="2">
        <v>0</v>
      </c>
      <c r="BO51" s="22">
        <f>(BG51/1000)/60.2*1000</f>
        <v>19.923920265780733</v>
      </c>
      <c r="BQ51" s="2">
        <f>BI51/74.08</f>
        <v>0.25067494600431967</v>
      </c>
      <c r="BS51" s="2">
        <f>(BK51/1000)/88.12*1000</f>
        <v>0</v>
      </c>
      <c r="BU51" s="2">
        <f>BM51/88.12</f>
        <v>0</v>
      </c>
      <c r="BW51" s="52">
        <f>BO51*0.05</f>
        <v>0.99619601328903673</v>
      </c>
      <c r="BX51" s="51">
        <f t="shared" si="3"/>
        <v>1.2533747300215984E-2</v>
      </c>
      <c r="BY51" s="51">
        <f t="shared" si="4"/>
        <v>0</v>
      </c>
      <c r="BZ51" s="67">
        <f t="shared" si="5"/>
        <v>0</v>
      </c>
    </row>
    <row r="52" spans="1:78" ht="15" thickBot="1" x14ac:dyDescent="0.35">
      <c r="A52" s="192"/>
      <c r="B52" s="66" t="s">
        <v>63</v>
      </c>
      <c r="C52" s="65">
        <v>5</v>
      </c>
      <c r="D52" s="64"/>
      <c r="E52" s="58"/>
      <c r="F52" s="56">
        <f>AVERAGE(F49:F51)</f>
        <v>1.224</v>
      </c>
      <c r="G52" s="55">
        <f>_xlfn.STDEV.S(F49:F51)</f>
        <v>3.2186953878862189E-2</v>
      </c>
      <c r="H52" s="60">
        <f>AVERAGE(H49:H51)</f>
        <v>0.41933333333333334</v>
      </c>
      <c r="I52" s="56">
        <f>AVERAGE(I49:I51)</f>
        <v>0.12190020000000001</v>
      </c>
      <c r="J52" s="63">
        <f>_xlfn.STDEV.S(I49:I51)</f>
        <v>2.2579987223202776E-3</v>
      </c>
      <c r="K52" s="63">
        <f>AVERAGE(K49:K51)</f>
        <v>0.725520194698413</v>
      </c>
      <c r="L52" s="62">
        <f>_xlfn.STDEV.S(K49:K51)</f>
        <v>1.5167390549425194E-2</v>
      </c>
      <c r="M52" s="59">
        <f>AVERAGE(M49:M51)</f>
        <v>1.0559014726705647</v>
      </c>
      <c r="N52" s="58">
        <f>_xlfn.STDEV.S(M49:M51)</f>
        <v>0.19297573151148958</v>
      </c>
      <c r="O52" s="58">
        <f>AVERAGE(O49:O51)</f>
        <v>2.1336404362072559</v>
      </c>
      <c r="P52" s="58">
        <f>_xlfn.STDEV.S(O49:O51)</f>
        <v>1.3386306743175758</v>
      </c>
      <c r="Q52" s="58">
        <f>AVERAGE(Q49:Q51)</f>
        <v>0.19569998698685911</v>
      </c>
      <c r="R52" s="58">
        <f>_xlfn.STDEV.S(Q49:Q51)</f>
        <v>1.9154662366053881E-2</v>
      </c>
      <c r="S52" s="58">
        <f>AVERAGE(S49:S51)</f>
        <v>96.248117854548198</v>
      </c>
      <c r="T52" s="58">
        <f>_xlfn.STDEV.S(S49:S51)</f>
        <v>1.5674054283051237</v>
      </c>
      <c r="U52" s="58">
        <f>AVERAGE(U49:U51)</f>
        <v>0.36664024958711189</v>
      </c>
      <c r="V52" s="58">
        <f>_xlfn.STDEV.S(U49:U51)</f>
        <v>6.6209587903682018E-2</v>
      </c>
      <c r="W52" s="58">
        <f>AVERAGE(W49:W51)</f>
        <v>0</v>
      </c>
      <c r="X52" s="58">
        <f>_xlfn.STDEV.S(W49:W51)</f>
        <v>0</v>
      </c>
      <c r="Y52" s="59">
        <f>AVERAGE(Y49:Y51)</f>
        <v>5.83164708810767E-2</v>
      </c>
      <c r="Z52" s="58">
        <f>_xlfn.STDEV.S(Y49:Y51)</f>
        <v>1.1645665011934999E-2</v>
      </c>
      <c r="AA52" s="58">
        <f>AVERAGE(AA49:AA51)</f>
        <v>0.11874333079963971</v>
      </c>
      <c r="AB52" s="58">
        <f>_xlfn.STDEV.S(AA49:AA51)</f>
        <v>7.5575683978430883E-2</v>
      </c>
      <c r="AC52" s="58">
        <f>AVERAGE(AC49:AC51)</f>
        <v>1.0765113085571555E-2</v>
      </c>
      <c r="AD52" s="58">
        <f>_xlfn.STDEV.S(AC49:AC51)</f>
        <v>7.9263521291767609E-4</v>
      </c>
      <c r="AE52" s="58">
        <f>AVERAGE(AE49:AE51)</f>
        <v>5.3018401544955207</v>
      </c>
      <c r="AF52" s="58">
        <f>_xlfn.STDEV.S(AE49:AE51)</f>
        <v>7.5265985726380963E-2</v>
      </c>
      <c r="AG52" s="58">
        <f>AVERAGE(AG49:AG51)</f>
        <v>2.0238351920054517E-2</v>
      </c>
      <c r="AH52" s="58">
        <f>_xlfn.STDEV.S(AG49:AG51)</f>
        <v>3.9308866307626762E-3</v>
      </c>
      <c r="AI52" s="58">
        <f>AVERAGE(AI49:AI51)</f>
        <v>0</v>
      </c>
      <c r="AJ52" s="57">
        <f>_xlfn.STDEV.S(AI49:AI51)</f>
        <v>0</v>
      </c>
      <c r="AK52" s="60"/>
      <c r="AL52" s="60"/>
      <c r="AM52" s="60"/>
      <c r="AN52" s="60"/>
      <c r="AO52" s="60">
        <f>AVERAGE(AO49:AO51)</f>
        <v>0.7188690406544721</v>
      </c>
      <c r="AP52" s="60">
        <f>_xlfn.STDEV.S(AO49:AO51)</f>
        <v>1.5807310863812457E-2</v>
      </c>
      <c r="AQ52" s="60">
        <f>AVERAGE(AQ49:AQ51)</f>
        <v>0.18006290854733906</v>
      </c>
      <c r="AR52" s="60">
        <f>_xlfn.STDEV.S(AQ49:AQ51)</f>
        <v>4.5272672754481042E-3</v>
      </c>
      <c r="AS52" s="60">
        <f>AVERAGE(AS49:AS51)</f>
        <v>1.3580894788827924E-2</v>
      </c>
      <c r="AT52" s="60">
        <f>_xlfn.STDEV.S(AS49:AS51)</f>
        <v>2.5231972802982482E-3</v>
      </c>
      <c r="AU52" s="60">
        <f>AVERAGE(AU49:AU51)</f>
        <v>1.9401278269754179E-3</v>
      </c>
      <c r="AV52" s="60">
        <f>_xlfn.STDEV.S(AU49:AU51)</f>
        <v>3.6045675432832137E-4</v>
      </c>
      <c r="AW52" s="60"/>
      <c r="AX52" s="60"/>
      <c r="AY52" s="59">
        <f>SUM(AK52,AO52,AS52)</f>
        <v>0.73244993544330006</v>
      </c>
      <c r="AZ52" s="59">
        <f>SUM(AL52,AP52,AT52)</f>
        <v>1.8330508144110705E-2</v>
      </c>
      <c r="BA52" s="60"/>
      <c r="BB52" s="60"/>
      <c r="BC52" s="60"/>
      <c r="BD52" s="60"/>
      <c r="BE52" s="60"/>
      <c r="BF52" s="60"/>
      <c r="BG52" s="60"/>
      <c r="BH52" s="57"/>
      <c r="BI52" s="57"/>
      <c r="BJ52" s="57"/>
      <c r="BK52" s="57"/>
      <c r="BL52" s="57"/>
      <c r="BM52" s="57"/>
      <c r="BN52" s="57"/>
      <c r="BO52" s="59">
        <f>AVERAGE(BO49:BO51)</f>
        <v>19.612126245847179</v>
      </c>
      <c r="BP52" s="58">
        <f>_xlfn.STDEV.S(BO49:BO51)</f>
        <v>0.40765178946885328</v>
      </c>
      <c r="BQ52" s="57">
        <f>AVERAGE(BQ49:BQ51)</f>
        <v>0.21166306695464362</v>
      </c>
      <c r="BR52" s="57">
        <f>_xlfn.STDEV.S(BQ49:BQ51)</f>
        <v>3.8613282789222506E-2</v>
      </c>
      <c r="BS52" s="57">
        <f>AVERAGE(BS49:BS51)</f>
        <v>0</v>
      </c>
      <c r="BT52" s="57">
        <f>_xlfn.STDEV.S(BS49:BS51)</f>
        <v>0</v>
      </c>
      <c r="BU52" s="57">
        <f>AVERAGE(BU49:BU51)</f>
        <v>0</v>
      </c>
      <c r="BV52" s="57">
        <f>_xlfn.STDEV.S(BU49:BU51)</f>
        <v>0</v>
      </c>
      <c r="BW52" s="56">
        <f>AVERAGE(BW49:BW51)</f>
        <v>0.98060631229235895</v>
      </c>
      <c r="BX52" s="55">
        <f t="shared" si="3"/>
        <v>1.0583153347732181E-2</v>
      </c>
      <c r="BY52" s="55">
        <f t="shared" si="4"/>
        <v>0</v>
      </c>
      <c r="BZ52" s="54">
        <f t="shared" si="5"/>
        <v>0</v>
      </c>
    </row>
    <row r="53" spans="1:78" x14ac:dyDescent="0.3">
      <c r="A53" s="191" t="s">
        <v>57</v>
      </c>
      <c r="B53" s="95" t="s">
        <v>104</v>
      </c>
      <c r="C53" s="94">
        <v>6</v>
      </c>
      <c r="D53" s="93"/>
      <c r="E53" s="88"/>
      <c r="F53" s="86">
        <v>1.286</v>
      </c>
      <c r="G53" s="85"/>
      <c r="H53" s="90">
        <v>0.27</v>
      </c>
      <c r="I53" s="86">
        <f>H53*0.2907</f>
        <v>7.8489000000000003E-2</v>
      </c>
      <c r="J53" s="92"/>
      <c r="K53" s="92">
        <f>(I53-$I$5)/($AA$5/1000-AA53/1000)*0.05</f>
        <v>0.27510825132224631</v>
      </c>
      <c r="L53" s="91"/>
      <c r="M53" s="89">
        <v>2.5171629805152618</v>
      </c>
      <c r="O53" s="21">
        <v>0</v>
      </c>
      <c r="P53" s="88"/>
      <c r="Q53" s="88">
        <v>0.18154219365637111</v>
      </c>
      <c r="S53" s="21">
        <v>81.679429665854073</v>
      </c>
      <c r="T53" s="88"/>
      <c r="U53" s="88">
        <v>15.621865159974277</v>
      </c>
      <c r="W53" s="21">
        <v>0</v>
      </c>
      <c r="X53" s="88"/>
      <c r="Y53" s="89">
        <v>0.14571856082161111</v>
      </c>
      <c r="AA53" s="21">
        <v>0</v>
      </c>
      <c r="AC53" s="21">
        <v>1.0509477293595621E-2</v>
      </c>
      <c r="AE53" s="21">
        <v>4.7284220496528553</v>
      </c>
      <c r="AG53" s="21">
        <v>0.90434974853902494</v>
      </c>
      <c r="AI53" s="21">
        <v>0</v>
      </c>
      <c r="AJ53" s="88"/>
      <c r="AK53" s="89">
        <f>8*(AG53-$AG$5)/(2*($AA$5-AA53)+2*($AI$5-AI53))</f>
        <v>0.65834213940960629</v>
      </c>
      <c r="AL53" s="89"/>
      <c r="AM53" s="89">
        <f>(AG53-$AG$5)/(($AA$5-AA53)+($AI$5-AI53))</f>
        <v>0.16458553485240157</v>
      </c>
      <c r="AN53" s="89"/>
      <c r="AO53" s="37">
        <f>8*(BW53-$BW$5)/(2*($AA$5-AA53)+2*($AI$5-AI53))</f>
        <v>0.36309161633088327</v>
      </c>
      <c r="AQ53" s="37">
        <f>(BW53-$BW$5)/(($AA$5-AA53)+($AI$5-AI53))</f>
        <v>9.0772904082720818E-2</v>
      </c>
      <c r="AS53" s="37">
        <f>14*(BX53-$BX$5)/(2*($AA$5-AA53)+2*($AI$5-AI53))</f>
        <v>8.013794915219306E-3</v>
      </c>
      <c r="AU53" s="37">
        <f>(BX53-$BX$5)/(($AA$5-AA53)+($AI$5-AI53))</f>
        <v>1.1448278450313294E-3</v>
      </c>
      <c r="AY53" s="90"/>
      <c r="AZ53" s="90"/>
      <c r="BA53" s="90"/>
      <c r="BB53" s="90"/>
      <c r="BC53" s="90"/>
      <c r="BD53" s="90"/>
      <c r="BE53" s="90"/>
      <c r="BF53" s="90"/>
      <c r="BG53" s="90">
        <v>600.52</v>
      </c>
      <c r="BH53" s="87"/>
      <c r="BI53" s="87">
        <v>9.32</v>
      </c>
      <c r="BJ53" s="87"/>
      <c r="BK53" s="87">
        <v>0</v>
      </c>
      <c r="BL53" s="87"/>
      <c r="BM53" s="87">
        <v>0</v>
      </c>
      <c r="BN53" s="87"/>
      <c r="BO53" s="89">
        <f>(BG53/1000)/60.2*1000</f>
        <v>9.9754152823920244</v>
      </c>
      <c r="BP53" s="88"/>
      <c r="BQ53" s="87">
        <f>BI53/74.08</f>
        <v>0.1258099352051836</v>
      </c>
      <c r="BR53" s="87"/>
      <c r="BS53" s="87">
        <f>(BK53/1000)/88.12*1000</f>
        <v>0</v>
      </c>
      <c r="BT53" s="87"/>
      <c r="BU53" s="87">
        <f>BM53/88.12</f>
        <v>0</v>
      </c>
      <c r="BV53" s="87"/>
      <c r="BW53" s="86">
        <f>BO53*0.05</f>
        <v>0.49877076411960125</v>
      </c>
      <c r="BX53" s="85">
        <f t="shared" si="3"/>
        <v>6.2904967602591807E-3</v>
      </c>
      <c r="BY53" s="85">
        <f t="shared" si="4"/>
        <v>0</v>
      </c>
      <c r="BZ53" s="84">
        <f t="shared" si="5"/>
        <v>0</v>
      </c>
    </row>
    <row r="54" spans="1:78" x14ac:dyDescent="0.3">
      <c r="A54" s="192"/>
      <c r="B54" s="70" t="s">
        <v>103</v>
      </c>
      <c r="C54" s="20">
        <v>6</v>
      </c>
      <c r="D54" s="69"/>
      <c r="E54" s="21"/>
      <c r="F54" s="52">
        <v>1.25</v>
      </c>
      <c r="H54" s="37">
        <v>0.26900000000000002</v>
      </c>
      <c r="I54" s="52">
        <f>H54*0.2907</f>
        <v>7.8198300000000012E-2</v>
      </c>
      <c r="K54" s="53">
        <f>(I54-$I$6)/($AA$6/1000-AA54/1000)*0.05</f>
        <v>0.27779321644534882</v>
      </c>
      <c r="L54" s="68"/>
      <c r="M54" s="22">
        <v>2.1829720930362777</v>
      </c>
      <c r="O54" s="21">
        <v>0</v>
      </c>
      <c r="Q54" s="21">
        <v>0.15418938777473046</v>
      </c>
      <c r="S54" s="21">
        <v>80.562319530131518</v>
      </c>
      <c r="U54" s="21">
        <v>17.10051898905747</v>
      </c>
      <c r="W54" s="21">
        <v>0</v>
      </c>
      <c r="Y54" s="22">
        <v>0.12283461400903919</v>
      </c>
      <c r="AA54" s="21">
        <v>0</v>
      </c>
      <c r="AC54" s="21">
        <v>8.6761502778791282E-3</v>
      </c>
      <c r="AE54" s="21">
        <v>4.5331964869017369</v>
      </c>
      <c r="AG54" s="21">
        <v>0.96223660214249551</v>
      </c>
      <c r="AI54" s="21">
        <v>0</v>
      </c>
      <c r="AJ54" s="21"/>
      <c r="AK54" s="22">
        <f>8*(AG54-$AG$6)/(2*($AA$6-AA54)+2*($AI$6-AI54))</f>
        <v>0.70731867558574035</v>
      </c>
      <c r="AL54" s="22"/>
      <c r="AM54" s="22">
        <f>(AG54-$AG$6)/(($AA$6-AA54)+($AI$6-AI54))</f>
        <v>0.17682966889643509</v>
      </c>
      <c r="AN54" s="22"/>
      <c r="AO54" s="37">
        <f>8*(BW54-$BW$6)/(2*($AA$6-AA54)+2*($AI$6-AI54))</f>
        <v>0.35731248199385907</v>
      </c>
      <c r="AQ54" s="37">
        <f>(BW54-$BW$6)/(($AA$6-AA54)+($AI$6-AI54))</f>
        <v>8.9328120498464766E-2</v>
      </c>
      <c r="AS54" s="37">
        <f>14*(BX54-$BX$6)/(2*($AA$6-AA54)+2*($AI$6-AI54))</f>
        <v>7.3366371489023332E-3</v>
      </c>
      <c r="AU54" s="37">
        <f>(BX54-$BX$6)/(($AA$6-AA54)+($AI$6-AI54))</f>
        <v>1.0480910212717618E-3</v>
      </c>
      <c r="BG54" s="37">
        <v>585.25</v>
      </c>
      <c r="BI54" s="2">
        <v>8.4499999999999993</v>
      </c>
      <c r="BK54" s="2">
        <v>0</v>
      </c>
      <c r="BM54" s="2">
        <v>0</v>
      </c>
      <c r="BO54" s="22">
        <f>(BG54/1000)/60.2*1000</f>
        <v>9.7217607973421938</v>
      </c>
      <c r="BQ54" s="2">
        <f>BI54/74.08</f>
        <v>0.1140658747300216</v>
      </c>
      <c r="BS54" s="2">
        <f>(BK54/1000)/88.12*1000</f>
        <v>0</v>
      </c>
      <c r="BU54" s="2">
        <f>BM54/88.12</f>
        <v>0</v>
      </c>
      <c r="BW54" s="52">
        <f>BO54*0.05</f>
        <v>0.48608803986710969</v>
      </c>
      <c r="BX54" s="51">
        <f t="shared" si="3"/>
        <v>5.7032937365010805E-3</v>
      </c>
      <c r="BY54" s="51">
        <f t="shared" si="4"/>
        <v>0</v>
      </c>
      <c r="BZ54" s="67">
        <f t="shared" si="5"/>
        <v>0</v>
      </c>
    </row>
    <row r="55" spans="1:78" x14ac:dyDescent="0.3">
      <c r="A55" s="192"/>
      <c r="B55" s="70" t="s">
        <v>102</v>
      </c>
      <c r="C55" s="20">
        <v>6</v>
      </c>
      <c r="D55" s="69"/>
      <c r="E55" s="21"/>
      <c r="F55" s="52">
        <v>1.28</v>
      </c>
      <c r="H55" s="37">
        <v>0.253</v>
      </c>
      <c r="I55" s="52">
        <f>H55*0.2907</f>
        <v>7.3547100000000004E-2</v>
      </c>
      <c r="K55" s="53">
        <f>(I55-$I$7)/($AA$7/1000-AA55/1000)*0.05</f>
        <v>0.27463010194119281</v>
      </c>
      <c r="L55" s="68"/>
      <c r="M55" s="22">
        <v>2.6891888855004469</v>
      </c>
      <c r="O55" s="21">
        <v>0</v>
      </c>
      <c r="Q55" s="21">
        <v>0.3543394364964933</v>
      </c>
      <c r="S55" s="21">
        <v>81.280435990504557</v>
      </c>
      <c r="U55" s="21">
        <v>15.676035687498501</v>
      </c>
      <c r="W55" s="21">
        <v>0</v>
      </c>
      <c r="Y55" s="22">
        <v>0.15495080826586305</v>
      </c>
      <c r="AA55" s="21">
        <v>0</v>
      </c>
      <c r="AC55" s="21">
        <v>2.0417004689272489E-2</v>
      </c>
      <c r="AE55" s="21">
        <v>4.6833710048547399</v>
      </c>
      <c r="AG55" s="21">
        <v>0.90325168800122335</v>
      </c>
      <c r="AI55" s="21">
        <v>0</v>
      </c>
      <c r="AJ55" s="21"/>
      <c r="AK55" s="22">
        <f>8*(AG55-$AG$7)/(2*($AA$7-AA55)+2*($AI$7-AI55))</f>
        <v>0.65639994483959252</v>
      </c>
      <c r="AL55" s="22"/>
      <c r="AM55" s="22">
        <f>(AG55-$AG$7)/(($AA$7-AA55)+($AI$7-AI55))</f>
        <v>0.16409998620989813</v>
      </c>
      <c r="AN55" s="22"/>
      <c r="AO55" s="37">
        <f>8*(BW55-$BW$7)/(2*($AA$7-AA55)+2*($AI$7-AI55))</f>
        <v>0.35565219053594477</v>
      </c>
      <c r="AQ55" s="37">
        <f>(BW55-$BW$7)/(($AA$7-AA55)+($AI$7-AI55))</f>
        <v>8.8913047633986192E-2</v>
      </c>
      <c r="AS55" s="37">
        <f>14*(BX55-$BX$7)/(2*($AA$7-AA55)+2*($AI$7-AI55))</f>
        <v>7.7681108198179843E-3</v>
      </c>
      <c r="AU55" s="37">
        <f>(BX55-$BX$7)/(($AA$7-AA55)+($AI$7-AI55))</f>
        <v>1.109730117116855E-3</v>
      </c>
      <c r="BG55" s="37">
        <v>589.24</v>
      </c>
      <c r="BI55" s="2">
        <v>9.0500000000000007</v>
      </c>
      <c r="BK55" s="2">
        <v>0</v>
      </c>
      <c r="BM55" s="2">
        <v>0</v>
      </c>
      <c r="BO55" s="22">
        <f>(BG55/1000)/60.2*1000</f>
        <v>9.7880398671096334</v>
      </c>
      <c r="BQ55" s="2">
        <f>BI55/74.08</f>
        <v>0.12216522678185747</v>
      </c>
      <c r="BS55" s="2">
        <f>(BK55/1000)/88.12*1000</f>
        <v>0</v>
      </c>
      <c r="BU55" s="2">
        <f>BM55/88.12</f>
        <v>0</v>
      </c>
      <c r="BW55" s="52">
        <f>BO55*0.05</f>
        <v>0.48940199335548168</v>
      </c>
      <c r="BX55" s="51">
        <f t="shared" si="3"/>
        <v>6.1082613390928738E-3</v>
      </c>
      <c r="BY55" s="51">
        <f t="shared" si="4"/>
        <v>0</v>
      </c>
      <c r="BZ55" s="67">
        <f t="shared" si="5"/>
        <v>0</v>
      </c>
    </row>
    <row r="56" spans="1:78" x14ac:dyDescent="0.3">
      <c r="A56" s="192"/>
      <c r="B56" s="83" t="s">
        <v>63</v>
      </c>
      <c r="C56" s="80">
        <v>6</v>
      </c>
      <c r="D56" s="79"/>
      <c r="E56" s="76"/>
      <c r="F56" s="74">
        <f>AVERAGE(F53:F55)</f>
        <v>1.272</v>
      </c>
      <c r="G56" s="73">
        <f>_xlfn.STDEV.S(F53:F55)</f>
        <v>1.9287301521985926E-2</v>
      </c>
      <c r="H56" s="78">
        <f>AVERAGE(H53:H55)</f>
        <v>0.26400000000000001</v>
      </c>
      <c r="I56" s="74">
        <f>AVERAGE(I53:I55)</f>
        <v>7.6744800000000016E-2</v>
      </c>
      <c r="J56" s="82">
        <f>_xlfn.STDEV.S(I53:I55)</f>
        <v>2.7731012585190625E-3</v>
      </c>
      <c r="K56" s="74">
        <f>AVERAGE(K53:K55)</f>
        <v>0.27584385656959598</v>
      </c>
      <c r="L56" s="81">
        <f>_xlfn.STDEV.S(K53:K55)</f>
        <v>1.7050394867998855E-3</v>
      </c>
      <c r="M56" s="77">
        <f>AVERAGE(M53:M55)</f>
        <v>2.463107986350662</v>
      </c>
      <c r="N56" s="76">
        <f>_xlfn.STDEV.S(M53:M55)</f>
        <v>0.25740108204663614</v>
      </c>
      <c r="O56" s="76">
        <f>AVERAGE(O53:O55)</f>
        <v>0</v>
      </c>
      <c r="P56" s="76">
        <f>_xlfn.STDEV.S(O53:O55)</f>
        <v>0</v>
      </c>
      <c r="Q56" s="76">
        <f>AVERAGE(Q53:Q55)</f>
        <v>0.23002367264253162</v>
      </c>
      <c r="R56" s="76">
        <f>_xlfn.STDEV.S(Q53:Q55)</f>
        <v>0.10852580731948125</v>
      </c>
      <c r="S56" s="76">
        <f>AVERAGE(S53:S55)</f>
        <v>81.174061728830054</v>
      </c>
      <c r="T56" s="76">
        <f>_xlfn.STDEV.S(S53:S55)</f>
        <v>0.56610103028842296</v>
      </c>
      <c r="U56" s="76">
        <f>AVERAGE(U53:U55)</f>
        <v>16.132806612176751</v>
      </c>
      <c r="V56" s="76">
        <f>_xlfn.STDEV.S(U53:U55)</f>
        <v>0.83850107023733922</v>
      </c>
      <c r="W56" s="76">
        <f>AVERAGE(W53:W55)</f>
        <v>0</v>
      </c>
      <c r="X56" s="76">
        <f>_xlfn.STDEV.S(W53:W55)</f>
        <v>0</v>
      </c>
      <c r="Y56" s="77">
        <f>AVERAGE(Y53:Y55)</f>
        <v>0.14116799436550445</v>
      </c>
      <c r="Z56" s="76">
        <f>_xlfn.STDEV.S(Y53:Y55)</f>
        <v>1.6534606880391614E-2</v>
      </c>
      <c r="AA56" s="76">
        <f>AVERAGE(AA53:AA55)</f>
        <v>0</v>
      </c>
      <c r="AB56" s="76">
        <f>_xlfn.STDEV.S(AA53:AA55)</f>
        <v>0</v>
      </c>
      <c r="AC56" s="76">
        <f>AVERAGE(AC53:AC55)</f>
        <v>1.320087742024908E-2</v>
      </c>
      <c r="AD56" s="76">
        <f>_xlfn.STDEV.S(AC53:AC55)</f>
        <v>6.3162205121968648E-3</v>
      </c>
      <c r="AE56" s="76">
        <f>AVERAGE(AE53:AE55)</f>
        <v>4.648329847136444</v>
      </c>
      <c r="AF56" s="76">
        <f>_xlfn.STDEV.S(AE53:AE55)</f>
        <v>0.10222116776163133</v>
      </c>
      <c r="AG56" s="76">
        <f>AVERAGE(AG53:AG55)</f>
        <v>0.92327934622758134</v>
      </c>
      <c r="AH56" s="76">
        <f>_xlfn.STDEV.S(AG53:AG55)</f>
        <v>3.3742440272618988E-2</v>
      </c>
      <c r="AI56" s="76">
        <f>AVERAGE(AI53:AI55)</f>
        <v>0</v>
      </c>
      <c r="AJ56" s="76">
        <f>_xlfn.STDEV.S(AI53:AI55)</f>
        <v>0</v>
      </c>
      <c r="AK56" s="77">
        <f>AVERAGE(AK53:AK55)</f>
        <v>0.67402025327831305</v>
      </c>
      <c r="AL56" s="77">
        <f>_xlfn.STDEV.S(AK53:AK55)</f>
        <v>2.8853625873705661E-2</v>
      </c>
      <c r="AM56" s="77">
        <f>AVERAGE(AM53:AM55)</f>
        <v>0.16850506331957826</v>
      </c>
      <c r="AN56" s="77">
        <f>_xlfn.STDEV.S(AM53:AM55)</f>
        <v>7.2134064684264152E-3</v>
      </c>
      <c r="AO56" s="78">
        <f>AVERAGE(AO53:AO55)</f>
        <v>0.35868542962022909</v>
      </c>
      <c r="AP56" s="78">
        <f>_xlfn.STDEV.S(AO53:AO55)</f>
        <v>3.9051252128664577E-3</v>
      </c>
      <c r="AQ56" s="78">
        <f>AVERAGE(AQ53:AQ55)</f>
        <v>8.9671357405057273E-2</v>
      </c>
      <c r="AR56" s="78">
        <f>_xlfn.STDEV.S(AQ53:AQ55)</f>
        <v>9.7628130321661443E-4</v>
      </c>
      <c r="AS56" s="78">
        <f>AVERAGE(AS53:AS55)</f>
        <v>7.706180961313207E-3</v>
      </c>
      <c r="AT56" s="78">
        <f>_xlfn.STDEV.S(AS53:AS55)</f>
        <v>3.4280043852315039E-4</v>
      </c>
      <c r="AU56" s="78">
        <f>AVERAGE(AU53:AU55)</f>
        <v>1.1008829944733154E-3</v>
      </c>
      <c r="AV56" s="80">
        <f>_xlfn.STDEV.S(AU53:AU55)</f>
        <v>4.8971491217592931E-5</v>
      </c>
      <c r="AW56" s="80"/>
      <c r="AX56" s="80"/>
      <c r="AY56" s="79">
        <f>SUM(AK56,AO56,AS56)</f>
        <v>1.0404118638598554</v>
      </c>
      <c r="AZ56" s="77">
        <f>SUM(AL56,AP56,AT56)</f>
        <v>3.3101551525095273E-2</v>
      </c>
      <c r="BA56" s="78"/>
      <c r="BB56" s="78"/>
      <c r="BC56" s="78"/>
      <c r="BD56" s="78"/>
      <c r="BE56" s="78"/>
      <c r="BF56" s="78"/>
      <c r="BG56" s="78"/>
      <c r="BH56" s="75"/>
      <c r="BI56" s="75"/>
      <c r="BJ56" s="75"/>
      <c r="BK56" s="75"/>
      <c r="BL56" s="75"/>
      <c r="BM56" s="75"/>
      <c r="BN56" s="75"/>
      <c r="BO56" s="77">
        <f>AVERAGE(BO53:BO55)</f>
        <v>9.8284053156146172</v>
      </c>
      <c r="BP56" s="76">
        <f>_xlfn.STDEV.S(BO53:BO55)</f>
        <v>0.13155674259128664</v>
      </c>
      <c r="BQ56" s="75">
        <f>AVERAGE(BQ53:BQ55)</f>
        <v>0.12068034557235423</v>
      </c>
      <c r="BR56" s="75">
        <f>_xlfn.STDEV.S(BQ53:BQ55)</f>
        <v>6.0111890059968568E-3</v>
      </c>
      <c r="BS56" s="75">
        <f>AVERAGE(BS53:BS55)</f>
        <v>0</v>
      </c>
      <c r="BT56" s="75">
        <f>_xlfn.STDEV.S(BS53:BS55)</f>
        <v>0</v>
      </c>
      <c r="BU56" s="75">
        <f>AVERAGE(BU53:BU55)</f>
        <v>0</v>
      </c>
      <c r="BV56" s="75">
        <f>_xlfn.STDEV.S(BU53:BU55)</f>
        <v>0</v>
      </c>
      <c r="BW56" s="74">
        <f>AVERAGE(BW53:BW55)</f>
        <v>0.49142026578073089</v>
      </c>
      <c r="BX56" s="73">
        <f t="shared" si="3"/>
        <v>6.0340172786177114E-3</v>
      </c>
      <c r="BY56" s="73">
        <f t="shared" si="4"/>
        <v>0</v>
      </c>
      <c r="BZ56" s="72">
        <f t="shared" si="5"/>
        <v>0</v>
      </c>
    </row>
    <row r="57" spans="1:78" x14ac:dyDescent="0.3">
      <c r="A57" s="191" t="s">
        <v>58</v>
      </c>
      <c r="B57" s="70" t="s">
        <v>101</v>
      </c>
      <c r="C57" s="20">
        <v>6</v>
      </c>
      <c r="D57" s="69"/>
      <c r="E57" s="21"/>
      <c r="F57" s="52">
        <v>1.18</v>
      </c>
      <c r="H57" s="37">
        <v>0.41899999999999998</v>
      </c>
      <c r="I57" s="52">
        <f>H57*0.2907</f>
        <v>0.1218033</v>
      </c>
      <c r="K57" s="53">
        <f>(I57-$I$9)/($AA$9/1000-AA57/1000)*0.05</f>
        <v>0.69988800172673526</v>
      </c>
      <c r="L57" s="68"/>
      <c r="M57" s="22">
        <v>1.0886166847152006</v>
      </c>
      <c r="O57" s="21">
        <v>2.1668621562509487</v>
      </c>
      <c r="Q57" s="21">
        <v>0.20342121052895579</v>
      </c>
      <c r="S57" s="21">
        <v>96.068717683980921</v>
      </c>
      <c r="U57" s="21">
        <v>0.47238226452397269</v>
      </c>
      <c r="W57" s="21">
        <v>0</v>
      </c>
      <c r="Y57" s="22">
        <v>5.7825522047811849E-2</v>
      </c>
      <c r="AA57" s="21">
        <v>0.11510014236428757</v>
      </c>
      <c r="AC57" s="21">
        <v>1.0805399053305968E-2</v>
      </c>
      <c r="AE57" s="21">
        <v>5.1030117676300222</v>
      </c>
      <c r="AG57" s="21">
        <v>2.5092166449178121E-2</v>
      </c>
      <c r="AI57" s="21">
        <v>0</v>
      </c>
      <c r="AJ57" s="21"/>
      <c r="AO57" s="37">
        <f>8*(BW57-$BV$9)/(2*($AA$9-AA57)+2*($AI$9-AI57))</f>
        <v>0.70130034623655446</v>
      </c>
      <c r="AQ57" s="37">
        <f>(BW57-$BW$9)/(($AA$9-AA57)+($AI$9-AI57))</f>
        <v>0.1753099375893839</v>
      </c>
      <c r="AS57" s="37">
        <f>14*(BX57-$BX$9)/(2*($AA$9-AA57)+2*($AI$9-AI57))</f>
        <v>1.6217961876918426E-2</v>
      </c>
      <c r="AU57" s="37">
        <f>(BX57-$BX$9)/(($AA$9-AA57)+($AI$9-AI57))</f>
        <v>2.3168516967026326E-3</v>
      </c>
      <c r="BG57" s="37">
        <v>1157.3399999999999</v>
      </c>
      <c r="BI57" s="2">
        <v>18.82</v>
      </c>
      <c r="BK57" s="2">
        <v>0</v>
      </c>
      <c r="BM57" s="2">
        <v>0</v>
      </c>
      <c r="BO57" s="22">
        <f>(BG57/1000)/60.2*1000</f>
        <v>19.224916943521592</v>
      </c>
      <c r="BQ57" s="2">
        <f>BI57/74.08</f>
        <v>0.25404967602591794</v>
      </c>
      <c r="BS57" s="2">
        <f>(BK57/1000)/88.12*1000</f>
        <v>0</v>
      </c>
      <c r="BU57" s="2">
        <f>BM57/88.12</f>
        <v>0</v>
      </c>
      <c r="BW57" s="52">
        <f>BO57*0.05</f>
        <v>0.96124584717607964</v>
      </c>
      <c r="BX57" s="51">
        <f t="shared" si="3"/>
        <v>1.2702483801295898E-2</v>
      </c>
      <c r="BY57" s="51">
        <f t="shared" si="4"/>
        <v>0</v>
      </c>
      <c r="BZ57" s="67">
        <f t="shared" si="5"/>
        <v>0</v>
      </c>
    </row>
    <row r="58" spans="1:78" x14ac:dyDescent="0.3">
      <c r="A58" s="192"/>
      <c r="B58" s="70" t="s">
        <v>100</v>
      </c>
      <c r="C58" s="20">
        <v>6</v>
      </c>
      <c r="D58" s="69"/>
      <c r="E58" s="21"/>
      <c r="F58" s="52">
        <v>1.1619999999999999</v>
      </c>
      <c r="H58" s="37">
        <v>0.40300000000000002</v>
      </c>
      <c r="I58" s="52">
        <f>H58*0.2907</f>
        <v>0.11715210000000001</v>
      </c>
      <c r="K58" s="53">
        <f>(I58-$I$10)/($AA$10/1000-AA58/1000)*0.05</f>
        <v>0.67749474240569341</v>
      </c>
      <c r="L58" s="68"/>
      <c r="M58" s="22">
        <v>0.69181879876779862</v>
      </c>
      <c r="O58" s="21">
        <v>1.491638056532822</v>
      </c>
      <c r="Q58" s="21">
        <v>0.15236788018416433</v>
      </c>
      <c r="S58" s="21">
        <v>97.237391024655011</v>
      </c>
      <c r="U58" s="21">
        <v>0.4267842398602037</v>
      </c>
      <c r="W58" s="21">
        <v>0</v>
      </c>
      <c r="Y58" s="22">
        <v>3.6187706195162879E-2</v>
      </c>
      <c r="AA58" s="21">
        <v>7.8024707966125914E-2</v>
      </c>
      <c r="AC58" s="21">
        <v>7.9700697516532498E-3</v>
      </c>
      <c r="AE58" s="21">
        <v>5.0863002622243423</v>
      </c>
      <c r="AG58" s="21">
        <v>2.23242599193531E-2</v>
      </c>
      <c r="AI58" s="21">
        <v>0</v>
      </c>
      <c r="AJ58" s="21"/>
      <c r="AO58" s="37">
        <f>8*(BW58-$BV$10)/(2*($AA$10-AA58)+2*($AI$10-AI58))</f>
        <v>0.72594669883906038</v>
      </c>
      <c r="AQ58" s="37">
        <f>(BW58-$BW$10)/(($AA$10-AA58)+($AI$10-AI58))</f>
        <v>0.18148667470976509</v>
      </c>
      <c r="AS58" s="37">
        <f>14*(BX58-$BX$10)/(2*($AA$10-AA58)+2*($AI$10-AI58))</f>
        <v>1.520817633375522E-2</v>
      </c>
      <c r="AU58" s="37">
        <f>(BX58-$BX$10)/(($AA$10-AA58)+($AI$10-AI58))</f>
        <v>2.1725966191078884E-3</v>
      </c>
      <c r="BG58" s="37">
        <v>1195.42</v>
      </c>
      <c r="BI58" s="2">
        <v>17.61</v>
      </c>
      <c r="BK58" s="2">
        <v>0</v>
      </c>
      <c r="BM58" s="2">
        <v>0</v>
      </c>
      <c r="BO58" s="22">
        <f>(BG58/1000)/60.2*1000</f>
        <v>19.857475083056482</v>
      </c>
      <c r="BQ58" s="2">
        <f>BI58/74.08</f>
        <v>0.23771598272138228</v>
      </c>
      <c r="BS58" s="2">
        <f>(BK58/1000)/88.12*1000</f>
        <v>0</v>
      </c>
      <c r="BU58" s="2">
        <f>BM58/88.12</f>
        <v>0</v>
      </c>
      <c r="BW58" s="52">
        <f>BO58*0.05</f>
        <v>0.99287375415282408</v>
      </c>
      <c r="BX58" s="51">
        <f t="shared" si="3"/>
        <v>1.1885799136069115E-2</v>
      </c>
      <c r="BY58" s="51">
        <f t="shared" si="4"/>
        <v>0</v>
      </c>
      <c r="BZ58" s="67">
        <f t="shared" si="5"/>
        <v>0</v>
      </c>
    </row>
    <row r="59" spans="1:78" x14ac:dyDescent="0.3">
      <c r="A59" s="192"/>
      <c r="B59" s="70" t="s">
        <v>99</v>
      </c>
      <c r="C59" s="20">
        <v>6</v>
      </c>
      <c r="D59" s="69"/>
      <c r="E59" s="21"/>
      <c r="F59" s="52">
        <v>1.212</v>
      </c>
      <c r="G59" s="67"/>
      <c r="H59" s="37">
        <v>0.39500000000000002</v>
      </c>
      <c r="I59" s="52">
        <f>H59*0.2907</f>
        <v>0.11482650000000001</v>
      </c>
      <c r="K59" s="53">
        <f>(I59-$I$11)/($AA$11/1000-AA59/1000)*0.05</f>
        <v>0.67598369588834883</v>
      </c>
      <c r="L59" s="68"/>
      <c r="M59" s="22">
        <v>1.0006736399225054</v>
      </c>
      <c r="O59" s="21">
        <v>0.98232898367412114</v>
      </c>
      <c r="Q59" s="21">
        <v>0.1439069081958993</v>
      </c>
      <c r="S59" s="21">
        <v>97.211321517493474</v>
      </c>
      <c r="U59" s="21">
        <v>0.66176895071399711</v>
      </c>
      <c r="W59" s="21">
        <v>0</v>
      </c>
      <c r="Y59" s="22">
        <v>5.4595600619769369E-2</v>
      </c>
      <c r="AA59" s="21">
        <v>5.3594737315204546E-2</v>
      </c>
      <c r="AC59" s="21">
        <v>7.8513950731205172E-3</v>
      </c>
      <c r="AE59" s="21">
        <v>5.3037376758521155</v>
      </c>
      <c r="AG59" s="21">
        <v>3.610535132967347E-2</v>
      </c>
      <c r="AI59" s="21">
        <v>0</v>
      </c>
      <c r="AJ59" s="21"/>
      <c r="AO59" s="37">
        <f>8*(BW59-$BV$11)/(2*($AA$11-AA59)+2*($AI$11-AI59))</f>
        <v>0.74205958080898338</v>
      </c>
      <c r="AQ59" s="37">
        <f>(BW59-$BW$10)/(($AA$10-AA59)+($AI$10-AI59))</f>
        <v>0.18655478617878787</v>
      </c>
      <c r="AS59" s="37">
        <f>14*(BX59-$BX$11)/(2*($AA$11-AA59)+2*($AI$11-AI59))</f>
        <v>1.6193290507451958E-2</v>
      </c>
      <c r="AU59" s="37">
        <f>(BX59-$BX$11)/(($AA$11-AA59)+($AI$11-AI59))</f>
        <v>2.3133272153502797E-3</v>
      </c>
      <c r="BG59" s="37">
        <v>1234.29</v>
      </c>
      <c r="BI59" s="2">
        <v>18.940000000000001</v>
      </c>
      <c r="BK59" s="2">
        <v>0</v>
      </c>
      <c r="BM59" s="2">
        <v>0</v>
      </c>
      <c r="BO59" s="22">
        <f>(BG59/1000)/60.2*1000</f>
        <v>20.5031561461794</v>
      </c>
      <c r="BQ59" s="2">
        <f>BI59/74.08</f>
        <v>0.25566954643628514</v>
      </c>
      <c r="BS59" s="2">
        <f>(BK59/1000)/88.12*1000</f>
        <v>0</v>
      </c>
      <c r="BU59" s="2">
        <f>BM59/88.12</f>
        <v>0</v>
      </c>
      <c r="BW59" s="52">
        <f>BO59*0.05</f>
        <v>1.02515780730897</v>
      </c>
      <c r="BX59" s="51">
        <f t="shared" si="3"/>
        <v>1.2783477321814257E-2</v>
      </c>
      <c r="BY59" s="51">
        <f t="shared" si="4"/>
        <v>0</v>
      </c>
      <c r="BZ59" s="67">
        <f t="shared" si="5"/>
        <v>0</v>
      </c>
    </row>
    <row r="60" spans="1:78" ht="15" thickBot="1" x14ac:dyDescent="0.35">
      <c r="A60" s="192"/>
      <c r="B60" s="66" t="s">
        <v>63</v>
      </c>
      <c r="C60" s="65">
        <v>6</v>
      </c>
      <c r="D60" s="64"/>
      <c r="E60" s="58"/>
      <c r="F60" s="56">
        <f>AVERAGE(F57:F59)</f>
        <v>1.1846666666666665</v>
      </c>
      <c r="G60" s="55">
        <f>_xlfn.STDEV.S(F57:F59)</f>
        <v>2.5324559884296795E-2</v>
      </c>
      <c r="H60" s="60">
        <f>AVERAGE(H57:H59)</f>
        <v>0.40566666666666668</v>
      </c>
      <c r="I60" s="56">
        <f>AVERAGE(I57:I59)</f>
        <v>0.11792730000000001</v>
      </c>
      <c r="J60" s="63">
        <f>_xlfn.STDEV.S(I57:I59)</f>
        <v>3.5524126787297629E-3</v>
      </c>
      <c r="K60" s="63">
        <f>AVERAGE(K57:K59)</f>
        <v>0.68445548000692591</v>
      </c>
      <c r="L60" s="62">
        <f>_xlfn.STDEV.S(K57:K59)</f>
        <v>1.3386293750276331E-2</v>
      </c>
      <c r="M60" s="59">
        <f>AVERAGE(M57:M59)</f>
        <v>0.9270363744685014</v>
      </c>
      <c r="N60" s="58">
        <f>_xlfn.STDEV.S(M57:M59)</f>
        <v>0.20839619891144795</v>
      </c>
      <c r="O60" s="58">
        <f>AVERAGE(O57:O59)</f>
        <v>1.5469430654859639</v>
      </c>
      <c r="P60" s="58">
        <f>_xlfn.STDEV.S(O57:O59)</f>
        <v>0.59420004396264692</v>
      </c>
      <c r="Q60" s="58">
        <f>AVERAGE(Q57:Q59)</f>
        <v>0.16656533296967316</v>
      </c>
      <c r="R60" s="58">
        <f>_xlfn.STDEV.S(Q57:Q59)</f>
        <v>3.2197263777302032E-2</v>
      </c>
      <c r="S60" s="58">
        <f>AVERAGE(S57:S59)</f>
        <v>96.839143408709788</v>
      </c>
      <c r="T60" s="58">
        <f>_xlfn.STDEV.S(S57:S59)</f>
        <v>0.66733556236268965</v>
      </c>
      <c r="U60" s="58">
        <f>AVERAGE(U57:U59)</f>
        <v>0.52031181836605789</v>
      </c>
      <c r="V60" s="58">
        <f>_xlfn.STDEV.S(U57:U59)</f>
        <v>0.12460892898338474</v>
      </c>
      <c r="W60" s="58">
        <f>AVERAGE(W57:W59)</f>
        <v>0</v>
      </c>
      <c r="X60" s="58">
        <f>_xlfn.STDEV.S(W57:W59)</f>
        <v>0</v>
      </c>
      <c r="Y60" s="59">
        <f>AVERAGE(Y57:Y59)</f>
        <v>4.9536276287581366E-2</v>
      </c>
      <c r="Z60" s="58">
        <f>_xlfn.STDEV.S(Y57:Y59)</f>
        <v>1.1672460783484747E-2</v>
      </c>
      <c r="AA60" s="58">
        <f>AVERAGE(AA57:AA59)</f>
        <v>8.2239862548539336E-2</v>
      </c>
      <c r="AB60" s="58">
        <f>_xlfn.STDEV.S(AA57:AA59)</f>
        <v>3.096860278860147E-2</v>
      </c>
      <c r="AC60" s="58">
        <f>AVERAGE(AC57:AC59)</f>
        <v>8.8756212926932448E-3</v>
      </c>
      <c r="AD60" s="58">
        <f>_xlfn.STDEV.S(AC57:AC59)</f>
        <v>1.6722896202057233E-3</v>
      </c>
      <c r="AE60" s="58">
        <f>AVERAGE(AE57:AE59)</f>
        <v>5.1643499019021597</v>
      </c>
      <c r="AF60" s="58">
        <f>_xlfn.STDEV.S(AE57:AE59)</f>
        <v>0.12100219935304458</v>
      </c>
      <c r="AG60" s="58">
        <f>AVERAGE(AG57:AG59)</f>
        <v>2.7840592566068228E-2</v>
      </c>
      <c r="AH60" s="58">
        <f>_xlfn.STDEV.S(AG57:AG59)</f>
        <v>7.2900620508267499E-3</v>
      </c>
      <c r="AI60" s="58">
        <f>AVERAGE(AI57:AI59)</f>
        <v>0</v>
      </c>
      <c r="AJ60" s="58">
        <f>_xlfn.STDEV.S(AI57:AI59)</f>
        <v>0</v>
      </c>
      <c r="AK60" s="60"/>
      <c r="AL60" s="60"/>
      <c r="AM60" s="60"/>
      <c r="AN60" s="60"/>
      <c r="AO60" s="60">
        <f>AVERAGE(AO57:AO59)</f>
        <v>0.72310220862819941</v>
      </c>
      <c r="AP60" s="60">
        <f>_xlfn.STDEV.S(AO57:AO59)</f>
        <v>2.0527960058231164E-2</v>
      </c>
      <c r="AQ60" s="60">
        <f>AVERAGE(AQ57:AQ59)</f>
        <v>0.18111713282597897</v>
      </c>
      <c r="AR60" s="60">
        <f>_xlfn.STDEV.S(AQ57:AQ59)</f>
        <v>5.6315251799631755E-3</v>
      </c>
      <c r="AS60" s="60">
        <f>AVERAGE(AS57:AS59)</f>
        <v>1.587314290604187E-2</v>
      </c>
      <c r="AT60" s="60">
        <f>_xlfn.STDEV.S(AS57:AS59)</f>
        <v>5.7601004836012033E-4</v>
      </c>
      <c r="AU60" s="60">
        <f>AVERAGE(AU57:AU59)</f>
        <v>2.2675918437202671E-3</v>
      </c>
      <c r="AV60" s="60">
        <f>_xlfn.STDEV.S(AU57:AU59)</f>
        <v>8.2287149765731683E-5</v>
      </c>
      <c r="AW60" s="60"/>
      <c r="AX60" s="60"/>
      <c r="AY60" s="59">
        <f>SUM(AK60,AO60,AS60)</f>
        <v>0.73897535153424132</v>
      </c>
      <c r="AZ60" s="59">
        <f>SUM(AL60,AP60,AT60)</f>
        <v>2.1103970106591284E-2</v>
      </c>
      <c r="BA60" s="60"/>
      <c r="BB60" s="60"/>
      <c r="BC60" s="60"/>
      <c r="BD60" s="60"/>
      <c r="BE60" s="60"/>
      <c r="BF60" s="60"/>
      <c r="BG60" s="60"/>
      <c r="BH60" s="57"/>
      <c r="BI60" s="57"/>
      <c r="BJ60" s="57"/>
      <c r="BK60" s="57"/>
      <c r="BL60" s="57"/>
      <c r="BM60" s="57"/>
      <c r="BN60" s="57"/>
      <c r="BO60" s="59">
        <f>AVERAGE(BO57:BO59)</f>
        <v>19.861849390919158</v>
      </c>
      <c r="BP60" s="58">
        <f>_xlfn.STDEV.S(BO57:BO59)</f>
        <v>0.63913082833624546</v>
      </c>
      <c r="BQ60" s="57">
        <f>AVERAGE(BQ57:BQ59)</f>
        <v>0.24914506839452844</v>
      </c>
      <c r="BR60" s="57">
        <f>_xlfn.STDEV.S(BQ57:BQ59)</f>
        <v>9.9309614101396118E-3</v>
      </c>
      <c r="BS60" s="57">
        <f>AVERAGE(BS57:BS59)</f>
        <v>0</v>
      </c>
      <c r="BT60" s="57">
        <f>_xlfn.STDEV.S(BS57:BS59)</f>
        <v>0</v>
      </c>
      <c r="BU60" s="57">
        <f>AVERAGE(BU57:BU59)</f>
        <v>0</v>
      </c>
      <c r="BV60" s="57">
        <f>_xlfn.STDEV.S(BU57:BU59)</f>
        <v>0</v>
      </c>
      <c r="BW60" s="56">
        <f>AVERAGE(BW57:BW59)</f>
        <v>0.99309246954595787</v>
      </c>
      <c r="BX60" s="55">
        <f t="shared" si="3"/>
        <v>1.2457253419726422E-2</v>
      </c>
      <c r="BY60" s="55">
        <f t="shared" si="4"/>
        <v>0</v>
      </c>
      <c r="BZ60" s="54">
        <f t="shared" si="5"/>
        <v>0</v>
      </c>
    </row>
    <row r="61" spans="1:78" x14ac:dyDescent="0.3">
      <c r="A61" s="191" t="s">
        <v>57</v>
      </c>
      <c r="B61" s="95" t="s">
        <v>104</v>
      </c>
      <c r="C61" s="94">
        <v>7</v>
      </c>
      <c r="D61" s="93"/>
      <c r="E61" s="88"/>
      <c r="F61" s="86">
        <v>1.228</v>
      </c>
      <c r="G61" s="85"/>
      <c r="H61" s="90">
        <v>0.24299999999999999</v>
      </c>
      <c r="I61" s="86">
        <f>H61*0.2907</f>
        <v>7.0640099999999997E-2</v>
      </c>
      <c r="J61" s="92"/>
      <c r="K61" s="92">
        <f>(I61-$I$5)/($AA$5/1000-AA61/1000)*0.05</f>
        <v>0.20368591684435541</v>
      </c>
      <c r="L61" s="91"/>
      <c r="M61" s="89">
        <v>2.4558128541860471</v>
      </c>
      <c r="N61" s="88"/>
      <c r="O61" s="88">
        <v>0</v>
      </c>
      <c r="P61" s="88"/>
      <c r="Q61" s="88">
        <v>0.21248774024763142</v>
      </c>
      <c r="R61" s="88"/>
      <c r="S61" s="88">
        <v>81.796281691805291</v>
      </c>
      <c r="T61" s="88"/>
      <c r="U61" s="88">
        <v>15.53541771376104</v>
      </c>
      <c r="V61" s="88"/>
      <c r="W61" s="88">
        <v>0</v>
      </c>
      <c r="X61" s="88"/>
      <c r="Y61" s="89">
        <v>0.13575511554405437</v>
      </c>
      <c r="Z61" s="88"/>
      <c r="AA61" s="88">
        <v>0</v>
      </c>
      <c r="AB61" s="88"/>
      <c r="AC61" s="88">
        <v>1.1746130280180902E-2</v>
      </c>
      <c r="AD61" s="88"/>
      <c r="AE61" s="88">
        <v>4.5216245420400467</v>
      </c>
      <c r="AF61" s="88"/>
      <c r="AG61" s="88">
        <v>0.85878385364824084</v>
      </c>
      <c r="AH61" s="88"/>
      <c r="AI61" s="88">
        <v>0</v>
      </c>
      <c r="AJ61" s="88"/>
      <c r="AK61" s="89">
        <f>8*(AG61-$AG$5)/(2*($AA$5-AA61)+2*($AI$5-AI61))</f>
        <v>0.62517140123560488</v>
      </c>
      <c r="AL61" s="89"/>
      <c r="AM61" s="89">
        <f>(AG61-$AG$5)/(($AA$5-AA61)+($AI$5-AI61))</f>
        <v>0.15629285030890122</v>
      </c>
      <c r="AN61" s="89"/>
      <c r="AO61" s="37">
        <f>8*(BW61-$BW$5)/(2*($AA$5-AA61)+2*($AI$5-AI61))</f>
        <v>0.35825458687200251</v>
      </c>
      <c r="AQ61" s="37">
        <f>(BW61-$BW$5)/(($AA$5-AA61)+($AI$5-AI61))</f>
        <v>8.9563646718000628E-2</v>
      </c>
      <c r="AS61" s="37">
        <f>14*(BX61-$BX$5)/(2*($AA$5-AA61)+2*($AI$5-AI61))</f>
        <v>8.013794915219306E-3</v>
      </c>
      <c r="AU61" s="37">
        <f>(BX61-$BX$5)/(($AA$5-AA61)+($AI$5-AI61))</f>
        <v>1.1448278450313294E-3</v>
      </c>
      <c r="AY61" s="90"/>
      <c r="AZ61" s="90"/>
      <c r="BA61" s="90"/>
      <c r="BB61" s="90"/>
      <c r="BC61" s="90"/>
      <c r="BD61" s="90"/>
      <c r="BE61" s="90"/>
      <c r="BF61" s="90"/>
      <c r="BG61" s="90">
        <v>592.52</v>
      </c>
      <c r="BH61" s="87"/>
      <c r="BI61" s="87">
        <v>9.32</v>
      </c>
      <c r="BJ61" s="87"/>
      <c r="BK61" s="87">
        <v>0</v>
      </c>
      <c r="BL61" s="87"/>
      <c r="BM61" s="87">
        <v>0</v>
      </c>
      <c r="BN61" s="87"/>
      <c r="BO61" s="89">
        <f>(BG61/1000)/60.2*1000</f>
        <v>9.8425249169435194</v>
      </c>
      <c r="BP61" s="88"/>
      <c r="BQ61" s="87">
        <f>BI61/74.08</f>
        <v>0.1258099352051836</v>
      </c>
      <c r="BR61" s="87"/>
      <c r="BS61" s="87">
        <f>(BK61/1000)/88.12*1000</f>
        <v>0</v>
      </c>
      <c r="BT61" s="87"/>
      <c r="BU61" s="87">
        <f>BM61/88.12</f>
        <v>0</v>
      </c>
      <c r="BV61" s="87"/>
      <c r="BW61" s="86">
        <f>BO61*0.05</f>
        <v>0.49212624584717601</v>
      </c>
      <c r="BX61" s="85">
        <f t="shared" si="3"/>
        <v>6.2904967602591807E-3</v>
      </c>
      <c r="BY61" s="85">
        <f t="shared" si="4"/>
        <v>0</v>
      </c>
      <c r="BZ61" s="84">
        <f t="shared" si="5"/>
        <v>0</v>
      </c>
    </row>
    <row r="62" spans="1:78" x14ac:dyDescent="0.3">
      <c r="A62" s="192"/>
      <c r="B62" s="70" t="s">
        <v>103</v>
      </c>
      <c r="C62" s="20">
        <v>7</v>
      </c>
      <c r="D62" s="69"/>
      <c r="E62" s="21"/>
      <c r="F62" s="52">
        <v>1.208</v>
      </c>
      <c r="H62" s="37">
        <v>0.253</v>
      </c>
      <c r="I62" s="52">
        <f>H62*0.2907</f>
        <v>7.3547100000000004E-2</v>
      </c>
      <c r="K62" s="53">
        <f>(I62-$I$6)/($AA$6/1000-AA62/1000)*0.05</f>
        <v>0.2350557985306797</v>
      </c>
      <c r="L62" s="68"/>
      <c r="M62" s="22">
        <v>2.1646502478029559</v>
      </c>
      <c r="O62" s="21">
        <v>0</v>
      </c>
      <c r="Q62" s="21">
        <v>0.21115823996524652</v>
      </c>
      <c r="S62" s="21">
        <v>81.426366734331808</v>
      </c>
      <c r="U62" s="21">
        <v>16.197824777899974</v>
      </c>
      <c r="W62" s="21">
        <v>0</v>
      </c>
      <c r="Y62" s="22">
        <v>0.11771105128828646</v>
      </c>
      <c r="AA62" s="21">
        <v>0</v>
      </c>
      <c r="AC62" s="21">
        <v>1.1482528616214582E-2</v>
      </c>
      <c r="AE62" s="21">
        <v>4.4278669224332994</v>
      </c>
      <c r="AG62" s="21">
        <v>0.88081803752142285</v>
      </c>
      <c r="AI62" s="21">
        <v>0</v>
      </c>
      <c r="AJ62" s="21"/>
      <c r="AK62" s="22">
        <f>8*(AG62-$AG$6)/(2*($AA$6-AA62)+2*($AI$6-AI62))</f>
        <v>0.64746970375527479</v>
      </c>
      <c r="AL62" s="22"/>
      <c r="AM62" s="22">
        <f>(AG62-$AG$6)/(($AA$6-AA62)+($AI$6-AI62))</f>
        <v>0.1618674259388187</v>
      </c>
      <c r="AN62" s="22"/>
      <c r="AO62" s="37">
        <f>8*(BW62-$BW$6)/(2*($AA$6-AA62)+2*($AI$6-AI62))</f>
        <v>0.34379535537900374</v>
      </c>
      <c r="AQ62" s="37">
        <f>(BW62-$BW$6)/(($AA$6-AA62)+($AI$6-AI62))</f>
        <v>8.5948838844750935E-2</v>
      </c>
      <c r="AS62" s="37">
        <f>14*(BX62-$BX$6)/(2*($AA$6-AA62)+2*($AI$6-AI62))</f>
        <v>7.3366371489023332E-3</v>
      </c>
      <c r="AU62" s="37">
        <f>(BX62-$BX$6)/(($AA$6-AA62)+($AI$6-AI62))</f>
        <v>1.0480910212717618E-3</v>
      </c>
      <c r="BG62" s="37">
        <v>563.11</v>
      </c>
      <c r="BI62" s="2">
        <v>8.4499999999999993</v>
      </c>
      <c r="BK62" s="2">
        <v>0</v>
      </c>
      <c r="BM62" s="2">
        <v>0</v>
      </c>
      <c r="BO62" s="22">
        <f>(BG62/1000)/60.2*1000</f>
        <v>9.3539867109634542</v>
      </c>
      <c r="BQ62" s="2">
        <f>BI62/74.08</f>
        <v>0.1140658747300216</v>
      </c>
      <c r="BS62" s="2">
        <f>(BK62/1000)/88.12*1000</f>
        <v>0</v>
      </c>
      <c r="BU62" s="2">
        <f>BM62/88.12</f>
        <v>0</v>
      </c>
      <c r="BW62" s="52">
        <f>BO62*0.05</f>
        <v>0.46769933554817272</v>
      </c>
      <c r="BX62" s="51">
        <f t="shared" si="3"/>
        <v>5.7032937365010805E-3</v>
      </c>
      <c r="BY62" s="51">
        <f t="shared" si="4"/>
        <v>0</v>
      </c>
      <c r="BZ62" s="67">
        <f t="shared" si="5"/>
        <v>0</v>
      </c>
    </row>
    <row r="63" spans="1:78" x14ac:dyDescent="0.3">
      <c r="A63" s="192"/>
      <c r="B63" s="70" t="s">
        <v>102</v>
      </c>
      <c r="C63" s="20">
        <v>7</v>
      </c>
      <c r="D63" s="69"/>
      <c r="E63" s="21"/>
      <c r="F63" s="52">
        <v>1.228</v>
      </c>
      <c r="H63" s="37">
        <v>0.23899999999999999</v>
      </c>
      <c r="I63" s="52">
        <f>H63*0.2907</f>
        <v>6.9477300000000006E-2</v>
      </c>
      <c r="K63" s="53">
        <f>(I63-$I$7)/($AA$7/1000-AA63/1000)*0.05</f>
        <v>0.23766066514141687</v>
      </c>
      <c r="L63" s="68"/>
      <c r="M63" s="22">
        <v>2.6283499141932101</v>
      </c>
      <c r="O63" s="21">
        <v>0</v>
      </c>
      <c r="Q63" s="21">
        <v>0.19002541922065289</v>
      </c>
      <c r="S63" s="21">
        <v>80.858938725364453</v>
      </c>
      <c r="U63" s="21">
        <v>16.322685941221692</v>
      </c>
      <c r="W63" s="21">
        <v>0</v>
      </c>
      <c r="Y63" s="22">
        <v>0.14529280831937255</v>
      </c>
      <c r="AA63" s="21">
        <v>0</v>
      </c>
      <c r="AC63" s="21">
        <v>1.050443347042306E-2</v>
      </c>
      <c r="AE63" s="21">
        <v>4.4698090698241257</v>
      </c>
      <c r="AG63" s="21">
        <v>0.90230332989860296</v>
      </c>
      <c r="AI63" s="21">
        <v>0</v>
      </c>
      <c r="AJ63" s="21"/>
      <c r="AK63" s="22">
        <f>8*(AG63-$AG$7)/(2*($AA$7-AA63)+2*($AI$7-AI63))</f>
        <v>0.65571076571652254</v>
      </c>
      <c r="AL63" s="22"/>
      <c r="AM63" s="22">
        <f>(AG63-$AG$7)/(($AA$7-AA63)+($AI$7-AI63))</f>
        <v>0.16392769142913063</v>
      </c>
      <c r="AN63" s="22"/>
      <c r="AO63" s="37">
        <f>8*(BW63-$BW$7)/(2*($AA$7-AA63)+2*($AI$7-AI63))</f>
        <v>0.35073303135994188</v>
      </c>
      <c r="AQ63" s="37">
        <f>(BW63-$BW$7)/(($AA$7-AA63)+($AI$7-AI63))</f>
        <v>8.7683257839985471E-2</v>
      </c>
      <c r="AS63" s="37">
        <f>14*(BX63-$BX$7)/(2*($AA$7-AA63)+2*($AI$7-AI63))</f>
        <v>7.7681108198179843E-3</v>
      </c>
      <c r="AU63" s="37">
        <f>(BX63-$BX$7)/(($AA$7-AA63)+($AI$7-AI63))</f>
        <v>1.109730117116855E-3</v>
      </c>
      <c r="BG63" s="37">
        <v>581.09</v>
      </c>
      <c r="BI63" s="2">
        <v>9.0500000000000007</v>
      </c>
      <c r="BK63" s="2">
        <v>0</v>
      </c>
      <c r="BM63" s="2">
        <v>0</v>
      </c>
      <c r="BO63" s="22">
        <f>(BG63/1000)/60.2*1000</f>
        <v>9.6526578073089695</v>
      </c>
      <c r="BQ63" s="2">
        <f>BI63/74.08</f>
        <v>0.12216522678185747</v>
      </c>
      <c r="BS63" s="2">
        <f>(BK63/1000)/88.12*1000</f>
        <v>0</v>
      </c>
      <c r="BU63" s="2">
        <f>BM63/88.12</f>
        <v>0</v>
      </c>
      <c r="BW63" s="52">
        <f>BO63*0.05</f>
        <v>0.48263289036544849</v>
      </c>
      <c r="BX63" s="51">
        <f t="shared" si="3"/>
        <v>6.1082613390928738E-3</v>
      </c>
      <c r="BY63" s="51">
        <f t="shared" si="4"/>
        <v>0</v>
      </c>
      <c r="BZ63" s="67">
        <f t="shared" si="5"/>
        <v>0</v>
      </c>
    </row>
    <row r="64" spans="1:78" x14ac:dyDescent="0.3">
      <c r="A64" s="192"/>
      <c r="B64" s="83" t="s">
        <v>63</v>
      </c>
      <c r="C64" s="80">
        <v>7</v>
      </c>
      <c r="D64" s="79"/>
      <c r="E64" s="76"/>
      <c r="F64" s="74">
        <f>AVERAGE(F61:F63)</f>
        <v>1.2213333333333332</v>
      </c>
      <c r="G64" s="73">
        <f>_xlfn.STDEV.S(F61:F63)</f>
        <v>1.1547005383792526E-2</v>
      </c>
      <c r="H64" s="78">
        <f>AVERAGE(H61:H63)</f>
        <v>0.245</v>
      </c>
      <c r="I64" s="74">
        <f>AVERAGE(I61:I63)</f>
        <v>7.1221500000000007E-2</v>
      </c>
      <c r="J64" s="82">
        <f>_xlfn.STDEV.S(I61:I63)</f>
        <v>2.0962675115547636E-3</v>
      </c>
      <c r="K64" s="81">
        <f>AVERAGE(K61:K63)</f>
        <v>0.22546746017215069</v>
      </c>
      <c r="L64" s="112">
        <f>_xlfn.STDEV.S(K61:K63)</f>
        <v>1.8908280059815055E-2</v>
      </c>
      <c r="M64" s="77">
        <f>AVERAGE(M61:M63)</f>
        <v>2.416271005394071</v>
      </c>
      <c r="N64" s="76">
        <f>_xlfn.STDEV.S(M61:M63)</f>
        <v>0.2343651286071029</v>
      </c>
      <c r="O64" s="76">
        <f>AVERAGE(O61:O63)</f>
        <v>0</v>
      </c>
      <c r="P64" s="76">
        <f>_xlfn.STDEV.S(O61:O63)</f>
        <v>0</v>
      </c>
      <c r="Q64" s="76">
        <f>AVERAGE(Q61:Q63)</f>
        <v>0.20455713314451027</v>
      </c>
      <c r="R64" s="76">
        <f>_xlfn.STDEV.S(Q61:Q63)</f>
        <v>1.2602377748815438E-2</v>
      </c>
      <c r="S64" s="76">
        <f>AVERAGE(S61:S63)</f>
        <v>81.360529050500517</v>
      </c>
      <c r="T64" s="76">
        <f>_xlfn.STDEV.S(S61:S63)</f>
        <v>0.47212700583977307</v>
      </c>
      <c r="U64" s="76">
        <f>AVERAGE(U61:U63)</f>
        <v>16.018642810960902</v>
      </c>
      <c r="V64" s="76">
        <f>_xlfn.STDEV.S(U61:U63)</f>
        <v>0.42311635332302544</v>
      </c>
      <c r="W64" s="76">
        <f>AVERAGE(W61:W63)</f>
        <v>0</v>
      </c>
      <c r="X64" s="76">
        <f>_xlfn.STDEV.S(W61:W63)</f>
        <v>0</v>
      </c>
      <c r="Y64" s="77">
        <f>AVERAGE(Y61:Y63)</f>
        <v>0.13291965838390443</v>
      </c>
      <c r="Z64" s="76">
        <f>_xlfn.STDEV.S(Y61:Y63)</f>
        <v>1.4007790447131581E-2</v>
      </c>
      <c r="AA64" s="76">
        <f>AVERAGE(AA61:AA63)</f>
        <v>0</v>
      </c>
      <c r="AB64" s="76">
        <f>_xlfn.STDEV.S(AA61:AA63)</f>
        <v>0</v>
      </c>
      <c r="AC64" s="76">
        <f>AVERAGE(AC61:AC63)</f>
        <v>1.124436412227285E-2</v>
      </c>
      <c r="AD64" s="76">
        <f>_xlfn.STDEV.S(AC61:AC63)</f>
        <v>6.5421287550123286E-4</v>
      </c>
      <c r="AE64" s="76">
        <f>AVERAGE(AE61:AE63)</f>
        <v>4.4731001780991582</v>
      </c>
      <c r="AF64" s="76">
        <f>_xlfn.STDEV.S(AE61:AE63)</f>
        <v>4.6965373988070921E-2</v>
      </c>
      <c r="AG64" s="76">
        <f>AVERAGE(AG61:AG63)</f>
        <v>0.88063507368942229</v>
      </c>
      <c r="AH64" s="76">
        <f>_xlfn.STDEV.S(AG61:AG63)</f>
        <v>2.1760315027575392E-2</v>
      </c>
      <c r="AI64" s="76">
        <f>AVERAGE(AI61:AI63)</f>
        <v>0</v>
      </c>
      <c r="AJ64" s="76">
        <f>_xlfn.STDEV.S(AI61:AI63)</f>
        <v>0</v>
      </c>
      <c r="AK64" s="77">
        <f>AVERAGE(AK61:AK63)</f>
        <v>0.64278395690246748</v>
      </c>
      <c r="AL64" s="79">
        <f>_xlfn.STDEV.S(AK61:AK63)</f>
        <v>1.5799695041393346E-2</v>
      </c>
      <c r="AM64" s="77">
        <f>AVERAGE(AM61:AM63)</f>
        <v>0.16069598922561687</v>
      </c>
      <c r="AN64" s="77">
        <f>_xlfn.STDEV.S(AM61:AM63)</f>
        <v>3.9499237603483365E-3</v>
      </c>
      <c r="AO64" s="78">
        <f>AVERAGE(AO61:AO63)</f>
        <v>0.35092765787031605</v>
      </c>
      <c r="AP64" s="78">
        <f>_xlfn.STDEV.S(AO61:AO63)</f>
        <v>7.2315802872496117E-3</v>
      </c>
      <c r="AQ64" s="78">
        <f>AVERAGE(AQ61:AQ63)</f>
        <v>8.7731914467579011E-2</v>
      </c>
      <c r="AR64" s="78">
        <f>_xlfn.STDEV.S(AQ61:AQ63)</f>
        <v>1.8078950718124029E-3</v>
      </c>
      <c r="AS64" s="78">
        <f>AVERAGE(AS61:AS63)</f>
        <v>7.706180961313207E-3</v>
      </c>
      <c r="AT64" s="78">
        <f>_xlfn.STDEV.S(AS61:AS63)</f>
        <v>3.4280043852315039E-4</v>
      </c>
      <c r="AU64" s="78">
        <f>AVERAGE(AU61:AU63)</f>
        <v>1.1008829944733154E-3</v>
      </c>
      <c r="AV64" s="80">
        <f>_xlfn.STDEV.S(AU61:AU63)</f>
        <v>4.8971491217592931E-5</v>
      </c>
      <c r="AW64" s="80"/>
      <c r="AX64" s="80"/>
      <c r="AY64" s="79">
        <f>SUM(AK64,AO64,AS64)</f>
        <v>1.0014177957340968</v>
      </c>
      <c r="AZ64" s="77">
        <f>SUM(AL64,AP64,AT64)</f>
        <v>2.3374075767166106E-2</v>
      </c>
      <c r="BA64" s="78"/>
      <c r="BB64" s="78"/>
      <c r="BC64" s="78"/>
      <c r="BD64" s="78"/>
      <c r="BE64" s="78"/>
      <c r="BF64" s="78"/>
      <c r="BG64" s="78"/>
      <c r="BH64" s="75"/>
      <c r="BI64" s="75"/>
      <c r="BJ64" s="75"/>
      <c r="BK64" s="75"/>
      <c r="BL64" s="75"/>
      <c r="BM64" s="75"/>
      <c r="BN64" s="75"/>
      <c r="BO64" s="77">
        <f>AVERAGE(BO61:BO63)</f>
        <v>9.6163898117386477</v>
      </c>
      <c r="BP64" s="76">
        <f>_xlfn.STDEV.S(BO61:BO63)</f>
        <v>0.24628016627932464</v>
      </c>
      <c r="BQ64" s="75">
        <f>AVERAGE(BQ61:BQ63)</f>
        <v>0.12068034557235423</v>
      </c>
      <c r="BR64" s="75">
        <f>_xlfn.STDEV.S(BQ61:BQ63)</f>
        <v>6.0111890059968568E-3</v>
      </c>
      <c r="BS64" s="75">
        <f>AVERAGE(BS61:BS63)</f>
        <v>0</v>
      </c>
      <c r="BT64" s="75">
        <f>_xlfn.STDEV.S(BS61:BS63)</f>
        <v>0</v>
      </c>
      <c r="BU64" s="75">
        <f>AVERAGE(BU61:BU63)</f>
        <v>0</v>
      </c>
      <c r="BV64" s="75">
        <f>_xlfn.STDEV.S(BU61:BU63)</f>
        <v>0</v>
      </c>
      <c r="BW64" s="74">
        <f>AVERAGE(BW61:BW63)</f>
        <v>0.48081949058693235</v>
      </c>
      <c r="BX64" s="73">
        <f t="shared" si="3"/>
        <v>6.0340172786177114E-3</v>
      </c>
      <c r="BY64" s="73">
        <f t="shared" si="4"/>
        <v>0</v>
      </c>
      <c r="BZ64" s="72">
        <f t="shared" si="5"/>
        <v>0</v>
      </c>
    </row>
    <row r="65" spans="1:78" x14ac:dyDescent="0.3">
      <c r="A65" s="191" t="s">
        <v>58</v>
      </c>
      <c r="B65" s="70" t="s">
        <v>101</v>
      </c>
      <c r="C65" s="20">
        <v>7</v>
      </c>
      <c r="D65" s="69">
        <v>7.34</v>
      </c>
      <c r="E65" s="21"/>
      <c r="F65" s="52">
        <v>1.1399999999999999</v>
      </c>
      <c r="H65" s="37">
        <v>0.39</v>
      </c>
      <c r="I65" s="52">
        <f>H65*0.2907</f>
        <v>0.11337300000000002</v>
      </c>
      <c r="J65" s="111"/>
      <c r="K65" s="111">
        <f>(I65-$I$9)/($AA$9/1000-AA65/1000)*0.05</f>
        <v>0.61452172261521687</v>
      </c>
      <c r="L65" s="110"/>
      <c r="M65" s="22">
        <v>1.0393591748647968</v>
      </c>
      <c r="O65" s="21">
        <v>0.76779973274035085</v>
      </c>
      <c r="Q65" s="21">
        <v>0.18722937761596939</v>
      </c>
      <c r="S65" s="21">
        <v>97.413763587198559</v>
      </c>
      <c r="U65" s="21">
        <v>0.59184812758032834</v>
      </c>
      <c r="W65" s="21">
        <v>0</v>
      </c>
      <c r="Y65" s="22">
        <v>5.33375513701283E-2</v>
      </c>
      <c r="AA65" s="21">
        <v>3.9401737799001461E-2</v>
      </c>
      <c r="AC65" s="21">
        <v>9.6081862633174663E-3</v>
      </c>
      <c r="AE65" s="21">
        <v>4.9990530176111871</v>
      </c>
      <c r="AG65" s="21">
        <v>3.0372301194374354E-2</v>
      </c>
      <c r="AI65" s="21">
        <v>0</v>
      </c>
      <c r="AJ65" s="21"/>
      <c r="AK65" s="22"/>
      <c r="AL65" s="71"/>
      <c r="AO65" s="37">
        <f>8*(BW65-$BV$9)/(2*($AA$9-AA65)+2*($AI$9-AI65))</f>
        <v>0.70065525225922121</v>
      </c>
      <c r="AQ65" s="37">
        <f>(BW65-$BW$9)/(($AA$9-AA65)+($AI$9-AI65))</f>
        <v>0.17514887040689697</v>
      </c>
      <c r="AS65" s="37">
        <f>14*(BX65-$BX$9)/(2*($AA$9-AA65)+2*($AI$9-AI65))</f>
        <v>1.5742090106443427E-2</v>
      </c>
      <c r="AU65" s="37">
        <f>(BX65-$BX$9)/(($AA$9-AA65)+($AI$9-AI65))</f>
        <v>2.248870015206204E-3</v>
      </c>
      <c r="BG65" s="37">
        <v>1172.24</v>
      </c>
      <c r="BI65" s="2">
        <v>18.52</v>
      </c>
      <c r="BK65" s="2">
        <v>0</v>
      </c>
      <c r="BM65" s="2">
        <v>0</v>
      </c>
      <c r="BO65" s="22">
        <f>(BG65/1000)/60.2*1000</f>
        <v>19.472425249169433</v>
      </c>
      <c r="BQ65" s="2">
        <f>BI65/74.08</f>
        <v>0.25</v>
      </c>
      <c r="BS65" s="2">
        <f>(BK65/1000)/88.12*1000</f>
        <v>0</v>
      </c>
      <c r="BU65" s="2">
        <f>BM65/88.12</f>
        <v>0</v>
      </c>
      <c r="BW65" s="52">
        <f>BO65*0.05</f>
        <v>0.97362126245847169</v>
      </c>
      <c r="BX65" s="51">
        <f t="shared" si="3"/>
        <v>1.2500000000000001E-2</v>
      </c>
      <c r="BY65" s="51">
        <f t="shared" si="4"/>
        <v>0</v>
      </c>
      <c r="BZ65" s="67">
        <f t="shared" si="5"/>
        <v>0</v>
      </c>
    </row>
    <row r="66" spans="1:78" x14ac:dyDescent="0.3">
      <c r="A66" s="192"/>
      <c r="B66" s="70" t="s">
        <v>100</v>
      </c>
      <c r="C66" s="20">
        <v>7</v>
      </c>
      <c r="D66" s="69">
        <v>7.35</v>
      </c>
      <c r="E66" s="21"/>
      <c r="F66" s="52">
        <v>1.1240000000000001</v>
      </c>
      <c r="H66" s="37">
        <v>0.39</v>
      </c>
      <c r="I66" s="52">
        <f>H66*0.2907</f>
        <v>0.11337300000000002</v>
      </c>
      <c r="J66" s="68"/>
      <c r="K66" s="109">
        <f>(I66-$I$10)/($AA$10/1000-AA66/1000)*0.05</f>
        <v>0.63893412546210804</v>
      </c>
      <c r="L66" s="68"/>
      <c r="M66" s="22">
        <v>0.64449734511036805</v>
      </c>
      <c r="O66" s="21">
        <v>0.86150042847834862</v>
      </c>
      <c r="Q66" s="21">
        <v>0.22096158978890568</v>
      </c>
      <c r="S66" s="21">
        <v>98.051964274578978</v>
      </c>
      <c r="U66" s="21">
        <v>0.22107636204339495</v>
      </c>
      <c r="W66" s="21">
        <v>0</v>
      </c>
      <c r="Y66" s="22">
        <v>3.260994096801683E-2</v>
      </c>
      <c r="AA66" s="21">
        <v>4.3589749949690219E-2</v>
      </c>
      <c r="AC66" s="21">
        <v>1.1180099427688781E-2</v>
      </c>
      <c r="AE66" s="21">
        <v>4.9611822159555352</v>
      </c>
      <c r="AG66" s="21">
        <v>1.1185906614439906E-2</v>
      </c>
      <c r="AI66" s="21">
        <v>0</v>
      </c>
      <c r="AJ66" s="21"/>
      <c r="AK66" s="22"/>
      <c r="AL66" s="22"/>
      <c r="AO66" s="37">
        <f>8*(BW66-$BV$10)/(2*($AA$10-AA66)+2*($AI$10-AI66))</f>
        <v>0.7265475297768812</v>
      </c>
      <c r="AQ66" s="37">
        <f>(BW66-$BW$10)/(($AA$10-AA66)+($AI$10-AI66))</f>
        <v>0.1816368824442203</v>
      </c>
      <c r="AS66" s="37">
        <f>14*(BX66-$BX$10)/(2*($AA$10-AA66)+2*($AI$10-AI66))</f>
        <v>1.5198870483461427E-2</v>
      </c>
      <c r="AU66" s="37">
        <f>(BX66-$BX$10)/(($AA$10-AA66)+($AI$10-AI66))</f>
        <v>2.1712672119230613E-3</v>
      </c>
      <c r="BG66" s="37">
        <v>1203.94</v>
      </c>
      <c r="BI66" s="2">
        <v>17.71</v>
      </c>
      <c r="BK66" s="2">
        <v>0</v>
      </c>
      <c r="BM66" s="2">
        <v>0</v>
      </c>
      <c r="BO66" s="22">
        <f>(BG66/1000)/60.2*1000</f>
        <v>19.999003322259135</v>
      </c>
      <c r="BQ66" s="2">
        <f>BI66/74.08</f>
        <v>0.23906587473002161</v>
      </c>
      <c r="BS66" s="2">
        <f>(BK66/1000)/88.12*1000</f>
        <v>0</v>
      </c>
      <c r="BU66" s="2">
        <f>BM66/88.12</f>
        <v>0</v>
      </c>
      <c r="BW66" s="52">
        <f>BO66*0.05</f>
        <v>0.99995016611295684</v>
      </c>
      <c r="BX66" s="51">
        <f t="shared" si="3"/>
        <v>1.1953293736501081E-2</v>
      </c>
      <c r="BY66" s="51">
        <f t="shared" si="4"/>
        <v>0</v>
      </c>
      <c r="BZ66" s="67">
        <f t="shared" si="5"/>
        <v>0</v>
      </c>
    </row>
    <row r="67" spans="1:78" x14ac:dyDescent="0.3">
      <c r="A67" s="192"/>
      <c r="B67" s="70" t="s">
        <v>99</v>
      </c>
      <c r="C67" s="20">
        <v>7</v>
      </c>
      <c r="D67" s="69">
        <v>7.23</v>
      </c>
      <c r="E67" s="21"/>
      <c r="F67" s="52">
        <v>1.17</v>
      </c>
      <c r="G67" s="67"/>
      <c r="H67" s="37">
        <v>0.36299999999999999</v>
      </c>
      <c r="I67" s="52">
        <f>H67*0.2907</f>
        <v>0.1055241</v>
      </c>
      <c r="K67" s="68">
        <f>(I67-$I$11)/($AA$11/1000-AA67/1000)*0.05</f>
        <v>0.58935306648706898</v>
      </c>
      <c r="L67" s="68"/>
      <c r="M67" s="22">
        <v>0.96012200834777517</v>
      </c>
      <c r="O67" s="21">
        <v>0.57938483046276057</v>
      </c>
      <c r="Q67" s="21">
        <v>0.16980119461222232</v>
      </c>
      <c r="S67" s="21">
        <v>97.919128840119413</v>
      </c>
      <c r="U67" s="21">
        <v>0.3715631264578218</v>
      </c>
      <c r="W67" s="21">
        <v>0</v>
      </c>
      <c r="Y67" s="22">
        <v>5.0567892647879628E-2</v>
      </c>
      <c r="AA67" s="21">
        <v>3.0515152922146543E-2</v>
      </c>
      <c r="AC67" s="21">
        <v>8.9431223385959286E-3</v>
      </c>
      <c r="AE67" s="21">
        <v>5.1572237198082203</v>
      </c>
      <c r="AG67" s="21">
        <v>1.9569559001113793E-2</v>
      </c>
      <c r="AI67" s="21">
        <v>0</v>
      </c>
      <c r="AJ67" s="21"/>
      <c r="AK67" s="22"/>
      <c r="AL67" s="22"/>
      <c r="AO67" s="37">
        <f>8*(BW67-$BV$11)/(2*($AA$11-AA67)+2*($AI$11-AI67))</f>
        <v>0.743900560207849</v>
      </c>
      <c r="AQ67" s="37">
        <f>(BW67-$BW$10)/(($AA$10-AA67)+($AI$10-AI67))</f>
        <v>0.18701325089037552</v>
      </c>
      <c r="AS67" s="37">
        <f>14*(BX67-$BX$11)/(2*($AA$11-AA67)+2*($AI$11-AI67))</f>
        <v>1.6049311952457377E-2</v>
      </c>
      <c r="AU67" s="37">
        <f>(BX67-$BX$11)/(($AA$11-AA67)+($AI$11-AI67))</f>
        <v>2.2927588503510537E-3</v>
      </c>
      <c r="BG67" s="37">
        <v>1242.52</v>
      </c>
      <c r="BI67" s="2">
        <v>18.850000000000001</v>
      </c>
      <c r="BK67" s="2">
        <v>0</v>
      </c>
      <c r="BM67" s="2">
        <v>0</v>
      </c>
      <c r="BO67" s="22">
        <f>(BG67/1000)/60.2*1000</f>
        <v>20.639867109634551</v>
      </c>
      <c r="BQ67" s="2">
        <f>BI67/74.08</f>
        <v>0.25445464362850972</v>
      </c>
      <c r="BS67" s="2">
        <f>(BK67/1000)/88.12*1000</f>
        <v>0</v>
      </c>
      <c r="BU67" s="2">
        <f>BM67/88.12</f>
        <v>0</v>
      </c>
      <c r="BW67" s="52">
        <f>BO67*0.05</f>
        <v>1.0319933554817275</v>
      </c>
      <c r="BX67" s="51">
        <f t="shared" si="3"/>
        <v>1.2722732181425486E-2</v>
      </c>
      <c r="BY67" s="51">
        <f t="shared" si="4"/>
        <v>0</v>
      </c>
      <c r="BZ67" s="67">
        <f t="shared" si="5"/>
        <v>0</v>
      </c>
    </row>
    <row r="68" spans="1:78" ht="15" thickBot="1" x14ac:dyDescent="0.35">
      <c r="A68" s="192"/>
      <c r="B68" s="66" t="s">
        <v>63</v>
      </c>
      <c r="C68" s="65">
        <v>7</v>
      </c>
      <c r="D68" s="64">
        <f>AVERAGE(D65:D67)</f>
        <v>7.3066666666666675</v>
      </c>
      <c r="E68" s="76">
        <f>_xlfn.STDEV.S(D65:D67)</f>
        <v>6.6583281184793536E-2</v>
      </c>
      <c r="F68" s="56">
        <f>AVERAGE(F65:F67)</f>
        <v>1.1446666666666667</v>
      </c>
      <c r="G68" s="55">
        <f>_xlfn.STDEV.S(F65:F67)</f>
        <v>2.3352373184182582E-2</v>
      </c>
      <c r="H68" s="60">
        <f>AVERAGE(H65:H67)</f>
        <v>0.38100000000000001</v>
      </c>
      <c r="I68" s="56">
        <f>AVERAGE(I65:I67)</f>
        <v>0.1107567</v>
      </c>
      <c r="J68" s="63">
        <f>_xlfn.STDEV.S(I65:I67)</f>
        <v>4.5315645278424651E-3</v>
      </c>
      <c r="K68" s="63">
        <f>AVERAGE(K65:K67)</f>
        <v>0.6142696381881313</v>
      </c>
      <c r="L68" s="62">
        <f>_xlfn.STDEV.S(K65:K67)</f>
        <v>2.4791490721422133E-2</v>
      </c>
      <c r="M68" s="59">
        <f>AVERAGE(M65:M67)</f>
        <v>0.88132617610764663</v>
      </c>
      <c r="N68" s="58">
        <f>_xlfn.STDEV.S(M65:M67)</f>
        <v>0.2088912481006924</v>
      </c>
      <c r="O68" s="58">
        <f>AVERAGE(O65:O67)</f>
        <v>0.73622833056048664</v>
      </c>
      <c r="P68" s="58">
        <f>_xlfn.STDEV.S(O65:O67)</f>
        <v>0.14368322009763498</v>
      </c>
      <c r="Q68" s="58">
        <f>AVERAGE(Q65:Q67)</f>
        <v>0.19266405400569911</v>
      </c>
      <c r="R68" s="58">
        <f>_xlfn.STDEV.S(Q65:Q67)</f>
        <v>2.6009580720465615E-2</v>
      </c>
      <c r="S68" s="58">
        <f>AVERAGE(S65:S67)</f>
        <v>97.79495223396566</v>
      </c>
      <c r="T68" s="58">
        <f>_xlfn.STDEV.S(S65:S67)</f>
        <v>0.33673417034822845</v>
      </c>
      <c r="U68" s="58">
        <f>AVERAGE(U65:U67)</f>
        <v>0.39482920536051508</v>
      </c>
      <c r="V68" s="58">
        <f>_xlfn.STDEV.S(U65:U67)</f>
        <v>0.18647763498734493</v>
      </c>
      <c r="W68" s="58">
        <f>AVERAGE(W65:W67)</f>
        <v>0</v>
      </c>
      <c r="X68" s="58">
        <f>_xlfn.STDEV.S(W65:W67)</f>
        <v>0</v>
      </c>
      <c r="Y68" s="59">
        <f>AVERAGE(Y65:Y67)</f>
        <v>4.5505128328674926E-2</v>
      </c>
      <c r="Z68" s="58">
        <f>_xlfn.STDEV.S(Y65:Y67)</f>
        <v>1.1253094914701823E-2</v>
      </c>
      <c r="AA68" s="58">
        <f>AVERAGE(AA65:AA67)</f>
        <v>3.783554689027941E-2</v>
      </c>
      <c r="AB68" s="58">
        <f>_xlfn.STDEV.S(AA65:AA67)</f>
        <v>6.6765250939456525E-3</v>
      </c>
      <c r="AC68" s="58">
        <f>AVERAGE(AC65:AC67)</f>
        <v>9.9104693432007247E-3</v>
      </c>
      <c r="AD68" s="58">
        <f>_xlfn.STDEV.S(AC65:AC67)</f>
        <v>1.14871576970518E-3</v>
      </c>
      <c r="AE68" s="58">
        <f>AVERAGE(AE65:AE67)</f>
        <v>5.0391529844583145</v>
      </c>
      <c r="AF68" s="58">
        <f>_xlfn.STDEV.S(AE65:AE67)</f>
        <v>0.10399073667428795</v>
      </c>
      <c r="AG68" s="58">
        <f>AVERAGE(AG65:AG67)</f>
        <v>2.0375922269976018E-2</v>
      </c>
      <c r="AH68" s="58">
        <f>_xlfn.STDEV.S(AG65:AG67)</f>
        <v>9.6185810042470482E-3</v>
      </c>
      <c r="AI68" s="58">
        <f>AVERAGE(AI65:AI67)</f>
        <v>0</v>
      </c>
      <c r="AJ68" s="58">
        <f>_xlfn.STDEV.S(AI65:AI67)</f>
        <v>0</v>
      </c>
      <c r="AK68" s="77"/>
      <c r="AL68" s="77"/>
      <c r="AM68" s="60"/>
      <c r="AN68" s="60"/>
      <c r="AO68" s="60">
        <f>AVERAGE(AO65:AO67)</f>
        <v>0.7237011140813171</v>
      </c>
      <c r="AP68" s="60">
        <f>_xlfn.STDEV.S(AO65:AO67)</f>
        <v>2.1762714137415803E-2</v>
      </c>
      <c r="AQ68" s="60">
        <f>AVERAGE(AQ65:AQ67)</f>
        <v>0.1812663345804976</v>
      </c>
      <c r="AR68" s="60">
        <f>_xlfn.STDEV.S(AQ65:AQ67)</f>
        <v>5.9408636033550493E-3</v>
      </c>
      <c r="AS68" s="60">
        <f>AVERAGE(AS65:AS67)</f>
        <v>1.5663424180787412E-2</v>
      </c>
      <c r="AT68" s="60">
        <f>_xlfn.STDEV.S(AS65:AS67)</f>
        <v>4.3064361012499174E-4</v>
      </c>
      <c r="AU68" s="60">
        <f>AVERAGE(AU65:AU67)</f>
        <v>2.2376320258267728E-3</v>
      </c>
      <c r="AV68" s="60">
        <f>_xlfn.STDEV.S(AU65:AU67)</f>
        <v>6.1520515732141435E-5</v>
      </c>
      <c r="AW68" s="60"/>
      <c r="AX68" s="60"/>
      <c r="AY68" s="59">
        <f>SUM(AK68,AO68,AS68)</f>
        <v>0.73936453826210446</v>
      </c>
      <c r="AZ68" s="59">
        <f>SUM(AL68,AP68,AT68)</f>
        <v>2.2193357747540794E-2</v>
      </c>
      <c r="BA68" s="60"/>
      <c r="BB68" s="60"/>
      <c r="BC68" s="60"/>
      <c r="BD68" s="60"/>
      <c r="BE68" s="60"/>
      <c r="BF68" s="60"/>
      <c r="BG68" s="60"/>
      <c r="BH68" s="57"/>
      <c r="BI68" s="57"/>
      <c r="BJ68" s="57"/>
      <c r="BK68" s="57"/>
      <c r="BL68" s="57"/>
      <c r="BM68" s="57"/>
      <c r="BN68" s="57"/>
      <c r="BO68" s="59">
        <f>AVERAGE(BO65:BO67)</f>
        <v>20.037098560354373</v>
      </c>
      <c r="BP68" s="58">
        <f>_xlfn.STDEV.S(BO65:BO67)</f>
        <v>0.58465251198101731</v>
      </c>
      <c r="BQ68" s="57">
        <f>AVERAGE(BQ65:BQ67)</f>
        <v>0.24784017278617712</v>
      </c>
      <c r="BR68" s="57">
        <f>_xlfn.STDEV.S(BQ65:BQ67)</f>
        <v>7.9184715853468993E-3</v>
      </c>
      <c r="BS68" s="57">
        <f>AVERAGE(BS65:BS67)</f>
        <v>0</v>
      </c>
      <c r="BT68" s="57">
        <f>_xlfn.STDEV.S(BS65:BS67)</f>
        <v>0</v>
      </c>
      <c r="BU68" s="57">
        <f>AVERAGE(BU65:BU67)</f>
        <v>0</v>
      </c>
      <c r="BV68" s="57">
        <f>_xlfn.STDEV.S(BU65:BU67)</f>
        <v>0</v>
      </c>
      <c r="BW68" s="56">
        <f>AVERAGE(BW65:BW67)</f>
        <v>1.0018549280177187</v>
      </c>
      <c r="BX68" s="55">
        <f t="shared" si="3"/>
        <v>1.2392008639308857E-2</v>
      </c>
      <c r="BY68" s="55">
        <f t="shared" si="4"/>
        <v>0</v>
      </c>
      <c r="BZ68" s="54">
        <f t="shared" si="5"/>
        <v>0</v>
      </c>
    </row>
    <row r="69" spans="1:78" x14ac:dyDescent="0.3">
      <c r="A69" s="191" t="s">
        <v>57</v>
      </c>
      <c r="B69" s="95" t="s">
        <v>104</v>
      </c>
      <c r="C69" s="94">
        <v>8</v>
      </c>
      <c r="D69" s="93"/>
      <c r="E69" s="88"/>
      <c r="F69" s="86">
        <v>1.22</v>
      </c>
      <c r="G69" s="85"/>
      <c r="H69" s="90">
        <v>0.253</v>
      </c>
      <c r="I69" s="86">
        <f>H69*0.2907</f>
        <v>7.3547100000000004E-2</v>
      </c>
      <c r="J69" s="92"/>
      <c r="K69" s="92">
        <f>(I69-$I$5)/($AA$5/1000-AA69/1000)*0.05</f>
        <v>0.23013863331764839</v>
      </c>
      <c r="L69" s="91"/>
      <c r="M69" s="89">
        <v>2.4549868292103079</v>
      </c>
      <c r="N69" s="88"/>
      <c r="O69" s="88">
        <v>0</v>
      </c>
      <c r="P69" s="88"/>
      <c r="Q69" s="88">
        <v>0.21241626893002521</v>
      </c>
      <c r="R69" s="88"/>
      <c r="S69" s="88">
        <v>81.768769102038988</v>
      </c>
      <c r="T69" s="88"/>
      <c r="U69" s="88">
        <v>15.563827799820684</v>
      </c>
      <c r="V69" s="88"/>
      <c r="W69" s="88">
        <v>0</v>
      </c>
      <c r="X69" s="88"/>
      <c r="Y69" s="89">
        <v>0.13482535295466661</v>
      </c>
      <c r="Z69" s="88"/>
      <c r="AA69" s="88">
        <v>0</v>
      </c>
      <c r="AB69" s="88"/>
      <c r="AC69" s="88">
        <v>1.1665683127520619E-2</v>
      </c>
      <c r="AD69" s="88"/>
      <c r="AE69" s="88">
        <v>4.4906567414853615</v>
      </c>
      <c r="AF69" s="88"/>
      <c r="AG69" s="88">
        <v>0.85474942328365344</v>
      </c>
      <c r="AH69" s="88"/>
      <c r="AI69" s="88">
        <v>0</v>
      </c>
      <c r="AJ69" s="88"/>
      <c r="AK69" s="89">
        <f>8*(AG69-$AG$5)/(2*($AA$5-AA69)+2*($AI$5-AI69))</f>
        <v>0.62223444512784631</v>
      </c>
      <c r="AL69" s="89"/>
      <c r="AM69" s="89">
        <f>(AG69-$AG$5)/(($AA$5-AA69)+($AI$5-AI69))</f>
        <v>0.15555861128196158</v>
      </c>
      <c r="AN69" s="89"/>
      <c r="AO69" s="37">
        <f>8*(BW69-$BW$5)/(2*($AA$5-AA69)+2*($AI$5-AI69))</f>
        <v>0.35887735441483343</v>
      </c>
      <c r="AQ69" s="37">
        <f>(BW69-$BW$5)/(($AA$5-AA69)+($AI$5-AI69))</f>
        <v>8.9719338603708357E-2</v>
      </c>
      <c r="AS69" s="37">
        <f>14*(BX69-$BX$5)/(2*($AA$5-AA69)+2*($AI$5-AI69))</f>
        <v>8.1857647631853846E-3</v>
      </c>
      <c r="AU69" s="37">
        <f>(BX69-$BX$5)/(($AA$5-AA69)+($AI$5-AI69))</f>
        <v>1.1693949661693407E-3</v>
      </c>
      <c r="AY69" s="90"/>
      <c r="AZ69" s="90"/>
      <c r="BA69" s="90"/>
      <c r="BB69" s="90"/>
      <c r="BC69" s="90"/>
      <c r="BD69" s="90"/>
      <c r="BE69" s="90"/>
      <c r="BF69" s="90"/>
      <c r="BG69" s="90">
        <v>593.54999999999995</v>
      </c>
      <c r="BH69" s="87"/>
      <c r="BI69" s="87">
        <v>9.52</v>
      </c>
      <c r="BJ69" s="87"/>
      <c r="BK69" s="87">
        <v>0</v>
      </c>
      <c r="BL69" s="87"/>
      <c r="BM69" s="87">
        <v>0</v>
      </c>
      <c r="BN69" s="87"/>
      <c r="BO69" s="89">
        <f>(BG69/1000)/60.2*1000</f>
        <v>9.8596345514950148</v>
      </c>
      <c r="BP69" s="88"/>
      <c r="BQ69" s="87">
        <f>BI69/74.08</f>
        <v>0.12850971922246221</v>
      </c>
      <c r="BR69" s="87"/>
      <c r="BS69" s="87">
        <f>(BK69/1000)/88.12*1000</f>
        <v>0</v>
      </c>
      <c r="BT69" s="87"/>
      <c r="BU69" s="87">
        <f>BM69/88.12</f>
        <v>0</v>
      </c>
      <c r="BV69" s="87"/>
      <c r="BW69" s="86">
        <f>BO69*0.05</f>
        <v>0.49298172757475078</v>
      </c>
      <c r="BX69" s="85">
        <f t="shared" si="3"/>
        <v>6.4254859611231107E-3</v>
      </c>
      <c r="BY69" s="85">
        <f t="shared" si="4"/>
        <v>0</v>
      </c>
      <c r="BZ69" s="84">
        <f t="shared" si="5"/>
        <v>0</v>
      </c>
    </row>
    <row r="70" spans="1:78" x14ac:dyDescent="0.3">
      <c r="A70" s="192"/>
      <c r="B70" s="70" t="s">
        <v>103</v>
      </c>
      <c r="C70" s="20">
        <v>8</v>
      </c>
      <c r="D70" s="69"/>
      <c r="E70" s="21"/>
      <c r="F70" s="52">
        <v>1.2</v>
      </c>
      <c r="H70" s="37">
        <v>0.25700000000000001</v>
      </c>
      <c r="I70" s="52">
        <f>H70*0.2907</f>
        <v>7.470990000000001E-2</v>
      </c>
      <c r="K70" s="53">
        <f>(I70-$I$6)/($AA$6/1000-AA70/1000)*0.05</f>
        <v>0.24574015300934701</v>
      </c>
      <c r="L70" s="68"/>
      <c r="M70" s="22">
        <v>2.1651458687257223</v>
      </c>
      <c r="O70" s="21">
        <v>0</v>
      </c>
      <c r="Q70" s="21">
        <v>0.21120658700969283</v>
      </c>
      <c r="S70" s="21">
        <v>81.445010213138303</v>
      </c>
      <c r="U70" s="21">
        <v>16.178637331126264</v>
      </c>
      <c r="W70" s="21">
        <v>0</v>
      </c>
      <c r="Y70" s="22">
        <v>0.11695828068087877</v>
      </c>
      <c r="AA70" s="21">
        <v>0</v>
      </c>
      <c r="AC70" s="21">
        <v>1.1409097022949522E-2</v>
      </c>
      <c r="AE70" s="21">
        <v>4.3995503961917892</v>
      </c>
      <c r="AG70" s="21">
        <v>0.87394832530228628</v>
      </c>
      <c r="AI70" s="21">
        <v>0</v>
      </c>
      <c r="AJ70" s="21"/>
      <c r="AK70" s="22">
        <f>8*(AG70-$AG$6)/(2*($AA$6-AA70)+2*($AI$6-AI70))</f>
        <v>0.64241993144597398</v>
      </c>
      <c r="AL70" s="22"/>
      <c r="AM70" s="22">
        <f>(AG70-$AG$6)/(($AA$6-AA70)+($AI$6-AI70))</f>
        <v>0.16060498286149349</v>
      </c>
      <c r="AN70" s="22"/>
      <c r="AO70" s="37">
        <f>8*(BW70-$BW$6)/(2*($AA$6-AA70)+2*($AI$6-AI70))</f>
        <v>0.34533572170462623</v>
      </c>
      <c r="AQ70" s="37">
        <f>(BW70-$BW$6)/(($AA$6-AA70)+($AI$6-AI70))</f>
        <v>8.6333930426156558E-2</v>
      </c>
      <c r="AS70" s="37">
        <f>14*(BX70-$BX$6)/(2*($AA$6-AA70)+2*($AI$6-AI70))</f>
        <v>7.3974140246920563E-3</v>
      </c>
      <c r="AU70" s="37">
        <f>(BX70-$BX$6)/(($AA$6-AA70)+($AI$6-AI70))</f>
        <v>1.0567734320988652E-3</v>
      </c>
      <c r="BG70" s="37">
        <v>565.63300000000004</v>
      </c>
      <c r="BI70" s="2">
        <v>8.52</v>
      </c>
      <c r="BK70" s="2">
        <v>0</v>
      </c>
      <c r="BM70" s="2">
        <v>0</v>
      </c>
      <c r="BO70" s="22">
        <f>(BG70/1000)/60.2*1000</f>
        <v>9.3958970099667773</v>
      </c>
      <c r="BQ70" s="2">
        <f>BI70/74.08</f>
        <v>0.11501079913606911</v>
      </c>
      <c r="BS70" s="2">
        <f>(BK70/1000)/88.12*1000</f>
        <v>0</v>
      </c>
      <c r="BU70" s="2">
        <f>BM70/88.12</f>
        <v>0</v>
      </c>
      <c r="BW70" s="52">
        <f>BO70*0.05</f>
        <v>0.46979485049833891</v>
      </c>
      <c r="BX70" s="51">
        <f t="shared" si="3"/>
        <v>5.7505399568034557E-3</v>
      </c>
      <c r="BY70" s="51">
        <f t="shared" si="4"/>
        <v>0</v>
      </c>
      <c r="BZ70" s="67">
        <f t="shared" si="5"/>
        <v>0</v>
      </c>
    </row>
    <row r="71" spans="1:78" x14ac:dyDescent="0.3">
      <c r="A71" s="192"/>
      <c r="B71" s="70" t="s">
        <v>102</v>
      </c>
      <c r="C71" s="20">
        <v>8</v>
      </c>
      <c r="D71" s="69"/>
      <c r="E71" s="21"/>
      <c r="F71" s="52">
        <v>1.22</v>
      </c>
      <c r="H71" s="37">
        <v>0.23699999999999999</v>
      </c>
      <c r="I71" s="52">
        <f>H71*0.2907</f>
        <v>6.8895899999999996E-2</v>
      </c>
      <c r="K71" s="53">
        <f>(I71-$I$7)/($AA$7/1000-AA71/1000)*0.05</f>
        <v>0.23237931702716308</v>
      </c>
      <c r="L71" s="68"/>
      <c r="M71" s="22">
        <v>2.6149654953508472</v>
      </c>
      <c r="O71" s="21">
        <v>0</v>
      </c>
      <c r="Q71" s="21">
        <v>0.1890577475313506</v>
      </c>
      <c r="S71" s="21">
        <v>80.447178519006442</v>
      </c>
      <c r="U71" s="21">
        <v>16.748798238111352</v>
      </c>
      <c r="W71" s="21">
        <v>0</v>
      </c>
      <c r="Y71" s="22">
        <v>0.14361121684239794</v>
      </c>
      <c r="AA71" s="21">
        <v>0</v>
      </c>
      <c r="AC71" s="21">
        <v>1.0382857144666578E-2</v>
      </c>
      <c r="AE71" s="21">
        <v>4.4180763452490854</v>
      </c>
      <c r="AG71" s="21">
        <v>0.91982678161505282</v>
      </c>
      <c r="AI71" s="21">
        <v>0</v>
      </c>
      <c r="AJ71" s="21"/>
      <c r="AK71" s="22">
        <f>8*(AG71-$AG$7)/(2*($AA$7-AA71)+2*($AI$7-AI71))</f>
        <v>0.66844519277918346</v>
      </c>
      <c r="AL71" s="22"/>
      <c r="AM71" s="22">
        <f>(AG71-$AG$7)/(($AA$7-AA71)+($AI$7-AI71))</f>
        <v>0.16711129819479587</v>
      </c>
      <c r="AN71" s="22"/>
      <c r="AO71" s="37">
        <f>8*(BW71-$BW$7)/(2*($AA$7-AA71)+2*($AI$7-AI71))</f>
        <v>0.35304473438375678</v>
      </c>
      <c r="AQ71" s="37">
        <f>(BW71-$BW$7)/(($AA$7-AA71)+($AI$7-AI71))</f>
        <v>8.8261183595939194E-2</v>
      </c>
      <c r="AS71" s="37">
        <f>14*(BX71-$BX$7)/(2*($AA$7-AA71)+2*($AI$7-AI71))</f>
        <v>7.9311982292948266E-3</v>
      </c>
      <c r="AU71" s="37">
        <f>(BX71-$BX$7)/(($AA$7-AA71)+($AI$7-AI71))</f>
        <v>1.1330283184706894E-3</v>
      </c>
      <c r="BG71" s="37">
        <v>584.91999999999996</v>
      </c>
      <c r="BI71" s="2">
        <v>9.24</v>
      </c>
      <c r="BK71" s="2">
        <v>0</v>
      </c>
      <c r="BM71" s="2">
        <v>0</v>
      </c>
      <c r="BO71" s="22">
        <f>(BG71/1000)/60.2*1000</f>
        <v>9.7162790697674417</v>
      </c>
      <c r="BQ71" s="2">
        <f>BI71/74.08</f>
        <v>0.12473002159827215</v>
      </c>
      <c r="BS71" s="2">
        <f>(BK71/1000)/88.12*1000</f>
        <v>0</v>
      </c>
      <c r="BU71" s="2">
        <f>BM71/88.12</f>
        <v>0</v>
      </c>
      <c r="BW71" s="52">
        <f>BO71*0.05</f>
        <v>0.48581395348837209</v>
      </c>
      <c r="BX71" s="51">
        <f t="shared" si="3"/>
        <v>6.236501079913608E-3</v>
      </c>
      <c r="BY71" s="51">
        <f t="shared" si="4"/>
        <v>0</v>
      </c>
      <c r="BZ71" s="67">
        <f t="shared" si="5"/>
        <v>0</v>
      </c>
    </row>
    <row r="72" spans="1:78" x14ac:dyDescent="0.3">
      <c r="A72" s="192"/>
      <c r="B72" s="83" t="s">
        <v>63</v>
      </c>
      <c r="C72" s="80">
        <v>8</v>
      </c>
      <c r="D72" s="79"/>
      <c r="E72" s="76"/>
      <c r="F72" s="74">
        <f>AVERAGE(F69:F71)</f>
        <v>1.2133333333333332</v>
      </c>
      <c r="G72" s="73">
        <f>_xlfn.STDEV.S(F69:F71)</f>
        <v>1.1547005383792526E-2</v>
      </c>
      <c r="H72" s="78">
        <f>AVERAGE(H69:H71)</f>
        <v>0.249</v>
      </c>
      <c r="I72" s="74">
        <f>AVERAGE(I69:I71)</f>
        <v>7.2384300000000013E-2</v>
      </c>
      <c r="J72" s="82">
        <f>_xlfn.STDEV.S(I69:I71)</f>
        <v>3.0764796245059127E-3</v>
      </c>
      <c r="K72" s="82">
        <f>AVERAGE(K69:K71)</f>
        <v>0.23608603445138618</v>
      </c>
      <c r="L72" s="81">
        <f>_xlfn.STDEV.S(K69:K71)</f>
        <v>8.4354412877984172E-3</v>
      </c>
      <c r="M72" s="77">
        <f>AVERAGE(M69:M71)</f>
        <v>2.4116993977622925</v>
      </c>
      <c r="N72" s="76">
        <f>_xlfn.STDEV.S(M69:M71)</f>
        <v>0.22801266503270529</v>
      </c>
      <c r="O72" s="76">
        <f>AVERAGE(O69:O71)</f>
        <v>0</v>
      </c>
      <c r="P72" s="76">
        <f>_xlfn.STDEV.S(O69:O71)</f>
        <v>0</v>
      </c>
      <c r="Q72" s="76">
        <f>AVERAGE(Q69:Q71)</f>
        <v>0.20422686782368957</v>
      </c>
      <c r="R72" s="76">
        <f>_xlfn.STDEV.S(Q69:Q71)</f>
        <v>1.3150760070037081E-2</v>
      </c>
      <c r="S72" s="76">
        <f>AVERAGE(S69:S71)</f>
        <v>81.220319278061254</v>
      </c>
      <c r="T72" s="76">
        <f>_xlfn.STDEV.S(S69:S71)</f>
        <v>0.6888504406033491</v>
      </c>
      <c r="U72" s="76">
        <f>AVERAGE(U69:U71)</f>
        <v>16.163754456352766</v>
      </c>
      <c r="V72" s="76">
        <f>_xlfn.STDEV.S(U69:U71)</f>
        <v>0.59262539590945384</v>
      </c>
      <c r="W72" s="76">
        <f>AVERAGE(W69:W71)</f>
        <v>0</v>
      </c>
      <c r="X72" s="76">
        <f>_xlfn.STDEV.S(W69:W71)</f>
        <v>0</v>
      </c>
      <c r="Y72" s="77">
        <f>AVERAGE(Y69:Y71)</f>
        <v>0.13179828349264777</v>
      </c>
      <c r="Z72" s="76">
        <f>_xlfn.STDEV.S(Y69:Y71)</f>
        <v>1.3581867090110231E-2</v>
      </c>
      <c r="AA72" s="76">
        <f>AVERAGE(AA69:AA71)</f>
        <v>0</v>
      </c>
      <c r="AB72" s="76">
        <f>_xlfn.STDEV.S(AA69:AA71)</f>
        <v>0</v>
      </c>
      <c r="AC72" s="76">
        <f>AVERAGE(AC69:AC71)</f>
        <v>1.1152545765045574E-2</v>
      </c>
      <c r="AD72" s="76">
        <f>_xlfn.STDEV.S(AC69:AC71)</f>
        <v>6.7880375405593701E-4</v>
      </c>
      <c r="AE72" s="76">
        <f>AVERAGE(AE69:AE71)</f>
        <v>4.4360944943087457</v>
      </c>
      <c r="AF72" s="76">
        <f>_xlfn.STDEV.S(AE69:AE71)</f>
        <v>4.81516542793703E-2</v>
      </c>
      <c r="AG72" s="76">
        <f>AVERAGE(AG69:AG71)</f>
        <v>0.88284151006699751</v>
      </c>
      <c r="AH72" s="76">
        <f>_xlfn.STDEV.S(AG69:AG71)</f>
        <v>3.3437736067096532E-2</v>
      </c>
      <c r="AI72" s="76">
        <f>AVERAGE(AI69:AI71)</f>
        <v>0</v>
      </c>
      <c r="AJ72" s="76">
        <f>_xlfn.STDEV.S(AI69:AI71)</f>
        <v>0</v>
      </c>
      <c r="AK72" s="77">
        <f>AVERAGE(AK69:AK71)</f>
        <v>0.64436652311766796</v>
      </c>
      <c r="AL72" s="77">
        <f>_xlfn.STDEV.S(AK69:AK71)</f>
        <v>2.3166791188598424E-2</v>
      </c>
      <c r="AM72" s="77">
        <f>AVERAGE(AM69:AM71)</f>
        <v>0.16109163077941699</v>
      </c>
      <c r="AN72" s="77">
        <f>_xlfn.STDEV.S(AM69:AM71)</f>
        <v>5.791697797149606E-3</v>
      </c>
      <c r="AO72" s="78">
        <f>AVERAGE(AO69:AO71)</f>
        <v>0.35241927016773883</v>
      </c>
      <c r="AP72" s="78">
        <f>_xlfn.STDEV.S(AO69:AO71)</f>
        <v>6.7924486180373569E-3</v>
      </c>
      <c r="AQ72" s="78">
        <f>AVERAGE(AQ69:AQ71)</f>
        <v>8.8104817541934707E-2</v>
      </c>
      <c r="AR72" s="78">
        <f>_xlfn.STDEV.S(AQ69:AQ71)</f>
        <v>1.6981121545093392E-3</v>
      </c>
      <c r="AS72" s="78">
        <f>AVERAGE(AS69:AS71)</f>
        <v>7.8381256723907555E-3</v>
      </c>
      <c r="AT72" s="78">
        <f>_xlfn.STDEV.S(AS69:AS71)</f>
        <v>4.0233207348810778E-4</v>
      </c>
      <c r="AU72" s="78">
        <f>AVERAGE(AU69:AU71)</f>
        <v>1.1197322389129652E-3</v>
      </c>
      <c r="AV72" s="80">
        <f>_xlfn.STDEV.S(AU69:AU71)</f>
        <v>5.7476010498301152E-5</v>
      </c>
      <c r="AW72" s="80"/>
      <c r="AX72" s="80"/>
      <c r="AY72" s="79">
        <f>SUM(AK72,AO72,AS72)</f>
        <v>1.0046239189577975</v>
      </c>
      <c r="AZ72" s="77">
        <f>SUM(AL72,AP72,AT72)</f>
        <v>3.0361571880123887E-2</v>
      </c>
      <c r="BA72" s="78"/>
      <c r="BB72" s="78"/>
      <c r="BC72" s="78"/>
      <c r="BD72" s="78"/>
      <c r="BE72" s="78"/>
      <c r="BF72" s="78"/>
      <c r="BG72" s="78"/>
      <c r="BH72" s="75"/>
      <c r="BI72" s="75"/>
      <c r="BJ72" s="75"/>
      <c r="BK72" s="75"/>
      <c r="BL72" s="75"/>
      <c r="BM72" s="75"/>
      <c r="BN72" s="75"/>
      <c r="BO72" s="77">
        <f>AVERAGE(BO69:BO71)</f>
        <v>9.6572702104097452</v>
      </c>
      <c r="BP72" s="76">
        <f>_xlfn.STDEV.S(BO69:BO71)</f>
        <v>0.23743348746056397</v>
      </c>
      <c r="BQ72" s="75">
        <f>AVERAGE(BQ69:BQ71)</f>
        <v>0.12275017998560116</v>
      </c>
      <c r="BR72" s="75">
        <f>_xlfn.STDEV.S(BQ69:BQ71)</f>
        <v>6.9638380569305687E-3</v>
      </c>
      <c r="BS72" s="75">
        <f>AVERAGE(BS69:BS71)</f>
        <v>0</v>
      </c>
      <c r="BT72" s="75">
        <f>_xlfn.STDEV.S(BS69:BS71)</f>
        <v>0</v>
      </c>
      <c r="BU72" s="75">
        <f>AVERAGE(BU69:BU71)</f>
        <v>0</v>
      </c>
      <c r="BV72" s="75">
        <f>_xlfn.STDEV.S(BU69:BU71)</f>
        <v>0</v>
      </c>
      <c r="BW72" s="74">
        <f>AVERAGE(BW69:BW71)</f>
        <v>0.48286351052048726</v>
      </c>
      <c r="BX72" s="73">
        <f t="shared" si="3"/>
        <v>6.1375089992800579E-3</v>
      </c>
      <c r="BY72" s="73">
        <f t="shared" si="4"/>
        <v>0</v>
      </c>
      <c r="BZ72" s="72">
        <f t="shared" si="5"/>
        <v>0</v>
      </c>
    </row>
    <row r="73" spans="1:78" x14ac:dyDescent="0.3">
      <c r="A73" s="191" t="s">
        <v>58</v>
      </c>
      <c r="B73" s="70" t="s">
        <v>101</v>
      </c>
      <c r="C73" s="20">
        <v>8</v>
      </c>
      <c r="D73" s="69"/>
      <c r="E73" s="21"/>
      <c r="F73" s="52"/>
      <c r="I73" s="52">
        <f>H73*0.2907</f>
        <v>0</v>
      </c>
      <c r="L73" s="68"/>
      <c r="AJ73" s="21"/>
      <c r="BZ73" s="67"/>
    </row>
    <row r="74" spans="1:78" x14ac:dyDescent="0.3">
      <c r="A74" s="192"/>
      <c r="B74" s="70" t="s">
        <v>100</v>
      </c>
      <c r="C74" s="20">
        <v>8</v>
      </c>
      <c r="D74" s="69"/>
      <c r="E74" s="21"/>
      <c r="F74" s="52"/>
      <c r="I74" s="52">
        <f>H74*0.2907</f>
        <v>0</v>
      </c>
      <c r="L74" s="68"/>
      <c r="AJ74" s="21"/>
      <c r="BZ74" s="67"/>
    </row>
    <row r="75" spans="1:78" x14ac:dyDescent="0.3">
      <c r="A75" s="192"/>
      <c r="B75" s="70" t="s">
        <v>99</v>
      </c>
      <c r="C75" s="20">
        <v>8</v>
      </c>
      <c r="D75" s="69"/>
      <c r="E75" s="21"/>
      <c r="F75" s="52"/>
      <c r="G75" s="67"/>
      <c r="I75" s="52">
        <f>H75*0.2907</f>
        <v>0</v>
      </c>
      <c r="L75" s="68"/>
      <c r="AJ75" s="21"/>
      <c r="BZ75" s="67"/>
    </row>
    <row r="76" spans="1:78" ht="15" thickBot="1" x14ac:dyDescent="0.35">
      <c r="A76" s="192"/>
      <c r="B76" s="66" t="s">
        <v>63</v>
      </c>
      <c r="C76" s="65">
        <v>8</v>
      </c>
      <c r="D76" s="64"/>
      <c r="E76" s="58"/>
      <c r="F76" s="56" t="e">
        <f>AVERAGE(F73:F75)</f>
        <v>#DIV/0!</v>
      </c>
      <c r="G76" s="55" t="e">
        <f>_xlfn.STDEV.S(F73:F75)</f>
        <v>#DIV/0!</v>
      </c>
      <c r="H76" s="60" t="e">
        <f>AVERAGE(H73:H75)</f>
        <v>#DIV/0!</v>
      </c>
      <c r="I76" s="56">
        <f>AVERAGE(I73:I75)</f>
        <v>0</v>
      </c>
      <c r="J76" s="63">
        <f>_xlfn.STDEV.S(I73:I75)</f>
        <v>0</v>
      </c>
      <c r="K76" s="63" t="e">
        <f>AVERAGE(K73:K75)</f>
        <v>#DIV/0!</v>
      </c>
      <c r="L76" s="62" t="e">
        <f>_xlfn.STDEV.S(K73:K75)</f>
        <v>#DIV/0!</v>
      </c>
      <c r="M76" s="59" t="e">
        <f>AVERAGE(M73:M75)</f>
        <v>#DIV/0!</v>
      </c>
      <c r="N76" s="58" t="e">
        <f>_xlfn.STDEV.S(M73:M75)</f>
        <v>#DIV/0!</v>
      </c>
      <c r="O76" s="58" t="e">
        <f>AVERAGE(O73:O75)</f>
        <v>#DIV/0!</v>
      </c>
      <c r="P76" s="58" t="e">
        <f>_xlfn.STDEV.S(O73:O75)</f>
        <v>#DIV/0!</v>
      </c>
      <c r="Q76" s="58" t="e">
        <f>AVERAGE(Q73:Q75)</f>
        <v>#DIV/0!</v>
      </c>
      <c r="R76" s="58" t="e">
        <f>_xlfn.STDEV.S(Q73:Q75)</f>
        <v>#DIV/0!</v>
      </c>
      <c r="S76" s="58" t="e">
        <f>AVERAGE(S73:S75)</f>
        <v>#DIV/0!</v>
      </c>
      <c r="T76" s="58" t="e">
        <f>_xlfn.STDEV.S(S73:S75)</f>
        <v>#DIV/0!</v>
      </c>
      <c r="U76" s="58" t="e">
        <f>AVERAGE(U73:U75)</f>
        <v>#DIV/0!</v>
      </c>
      <c r="V76" s="58" t="e">
        <f>_xlfn.STDEV.S(U73:U75)</f>
        <v>#DIV/0!</v>
      </c>
      <c r="W76" s="58" t="e">
        <f>AVERAGE(W73:W75)</f>
        <v>#DIV/0!</v>
      </c>
      <c r="X76" s="58" t="e">
        <f>_xlfn.STDEV.S(W73:W75)</f>
        <v>#DIV/0!</v>
      </c>
      <c r="Y76" s="59" t="e">
        <f>AVERAGE(Y73:Y75)</f>
        <v>#DIV/0!</v>
      </c>
      <c r="Z76" s="58" t="e">
        <f>_xlfn.STDEV.S(Y73:Y75)</f>
        <v>#DIV/0!</v>
      </c>
      <c r="AA76" s="58" t="e">
        <f>AVERAGE(AA73:AA75)</f>
        <v>#DIV/0!</v>
      </c>
      <c r="AB76" s="58" t="e">
        <f>_xlfn.STDEV.S(AA73:AA75)</f>
        <v>#DIV/0!</v>
      </c>
      <c r="AC76" s="58" t="e">
        <f>AVERAGE(AC73:AC75)</f>
        <v>#DIV/0!</v>
      </c>
      <c r="AD76" s="58" t="e">
        <f>_xlfn.STDEV.S(AC73:AC75)</f>
        <v>#DIV/0!</v>
      </c>
      <c r="AE76" s="58" t="e">
        <f>AVERAGE(AE73:AE75)</f>
        <v>#DIV/0!</v>
      </c>
      <c r="AF76" s="58" t="e">
        <f>_xlfn.STDEV.S(AE73:AE75)</f>
        <v>#DIV/0!</v>
      </c>
      <c r="AG76" s="58" t="e">
        <f>AVERAGE(AG73:AG75)</f>
        <v>#DIV/0!</v>
      </c>
      <c r="AH76" s="58" t="e">
        <f>_xlfn.STDEV.S(AG73:AG75)</f>
        <v>#DIV/0!</v>
      </c>
      <c r="AI76" s="58" t="e">
        <f>AVERAGE(AI73:AI75)</f>
        <v>#DIV/0!</v>
      </c>
      <c r="AJ76" s="58" t="e">
        <f>_xlfn.STDEV.S(AI73:AI75)</f>
        <v>#DIV/0!</v>
      </c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57"/>
      <c r="BI76" s="57"/>
      <c r="BJ76" s="57"/>
      <c r="BK76" s="57"/>
      <c r="BL76" s="57"/>
      <c r="BM76" s="57"/>
      <c r="BN76" s="57"/>
      <c r="BO76" s="59" t="e">
        <f>AVERAGE(BO73:BO75)</f>
        <v>#DIV/0!</v>
      </c>
      <c r="BP76" s="58" t="e">
        <f>_xlfn.STDEV.S(BO73:BO75)</f>
        <v>#DIV/0!</v>
      </c>
      <c r="BQ76" s="57" t="e">
        <f>AVERAGE(BQ73:BQ75)</f>
        <v>#DIV/0!</v>
      </c>
      <c r="BR76" s="57" t="e">
        <f>_xlfn.STDEV.S(BQ73:BQ75)</f>
        <v>#DIV/0!</v>
      </c>
      <c r="BS76" s="57" t="e">
        <f>AVERAGE(BS73:BS75)</f>
        <v>#DIV/0!</v>
      </c>
      <c r="BT76" s="57" t="e">
        <f>_xlfn.STDEV.S(BS73:BS75)</f>
        <v>#DIV/0!</v>
      </c>
      <c r="BU76" s="57" t="e">
        <f>AVERAGE(BU73:BU75)</f>
        <v>#DIV/0!</v>
      </c>
      <c r="BV76" s="57" t="e">
        <f>_xlfn.STDEV.S(BU73:BU75)</f>
        <v>#DIV/0!</v>
      </c>
      <c r="BW76" s="56" t="e">
        <f>AVERAGE(BW73:BW75)</f>
        <v>#DIV/0!</v>
      </c>
      <c r="BX76" s="55" t="e">
        <f>BQ76*0.05</f>
        <v>#DIV/0!</v>
      </c>
      <c r="BY76" s="55" t="e">
        <f>BS76*0.05</f>
        <v>#DIV/0!</v>
      </c>
      <c r="BZ76" s="54" t="e">
        <f>BU76*0.05</f>
        <v>#DIV/0!</v>
      </c>
    </row>
    <row r="77" spans="1:78" x14ac:dyDescent="0.3">
      <c r="A77" s="191" t="s">
        <v>57</v>
      </c>
      <c r="B77" s="95" t="s">
        <v>104</v>
      </c>
      <c r="C77" s="94">
        <v>9</v>
      </c>
      <c r="D77" s="93"/>
      <c r="E77" s="88"/>
      <c r="F77" s="86">
        <v>1.1499999999999999</v>
      </c>
      <c r="G77" s="85"/>
      <c r="H77" s="90">
        <v>0.245</v>
      </c>
      <c r="I77" s="86">
        <f>H77*0.2907</f>
        <v>7.1221500000000007E-2</v>
      </c>
      <c r="J77" s="92"/>
      <c r="K77" s="92">
        <f>(I77-$I$5)/($AA$5/1000-AA77/1000)*0.05</f>
        <v>0.20897646013901405</v>
      </c>
      <c r="L77" s="91"/>
      <c r="M77" s="89">
        <v>2.5317356985070321</v>
      </c>
      <c r="N77" s="88"/>
      <c r="O77" s="88">
        <v>0</v>
      </c>
      <c r="P77" s="88"/>
      <c r="Q77" s="88">
        <v>0.15165673652570469</v>
      </c>
      <c r="R77" s="88"/>
      <c r="S77" s="88">
        <v>81.573529031118298</v>
      </c>
      <c r="T77" s="88"/>
      <c r="U77" s="88">
        <v>15.743078533848969</v>
      </c>
      <c r="V77" s="88"/>
      <c r="W77" s="88">
        <v>0</v>
      </c>
      <c r="X77" s="88"/>
      <c r="Y77" s="89">
        <v>0.13106259856815333</v>
      </c>
      <c r="Z77" s="88"/>
      <c r="AA77" s="88">
        <v>0</v>
      </c>
      <c r="AB77" s="88"/>
      <c r="AC77" s="88">
        <v>7.8509482609680978E-3</v>
      </c>
      <c r="AD77" s="88"/>
      <c r="AE77" s="88">
        <v>4.222888943540867</v>
      </c>
      <c r="AF77" s="88"/>
      <c r="AG77" s="88">
        <v>0.81498585469466955</v>
      </c>
      <c r="AH77" s="88"/>
      <c r="AI77" s="88">
        <v>0</v>
      </c>
      <c r="AJ77" s="88"/>
      <c r="AK77" s="89">
        <f>8*(AG77-$AG$5)/(2*($AA$5-AA77)+2*($AI$5-AI77))</f>
        <v>0.5932876434532478</v>
      </c>
      <c r="AL77" s="89"/>
      <c r="AM77" s="89">
        <f>(AG77-$AG$5)/(($AA$5-AA77)+($AI$5-AI77))</f>
        <v>0.14832191086331195</v>
      </c>
      <c r="AN77" s="89"/>
      <c r="AO77" s="37">
        <f>8*(BW77-$BW$5)/(2*($AA$5-AA77)+2*($AI$5-AI77))</f>
        <v>0.35384684377759751</v>
      </c>
      <c r="AQ77" s="37">
        <f>(BW77-$BW$5)/(($AA$5-AA77)+($AI$5-AI77))</f>
        <v>8.8461710944399377E-2</v>
      </c>
      <c r="AS77" s="37">
        <f>14*(BX77-$BX$5)/(2*($AA$5-AA77)+2*($AI$5-AI77))</f>
        <v>7.781635620465098E-3</v>
      </c>
      <c r="AU77" s="37">
        <f>(BX77-$BX$5)/(($AA$5-AA77)+($AI$5-AI77))</f>
        <v>1.1116622314950142E-3</v>
      </c>
      <c r="AY77" s="90"/>
      <c r="AZ77" s="90"/>
      <c r="BA77" s="90"/>
      <c r="BB77" s="90"/>
      <c r="BC77" s="90"/>
      <c r="BD77" s="90"/>
      <c r="BE77" s="90"/>
      <c r="BF77" s="90"/>
      <c r="BG77" s="90">
        <v>585.23</v>
      </c>
      <c r="BH77" s="87"/>
      <c r="BI77" s="87">
        <v>9.0500000000000007</v>
      </c>
      <c r="BJ77" s="87"/>
      <c r="BK77" s="87">
        <v>0</v>
      </c>
      <c r="BL77" s="87"/>
      <c r="BM77" s="87">
        <v>0</v>
      </c>
      <c r="BN77" s="87"/>
      <c r="BO77" s="89">
        <f>(BG77/1000)/60.2*1000</f>
        <v>9.7214285714285715</v>
      </c>
      <c r="BP77" s="88"/>
      <c r="BQ77" s="87">
        <f>BI77/74.08</f>
        <v>0.12216522678185747</v>
      </c>
      <c r="BR77" s="87"/>
      <c r="BS77" s="87">
        <f>(BK77/1000)/88.12*1000</f>
        <v>0</v>
      </c>
      <c r="BT77" s="87"/>
      <c r="BU77" s="87">
        <f>BM77/88.12</f>
        <v>0</v>
      </c>
      <c r="BV77" s="87"/>
      <c r="BW77" s="86">
        <f>BO77*0.05</f>
        <v>0.4860714285714286</v>
      </c>
      <c r="BX77" s="85">
        <f>BQ77*0.05</f>
        <v>6.1082613390928738E-3</v>
      </c>
      <c r="BY77" s="85">
        <f>BS77*0.05</f>
        <v>0</v>
      </c>
      <c r="BZ77" s="84">
        <f>BU77*0.05</f>
        <v>0</v>
      </c>
    </row>
    <row r="78" spans="1:78" x14ac:dyDescent="0.3">
      <c r="A78" s="192"/>
      <c r="B78" s="70" t="s">
        <v>103</v>
      </c>
      <c r="C78" s="20">
        <v>9</v>
      </c>
      <c r="D78" s="69"/>
      <c r="E78" s="21"/>
      <c r="F78" s="52">
        <v>1.119</v>
      </c>
      <c r="H78" s="37">
        <v>0.26400000000000001</v>
      </c>
      <c r="I78" s="52">
        <f>H78*0.2907</f>
        <v>7.6744800000000002E-2</v>
      </c>
      <c r="K78" s="53">
        <f>(I78-$I$6)/($AA$6/1000-AA78/1000)*0.05</f>
        <v>0.26443777334701463</v>
      </c>
      <c r="L78" s="68"/>
      <c r="M78" s="22">
        <v>2.2173749139789578</v>
      </c>
      <c r="O78" s="21">
        <v>0</v>
      </c>
      <c r="Q78" s="21">
        <v>0.15315455458463609</v>
      </c>
      <c r="S78" s="21">
        <v>81.112998076780201</v>
      </c>
      <c r="U78" s="21">
        <v>16.516472454656199</v>
      </c>
      <c r="W78" s="21">
        <v>0</v>
      </c>
      <c r="Y78" s="22">
        <v>0.11169449916584955</v>
      </c>
      <c r="AA78" s="21">
        <v>0</v>
      </c>
      <c r="AC78" s="21">
        <v>7.71476269594977E-3</v>
      </c>
      <c r="AE78" s="21">
        <v>4.0858564958548351</v>
      </c>
      <c r="AG78" s="21">
        <v>0.83197437978541144</v>
      </c>
      <c r="AI78" s="21">
        <v>0</v>
      </c>
      <c r="AJ78" s="21"/>
      <c r="AK78" s="22">
        <f>8*(AG78-$AG$6)/(2*($AA$6-AA78)+2*($AI$6-AI78))</f>
        <v>0.61156581980025282</v>
      </c>
      <c r="AL78" s="22"/>
      <c r="AM78" s="22">
        <f>(AG78-$AG$6)/(($AA$6-AA78)+($AI$6-AI78))</f>
        <v>0.1528914549500632</v>
      </c>
      <c r="AN78" s="22"/>
      <c r="AO78" s="37">
        <f>8*(BW78-$BW$6)/(2*($AA$6-AA78)+2*($AI$6-AI78))</f>
        <v>0.33104139083589962</v>
      </c>
      <c r="AQ78" s="37">
        <f>(BW78-$BW$6)/(($AA$6-AA78)+($AI$6-AI78))</f>
        <v>8.2760347708974905E-2</v>
      </c>
      <c r="AS78" s="37">
        <f>14*(BX78-$BX$6)/(2*($AA$6-AA78)+2*($AI$6-AI78))</f>
        <v>7.4234612571733669E-3</v>
      </c>
      <c r="AU78" s="37">
        <f>(BX78-$BX$6)/(($AA$6-AA78)+($AI$6-AI78))</f>
        <v>1.0604944653104811E-3</v>
      </c>
      <c r="BG78" s="37">
        <v>542.22</v>
      </c>
      <c r="BI78" s="2">
        <v>8.5500000000000007</v>
      </c>
      <c r="BK78" s="2">
        <v>0</v>
      </c>
      <c r="BM78" s="2">
        <v>0</v>
      </c>
      <c r="BO78" s="22">
        <f>(BG78/1000)/60.2*1000</f>
        <v>9.006976744186046</v>
      </c>
      <c r="BQ78" s="2">
        <f>BI78/74.08</f>
        <v>0.11541576673866091</v>
      </c>
      <c r="BS78" s="2">
        <f>(BK78/1000)/88.12*1000</f>
        <v>0</v>
      </c>
      <c r="BU78" s="2">
        <f>BM78/88.12</f>
        <v>0</v>
      </c>
      <c r="BW78" s="52">
        <f>BO78*0.05</f>
        <v>0.4503488372093023</v>
      </c>
      <c r="BX78" s="51">
        <f>BQ78*0.05</f>
        <v>5.7707883369330464E-3</v>
      </c>
      <c r="BY78" s="51">
        <f>BS78*0.05</f>
        <v>0</v>
      </c>
      <c r="BZ78" s="67">
        <f>BU78*0.05</f>
        <v>0</v>
      </c>
    </row>
    <row r="79" spans="1:78" x14ac:dyDescent="0.3">
      <c r="A79" s="192"/>
      <c r="B79" s="70" t="s">
        <v>102</v>
      </c>
      <c r="C79" s="20">
        <v>9</v>
      </c>
      <c r="D79" s="69"/>
      <c r="E79" s="21"/>
      <c r="F79" s="52">
        <v>1.216</v>
      </c>
      <c r="H79" s="37">
        <v>0.23400000000000001</v>
      </c>
      <c r="I79" s="52">
        <f>H79*0.2907</f>
        <v>6.8023800000000009E-2</v>
      </c>
      <c r="K79" s="53">
        <f>(I79-$I$7)/($AA$7/1000-AA79/1000)*0.05</f>
        <v>0.22445729485578264</v>
      </c>
      <c r="L79" s="68"/>
      <c r="M79" s="22">
        <v>2.526589824717604</v>
      </c>
      <c r="O79" s="21">
        <v>0</v>
      </c>
      <c r="Q79" s="21">
        <v>0.30923839007229953</v>
      </c>
      <c r="S79" s="21">
        <v>80.848701642291445</v>
      </c>
      <c r="U79" s="21">
        <v>16.315470142918659</v>
      </c>
      <c r="W79" s="21">
        <v>0</v>
      </c>
      <c r="Y79" s="22">
        <v>0.13830277252996673</v>
      </c>
      <c r="AA79" s="21">
        <v>0</v>
      </c>
      <c r="AC79" s="21">
        <v>1.6927372342474541E-2</v>
      </c>
      <c r="AE79" s="21">
        <v>4.4255697870653554</v>
      </c>
      <c r="AG79" s="21">
        <v>0.89309104858274668</v>
      </c>
      <c r="AI79" s="21">
        <v>0</v>
      </c>
      <c r="AJ79" s="21"/>
      <c r="AK79" s="22">
        <f>8*(AG79-$AG$7)/(2*($AA$7-AA79)+2*($AI$7-AI79))</f>
        <v>0.64901613007077474</v>
      </c>
      <c r="AL79" s="22"/>
      <c r="AM79" s="22">
        <f>(AG79-$AG$7)/(($AA$7-AA79)+($AI$7-AI79))</f>
        <v>0.16225403251769369</v>
      </c>
      <c r="AN79" s="22"/>
      <c r="AO79" s="37">
        <f>8*(BW79-$BW$7)/(2*($AA$7-AA79)+2*($AI$7-AI79))</f>
        <v>0.34176990083679548</v>
      </c>
      <c r="AQ79" s="37">
        <f>(BW79-$BW$7)/(($AA$7-AA79)+($AI$7-AI79))</f>
        <v>8.544247520919887E-2</v>
      </c>
      <c r="AS79" s="37">
        <f>14*(BX79-$BX$7)/(2*($AA$7-AA79)+2*($AI$7-AI79))</f>
        <v>7.7423601762163776E-3</v>
      </c>
      <c r="AU79" s="37">
        <f>(BX79-$BX$7)/(($AA$7-AA79)+($AI$7-AI79))</f>
        <v>1.1060514537451966E-3</v>
      </c>
      <c r="BG79" s="37">
        <v>566.24</v>
      </c>
      <c r="BI79" s="2">
        <v>9.02</v>
      </c>
      <c r="BK79" s="2">
        <v>0</v>
      </c>
      <c r="BM79" s="2">
        <v>0</v>
      </c>
      <c r="BO79" s="22">
        <f>(BG79/1000)/60.2*1000</f>
        <v>9.4059800664451814</v>
      </c>
      <c r="BQ79" s="2">
        <f>BI79/74.08</f>
        <v>0.12176025917926565</v>
      </c>
      <c r="BS79" s="2">
        <f>(BK79/1000)/88.12*1000</f>
        <v>0</v>
      </c>
      <c r="BU79" s="2">
        <f>BM79/88.12</f>
        <v>0</v>
      </c>
      <c r="BW79" s="52">
        <f>BO79*0.05</f>
        <v>0.4702990033222591</v>
      </c>
      <c r="BX79" s="51">
        <f>BQ79*0.05</f>
        <v>6.0880129589632832E-3</v>
      </c>
      <c r="BY79" s="51">
        <f>BS79*0.05</f>
        <v>0</v>
      </c>
      <c r="BZ79" s="67">
        <f>BU79*0.05</f>
        <v>0</v>
      </c>
    </row>
    <row r="80" spans="1:78" x14ac:dyDescent="0.3">
      <c r="A80" s="192"/>
      <c r="B80" s="83" t="s">
        <v>63</v>
      </c>
      <c r="C80" s="80">
        <v>9</v>
      </c>
      <c r="D80" s="79"/>
      <c r="E80" s="76"/>
      <c r="F80" s="74">
        <f>AVERAGE(F77:F79)</f>
        <v>1.1616666666666668</v>
      </c>
      <c r="G80" s="73">
        <f>_xlfn.STDEV.S(F77:F79)</f>
        <v>4.9541228621556535E-2</v>
      </c>
      <c r="H80" s="78">
        <f>AVERAGE(H77:H79)</f>
        <v>0.24766666666666667</v>
      </c>
      <c r="I80" s="74">
        <f>AVERAGE(I77:I79)</f>
        <v>7.1996700000000011E-2</v>
      </c>
      <c r="J80" s="82">
        <f>_xlfn.STDEV.S(I77:I79)</f>
        <v>4.4118773249037608E-3</v>
      </c>
      <c r="K80" s="82">
        <f>AVERAGE(K77:K79)</f>
        <v>0.23262384278060377</v>
      </c>
      <c r="L80" s="81">
        <f>_xlfn.STDEV.S(K77:K79)</f>
        <v>2.8618327946357817E-2</v>
      </c>
      <c r="M80" s="77">
        <f>AVERAGE(M77:M79)</f>
        <v>2.4252334790678645</v>
      </c>
      <c r="N80" s="76">
        <f>_xlfn.STDEV.S(M77:M79)</f>
        <v>0.18002918461982395</v>
      </c>
      <c r="O80" s="76">
        <f>AVERAGE(O77:O79)</f>
        <v>0</v>
      </c>
      <c r="P80" s="76">
        <f>_xlfn.STDEV.S(O77:O79)</f>
        <v>0</v>
      </c>
      <c r="Q80" s="76">
        <f>AVERAGE(Q77:Q79)</f>
        <v>0.20468322706088013</v>
      </c>
      <c r="R80" s="76">
        <f>_xlfn.STDEV.S(Q77:Q79)</f>
        <v>9.0550524288889517E-2</v>
      </c>
      <c r="S80" s="76">
        <f>AVERAGE(S77:S79)</f>
        <v>81.178409583396643</v>
      </c>
      <c r="T80" s="76">
        <f>_xlfn.STDEV.S(S77:S79)</f>
        <v>0.36681423745100672</v>
      </c>
      <c r="U80" s="76">
        <f>AVERAGE(U77:U79)</f>
        <v>16.191673710474607</v>
      </c>
      <c r="V80" s="76">
        <f>_xlfn.STDEV.S(U77:U79)</f>
        <v>0.40128382312248861</v>
      </c>
      <c r="W80" s="76">
        <f>AVERAGE(W77:W79)</f>
        <v>0</v>
      </c>
      <c r="X80" s="76">
        <f>_xlfn.STDEV.S(W77:W79)</f>
        <v>0</v>
      </c>
      <c r="Y80" s="77">
        <f>AVERAGE(Y77:Y79)</f>
        <v>0.12701995675465652</v>
      </c>
      <c r="Z80" s="76">
        <f>_xlfn.STDEV.S(Y77:Y79)</f>
        <v>1.3757080630681477E-2</v>
      </c>
      <c r="AA80" s="76">
        <f>AVERAGE(AA77:AA79)</f>
        <v>0</v>
      </c>
      <c r="AB80" s="76">
        <f>_xlfn.STDEV.S(AA77:AA79)</f>
        <v>0</v>
      </c>
      <c r="AC80" s="76">
        <f>AVERAGE(AC77:AC79)</f>
        <v>1.0831027766464135E-2</v>
      </c>
      <c r="AD80" s="76">
        <f>_xlfn.STDEV.S(AC77:AC79)</f>
        <v>5.2800283634767053E-3</v>
      </c>
      <c r="AE80" s="76">
        <f>AVERAGE(AE77:AE79)</f>
        <v>4.2447717421536852</v>
      </c>
      <c r="AF80" s="76">
        <f>_xlfn.STDEV.S(AE77:AE79)</f>
        <v>0.17091056934144777</v>
      </c>
      <c r="AG80" s="76">
        <f>AVERAGE(AG77:AG79)</f>
        <v>0.84668376102094267</v>
      </c>
      <c r="AH80" s="76">
        <f>_xlfn.STDEV.S(AG77:AG79)</f>
        <v>4.1077728154349971E-2</v>
      </c>
      <c r="AI80" s="76">
        <f>AVERAGE(AI77:AI79)</f>
        <v>0</v>
      </c>
      <c r="AJ80" s="76">
        <f>_xlfn.STDEV.S(AI77:AI79)</f>
        <v>0</v>
      </c>
      <c r="AK80" s="77">
        <f>AVERAGE(AK77:AK79)</f>
        <v>0.61795653110809179</v>
      </c>
      <c r="AL80" s="77">
        <f>_xlfn.STDEV.S(AK77:AK79)</f>
        <v>2.8408571742258984E-2</v>
      </c>
      <c r="AM80" s="77">
        <f>AVERAGE(AM77:AM79)</f>
        <v>0.15448913277702295</v>
      </c>
      <c r="AN80" s="77">
        <f>_xlfn.STDEV.S(AM77:AM79)</f>
        <v>7.102142935564746E-3</v>
      </c>
      <c r="AO80" s="78">
        <f>AVERAGE(AO77:AO79)</f>
        <v>0.34221937848343087</v>
      </c>
      <c r="AP80" s="78">
        <f>_xlfn.STDEV.S(AO77:AO79)</f>
        <v>1.1409368676009989E-2</v>
      </c>
      <c r="AQ80" s="78">
        <f>AVERAGE(AQ77:AQ79)</f>
        <v>8.5554844620857717E-2</v>
      </c>
      <c r="AR80" s="78">
        <f>_xlfn.STDEV.S(AQ77:AQ79)</f>
        <v>2.8523421690024972E-3</v>
      </c>
      <c r="AS80" s="78">
        <f>AVERAGE(AS77:AS79)</f>
        <v>7.6491523512849475E-3</v>
      </c>
      <c r="AT80" s="78">
        <f>_xlfn.STDEV.S(AS77:AS79)</f>
        <v>1.9643826664169926E-4</v>
      </c>
      <c r="AU80" s="78">
        <f>AVERAGE(AU77:AU79)</f>
        <v>1.0927360501835639E-3</v>
      </c>
      <c r="AV80" s="80">
        <f>_xlfn.STDEV.S(AU77:AU79)</f>
        <v>2.8062609520242723E-5</v>
      </c>
      <c r="AW80" s="80"/>
      <c r="AX80" s="80"/>
      <c r="AY80" s="79">
        <f>SUM(AK80,AO80,AS80)</f>
        <v>0.9678250619428076</v>
      </c>
      <c r="AZ80" s="77">
        <f>SUM(AL80,AP80,AT80)</f>
        <v>4.0014378684910673E-2</v>
      </c>
      <c r="BA80" s="78"/>
      <c r="BB80" s="78"/>
      <c r="BC80" s="78"/>
      <c r="BD80" s="78"/>
      <c r="BE80" s="78"/>
      <c r="BF80" s="78"/>
      <c r="BG80" s="78"/>
      <c r="BH80" s="75"/>
      <c r="BI80" s="75"/>
      <c r="BJ80" s="75"/>
      <c r="BK80" s="75"/>
      <c r="BL80" s="75"/>
      <c r="BM80" s="75"/>
      <c r="BN80" s="75"/>
      <c r="BO80" s="77">
        <f>AVERAGE(BO77:BO79)</f>
        <v>9.3781284606865984</v>
      </c>
      <c r="BP80" s="76">
        <f>_xlfn.STDEV.S(BO77:BO79)</f>
        <v>0.35803929577637772</v>
      </c>
      <c r="BQ80" s="75">
        <f>AVERAGE(BQ77:BQ79)</f>
        <v>0.11978041756659467</v>
      </c>
      <c r="BR80" s="75">
        <f>_xlfn.STDEV.S(BQ77:BQ79)</f>
        <v>3.7853179955090193E-3</v>
      </c>
      <c r="BS80" s="75">
        <f>AVERAGE(BS77:BS79)</f>
        <v>0</v>
      </c>
      <c r="BT80" s="75">
        <f>_xlfn.STDEV.S(BS77:BS79)</f>
        <v>0</v>
      </c>
      <c r="BU80" s="75">
        <f>AVERAGE(BU77:BU79)</f>
        <v>0</v>
      </c>
      <c r="BV80" s="75">
        <f>_xlfn.STDEV.S(BU77:BU79)</f>
        <v>0</v>
      </c>
      <c r="BW80" s="74">
        <f>AVERAGE(BW77:BW79)</f>
        <v>0.46890642303433</v>
      </c>
      <c r="BX80" s="73">
        <f>BQ80*0.05</f>
        <v>5.9890208783297339E-3</v>
      </c>
      <c r="BY80" s="73">
        <f>BS80*0.05</f>
        <v>0</v>
      </c>
      <c r="BZ80" s="72">
        <f>BU80*0.05</f>
        <v>0</v>
      </c>
    </row>
    <row r="81" spans="1:78" x14ac:dyDescent="0.3">
      <c r="A81" s="191" t="s">
        <v>58</v>
      </c>
      <c r="B81" s="70" t="s">
        <v>101</v>
      </c>
      <c r="C81" s="20">
        <v>9</v>
      </c>
      <c r="D81" s="69"/>
      <c r="E81" s="21"/>
      <c r="F81" s="52"/>
      <c r="I81" s="52">
        <f>H81*0.2907</f>
        <v>0</v>
      </c>
      <c r="L81" s="68"/>
      <c r="AJ81" s="21"/>
      <c r="BZ81" s="67"/>
    </row>
    <row r="82" spans="1:78" x14ac:dyDescent="0.3">
      <c r="A82" s="192"/>
      <c r="B82" s="70" t="s">
        <v>100</v>
      </c>
      <c r="C82" s="20">
        <v>9</v>
      </c>
      <c r="D82" s="69"/>
      <c r="E82" s="21"/>
      <c r="F82" s="52"/>
      <c r="I82" s="52">
        <f>H82*0.2907</f>
        <v>0</v>
      </c>
      <c r="L82" s="68"/>
      <c r="AJ82" s="21"/>
      <c r="BZ82" s="67"/>
    </row>
    <row r="83" spans="1:78" x14ac:dyDescent="0.3">
      <c r="A83" s="192"/>
      <c r="B83" s="70" t="s">
        <v>99</v>
      </c>
      <c r="C83" s="20">
        <v>9</v>
      </c>
      <c r="D83" s="69"/>
      <c r="E83" s="21"/>
      <c r="F83" s="52"/>
      <c r="G83" s="67"/>
      <c r="I83" s="52">
        <f>H83*0.2907</f>
        <v>0</v>
      </c>
      <c r="L83" s="68"/>
      <c r="AJ83" s="21"/>
      <c r="BZ83" s="67"/>
    </row>
    <row r="84" spans="1:78" ht="15" thickBot="1" x14ac:dyDescent="0.35">
      <c r="A84" s="192"/>
      <c r="B84" s="66" t="s">
        <v>63</v>
      </c>
      <c r="C84" s="65">
        <v>9</v>
      </c>
      <c r="D84" s="64"/>
      <c r="E84" s="58"/>
      <c r="F84" s="56" t="e">
        <f>AVERAGE(F81:F83)</f>
        <v>#DIV/0!</v>
      </c>
      <c r="G84" s="55" t="e">
        <f>_xlfn.STDEV.S(F81:F83)</f>
        <v>#DIV/0!</v>
      </c>
      <c r="H84" s="60" t="e">
        <f>AVERAGE(H81:H83)</f>
        <v>#DIV/0!</v>
      </c>
      <c r="I84" s="56">
        <f>AVERAGE(I81:I83)</f>
        <v>0</v>
      </c>
      <c r="J84" s="63">
        <f>_xlfn.STDEV.S(I81:I83)</f>
        <v>0</v>
      </c>
      <c r="K84" s="63"/>
      <c r="L84" s="62" t="e">
        <f>_xlfn.STDEV.S(K81:K83)</f>
        <v>#DIV/0!</v>
      </c>
      <c r="M84" s="59" t="e">
        <f>AVERAGE(M81:M83)</f>
        <v>#DIV/0!</v>
      </c>
      <c r="N84" s="58" t="e">
        <f>_xlfn.STDEV.S(M81:M83)</f>
        <v>#DIV/0!</v>
      </c>
      <c r="O84" s="58" t="e">
        <f>AVERAGE(O81:O83)</f>
        <v>#DIV/0!</v>
      </c>
      <c r="P84" s="58" t="e">
        <f>_xlfn.STDEV.S(O81:O83)</f>
        <v>#DIV/0!</v>
      </c>
      <c r="Q84" s="58" t="e">
        <f>AVERAGE(Q81:Q83)</f>
        <v>#DIV/0!</v>
      </c>
      <c r="R84" s="58" t="e">
        <f>_xlfn.STDEV.S(Q81:Q83)</f>
        <v>#DIV/0!</v>
      </c>
      <c r="S84" s="58" t="e">
        <f>AVERAGE(S81:S83)</f>
        <v>#DIV/0!</v>
      </c>
      <c r="T84" s="58" t="e">
        <f>_xlfn.STDEV.S(S81:S83)</f>
        <v>#DIV/0!</v>
      </c>
      <c r="U84" s="58" t="e">
        <f>AVERAGE(U81:U83)</f>
        <v>#DIV/0!</v>
      </c>
      <c r="V84" s="58" t="e">
        <f>_xlfn.STDEV.S(U81:U83)</f>
        <v>#DIV/0!</v>
      </c>
      <c r="W84" s="58" t="e">
        <f>AVERAGE(W81:W83)</f>
        <v>#DIV/0!</v>
      </c>
      <c r="X84" s="58" t="e">
        <f>_xlfn.STDEV.S(W81:W83)</f>
        <v>#DIV/0!</v>
      </c>
      <c r="Y84" s="59" t="e">
        <f>AVERAGE(Y81:Y83)</f>
        <v>#DIV/0!</v>
      </c>
      <c r="Z84" s="58" t="e">
        <f>_xlfn.STDEV.S(Y81:Y83)</f>
        <v>#DIV/0!</v>
      </c>
      <c r="AA84" s="58" t="e">
        <f>AVERAGE(AA81:AA83)</f>
        <v>#DIV/0!</v>
      </c>
      <c r="AB84" s="58" t="e">
        <f>_xlfn.STDEV.S(AA81:AA83)</f>
        <v>#DIV/0!</v>
      </c>
      <c r="AC84" s="58" t="e">
        <f>AVERAGE(AC81:AC83)</f>
        <v>#DIV/0!</v>
      </c>
      <c r="AD84" s="58" t="e">
        <f>_xlfn.STDEV.S(AC81:AC83)</f>
        <v>#DIV/0!</v>
      </c>
      <c r="AE84" s="58" t="e">
        <f>AVERAGE(AE81:AE83)</f>
        <v>#DIV/0!</v>
      </c>
      <c r="AF84" s="58" t="e">
        <f>_xlfn.STDEV.S(AE81:AE83)</f>
        <v>#DIV/0!</v>
      </c>
      <c r="AG84" s="58" t="e">
        <f>AVERAGE(AG81:AG83)</f>
        <v>#DIV/0!</v>
      </c>
      <c r="AH84" s="58" t="e">
        <f>_xlfn.STDEV.S(AG81:AG83)</f>
        <v>#DIV/0!</v>
      </c>
      <c r="AI84" s="58" t="e">
        <f>AVERAGE(AI81:AI83)</f>
        <v>#DIV/0!</v>
      </c>
      <c r="AJ84" s="58" t="e">
        <f>_xlfn.STDEV.S(AI81:AI83)</f>
        <v>#DIV/0!</v>
      </c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57"/>
      <c r="BI84" s="57"/>
      <c r="BJ84" s="57"/>
      <c r="BK84" s="57"/>
      <c r="BL84" s="57"/>
      <c r="BM84" s="57"/>
      <c r="BN84" s="57"/>
      <c r="BO84" s="59" t="e">
        <f>AVERAGE(BO81:BO83)</f>
        <v>#DIV/0!</v>
      </c>
      <c r="BP84" s="58" t="e">
        <f>_xlfn.STDEV.S(BO81:BO83)</f>
        <v>#DIV/0!</v>
      </c>
      <c r="BQ84" s="57" t="e">
        <f>AVERAGE(BQ81:BQ83)</f>
        <v>#DIV/0!</v>
      </c>
      <c r="BR84" s="57" t="e">
        <f>_xlfn.STDEV.S(BQ81:BQ83)</f>
        <v>#DIV/0!</v>
      </c>
      <c r="BS84" s="57" t="e">
        <f>AVERAGE(BS81:BS83)</f>
        <v>#DIV/0!</v>
      </c>
      <c r="BT84" s="57" t="e">
        <f>_xlfn.STDEV.S(BS81:BS83)</f>
        <v>#DIV/0!</v>
      </c>
      <c r="BU84" s="57" t="e">
        <f>AVERAGE(BU81:BU83)</f>
        <v>#DIV/0!</v>
      </c>
      <c r="BV84" s="57" t="e">
        <f>_xlfn.STDEV.S(BU81:BU83)</f>
        <v>#DIV/0!</v>
      </c>
      <c r="BW84" s="56" t="e">
        <f>AVERAGE(BW81:BW83)</f>
        <v>#DIV/0!</v>
      </c>
      <c r="BX84" s="55" t="e">
        <f>BQ84*0.05</f>
        <v>#DIV/0!</v>
      </c>
      <c r="BY84" s="55" t="e">
        <f>BS84*0.05</f>
        <v>#DIV/0!</v>
      </c>
      <c r="BZ84" s="54" t="e">
        <f>BU84*0.05</f>
        <v>#DIV/0!</v>
      </c>
    </row>
    <row r="85" spans="1:78" x14ac:dyDescent="0.3">
      <c r="A85" s="191" t="s">
        <v>57</v>
      </c>
      <c r="B85" s="95" t="s">
        <v>104</v>
      </c>
      <c r="C85" s="94">
        <v>10</v>
      </c>
      <c r="D85" s="93"/>
      <c r="E85" s="88"/>
      <c r="F85" s="86">
        <v>1.198</v>
      </c>
      <c r="G85" s="85"/>
      <c r="H85" s="90">
        <v>0.24399999999999999</v>
      </c>
      <c r="I85" s="86">
        <f>H85*0.2907</f>
        <v>7.0930800000000002E-2</v>
      </c>
      <c r="J85" s="92"/>
      <c r="K85" s="92">
        <f>(I85-$I$5)/($AA$5/1000-AA85/1000)*0.05</f>
        <v>0.20633118849168472</v>
      </c>
      <c r="L85" s="91"/>
      <c r="M85" s="89">
        <v>2.5695783036725586</v>
      </c>
      <c r="N85" s="88"/>
      <c r="O85" s="88">
        <v>0</v>
      </c>
      <c r="P85" s="88"/>
      <c r="Q85" s="88">
        <v>0.37306258792680097</v>
      </c>
      <c r="R85" s="88"/>
      <c r="S85" s="88">
        <v>81.182854901015816</v>
      </c>
      <c r="T85" s="88"/>
      <c r="U85" s="88">
        <v>15.87450420738482</v>
      </c>
      <c r="V85" s="88"/>
      <c r="W85" s="88">
        <v>0</v>
      </c>
      <c r="X85" s="88"/>
      <c r="Y85" s="89">
        <v>0.13857383731296849</v>
      </c>
      <c r="Z85" s="88"/>
      <c r="AA85" s="88">
        <v>0</v>
      </c>
      <c r="AB85" s="88"/>
      <c r="AC85" s="88">
        <v>2.0118754230231555E-2</v>
      </c>
      <c r="AD85" s="88"/>
      <c r="AE85" s="88">
        <v>4.3780801353968997</v>
      </c>
      <c r="AF85" s="88"/>
      <c r="AG85" s="88">
        <v>0.85609026209247485</v>
      </c>
      <c r="AH85" s="88"/>
      <c r="AI85" s="88">
        <v>0</v>
      </c>
      <c r="AJ85" s="88"/>
      <c r="AK85" s="89">
        <f>8*(AG85-$AG$5)/(2*($AA$5-AA85)+2*($AI$5-AI85))</f>
        <v>0.62321053948893723</v>
      </c>
      <c r="AL85" s="89"/>
      <c r="AM85" s="89">
        <f>(AG85-$AG$5)/(($AA$5-AA85)+($AI$5-AI85))</f>
        <v>0.15580263487223431</v>
      </c>
      <c r="AN85" s="89"/>
      <c r="AO85" s="37">
        <f>8*(BW85-$BW$5)/(2*($AA$5-AA85)+2*($AI$5-AI85))</f>
        <v>0.3175026136809323</v>
      </c>
      <c r="AQ85" s="37">
        <f>(BW85-$BW$5)/(($AA$5-AA85)+($AI$5-AI85))</f>
        <v>7.9375653420233075E-2</v>
      </c>
      <c r="AS85" s="37">
        <f>14*(BX85-$BX$5)/(2*($AA$5-AA85)+2*($AI$5-AI85))</f>
        <v>7.7644386356684886E-3</v>
      </c>
      <c r="AU85" s="37">
        <f>(BX85-$BX$5)/(($AA$5-AA85)+($AI$5-AI85))</f>
        <v>1.1092055193812126E-3</v>
      </c>
      <c r="AY85" s="90"/>
      <c r="AZ85" s="90"/>
      <c r="BA85" s="90"/>
      <c r="BB85" s="90"/>
      <c r="BC85" s="90"/>
      <c r="BD85" s="90"/>
      <c r="BE85" s="90"/>
      <c r="BF85" s="90"/>
      <c r="BG85" s="90">
        <v>525.12</v>
      </c>
      <c r="BH85" s="87"/>
      <c r="BI85" s="87">
        <v>9.0299999999999994</v>
      </c>
      <c r="BJ85" s="87"/>
      <c r="BK85" s="87">
        <v>0</v>
      </c>
      <c r="BL85" s="87"/>
      <c r="BM85" s="87">
        <v>0</v>
      </c>
      <c r="BN85" s="87"/>
      <c r="BO85" s="89">
        <f>(BG85/1000)/60.2*1000</f>
        <v>8.7229235880398672</v>
      </c>
      <c r="BP85" s="88"/>
      <c r="BQ85" s="87">
        <f>BI85/74.08</f>
        <v>0.12189524838012958</v>
      </c>
      <c r="BR85" s="87"/>
      <c r="BS85" s="87">
        <f>(BK85/1000)/88.12*1000</f>
        <v>0</v>
      </c>
      <c r="BT85" s="87"/>
      <c r="BU85" s="87">
        <f>BM85/88.12</f>
        <v>0</v>
      </c>
      <c r="BV85" s="87"/>
      <c r="BW85" s="86">
        <f>BO85*0.05</f>
        <v>0.43614617940199341</v>
      </c>
      <c r="BX85" s="85">
        <f>BQ85*0.05</f>
        <v>6.0947624190064789E-3</v>
      </c>
      <c r="BY85" s="85">
        <f>BS85*0.05</f>
        <v>0</v>
      </c>
      <c r="BZ85" s="84">
        <f>BU85*0.05</f>
        <v>0</v>
      </c>
    </row>
    <row r="86" spans="1:78" x14ac:dyDescent="0.3">
      <c r="A86" s="192"/>
      <c r="B86" s="70" t="s">
        <v>103</v>
      </c>
      <c r="C86" s="20">
        <v>10</v>
      </c>
      <c r="D86" s="69"/>
      <c r="E86" s="21"/>
      <c r="F86" s="52">
        <v>1.21</v>
      </c>
      <c r="H86" s="37">
        <v>0.246</v>
      </c>
      <c r="I86" s="52">
        <f>H86*0.2907</f>
        <v>7.1512199999999998E-2</v>
      </c>
      <c r="K86" s="53">
        <f>(I86-$I$6)/($AA$6/1000-AA86/1000)*0.05</f>
        <v>0.21635817819301192</v>
      </c>
      <c r="L86" s="68"/>
      <c r="M86" s="22">
        <v>2.236809220726427</v>
      </c>
      <c r="O86" s="21">
        <v>0</v>
      </c>
      <c r="Q86" s="21">
        <v>0.14994337981268813</v>
      </c>
      <c r="S86" s="21">
        <v>81.076825256357537</v>
      </c>
      <c r="U86" s="21">
        <v>16.536422143103351</v>
      </c>
      <c r="W86" s="21">
        <v>0</v>
      </c>
      <c r="Y86" s="22">
        <v>0.12183635098980498</v>
      </c>
      <c r="AA86" s="21">
        <v>0</v>
      </c>
      <c r="AC86" s="21">
        <v>8.1672384404439299E-3</v>
      </c>
      <c r="AE86" s="21">
        <v>4.4161587173110117</v>
      </c>
      <c r="AG86" s="21">
        <v>0.90071934328329351</v>
      </c>
      <c r="AI86" s="21">
        <v>0</v>
      </c>
      <c r="AJ86" s="21"/>
      <c r="AK86" s="22">
        <f>8*(AG86-$AG$6)/(2*($AA$6-AA86)+2*($AI$6-AI86))</f>
        <v>0.66209870997117903</v>
      </c>
      <c r="AL86" s="22"/>
      <c r="AM86" s="22">
        <f>(AG86-$AG$6)/(($AA$6-AA86)+($AI$6-AI86))</f>
        <v>0.16552467749279476</v>
      </c>
      <c r="AN86" s="22"/>
      <c r="AO86" s="37">
        <f>8*(BW86-$BW$6)/(2*($AA$6-AA86)+2*($AI$6-AI86))</f>
        <v>0.30867768948530572</v>
      </c>
      <c r="AQ86" s="37">
        <f>(BW86-$BW$6)/(($AA$6-AA86)+($AI$6-AI86))</f>
        <v>7.7169422371326429E-2</v>
      </c>
      <c r="AS86" s="37">
        <f>14*(BX86-$BX$6)/(2*($AA$6-AA86)+2*($AI$6-AI86))</f>
        <v>7.3974140246920563E-3</v>
      </c>
      <c r="AU86" s="37">
        <f>(BX86-$BX$6)/(($AA$6-AA86)+($AI$6-AI86))</f>
        <v>1.0567734320988652E-3</v>
      </c>
      <c r="BG86" s="37">
        <v>505.59</v>
      </c>
      <c r="BI86" s="2">
        <v>8.52</v>
      </c>
      <c r="BK86" s="2">
        <v>0</v>
      </c>
      <c r="BM86" s="2">
        <v>0</v>
      </c>
      <c r="BO86" s="22">
        <f>(BG86/1000)/60.2*1000</f>
        <v>8.3985049833887029</v>
      </c>
      <c r="BQ86" s="2">
        <f>BI86/74.08</f>
        <v>0.11501079913606911</v>
      </c>
      <c r="BS86" s="2">
        <f>(BK86/1000)/88.12*1000</f>
        <v>0</v>
      </c>
      <c r="BU86" s="2">
        <f>BM86/88.12</f>
        <v>0</v>
      </c>
      <c r="BW86" s="52">
        <f>BO86*0.05</f>
        <v>0.41992524916943519</v>
      </c>
      <c r="BX86" s="51">
        <f>BQ86*0.05</f>
        <v>5.7505399568034557E-3</v>
      </c>
      <c r="BY86" s="51">
        <f>BS86*0.05</f>
        <v>0</v>
      </c>
      <c r="BZ86" s="67">
        <f>BU86*0.05</f>
        <v>0</v>
      </c>
    </row>
    <row r="87" spans="1:78" x14ac:dyDescent="0.3">
      <c r="A87" s="192"/>
      <c r="B87" s="70" t="s">
        <v>102</v>
      </c>
      <c r="C87" s="20">
        <v>10</v>
      </c>
      <c r="D87" s="69"/>
      <c r="E87" s="21"/>
      <c r="F87" s="52">
        <v>1.23</v>
      </c>
      <c r="H87" s="37">
        <v>0.254</v>
      </c>
      <c r="I87" s="52">
        <f>H87*0.2907</f>
        <v>7.3837800000000009E-2</v>
      </c>
      <c r="K87" s="53">
        <f>(I87-$I$7)/($AA$7/1000-AA87/1000)*0.05</f>
        <v>0.27727077599831973</v>
      </c>
      <c r="L87" s="68"/>
      <c r="M87" s="22">
        <v>2.6206394769235324</v>
      </c>
      <c r="O87" s="21">
        <v>0</v>
      </c>
      <c r="Q87" s="21">
        <v>0.34690899189011321</v>
      </c>
      <c r="S87" s="21">
        <v>80.244006533501519</v>
      </c>
      <c r="U87" s="21">
        <v>16.788444997684834</v>
      </c>
      <c r="W87" s="21">
        <v>0</v>
      </c>
      <c r="Y87" s="22">
        <v>0.14510252137328286</v>
      </c>
      <c r="AA87" s="21">
        <v>0</v>
      </c>
      <c r="AC87" s="21">
        <v>1.9208048208680769E-2</v>
      </c>
      <c r="AE87" s="21">
        <v>4.4430406302106542</v>
      </c>
      <c r="AG87" s="21">
        <v>0.92956155188523415</v>
      </c>
      <c r="AI87" s="21">
        <v>0</v>
      </c>
      <c r="AJ87" s="21"/>
      <c r="AK87" s="22">
        <f>8*(AG87-$AG$7)/(2*($AA$7-AA87)+2*($AI$7-AI87))</f>
        <v>0.67551952516433866</v>
      </c>
      <c r="AL87" s="22"/>
      <c r="AM87" s="22">
        <f>(AG87-$AG$7)/(($AA$7-AA87)+($AI$7-AI87))</f>
        <v>0.16887988129108467</v>
      </c>
      <c r="AN87" s="22"/>
      <c r="AO87" s="37">
        <f>8*(BW87-$BW$7)/(2*($AA$7-AA87)+2*($AI$7-AI87))</f>
        <v>0.31572551820556544</v>
      </c>
      <c r="AQ87" s="37">
        <f>(BW87-$BW$7)/(($AA$7-AA87)+($AI$7-AI87))</f>
        <v>7.8931379551391359E-2</v>
      </c>
      <c r="AS87" s="37">
        <f>14*(BX87-$BX$7)/(2*($AA$7-AA87)+2*($AI$7-AI87))</f>
        <v>7.9826995164980381E-3</v>
      </c>
      <c r="AU87" s="37">
        <f>(BX87-$BX$7)/(($AA$7-AA87)+($AI$7-AI87))</f>
        <v>1.1403856452140055E-3</v>
      </c>
      <c r="BG87" s="37">
        <v>523.09</v>
      </c>
      <c r="BI87" s="2">
        <v>9.3000000000000007</v>
      </c>
      <c r="BK87" s="2">
        <v>0</v>
      </c>
      <c r="BM87" s="2">
        <v>0</v>
      </c>
      <c r="BO87" s="22">
        <f>(BG87/1000)/60.2*1000</f>
        <v>8.6892026578073089</v>
      </c>
      <c r="BQ87" s="2">
        <f>BI87/74.08</f>
        <v>0.12553995680345573</v>
      </c>
      <c r="BS87" s="2">
        <f>(BK87/1000)/88.12*1000</f>
        <v>0</v>
      </c>
      <c r="BU87" s="2">
        <f>BM87/88.12</f>
        <v>0</v>
      </c>
      <c r="BW87" s="52">
        <f>BO87*0.05</f>
        <v>0.43446013289036545</v>
      </c>
      <c r="BX87" s="51">
        <f>BQ87*0.05</f>
        <v>6.2769978401727867E-3</v>
      </c>
      <c r="BY87" s="51">
        <f>BS87*0.05</f>
        <v>0</v>
      </c>
      <c r="BZ87" s="67">
        <f>BU87*0.05</f>
        <v>0</v>
      </c>
    </row>
    <row r="88" spans="1:78" x14ac:dyDescent="0.3">
      <c r="A88" s="192"/>
      <c r="B88" s="83" t="s">
        <v>63</v>
      </c>
      <c r="C88" s="80">
        <v>10</v>
      </c>
      <c r="D88" s="79"/>
      <c r="E88" s="76"/>
      <c r="F88" s="74">
        <f>AVERAGE(F85:F87)</f>
        <v>1.2126666666666666</v>
      </c>
      <c r="G88" s="73">
        <f>_xlfn.STDEV.S(F85:F87)</f>
        <v>1.6165807537309534E-2</v>
      </c>
      <c r="H88" s="78">
        <f>AVERAGE(H85:H87)</f>
        <v>0.248</v>
      </c>
      <c r="I88" s="74">
        <f>AVERAGE(I85:I87)</f>
        <v>7.2093599999999994E-2</v>
      </c>
      <c r="J88" s="82">
        <f>_xlfn.STDEV.S(I85:I87)</f>
        <v>1.5382398122529574E-3</v>
      </c>
      <c r="K88" s="82">
        <f>AVERAGE(K85:K87)</f>
        <v>0.23332004756100547</v>
      </c>
      <c r="L88" s="81">
        <f>_xlfn.STDEV.S(K85:K87)</f>
        <v>3.8391210299305818E-2</v>
      </c>
      <c r="M88" s="77">
        <f>AVERAGE(M85:M87)</f>
        <v>2.475675667107506</v>
      </c>
      <c r="N88" s="76">
        <f>_xlfn.STDEV.S(M85:M87)</f>
        <v>0.20843391100894587</v>
      </c>
      <c r="O88" s="76">
        <f>AVERAGE(O85:O87)</f>
        <v>0</v>
      </c>
      <c r="P88" s="76">
        <f>_xlfn.STDEV.S(O85:O87)</f>
        <v>0</v>
      </c>
      <c r="Q88" s="76">
        <f>AVERAGE(Q85:Q87)</f>
        <v>0.28997165320986745</v>
      </c>
      <c r="R88" s="76">
        <f>_xlfn.STDEV.S(Q85:Q87)</f>
        <v>0.1219710648447368</v>
      </c>
      <c r="S88" s="76">
        <f>AVERAGE(S85:S87)</f>
        <v>80.834562230291624</v>
      </c>
      <c r="T88" s="76">
        <f>_xlfn.STDEV.S(S85:S87)</f>
        <v>0.51417661814305105</v>
      </c>
      <c r="U88" s="76">
        <f>AVERAGE(U85:U87)</f>
        <v>16.399790449391002</v>
      </c>
      <c r="V88" s="76">
        <f>_xlfn.STDEV.S(U85:U87)</f>
        <v>0.47204142491796469</v>
      </c>
      <c r="W88" s="76">
        <f>AVERAGE(W85:W87)</f>
        <v>0</v>
      </c>
      <c r="X88" s="76">
        <f>_xlfn.STDEV.S(W85:W87)</f>
        <v>0</v>
      </c>
      <c r="Y88" s="77">
        <f>AVERAGE(Y85:Y87)</f>
        <v>0.13517090322535211</v>
      </c>
      <c r="Z88" s="76">
        <f>_xlfn.STDEV.S(Y85:Y87)</f>
        <v>1.2000568377445791E-2</v>
      </c>
      <c r="AA88" s="76">
        <f>AVERAGE(AA85:AA87)</f>
        <v>0</v>
      </c>
      <c r="AB88" s="76">
        <f>_xlfn.STDEV.S(AA85:AA87)</f>
        <v>0</v>
      </c>
      <c r="AC88" s="76">
        <f>AVERAGE(AC85:AC87)</f>
        <v>1.5831346959785417E-2</v>
      </c>
      <c r="AD88" s="76">
        <f>_xlfn.STDEV.S(AC85:AC87)</f>
        <v>6.6529140917048028E-3</v>
      </c>
      <c r="AE88" s="76">
        <f>AVERAGE(AE85:AE87)</f>
        <v>4.4124264943061888</v>
      </c>
      <c r="AF88" s="76">
        <f>_xlfn.STDEV.S(AE85:AE87)</f>
        <v>3.2640673829292435E-2</v>
      </c>
      <c r="AG88" s="76">
        <f>AVERAGE(AG85:AG87)</f>
        <v>0.89545705242033413</v>
      </c>
      <c r="AH88" s="76">
        <f>_xlfn.STDEV.S(AG85:AG87)</f>
        <v>3.7017244424696082E-2</v>
      </c>
      <c r="AI88" s="76">
        <f>AVERAGE(AI85:AI87)</f>
        <v>0</v>
      </c>
      <c r="AJ88" s="76">
        <f>_xlfn.STDEV.S(AI85:AI87)</f>
        <v>0</v>
      </c>
      <c r="AK88" s="77">
        <f>AVERAGE(AK85:AK87)</f>
        <v>0.65360959154148501</v>
      </c>
      <c r="AL88" s="77">
        <f>_xlfn.STDEV.S(AK85:AK87)</f>
        <v>2.7168112639312406E-2</v>
      </c>
      <c r="AM88" s="77">
        <f>AVERAGE(AM85:AM87)</f>
        <v>0.16340239788537125</v>
      </c>
      <c r="AN88" s="77">
        <f>_xlfn.STDEV.S(AM85:AM87)</f>
        <v>6.7920281598281016E-3</v>
      </c>
      <c r="AO88" s="78">
        <f>AVERAGE(AO85:AO87)</f>
        <v>0.31396860712393448</v>
      </c>
      <c r="AP88" s="78">
        <f>_xlfn.STDEV.S(AO85:AO87)</f>
        <v>4.6674269331406894E-3</v>
      </c>
      <c r="AQ88" s="78">
        <f>AVERAGE(AQ85:AQ87)</f>
        <v>7.8492151780983621E-2</v>
      </c>
      <c r="AR88" s="78">
        <f>_xlfn.STDEV.S(AQ85:AQ87)</f>
        <v>1.1668567332851724E-3</v>
      </c>
      <c r="AS88" s="78">
        <f>AVERAGE(AS85:AS87)</f>
        <v>7.7148507256195277E-3</v>
      </c>
      <c r="AT88" s="78">
        <f>_xlfn.STDEV.S(AS85:AS87)</f>
        <v>2.9577693849742646E-4</v>
      </c>
      <c r="AU88" s="78">
        <f>AVERAGE(AU85:AU87)</f>
        <v>1.1021215322313609E-3</v>
      </c>
      <c r="AV88" s="80">
        <f>_xlfn.STDEV.S(AU85:AU87)</f>
        <v>4.2253848356775261E-5</v>
      </c>
      <c r="AW88" s="80"/>
      <c r="AX88" s="80"/>
      <c r="AY88" s="79">
        <f>SUM(AK88,AO88,AS88)</f>
        <v>0.975293049391039</v>
      </c>
      <c r="AZ88" s="77">
        <f>SUM(AL88,AP88,AT88)</f>
        <v>3.2131316510950518E-2</v>
      </c>
      <c r="BA88" s="78"/>
      <c r="BB88" s="78"/>
      <c r="BC88" s="78"/>
      <c r="BD88" s="78"/>
      <c r="BE88" s="78"/>
      <c r="BF88" s="78"/>
      <c r="BG88" s="78"/>
      <c r="BH88" s="75"/>
      <c r="BI88" s="75"/>
      <c r="BJ88" s="75"/>
      <c r="BK88" s="75"/>
      <c r="BL88" s="75"/>
      <c r="BM88" s="75"/>
      <c r="BN88" s="75"/>
      <c r="BO88" s="77">
        <f>AVERAGE(BO85:BO87)</f>
        <v>8.6035437430786263</v>
      </c>
      <c r="BP88" s="76">
        <f>_xlfn.STDEV.S(BO85:BO87)</f>
        <v>0.17836744382124195</v>
      </c>
      <c r="BQ88" s="75">
        <f>AVERAGE(BQ85:BQ87)</f>
        <v>0.12081533477321815</v>
      </c>
      <c r="BR88" s="75">
        <f>_xlfn.STDEV.S(BQ85:BQ87)</f>
        <v>5.3470038661820648E-3</v>
      </c>
      <c r="BS88" s="75">
        <f>AVERAGE(BS85:BS87)</f>
        <v>0</v>
      </c>
      <c r="BT88" s="75">
        <f>_xlfn.STDEV.S(BS85:BS87)</f>
        <v>0</v>
      </c>
      <c r="BU88" s="75">
        <f>AVERAGE(BU85:BU87)</f>
        <v>0</v>
      </c>
      <c r="BV88" s="75">
        <f>_xlfn.STDEV.S(BU85:BU87)</f>
        <v>0</v>
      </c>
      <c r="BW88" s="74">
        <f>AVERAGE(BW85:BW87)</f>
        <v>0.43017718715393133</v>
      </c>
      <c r="BX88" s="73">
        <f>BQ88*0.05</f>
        <v>6.040766738660908E-3</v>
      </c>
      <c r="BY88" s="73">
        <f>BS88*0.05</f>
        <v>0</v>
      </c>
      <c r="BZ88" s="72">
        <f>BU88*0.05</f>
        <v>0</v>
      </c>
    </row>
    <row r="89" spans="1:78" x14ac:dyDescent="0.3">
      <c r="A89" s="191" t="s">
        <v>58</v>
      </c>
      <c r="B89" s="70" t="s">
        <v>101</v>
      </c>
      <c r="C89" s="20">
        <v>10</v>
      </c>
      <c r="D89" s="69"/>
      <c r="E89" s="21"/>
      <c r="F89" s="52"/>
      <c r="I89" s="52">
        <f>H89*0.2907</f>
        <v>0</v>
      </c>
      <c r="L89" s="68"/>
      <c r="AJ89" s="21"/>
      <c r="BZ89" s="67"/>
    </row>
    <row r="90" spans="1:78" x14ac:dyDescent="0.3">
      <c r="A90" s="192"/>
      <c r="B90" s="70" t="s">
        <v>100</v>
      </c>
      <c r="C90" s="20">
        <v>10</v>
      </c>
      <c r="D90" s="69"/>
      <c r="E90" s="21"/>
      <c r="F90" s="52"/>
      <c r="I90" s="52">
        <f>H90*0.2907</f>
        <v>0</v>
      </c>
      <c r="L90" s="68"/>
      <c r="AJ90" s="21"/>
      <c r="BZ90" s="67"/>
    </row>
    <row r="91" spans="1:78" x14ac:dyDescent="0.3">
      <c r="A91" s="192"/>
      <c r="B91" s="70" t="s">
        <v>99</v>
      </c>
      <c r="C91" s="20">
        <v>10</v>
      </c>
      <c r="D91" s="69"/>
      <c r="E91" s="21"/>
      <c r="F91" s="52"/>
      <c r="G91" s="67"/>
      <c r="I91" s="52">
        <f>H91*0.2907</f>
        <v>0</v>
      </c>
      <c r="L91" s="68"/>
      <c r="AJ91" s="21"/>
      <c r="BZ91" s="67"/>
    </row>
    <row r="92" spans="1:78" ht="15" thickBot="1" x14ac:dyDescent="0.35">
      <c r="A92" s="192"/>
      <c r="B92" s="66" t="s">
        <v>63</v>
      </c>
      <c r="C92" s="65">
        <v>10</v>
      </c>
      <c r="D92" s="64"/>
      <c r="E92" s="58"/>
      <c r="F92" s="56" t="e">
        <f>AVERAGE(F89:F91)</f>
        <v>#DIV/0!</v>
      </c>
      <c r="G92" s="55" t="e">
        <f>_xlfn.STDEV.S(F89:F91)</f>
        <v>#DIV/0!</v>
      </c>
      <c r="H92" s="60" t="e">
        <f>AVERAGE(H89:H91)</f>
        <v>#DIV/0!</v>
      </c>
      <c r="I92" s="56">
        <f>AVERAGE(I89:I91)</f>
        <v>0</v>
      </c>
      <c r="J92" s="63">
        <f>_xlfn.STDEV.S(I89:I91)</f>
        <v>0</v>
      </c>
      <c r="K92" s="63"/>
      <c r="L92" s="62" t="e">
        <f>_xlfn.STDEV.S(K89:K91)</f>
        <v>#DIV/0!</v>
      </c>
      <c r="M92" s="59" t="e">
        <f>AVERAGE(M89:M91)</f>
        <v>#DIV/0!</v>
      </c>
      <c r="N92" s="58" t="e">
        <f>_xlfn.STDEV.S(M89:M91)</f>
        <v>#DIV/0!</v>
      </c>
      <c r="O92" s="58" t="e">
        <f>AVERAGE(O89:O91)</f>
        <v>#DIV/0!</v>
      </c>
      <c r="P92" s="58" t="e">
        <f>_xlfn.STDEV.S(O89:O91)</f>
        <v>#DIV/0!</v>
      </c>
      <c r="Q92" s="58" t="e">
        <f>AVERAGE(Q89:Q91)</f>
        <v>#DIV/0!</v>
      </c>
      <c r="R92" s="58" t="e">
        <f>_xlfn.STDEV.S(Q89:Q91)</f>
        <v>#DIV/0!</v>
      </c>
      <c r="S92" s="58" t="e">
        <f>AVERAGE(S89:S91)</f>
        <v>#DIV/0!</v>
      </c>
      <c r="T92" s="58" t="e">
        <f>_xlfn.STDEV.S(S89:S91)</f>
        <v>#DIV/0!</v>
      </c>
      <c r="U92" s="58" t="e">
        <f>AVERAGE(U89:U91)</f>
        <v>#DIV/0!</v>
      </c>
      <c r="V92" s="58" t="e">
        <f>_xlfn.STDEV.S(U89:U91)</f>
        <v>#DIV/0!</v>
      </c>
      <c r="W92" s="58" t="e">
        <f>AVERAGE(W89:W91)</f>
        <v>#DIV/0!</v>
      </c>
      <c r="X92" s="58" t="e">
        <f>_xlfn.STDEV.S(W89:W91)</f>
        <v>#DIV/0!</v>
      </c>
      <c r="Y92" s="59" t="e">
        <f>AVERAGE(Y89:Y91)</f>
        <v>#DIV/0!</v>
      </c>
      <c r="Z92" s="58" t="e">
        <f>_xlfn.STDEV.S(Y89:Y91)</f>
        <v>#DIV/0!</v>
      </c>
      <c r="AA92" s="58" t="e">
        <f>AVERAGE(AA89:AA91)</f>
        <v>#DIV/0!</v>
      </c>
      <c r="AB92" s="58" t="e">
        <f>_xlfn.STDEV.S(AA89:AA91)</f>
        <v>#DIV/0!</v>
      </c>
      <c r="AC92" s="58" t="e">
        <f>AVERAGE(AC89:AC91)</f>
        <v>#DIV/0!</v>
      </c>
      <c r="AD92" s="58" t="e">
        <f>_xlfn.STDEV.S(AC89:AC91)</f>
        <v>#DIV/0!</v>
      </c>
      <c r="AE92" s="58" t="e">
        <f>AVERAGE(AE89:AE91)</f>
        <v>#DIV/0!</v>
      </c>
      <c r="AF92" s="58" t="e">
        <f>_xlfn.STDEV.S(AE89:AE91)</f>
        <v>#DIV/0!</v>
      </c>
      <c r="AG92" s="58" t="e">
        <f>AVERAGE(AG89:AG91)</f>
        <v>#DIV/0!</v>
      </c>
      <c r="AH92" s="58" t="e">
        <f>_xlfn.STDEV.S(AG89:AG91)</f>
        <v>#DIV/0!</v>
      </c>
      <c r="AI92" s="58" t="e">
        <f>AVERAGE(AI89:AI91)</f>
        <v>#DIV/0!</v>
      </c>
      <c r="AJ92" s="58" t="e">
        <f>_xlfn.STDEV.S(AI89:AI91)</f>
        <v>#DIV/0!</v>
      </c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57"/>
      <c r="BI92" s="57"/>
      <c r="BJ92" s="57"/>
      <c r="BK92" s="57"/>
      <c r="BL92" s="57"/>
      <c r="BM92" s="57"/>
      <c r="BN92" s="57"/>
      <c r="BO92" s="59" t="e">
        <f>AVERAGE(BO89:BO91)</f>
        <v>#DIV/0!</v>
      </c>
      <c r="BP92" s="58" t="e">
        <f>_xlfn.STDEV.S(BO89:BO91)</f>
        <v>#DIV/0!</v>
      </c>
      <c r="BQ92" s="57" t="e">
        <f>AVERAGE(BQ89:BQ91)</f>
        <v>#DIV/0!</v>
      </c>
      <c r="BR92" s="57" t="e">
        <f>_xlfn.STDEV.S(BQ89:BQ91)</f>
        <v>#DIV/0!</v>
      </c>
      <c r="BS92" s="57" t="e">
        <f>AVERAGE(BS89:BS91)</f>
        <v>#DIV/0!</v>
      </c>
      <c r="BT92" s="57" t="e">
        <f>_xlfn.STDEV.S(BS89:BS91)</f>
        <v>#DIV/0!</v>
      </c>
      <c r="BU92" s="57" t="e">
        <f>AVERAGE(BU89:BU91)</f>
        <v>#DIV/0!</v>
      </c>
      <c r="BV92" s="57" t="e">
        <f>_xlfn.STDEV.S(BU89:BU91)</f>
        <v>#DIV/0!</v>
      </c>
      <c r="BW92" s="56" t="e">
        <f>AVERAGE(BW89:BW91)</f>
        <v>#DIV/0!</v>
      </c>
      <c r="BX92" s="55" t="e">
        <f>BQ92*0.05</f>
        <v>#DIV/0!</v>
      </c>
      <c r="BY92" s="55" t="e">
        <f>BS92*0.05</f>
        <v>#DIV/0!</v>
      </c>
      <c r="BZ92" s="54" t="e">
        <f>BU92*0.05</f>
        <v>#DIV/0!</v>
      </c>
    </row>
    <row r="93" spans="1:78" x14ac:dyDescent="0.3">
      <c r="A93" s="191" t="s">
        <v>57</v>
      </c>
      <c r="B93" s="95" t="s">
        <v>104</v>
      </c>
      <c r="C93" s="94">
        <v>11</v>
      </c>
      <c r="D93" s="93"/>
      <c r="E93" s="88"/>
      <c r="F93" s="86">
        <v>1.23</v>
      </c>
      <c r="G93" s="85"/>
      <c r="H93" s="90">
        <v>0.254</v>
      </c>
      <c r="I93" s="86">
        <f>H93*0.2907</f>
        <v>7.3837800000000009E-2</v>
      </c>
      <c r="J93" s="92"/>
      <c r="K93" s="92">
        <f>(I93-$I$5)/($AA$5/1000-AA93/1000)*0.05</f>
        <v>0.23278390496497769</v>
      </c>
      <c r="L93" s="91"/>
      <c r="M93" s="89">
        <v>2.6563101133605262</v>
      </c>
      <c r="N93" s="88"/>
      <c r="O93" s="88">
        <v>0</v>
      </c>
      <c r="P93" s="88"/>
      <c r="Q93" s="88">
        <v>0.15542374725113756</v>
      </c>
      <c r="R93" s="88"/>
      <c r="S93" s="88">
        <v>80.421330911669273</v>
      </c>
      <c r="T93" s="88"/>
      <c r="U93" s="88">
        <v>16.76693522771906</v>
      </c>
      <c r="V93" s="88"/>
      <c r="W93" s="88">
        <v>0</v>
      </c>
      <c r="X93" s="88"/>
      <c r="Y93" s="89">
        <v>0.14707757339076741</v>
      </c>
      <c r="Z93" s="88"/>
      <c r="AA93" s="88">
        <v>0</v>
      </c>
      <c r="AB93" s="88"/>
      <c r="AC93" s="88">
        <v>8.6056772806837895E-3</v>
      </c>
      <c r="AD93" s="88"/>
      <c r="AE93" s="88">
        <v>4.4528589263172584</v>
      </c>
      <c r="AF93" s="88"/>
      <c r="AG93" s="88">
        <v>0.92837057468914264</v>
      </c>
      <c r="AH93" s="88"/>
      <c r="AI93" s="88">
        <v>0</v>
      </c>
      <c r="AJ93" s="88"/>
      <c r="AK93" s="89">
        <f>8*(AG93-$AG$5)/(2*($AA$5-AA93)+2*($AI$5-AI93))</f>
        <v>0.67582865068867959</v>
      </c>
      <c r="AL93" s="89"/>
      <c r="AM93" s="89">
        <f>(AG93-$AG$5)/(($AA$5-AA93)+($AI$5-AI93))</f>
        <v>0.1689571626721699</v>
      </c>
      <c r="AN93" s="89"/>
      <c r="AO93" s="37">
        <f>8*(BW93-$BW$5)/(2*($AA$5-AA93)+2*($AI$5-AI93))</f>
        <v>0.28727117956292758</v>
      </c>
      <c r="AQ93" s="37">
        <f>(BW93-$BW$5)/(($AA$5-AA93)+($AI$5-AI93))</f>
        <v>7.1817794890731895E-2</v>
      </c>
      <c r="AS93" s="37">
        <f>14*(BX93-$BX$5)/(2*($AA$5-AA93)+2*($AI$5-AI93))</f>
        <v>7.3259155233549866E-3</v>
      </c>
      <c r="AU93" s="37">
        <f>(BX93-$BX$5)/(($AA$5-AA93)+($AI$5-AI93))</f>
        <v>1.0465593604792839E-3</v>
      </c>
      <c r="AY93" s="90"/>
      <c r="AZ93" s="90"/>
      <c r="BA93" s="90"/>
      <c r="BB93" s="90"/>
      <c r="BC93" s="90"/>
      <c r="BD93" s="90"/>
      <c r="BE93" s="90"/>
      <c r="BF93" s="90"/>
      <c r="BG93" s="90">
        <v>475.12</v>
      </c>
      <c r="BH93" s="87"/>
      <c r="BI93" s="87">
        <v>8.52</v>
      </c>
      <c r="BJ93" s="87"/>
      <c r="BK93" s="87">
        <v>0</v>
      </c>
      <c r="BL93" s="87"/>
      <c r="BM93" s="87">
        <v>0</v>
      </c>
      <c r="BN93" s="87"/>
      <c r="BO93" s="89">
        <f>(BG93/1000)/60.2*1000</f>
        <v>7.8923588039867107</v>
      </c>
      <c r="BP93" s="88"/>
      <c r="BQ93" s="87">
        <f>BI93/74.08</f>
        <v>0.11501079913606911</v>
      </c>
      <c r="BR93" s="87"/>
      <c r="BS93" s="87">
        <f>(BK93/1000)/88.12*1000</f>
        <v>0</v>
      </c>
      <c r="BT93" s="87"/>
      <c r="BU93" s="87">
        <f>BM93/88.12</f>
        <v>0</v>
      </c>
      <c r="BV93" s="87"/>
      <c r="BW93" s="86">
        <f>BO93*0.05</f>
        <v>0.39461794019933555</v>
      </c>
      <c r="BX93" s="85">
        <f>BQ93*0.05</f>
        <v>5.7505399568034557E-3</v>
      </c>
      <c r="BY93" s="85">
        <f>BS93*0.05</f>
        <v>0</v>
      </c>
      <c r="BZ93" s="84">
        <f>BU93*0.05</f>
        <v>0</v>
      </c>
    </row>
    <row r="94" spans="1:78" x14ac:dyDescent="0.3">
      <c r="A94" s="192"/>
      <c r="B94" s="70" t="s">
        <v>103</v>
      </c>
      <c r="C94" s="20">
        <v>11</v>
      </c>
      <c r="D94" s="69"/>
      <c r="E94" s="21"/>
      <c r="F94" s="52">
        <v>1.24</v>
      </c>
      <c r="H94" s="37">
        <v>0.25700000000000001</v>
      </c>
      <c r="I94" s="52">
        <f>H94*0.2907</f>
        <v>7.470990000000001E-2</v>
      </c>
      <c r="K94" s="53">
        <f>(I94-$I$6)/($AA$6/1000-AA94/1000)*0.05</f>
        <v>0.24574015300934701</v>
      </c>
      <c r="L94" s="68"/>
      <c r="M94" s="22">
        <v>2.2395876648977215</v>
      </c>
      <c r="O94" s="21">
        <v>0</v>
      </c>
      <c r="Q94" s="21">
        <v>0.15567414656220191</v>
      </c>
      <c r="S94" s="21">
        <v>80.386113304533211</v>
      </c>
      <c r="U94" s="21">
        <v>17.218624884006864</v>
      </c>
      <c r="W94" s="21">
        <v>0</v>
      </c>
      <c r="Y94" s="22">
        <v>0.12501217772632559</v>
      </c>
      <c r="AA94" s="21">
        <v>0</v>
      </c>
      <c r="AC94" s="21">
        <v>8.6896192466378881E-3</v>
      </c>
      <c r="AE94" s="21">
        <v>4.4870952098290768</v>
      </c>
      <c r="AG94" s="21">
        <v>0.96113129570246214</v>
      </c>
      <c r="AI94" s="21">
        <v>0</v>
      </c>
      <c r="AJ94" s="21"/>
      <c r="AK94" s="22">
        <f>8*(AG94-$AG$6)/(2*($AA$6-AA94)+2*($AI$6-AI94))</f>
        <v>0.70650618946170385</v>
      </c>
      <c r="AL94" s="22"/>
      <c r="AM94" s="22">
        <f>(AG94-$AG$6)/(($AA$6-AA94)+($AI$6-AI94))</f>
        <v>0.17662654736542596</v>
      </c>
      <c r="AN94" s="22"/>
      <c r="AO94" s="37">
        <f>8*(BW94-$BW$6)/(2*($AA$6-AA94)+2*($AI$6-AI94))</f>
        <v>0.25965215799601593</v>
      </c>
      <c r="AQ94" s="37">
        <f>(BW94-$BW$6)/(($AA$6-AA94)+($AI$6-AI94))</f>
        <v>6.4913039499003983E-2</v>
      </c>
      <c r="AS94" s="37">
        <f>14*(BX94-$BX$6)/(2*($AA$6-AA94)+2*($AI$6-AI94))</f>
        <v>6.9893407158182E-3</v>
      </c>
      <c r="AU94" s="37">
        <f>(BX94-$BX$6)/(($AA$6-AA94)+($AI$6-AI94))</f>
        <v>9.9847724511688556E-4</v>
      </c>
      <c r="BG94" s="37">
        <v>425.29</v>
      </c>
      <c r="BI94" s="2">
        <v>8.0500000000000007</v>
      </c>
      <c r="BK94" s="2">
        <v>0</v>
      </c>
      <c r="BM94" s="2">
        <v>0</v>
      </c>
      <c r="BO94" s="22">
        <f>(BG94/1000)/60.2*1000</f>
        <v>7.0646179401993354</v>
      </c>
      <c r="BQ94" s="2">
        <f>BI94/74.08</f>
        <v>0.10866630669546437</v>
      </c>
      <c r="BS94" s="2">
        <f>(BK94/1000)/88.12*1000</f>
        <v>0</v>
      </c>
      <c r="BU94" s="2">
        <f>BM94/88.12</f>
        <v>0</v>
      </c>
      <c r="BW94" s="52">
        <f>BO94*0.05</f>
        <v>0.35323089700996679</v>
      </c>
      <c r="BX94" s="51">
        <f>BQ94*0.05</f>
        <v>5.4333153347732189E-3</v>
      </c>
      <c r="BY94" s="51">
        <f>BS94*0.05</f>
        <v>0</v>
      </c>
      <c r="BZ94" s="67">
        <f>BU94*0.05</f>
        <v>0</v>
      </c>
    </row>
    <row r="95" spans="1:78" x14ac:dyDescent="0.3">
      <c r="A95" s="192"/>
      <c r="B95" s="70" t="s">
        <v>102</v>
      </c>
      <c r="C95" s="20">
        <v>11</v>
      </c>
      <c r="D95" s="69"/>
      <c r="E95" s="21"/>
      <c r="F95" s="52">
        <v>1.2649999999999999</v>
      </c>
      <c r="H95" s="37">
        <v>0.23499999999999999</v>
      </c>
      <c r="I95" s="52">
        <f>H95*0.2907</f>
        <v>6.83145E-2</v>
      </c>
      <c r="K95" s="53">
        <f>(I95-$I$7)/($AA$7/1000-AA95/1000)*0.05</f>
        <v>0.22709796891290945</v>
      </c>
      <c r="L95" s="68"/>
      <c r="M95" s="22">
        <v>2.593092804176063</v>
      </c>
      <c r="O95" s="21">
        <v>0</v>
      </c>
      <c r="Q95" s="21">
        <v>0.26439224949845247</v>
      </c>
      <c r="S95" s="21">
        <v>80.462525919148348</v>
      </c>
      <c r="U95" s="21">
        <v>16.679989027177154</v>
      </c>
      <c r="W95" s="21">
        <v>0</v>
      </c>
      <c r="Y95" s="22">
        <v>0.14766281866962644</v>
      </c>
      <c r="AA95" s="21">
        <v>0</v>
      </c>
      <c r="AC95" s="21">
        <v>1.5055729873019176E-2</v>
      </c>
      <c r="AE95" s="21">
        <v>4.5819121303198118</v>
      </c>
      <c r="AG95" s="21">
        <v>0.94983650070866776</v>
      </c>
      <c r="AI95" s="21">
        <v>0</v>
      </c>
      <c r="AJ95" s="21"/>
      <c r="AK95" s="22">
        <f>8*(AG95-$AG$7)/(2*($AA$7-AA95)+2*($AI$7-AI95))</f>
        <v>0.69025348632501726</v>
      </c>
      <c r="AL95" s="22"/>
      <c r="AM95" s="22">
        <f>(AG95-$AG$7)/(($AA$7-AA95)+($AI$7-AI95))</f>
        <v>0.17256337158125432</v>
      </c>
      <c r="AN95" s="22"/>
      <c r="AO95" s="37">
        <f>8*(BW95-$BW$7)/(2*($AA$7-AA95)+2*($AI$7-AI95))</f>
        <v>0.29027264183108165</v>
      </c>
      <c r="AQ95" s="37">
        <f>(BW95-$BW$7)/(($AA$7-AA95)+($AI$7-AI95))</f>
        <v>7.2568160457770411E-2</v>
      </c>
      <c r="AS95" s="37">
        <f>14*(BX95-$BX$7)/(2*($AA$7-AA95)+2*($AI$7-AI95))</f>
        <v>7.7166095326147701E-3</v>
      </c>
      <c r="AU95" s="37">
        <f>(BX95-$BX$7)/(($AA$7-AA95)+($AI$7-AI95))</f>
        <v>1.1023727903735387E-3</v>
      </c>
      <c r="BG95" s="37">
        <v>480.92</v>
      </c>
      <c r="BI95" s="2">
        <v>8.99</v>
      </c>
      <c r="BK95" s="2">
        <v>0</v>
      </c>
      <c r="BM95" s="2">
        <v>0</v>
      </c>
      <c r="BO95" s="22">
        <f>(BG95/1000)/60.2*1000</f>
        <v>7.9887043189368763</v>
      </c>
      <c r="BQ95" s="2">
        <f>BI95/74.08</f>
        <v>0.12135529157667387</v>
      </c>
      <c r="BS95" s="2">
        <f>(BK95/1000)/88.12*1000</f>
        <v>0</v>
      </c>
      <c r="BU95" s="2">
        <f>BM95/88.12</f>
        <v>0</v>
      </c>
      <c r="BW95" s="52">
        <f>BO95*0.05</f>
        <v>0.39943521594684384</v>
      </c>
      <c r="BX95" s="51">
        <f>BQ95*0.05</f>
        <v>6.0677645788336934E-3</v>
      </c>
      <c r="BY95" s="51">
        <f>BS95*0.05</f>
        <v>0</v>
      </c>
      <c r="BZ95" s="67">
        <f>BU95*0.05</f>
        <v>0</v>
      </c>
    </row>
    <row r="96" spans="1:78" x14ac:dyDescent="0.3">
      <c r="A96" s="192"/>
      <c r="B96" s="83" t="s">
        <v>63</v>
      </c>
      <c r="C96" s="80">
        <v>11</v>
      </c>
      <c r="D96" s="79"/>
      <c r="E96" s="76"/>
      <c r="F96" s="74">
        <f>AVERAGE(F93:F95)</f>
        <v>1.2449999999999999</v>
      </c>
      <c r="G96" s="73">
        <f>_xlfn.STDEV.S(F93:F95)</f>
        <v>1.80277563773199E-2</v>
      </c>
      <c r="H96" s="78">
        <f>AVERAGE(H93:H95)</f>
        <v>0.24866666666666667</v>
      </c>
      <c r="I96" s="74">
        <f>AVERAGE(I93:I95)</f>
        <v>7.2287400000000002E-2</v>
      </c>
      <c r="J96" s="82">
        <f>_xlfn.STDEV.S(I93:I95)</f>
        <v>3.4681537465919873E-3</v>
      </c>
      <c r="K96" s="82">
        <f>AVERAGE(K93:K95)</f>
        <v>0.23520734229574472</v>
      </c>
      <c r="L96" s="81">
        <f>_xlfn.STDEV.S(K93:K95)</f>
        <v>9.5544514935962579E-3</v>
      </c>
      <c r="M96" s="77">
        <f>AVERAGE(M93:M95)</f>
        <v>2.4963301941447704</v>
      </c>
      <c r="N96" s="76">
        <f>_xlfn.STDEV.S(M93:M95)</f>
        <v>0.22458105839152989</v>
      </c>
      <c r="O96" s="76">
        <f>AVERAGE(O93:O95)</f>
        <v>0</v>
      </c>
      <c r="P96" s="76">
        <f>_xlfn.STDEV.S(O93:O95)</f>
        <v>0</v>
      </c>
      <c r="Q96" s="76">
        <f>AVERAGE(Q93:Q95)</f>
        <v>0.19183004777059731</v>
      </c>
      <c r="R96" s="76">
        <f>_xlfn.STDEV.S(Q93:Q95)</f>
        <v>6.2840834770467535E-2</v>
      </c>
      <c r="S96" s="76">
        <f>AVERAGE(S93:S95)</f>
        <v>80.423323378450277</v>
      </c>
      <c r="T96" s="76">
        <f>_xlfn.STDEV.S(S93:S95)</f>
        <v>3.8245252790188408E-2</v>
      </c>
      <c r="U96" s="76">
        <f>AVERAGE(U93:U95)</f>
        <v>16.888516379634357</v>
      </c>
      <c r="V96" s="76">
        <f>_xlfn.STDEV.S(U93:U95)</f>
        <v>0.28916885887221233</v>
      </c>
      <c r="W96" s="76">
        <f>AVERAGE(W93:W95)</f>
        <v>0</v>
      </c>
      <c r="X96" s="76">
        <f>_xlfn.STDEV.S(W93:W95)</f>
        <v>0</v>
      </c>
      <c r="Y96" s="77">
        <f>AVERAGE(Y93:Y95)</f>
        <v>0.1399175232622398</v>
      </c>
      <c r="Z96" s="76">
        <f>_xlfn.STDEV.S(Y93:Y95)</f>
        <v>1.2911724213591897E-2</v>
      </c>
      <c r="AA96" s="76">
        <f>AVERAGE(AA93:AA95)</f>
        <v>0</v>
      </c>
      <c r="AB96" s="76">
        <f>_xlfn.STDEV.S(AA93:AA95)</f>
        <v>0</v>
      </c>
      <c r="AC96" s="76">
        <f>AVERAGE(AC93:AC95)</f>
        <v>1.0783675466780286E-2</v>
      </c>
      <c r="AD96" s="76">
        <f>_xlfn.STDEV.S(AC93:AC95)</f>
        <v>3.6999457024138754E-3</v>
      </c>
      <c r="AE96" s="76">
        <f>AVERAGE(AE93:AE95)</f>
        <v>4.507288755488716</v>
      </c>
      <c r="AF96" s="76">
        <f>_xlfn.STDEV.S(AE93:AE95)</f>
        <v>6.6854445106979271E-2</v>
      </c>
      <c r="AG96" s="76">
        <f>AVERAGE(AG93:AG95)</f>
        <v>0.94644612370009085</v>
      </c>
      <c r="AH96" s="76">
        <f>_xlfn.STDEV.S(AG93:AG95)</f>
        <v>1.6641430302812128E-2</v>
      </c>
      <c r="AI96" s="76">
        <f>AVERAGE(AI93:AI95)</f>
        <v>0</v>
      </c>
      <c r="AJ96" s="76">
        <f>_xlfn.STDEV.S(AI93:AI95)</f>
        <v>0</v>
      </c>
      <c r="AK96" s="77">
        <f>AVERAGE(AK93:AK95)</f>
        <v>0.6908627754918002</v>
      </c>
      <c r="AL96" s="77">
        <f>_xlfn.STDEV.S(AK93:AK95)</f>
        <v>1.5347842560411253E-2</v>
      </c>
      <c r="AM96" s="77">
        <f>AVERAGE(AM93:AM95)</f>
        <v>0.17271569387295005</v>
      </c>
      <c r="AN96" s="77">
        <f>_xlfn.STDEV.S(AM93:AM95)</f>
        <v>3.8369606401028131E-3</v>
      </c>
      <c r="AO96" s="78">
        <f>AVERAGE(AO93:AO95)</f>
        <v>0.27906532646334176</v>
      </c>
      <c r="AP96" s="78">
        <f>_xlfn.STDEV.S(AO93:AO95)</f>
        <v>1.687914471744251E-2</v>
      </c>
      <c r="AQ96" s="78">
        <f>AVERAGE(AQ93:AQ95)</f>
        <v>6.9766331615835439E-2</v>
      </c>
      <c r="AR96" s="78">
        <f>_xlfn.STDEV.S(AQ93:AQ95)</f>
        <v>4.2197861793606276E-3</v>
      </c>
      <c r="AS96" s="78">
        <f>AVERAGE(AS93:AS95)</f>
        <v>7.3439552572626523E-3</v>
      </c>
      <c r="AT96" s="78">
        <f>_xlfn.STDEV.S(AS93:AS95)</f>
        <v>3.6396985722826733E-4</v>
      </c>
      <c r="AU96" s="78">
        <f>AVERAGE(AU93:AU95)</f>
        <v>1.0491364653232361E-3</v>
      </c>
      <c r="AV96" s="80">
        <f>_xlfn.STDEV.S(AU93:AU95)</f>
        <v>5.1995693889752581E-5</v>
      </c>
      <c r="AW96" s="80"/>
      <c r="AX96" s="80"/>
      <c r="AY96" s="79">
        <f>SUM(AK96,AO96,AS96)</f>
        <v>0.97727205721240462</v>
      </c>
      <c r="AZ96" s="77">
        <f>SUM(AL96,AP96,AT96)</f>
        <v>3.2590957135082033E-2</v>
      </c>
      <c r="BA96" s="78"/>
      <c r="BB96" s="78"/>
      <c r="BC96" s="78"/>
      <c r="BD96" s="78"/>
      <c r="BE96" s="78"/>
      <c r="BF96" s="78"/>
      <c r="BG96" s="78"/>
      <c r="BH96" s="75"/>
      <c r="BI96" s="75"/>
      <c r="BJ96" s="75"/>
      <c r="BK96" s="75"/>
      <c r="BL96" s="75"/>
      <c r="BM96" s="75"/>
      <c r="BN96" s="75"/>
      <c r="BO96" s="77">
        <f>AVERAGE(BO93:BO95)</f>
        <v>7.6485603543743075</v>
      </c>
      <c r="BP96" s="76">
        <f>_xlfn.STDEV.S(BO93:BO95)</f>
        <v>0.5079982006534316</v>
      </c>
      <c r="BQ96" s="75">
        <f>AVERAGE(BQ93:BQ95)</f>
        <v>0.11501079913606911</v>
      </c>
      <c r="BR96" s="75">
        <f>_xlfn.STDEV.S(BQ93:BQ95)</f>
        <v>6.3444924406047473E-3</v>
      </c>
      <c r="BS96" s="75">
        <f>AVERAGE(BS93:BS95)</f>
        <v>0</v>
      </c>
      <c r="BT96" s="75">
        <f>_xlfn.STDEV.S(BS93:BS95)</f>
        <v>0</v>
      </c>
      <c r="BU96" s="75">
        <f>AVERAGE(BU93:BU95)</f>
        <v>0</v>
      </c>
      <c r="BV96" s="75">
        <f>_xlfn.STDEV.S(BU93:BU95)</f>
        <v>0</v>
      </c>
      <c r="BW96" s="74">
        <f>AVERAGE(BW93:BW95)</f>
        <v>0.38242801771871537</v>
      </c>
      <c r="BX96" s="73">
        <f>BQ96*0.05</f>
        <v>5.7505399568034557E-3</v>
      </c>
      <c r="BY96" s="73">
        <f>BS96*0.05</f>
        <v>0</v>
      </c>
      <c r="BZ96" s="72">
        <f>BU96*0.05</f>
        <v>0</v>
      </c>
    </row>
    <row r="97" spans="1:78" x14ac:dyDescent="0.3">
      <c r="A97" s="191" t="s">
        <v>58</v>
      </c>
      <c r="B97" s="70" t="s">
        <v>101</v>
      </c>
      <c r="C97" s="20">
        <v>11</v>
      </c>
      <c r="D97" s="69"/>
      <c r="E97" s="21"/>
      <c r="F97" s="52"/>
      <c r="I97" s="52">
        <f>H97*0.2907</f>
        <v>0</v>
      </c>
      <c r="L97" s="68"/>
      <c r="AJ97" s="21"/>
      <c r="BZ97" s="67"/>
    </row>
    <row r="98" spans="1:78" x14ac:dyDescent="0.3">
      <c r="A98" s="192"/>
      <c r="B98" s="70" t="s">
        <v>100</v>
      </c>
      <c r="C98" s="20">
        <v>11</v>
      </c>
      <c r="D98" s="69"/>
      <c r="E98" s="21"/>
      <c r="F98" s="52"/>
      <c r="I98" s="52">
        <f>H98*0.2907</f>
        <v>0</v>
      </c>
      <c r="L98" s="68"/>
      <c r="AJ98" s="21"/>
      <c r="BZ98" s="67"/>
    </row>
    <row r="99" spans="1:78" x14ac:dyDescent="0.3">
      <c r="A99" s="192"/>
      <c r="B99" s="70" t="s">
        <v>99</v>
      </c>
      <c r="C99" s="20">
        <v>11</v>
      </c>
      <c r="D99" s="69"/>
      <c r="E99" s="21"/>
      <c r="F99" s="52"/>
      <c r="G99" s="67"/>
      <c r="I99" s="52">
        <f>H99*0.2907</f>
        <v>0</v>
      </c>
      <c r="L99" s="68"/>
      <c r="AJ99" s="21"/>
      <c r="BZ99" s="67"/>
    </row>
    <row r="100" spans="1:78" ht="15" thickBot="1" x14ac:dyDescent="0.35">
      <c r="A100" s="192"/>
      <c r="B100" s="66" t="s">
        <v>63</v>
      </c>
      <c r="C100" s="65">
        <v>11</v>
      </c>
      <c r="D100" s="64"/>
      <c r="E100" s="58"/>
      <c r="F100" s="56" t="e">
        <f>AVERAGE(F97:F99)</f>
        <v>#DIV/0!</v>
      </c>
      <c r="G100" s="55" t="e">
        <f>_xlfn.STDEV.S(F97:F99)</f>
        <v>#DIV/0!</v>
      </c>
      <c r="H100" s="60" t="e">
        <f>AVERAGE(H97:H99)</f>
        <v>#DIV/0!</v>
      </c>
      <c r="I100" s="56">
        <f>AVERAGE(I97:I99)</f>
        <v>0</v>
      </c>
      <c r="J100" s="63">
        <f>_xlfn.STDEV.S(I97:I99)</f>
        <v>0</v>
      </c>
      <c r="K100" s="63"/>
      <c r="L100" s="62" t="e">
        <f>_xlfn.STDEV.S(K97:K99)</f>
        <v>#DIV/0!</v>
      </c>
      <c r="M100" s="59" t="e">
        <f>AVERAGE(M97:M99)</f>
        <v>#DIV/0!</v>
      </c>
      <c r="N100" s="58" t="e">
        <f>_xlfn.STDEV.S(M97:M99)</f>
        <v>#DIV/0!</v>
      </c>
      <c r="O100" s="58" t="e">
        <f>AVERAGE(O97:O99)</f>
        <v>#DIV/0!</v>
      </c>
      <c r="P100" s="58" t="e">
        <f>_xlfn.STDEV.S(O97:O99)</f>
        <v>#DIV/0!</v>
      </c>
      <c r="Q100" s="58" t="e">
        <f>AVERAGE(Q97:Q99)</f>
        <v>#DIV/0!</v>
      </c>
      <c r="R100" s="58" t="e">
        <f>_xlfn.STDEV.S(Q97:Q99)</f>
        <v>#DIV/0!</v>
      </c>
      <c r="S100" s="58" t="e">
        <f>AVERAGE(S97:S99)</f>
        <v>#DIV/0!</v>
      </c>
      <c r="T100" s="58" t="e">
        <f>_xlfn.STDEV.S(S97:S99)</f>
        <v>#DIV/0!</v>
      </c>
      <c r="U100" s="58" t="e">
        <f>AVERAGE(U97:U99)</f>
        <v>#DIV/0!</v>
      </c>
      <c r="V100" s="58" t="e">
        <f>_xlfn.STDEV.S(U97:U99)</f>
        <v>#DIV/0!</v>
      </c>
      <c r="W100" s="58" t="e">
        <f>AVERAGE(W97:W99)</f>
        <v>#DIV/0!</v>
      </c>
      <c r="X100" s="58" t="e">
        <f>_xlfn.STDEV.S(W97:W99)</f>
        <v>#DIV/0!</v>
      </c>
      <c r="Y100" s="59" t="e">
        <f>AVERAGE(Y97:Y99)</f>
        <v>#DIV/0!</v>
      </c>
      <c r="Z100" s="58" t="e">
        <f>_xlfn.STDEV.S(Y97:Y99)</f>
        <v>#DIV/0!</v>
      </c>
      <c r="AA100" s="58" t="e">
        <f>AVERAGE(AA97:AA99)</f>
        <v>#DIV/0!</v>
      </c>
      <c r="AB100" s="58" t="e">
        <f>_xlfn.STDEV.S(AA97:AA99)</f>
        <v>#DIV/0!</v>
      </c>
      <c r="AC100" s="58" t="e">
        <f>AVERAGE(AC97:AC99)</f>
        <v>#DIV/0!</v>
      </c>
      <c r="AD100" s="58" t="e">
        <f>_xlfn.STDEV.S(AC97:AC99)</f>
        <v>#DIV/0!</v>
      </c>
      <c r="AE100" s="58" t="e">
        <f>AVERAGE(AE97:AE99)</f>
        <v>#DIV/0!</v>
      </c>
      <c r="AF100" s="58" t="e">
        <f>_xlfn.STDEV.S(AE97:AE99)</f>
        <v>#DIV/0!</v>
      </c>
      <c r="AG100" s="58" t="e">
        <f>AVERAGE(AG97:AG99)</f>
        <v>#DIV/0!</v>
      </c>
      <c r="AH100" s="58" t="e">
        <f>_xlfn.STDEV.S(AG97:AG99)</f>
        <v>#DIV/0!</v>
      </c>
      <c r="AI100" s="58" t="e">
        <f>AVERAGE(AI97:AI99)</f>
        <v>#DIV/0!</v>
      </c>
      <c r="AJ100" s="58" t="e">
        <f>_xlfn.STDEV.S(AI97:AI99)</f>
        <v>#DIV/0!</v>
      </c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57"/>
      <c r="BI100" s="57"/>
      <c r="BJ100" s="57"/>
      <c r="BK100" s="57"/>
      <c r="BL100" s="57"/>
      <c r="BM100" s="57"/>
      <c r="BN100" s="57"/>
      <c r="BO100" s="59" t="e">
        <f>AVERAGE(BO97:BO99)</f>
        <v>#DIV/0!</v>
      </c>
      <c r="BP100" s="58" t="e">
        <f>_xlfn.STDEV.S(BO97:BO99)</f>
        <v>#DIV/0!</v>
      </c>
      <c r="BQ100" s="57" t="e">
        <f>AVERAGE(BQ97:BQ99)</f>
        <v>#DIV/0!</v>
      </c>
      <c r="BR100" s="57" t="e">
        <f>_xlfn.STDEV.S(BQ97:BQ99)</f>
        <v>#DIV/0!</v>
      </c>
      <c r="BS100" s="57" t="e">
        <f>AVERAGE(BS97:BS99)</f>
        <v>#DIV/0!</v>
      </c>
      <c r="BT100" s="57" t="e">
        <f>_xlfn.STDEV.S(BS97:BS99)</f>
        <v>#DIV/0!</v>
      </c>
      <c r="BU100" s="57" t="e">
        <f>AVERAGE(BU97:BU99)</f>
        <v>#DIV/0!</v>
      </c>
      <c r="BV100" s="57" t="e">
        <f>_xlfn.STDEV.S(BU97:BU99)</f>
        <v>#DIV/0!</v>
      </c>
      <c r="BW100" s="56" t="e">
        <f>AVERAGE(BW97:BW99)</f>
        <v>#DIV/0!</v>
      </c>
      <c r="BX100" s="55" t="e">
        <f>BQ100*0.05</f>
        <v>#DIV/0!</v>
      </c>
      <c r="BY100" s="55" t="e">
        <f>BS100*0.05</f>
        <v>#DIV/0!</v>
      </c>
      <c r="BZ100" s="54" t="e">
        <f>BU100*0.05</f>
        <v>#DIV/0!</v>
      </c>
    </row>
    <row r="101" spans="1:78" x14ac:dyDescent="0.3">
      <c r="A101" s="191" t="s">
        <v>57</v>
      </c>
      <c r="B101" s="95" t="s">
        <v>104</v>
      </c>
      <c r="C101" s="94">
        <v>12</v>
      </c>
      <c r="D101" s="93"/>
      <c r="E101" s="88"/>
      <c r="F101" s="86">
        <v>1.28</v>
      </c>
      <c r="G101" s="85"/>
      <c r="H101" s="90">
        <v>0.26300000000000001</v>
      </c>
      <c r="I101" s="86">
        <f>H101*0.2907</f>
        <v>7.6454100000000011E-2</v>
      </c>
      <c r="J101" s="92"/>
      <c r="K101" s="92">
        <f>(I101-$I$5)/($AA$5/1000-AA101/1000)*0.05</f>
        <v>0.25659134979094134</v>
      </c>
      <c r="L101" s="91"/>
      <c r="M101" s="89">
        <v>2.5044955396581035</v>
      </c>
      <c r="N101" s="88"/>
      <c r="O101" s="88">
        <v>0</v>
      </c>
      <c r="P101" s="88"/>
      <c r="Q101" s="88">
        <v>0.14900486016529288</v>
      </c>
      <c r="R101" s="88"/>
      <c r="S101" s="88">
        <v>79.660295102707266</v>
      </c>
      <c r="T101" s="88"/>
      <c r="U101" s="88">
        <v>17.68620449746934</v>
      </c>
      <c r="V101" s="88"/>
      <c r="W101" s="88">
        <v>0</v>
      </c>
      <c r="X101" s="88"/>
      <c r="Y101" s="89">
        <v>0.14430879521356238</v>
      </c>
      <c r="Z101" s="88"/>
      <c r="AA101" s="88">
        <v>0</v>
      </c>
      <c r="AB101" s="88"/>
      <c r="AC101" s="88">
        <v>8.5856458959212793E-3</v>
      </c>
      <c r="AD101" s="88"/>
      <c r="AE101" s="88">
        <v>4.5900186407190962</v>
      </c>
      <c r="AF101" s="88"/>
      <c r="AG101" s="88">
        <v>1.0190774239825189</v>
      </c>
      <c r="AH101" s="88"/>
      <c r="AI101" s="88">
        <v>0</v>
      </c>
      <c r="AJ101" s="88"/>
      <c r="AK101" s="89">
        <f>8*(AG101-$AG$5)/(2*($AA$5-AA101)+2*($AI$5-AI101))</f>
        <v>0.74186078186290427</v>
      </c>
      <c r="AL101" s="89"/>
      <c r="AM101" s="89">
        <f>(AG101-$AG$5)/(($AA$5-AA101)+($AI$5-AI101))</f>
        <v>0.18546519546572607</v>
      </c>
      <c r="AN101" s="89"/>
      <c r="AO101" s="37">
        <f>8*(BW101-$BW$5)/(2*($AA$5-AA101)+2*($AI$5-AI101))</f>
        <v>0.24804891693822834</v>
      </c>
      <c r="AQ101" s="37">
        <f>(BW101-$BW$5)/(($AA$5-AA101)+($AI$5-AI101))</f>
        <v>6.2012229234557084E-2</v>
      </c>
      <c r="AS101" s="37">
        <f>14*(BX101-$BX$5)/(2*($AA$5-AA101)+2*($AI$5-AI101))</f>
        <v>1.4961376773048915E-3</v>
      </c>
      <c r="AU101" s="37">
        <f>(BX101-$BX$5)/(($AA$5-AA101)+($AI$5-AI101))</f>
        <v>2.137339539006988E-4</v>
      </c>
      <c r="AY101" s="90"/>
      <c r="AZ101" s="90"/>
      <c r="BA101" s="90"/>
      <c r="BB101" s="90"/>
      <c r="BC101" s="90"/>
      <c r="BD101" s="90"/>
      <c r="BE101" s="90"/>
      <c r="BF101" s="90"/>
      <c r="BG101" s="90">
        <v>410.25</v>
      </c>
      <c r="BH101" s="87"/>
      <c r="BI101" s="87">
        <v>1.74</v>
      </c>
      <c r="BJ101" s="87"/>
      <c r="BK101" s="87">
        <v>0</v>
      </c>
      <c r="BL101" s="87"/>
      <c r="BM101" s="87">
        <v>0</v>
      </c>
      <c r="BN101" s="87"/>
      <c r="BO101" s="89">
        <f>(BG101/1000)/60.2*1000</f>
        <v>6.8147840531561457</v>
      </c>
      <c r="BP101" s="88"/>
      <c r="BQ101" s="87">
        <f>BI101/74.08</f>
        <v>2.3488120950323974E-2</v>
      </c>
      <c r="BR101" s="87"/>
      <c r="BS101" s="87">
        <f>(BK101/1000)/88.12*1000</f>
        <v>0</v>
      </c>
      <c r="BT101" s="87"/>
      <c r="BU101" s="87">
        <f>BM101/88.12</f>
        <v>0</v>
      </c>
      <c r="BV101" s="87"/>
      <c r="BW101" s="86">
        <f>BO101*0.05</f>
        <v>0.34073920265780733</v>
      </c>
      <c r="BX101" s="85">
        <f>BQ101*0.05</f>
        <v>1.1744060475161987E-3</v>
      </c>
      <c r="BY101" s="85">
        <f>BS101*0.05</f>
        <v>0</v>
      </c>
      <c r="BZ101" s="84">
        <f>BU101*0.05</f>
        <v>0</v>
      </c>
    </row>
    <row r="102" spans="1:78" x14ac:dyDescent="0.3">
      <c r="A102" s="192"/>
      <c r="B102" s="70" t="s">
        <v>103</v>
      </c>
      <c r="C102" s="20">
        <v>12</v>
      </c>
      <c r="D102" s="69"/>
      <c r="E102" s="21"/>
      <c r="F102" s="52">
        <v>1.23</v>
      </c>
      <c r="H102" s="37">
        <v>0.27600000000000002</v>
      </c>
      <c r="I102" s="52">
        <f>H102*0.2907</f>
        <v>8.0233200000000005E-2</v>
      </c>
      <c r="K102" s="53">
        <f>(I102-$I$6)/($AA$6/1000-AA102/1000)*0.05</f>
        <v>0.29649083678301641</v>
      </c>
      <c r="L102" s="68"/>
      <c r="M102" s="22">
        <v>2.2976181959310766</v>
      </c>
      <c r="O102" s="21">
        <v>0</v>
      </c>
      <c r="Q102" s="21">
        <v>9.5082749789949988E-2</v>
      </c>
      <c r="S102" s="21">
        <v>78.861349580187905</v>
      </c>
      <c r="U102" s="21">
        <v>18.745949474091056</v>
      </c>
      <c r="W102" s="21">
        <v>0</v>
      </c>
      <c r="Y102" s="22">
        <v>0.1272171148753784</v>
      </c>
      <c r="AA102" s="21">
        <v>0</v>
      </c>
      <c r="AC102" s="21">
        <v>5.2646488977656884E-3</v>
      </c>
      <c r="AE102" s="21">
        <v>4.3664841210506733</v>
      </c>
      <c r="AG102" s="21">
        <v>1.0379468668540348</v>
      </c>
      <c r="AI102" s="21">
        <v>0</v>
      </c>
      <c r="AJ102" s="21"/>
      <c r="AK102" s="22">
        <f>8*(AG102-$AG$6)/(2*($AA$6-AA102)+2*($AI$6-AI102))</f>
        <v>0.76297160340492287</v>
      </c>
      <c r="AL102" s="22"/>
      <c r="AM102" s="22">
        <f>(AG102-$AG$6)/(($AA$6-AA102)+($AI$6-AI102))</f>
        <v>0.19074290085123072</v>
      </c>
      <c r="AN102" s="22"/>
      <c r="AO102" s="37">
        <f>8*(BW102-$BW$6)/(2*($AA$6-AA102)+2*($AI$6-AI102))</f>
        <v>0.23353980454898071</v>
      </c>
      <c r="AQ102" s="37">
        <f>(BW102-$BW$6)/(($AA$6-AA102)+($AI$6-AI102))</f>
        <v>5.8384951137245178E-2</v>
      </c>
      <c r="AS102" s="37">
        <f>14*(BX102-$BX$6)/(2*($AA$6-AA102)+2*($AI$6-AI102))</f>
        <v>9.7243001263557557E-4</v>
      </c>
      <c r="AU102" s="37">
        <f>(BX102-$BX$6)/(($AA$6-AA102)+($AI$6-AI102))</f>
        <v>1.3891857323365366E-4</v>
      </c>
      <c r="BG102" s="37">
        <v>382.52</v>
      </c>
      <c r="BI102" s="2">
        <v>1.1200000000000001</v>
      </c>
      <c r="BK102" s="2">
        <v>0</v>
      </c>
      <c r="BM102" s="2">
        <v>0</v>
      </c>
      <c r="BO102" s="22">
        <f>(BG102/1000)/60.2*1000</f>
        <v>6.3541528239202654</v>
      </c>
      <c r="BQ102" s="2">
        <f>BI102/74.08</f>
        <v>1.5118790496760261E-2</v>
      </c>
      <c r="BS102" s="2">
        <f>(BK102/1000)/88.12*1000</f>
        <v>0</v>
      </c>
      <c r="BU102" s="2">
        <f>BM102/88.12</f>
        <v>0</v>
      </c>
      <c r="BW102" s="52">
        <f>BO102*0.05</f>
        <v>0.3177076411960133</v>
      </c>
      <c r="BX102" s="51">
        <f>BQ102*0.05</f>
        <v>7.5593952483801307E-4</v>
      </c>
      <c r="BY102" s="51">
        <f>BS102*0.05</f>
        <v>0</v>
      </c>
      <c r="BZ102" s="67">
        <f>BU102*0.05</f>
        <v>0</v>
      </c>
    </row>
    <row r="103" spans="1:78" x14ac:dyDescent="0.3">
      <c r="A103" s="192"/>
      <c r="B103" s="70" t="s">
        <v>102</v>
      </c>
      <c r="C103" s="20">
        <v>12</v>
      </c>
      <c r="D103" s="69"/>
      <c r="E103" s="21"/>
      <c r="F103" s="52">
        <v>1.2549999999999999</v>
      </c>
      <c r="H103" s="37">
        <v>0.24399999999999999</v>
      </c>
      <c r="I103" s="52">
        <f>H103*0.2907</f>
        <v>7.0930800000000002E-2</v>
      </c>
      <c r="K103" s="53">
        <f>(I103-$I$7)/($AA$7/1000-AA103/1000)*0.05</f>
        <v>0.2508640354270511</v>
      </c>
      <c r="L103" s="68"/>
      <c r="M103" s="22">
        <v>2.5927481997597894</v>
      </c>
      <c r="O103" s="21">
        <v>0</v>
      </c>
      <c r="Q103" s="21">
        <v>0.15757441979760292</v>
      </c>
      <c r="S103" s="21">
        <v>79.328742427880059</v>
      </c>
      <c r="U103" s="21">
        <v>17.920934952562543</v>
      </c>
      <c r="W103" s="21">
        <v>0</v>
      </c>
      <c r="Y103" s="22">
        <v>0.14647605540057249</v>
      </c>
      <c r="AA103" s="21">
        <v>0</v>
      </c>
      <c r="AC103" s="21">
        <v>8.9020906257403342E-3</v>
      </c>
      <c r="AE103" s="21">
        <v>4.4816389311543796</v>
      </c>
      <c r="AG103" s="21">
        <v>1.0124345515637825</v>
      </c>
      <c r="AI103" s="21">
        <v>0</v>
      </c>
      <c r="AJ103" s="21"/>
      <c r="AK103" s="22">
        <f>8*(AG103-$AG$7)/(2*($AA$7-AA103)+2*($AI$7-AI103))</f>
        <v>0.73574397106387068</v>
      </c>
      <c r="AL103" s="22"/>
      <c r="AM103" s="22">
        <f>(AG103-$AG$7)/(($AA$7-AA103)+($AI$7-AI103))</f>
        <v>0.18393599276596767</v>
      </c>
      <c r="AN103" s="22"/>
      <c r="AO103" s="37">
        <f>8*(BW103-$BW$7)/(2*($AA$7-AA103)+2*($AI$7-AI103))</f>
        <v>0.24234856347836631</v>
      </c>
      <c r="AQ103" s="37">
        <f>(BW103-$BW$7)/(($AA$7-AA103)+($AI$7-AI103))</f>
        <v>6.0587140869591577E-2</v>
      </c>
      <c r="AS103" s="37">
        <f>14*(BX103-$BX$7)/(2*($AA$7-AA103)+2*($AI$7-AI103))</f>
        <v>7.7251930804819719E-5</v>
      </c>
      <c r="AU103" s="37">
        <f>(BX103-$BX$7)/(($AA$7-AA103)+($AI$7-AI103))</f>
        <v>1.1035990114974247E-5</v>
      </c>
      <c r="BG103" s="37">
        <v>401.52</v>
      </c>
      <c r="BI103" s="2">
        <v>0.09</v>
      </c>
      <c r="BK103" s="2">
        <v>0</v>
      </c>
      <c r="BM103" s="2">
        <v>0</v>
      </c>
      <c r="BO103" s="22">
        <f>(BG103/1000)/60.2*1000</f>
        <v>6.6697674418604649</v>
      </c>
      <c r="BQ103" s="2">
        <f>BI103/74.08</f>
        <v>1.214902807775378E-3</v>
      </c>
      <c r="BS103" s="2">
        <f>(BK103/1000)/88.12*1000</f>
        <v>0</v>
      </c>
      <c r="BU103" s="2">
        <f>BM103/88.12</f>
        <v>0</v>
      </c>
      <c r="BW103" s="52">
        <f>BO103*0.05</f>
        <v>0.33348837209302329</v>
      </c>
      <c r="BX103" s="51">
        <f>BQ103*0.05</f>
        <v>6.0745140388768904E-5</v>
      </c>
      <c r="BY103" s="51">
        <f>BS103*0.05</f>
        <v>0</v>
      </c>
      <c r="BZ103" s="67">
        <f>BU103*0.05</f>
        <v>0</v>
      </c>
    </row>
    <row r="104" spans="1:78" x14ac:dyDescent="0.3">
      <c r="A104" s="192"/>
      <c r="B104" s="83" t="s">
        <v>63</v>
      </c>
      <c r="C104" s="80">
        <v>12</v>
      </c>
      <c r="D104" s="79"/>
      <c r="E104" s="76"/>
      <c r="F104" s="74">
        <f>AVERAGE(F101:F103)</f>
        <v>1.2549999999999999</v>
      </c>
      <c r="G104" s="73">
        <f>_xlfn.STDEV.S(F101:F103)</f>
        <v>2.5000000000000022E-2</v>
      </c>
      <c r="H104" s="78">
        <f>AVERAGE(H101:H103)</f>
        <v>0.26100000000000001</v>
      </c>
      <c r="I104" s="74">
        <f>AVERAGE(I101:I103)</f>
        <v>7.5872700000000015E-2</v>
      </c>
      <c r="J104" s="82">
        <f>_xlfn.STDEV.S(I101:I103)</f>
        <v>4.6783737462926167E-3</v>
      </c>
      <c r="K104" s="82">
        <f>AVERAGE(K101:K103)</f>
        <v>0.26798207400033625</v>
      </c>
      <c r="L104" s="81">
        <f>_xlfn.STDEV.S(K101:K103)</f>
        <v>2.4854832508086865E-2</v>
      </c>
      <c r="M104" s="77">
        <f>AVERAGE(M101:M103)</f>
        <v>2.4649539784496564</v>
      </c>
      <c r="N104" s="76">
        <f>_xlfn.STDEV.S(M101:M103)</f>
        <v>0.15148624058667845</v>
      </c>
      <c r="O104" s="76">
        <f>AVERAGE(O101:O103)</f>
        <v>0</v>
      </c>
      <c r="P104" s="76">
        <f>_xlfn.STDEV.S(O101:O103)</f>
        <v>0</v>
      </c>
      <c r="Q104" s="76">
        <f>AVERAGE(Q101:Q103)</f>
        <v>0.13388734325094861</v>
      </c>
      <c r="R104" s="76">
        <f>_xlfn.STDEV.S(Q101:Q103)</f>
        <v>3.3877820079337394E-2</v>
      </c>
      <c r="S104" s="76">
        <f>AVERAGE(S101:S103)</f>
        <v>79.283462370258405</v>
      </c>
      <c r="T104" s="76">
        <f>_xlfn.STDEV.S(S101:S103)</f>
        <v>0.40139282467689741</v>
      </c>
      <c r="U104" s="76">
        <f>AVERAGE(U101:U103)</f>
        <v>18.11769630804098</v>
      </c>
      <c r="V104" s="76">
        <f>_xlfn.STDEV.S(U101:U103)</f>
        <v>0.55659781451782908</v>
      </c>
      <c r="W104" s="76">
        <f>AVERAGE(W101:W103)</f>
        <v>0</v>
      </c>
      <c r="X104" s="76">
        <f>_xlfn.STDEV.S(W101:W103)</f>
        <v>0</v>
      </c>
      <c r="Y104" s="77">
        <f>AVERAGE(Y101:Y103)</f>
        <v>0.13933398849650444</v>
      </c>
      <c r="Z104" s="76">
        <f>_xlfn.STDEV.S(Y101:Y103)</f>
        <v>1.0549323387891021E-2</v>
      </c>
      <c r="AA104" s="76">
        <f>AVERAGE(AA101:AA103)</f>
        <v>0</v>
      </c>
      <c r="AB104" s="76">
        <f>_xlfn.STDEV.S(AA101:AA103)</f>
        <v>0</v>
      </c>
      <c r="AC104" s="76">
        <f>AVERAGE(AC101:AC103)</f>
        <v>7.584128473142434E-3</v>
      </c>
      <c r="AD104" s="76">
        <f>_xlfn.STDEV.S(AC101:AC103)</f>
        <v>2.0149499850368444E-3</v>
      </c>
      <c r="AE104" s="76">
        <f>AVERAGE(AE101:AE103)</f>
        <v>4.4793805643080491</v>
      </c>
      <c r="AF104" s="76">
        <f>_xlfn.STDEV.S(AE101:AE103)</f>
        <v>0.11178437071638227</v>
      </c>
      <c r="AG104" s="76">
        <f>AVERAGE(AG101:AG103)</f>
        <v>1.0231529474667787</v>
      </c>
      <c r="AH104" s="76">
        <f>_xlfn.STDEV.S(AG101:AG103)</f>
        <v>1.3235443952522932E-2</v>
      </c>
      <c r="AI104" s="76">
        <f>AVERAGE(AI101:AI103)</f>
        <v>0</v>
      </c>
      <c r="AJ104" s="76">
        <f>_xlfn.STDEV.S(AI101:AI103)</f>
        <v>0</v>
      </c>
      <c r="AK104" s="77">
        <f>AVERAGE(AK101:AK103)</f>
        <v>0.74685878544389928</v>
      </c>
      <c r="AL104" s="77">
        <f>_xlfn.STDEV.S(AK101:AK103)</f>
        <v>1.4285342858034837E-2</v>
      </c>
      <c r="AM104" s="77">
        <f>AVERAGE(AM101:AM103)</f>
        <v>0.18671469636097482</v>
      </c>
      <c r="AN104" s="77">
        <f>_xlfn.STDEV.S(AM101:AM103)</f>
        <v>3.5713357145087093E-3</v>
      </c>
      <c r="AO104" s="78">
        <f>AVERAGE(AO101:AO103)</f>
        <v>0.24131242832185848</v>
      </c>
      <c r="AP104" s="78">
        <f>_xlfn.STDEV.S(AO101:AO103)</f>
        <v>7.3098404652816055E-3</v>
      </c>
      <c r="AQ104" s="78">
        <f>AVERAGE(AQ101:AQ103)</f>
        <v>6.032810708046462E-2</v>
      </c>
      <c r="AR104" s="78">
        <f>_xlfn.STDEV.S(AQ101:AQ103)</f>
        <v>1.8274601163204014E-3</v>
      </c>
      <c r="AS104" s="78">
        <f>AVERAGE(AS101:AS103)</f>
        <v>8.4860654024842901E-4</v>
      </c>
      <c r="AT104" s="78">
        <f>_xlfn.STDEV.S(AS101:AS103)</f>
        <v>7.1750148406869122E-4</v>
      </c>
      <c r="AU104" s="78">
        <f>AVERAGE(AU101:AU103)</f>
        <v>1.2122950574977556E-4</v>
      </c>
      <c r="AV104" s="80">
        <f>_xlfn.STDEV.S(AU101:AU103)</f>
        <v>1.0250021200981304E-4</v>
      </c>
      <c r="AW104" s="80"/>
      <c r="AX104" s="80"/>
      <c r="AY104" s="79">
        <f>SUM(AK104,AO104,AS104)</f>
        <v>0.98901982030600621</v>
      </c>
      <c r="AZ104" s="77">
        <f>SUM(AL104,AP104,AT104)</f>
        <v>2.2312684807385134E-2</v>
      </c>
      <c r="BA104" s="78"/>
      <c r="BB104" s="78"/>
      <c r="BC104" s="78"/>
      <c r="BD104" s="78"/>
      <c r="BE104" s="78"/>
      <c r="BF104" s="78"/>
      <c r="BG104" s="78"/>
      <c r="BH104" s="75"/>
      <c r="BI104" s="75"/>
      <c r="BJ104" s="75"/>
      <c r="BK104" s="75"/>
      <c r="BL104" s="75"/>
      <c r="BM104" s="75"/>
      <c r="BN104" s="75"/>
      <c r="BO104" s="77">
        <f>AVERAGE(BO101:BO103)</f>
        <v>6.6129014396456256</v>
      </c>
      <c r="BP104" s="76">
        <f>_xlfn.STDEV.S(BO101:BO103)</f>
        <v>0.23552195012941601</v>
      </c>
      <c r="BQ104" s="75">
        <f>AVERAGE(BQ101:BQ103)</f>
        <v>1.3273938084953205E-2</v>
      </c>
      <c r="BR104" s="75">
        <f>_xlfn.STDEV.S(BQ101:BQ103)</f>
        <v>1.1250629845586498E-2</v>
      </c>
      <c r="BS104" s="75">
        <f>AVERAGE(BS101:BS103)</f>
        <v>0</v>
      </c>
      <c r="BT104" s="75">
        <f>_xlfn.STDEV.S(BS101:BS103)</f>
        <v>0</v>
      </c>
      <c r="BU104" s="75">
        <f>AVERAGE(BU101:BU103)</f>
        <v>0</v>
      </c>
      <c r="BV104" s="75">
        <f>_xlfn.STDEV.S(BU101:BU103)</f>
        <v>0</v>
      </c>
      <c r="BW104" s="74">
        <f>AVERAGE(BW101:BW103)</f>
        <v>0.33064507198228132</v>
      </c>
      <c r="BX104" s="73">
        <f>BQ104*0.05</f>
        <v>6.6369690424766033E-4</v>
      </c>
      <c r="BY104" s="73">
        <f>BS104*0.05</f>
        <v>0</v>
      </c>
      <c r="BZ104" s="72">
        <f>BU104*0.05</f>
        <v>0</v>
      </c>
    </row>
    <row r="105" spans="1:78" x14ac:dyDescent="0.3">
      <c r="A105" s="191" t="s">
        <v>58</v>
      </c>
      <c r="B105" s="70" t="s">
        <v>101</v>
      </c>
      <c r="C105" s="20">
        <v>12</v>
      </c>
      <c r="D105" s="69"/>
      <c r="E105" s="21"/>
      <c r="F105" s="52"/>
      <c r="I105" s="52">
        <f>H105*0.2907</f>
        <v>0</v>
      </c>
      <c r="L105" s="68"/>
      <c r="AJ105" s="21"/>
      <c r="BZ105" s="67"/>
    </row>
    <row r="106" spans="1:78" x14ac:dyDescent="0.3">
      <c r="A106" s="192"/>
      <c r="B106" s="70" t="s">
        <v>100</v>
      </c>
      <c r="C106" s="20">
        <v>12</v>
      </c>
      <c r="D106" s="69"/>
      <c r="E106" s="21"/>
      <c r="F106" s="52"/>
      <c r="I106" s="52">
        <f>H106*0.2907</f>
        <v>0</v>
      </c>
      <c r="L106" s="68"/>
      <c r="AJ106" s="21"/>
      <c r="BZ106" s="67"/>
    </row>
    <row r="107" spans="1:78" x14ac:dyDescent="0.3">
      <c r="A107" s="192"/>
      <c r="B107" s="70" t="s">
        <v>99</v>
      </c>
      <c r="C107" s="20">
        <v>12</v>
      </c>
      <c r="D107" s="69"/>
      <c r="E107" s="21"/>
      <c r="F107" s="52"/>
      <c r="G107" s="67"/>
      <c r="I107" s="52">
        <f>H107*0.2907</f>
        <v>0</v>
      </c>
      <c r="L107" s="68"/>
      <c r="AJ107" s="21"/>
      <c r="BZ107" s="67"/>
    </row>
    <row r="108" spans="1:78" ht="15" thickBot="1" x14ac:dyDescent="0.35">
      <c r="A108" s="192"/>
      <c r="B108" s="66" t="s">
        <v>63</v>
      </c>
      <c r="C108" s="65">
        <v>12</v>
      </c>
      <c r="D108" s="64"/>
      <c r="E108" s="58"/>
      <c r="F108" s="56" t="e">
        <f>AVERAGE(F105:F107)</f>
        <v>#DIV/0!</v>
      </c>
      <c r="G108" s="55" t="e">
        <f>_xlfn.STDEV.S(F105:F107)</f>
        <v>#DIV/0!</v>
      </c>
      <c r="H108" s="60" t="e">
        <f>AVERAGE(H105:H107)</f>
        <v>#DIV/0!</v>
      </c>
      <c r="I108" s="56">
        <f>AVERAGE(I105:I107)</f>
        <v>0</v>
      </c>
      <c r="J108" s="63">
        <f>_xlfn.STDEV.S(I105:I107)</f>
        <v>0</v>
      </c>
      <c r="K108" s="63"/>
      <c r="L108" s="62" t="e">
        <f>_xlfn.STDEV.S(K105:K107)</f>
        <v>#DIV/0!</v>
      </c>
      <c r="M108" s="59" t="e">
        <f>AVERAGE(M105:M107)</f>
        <v>#DIV/0!</v>
      </c>
      <c r="N108" s="58" t="e">
        <f>_xlfn.STDEV.S(M105:M107)</f>
        <v>#DIV/0!</v>
      </c>
      <c r="O108" s="58" t="e">
        <f>AVERAGE(O105:O107)</f>
        <v>#DIV/0!</v>
      </c>
      <c r="P108" s="58" t="e">
        <f>_xlfn.STDEV.S(O105:O107)</f>
        <v>#DIV/0!</v>
      </c>
      <c r="Q108" s="58" t="e">
        <f>AVERAGE(Q105:Q107)</f>
        <v>#DIV/0!</v>
      </c>
      <c r="R108" s="58" t="e">
        <f>_xlfn.STDEV.S(Q105:Q107)</f>
        <v>#DIV/0!</v>
      </c>
      <c r="S108" s="58" t="e">
        <f>AVERAGE(S105:S107)</f>
        <v>#DIV/0!</v>
      </c>
      <c r="T108" s="58" t="e">
        <f>_xlfn.STDEV.S(S105:S107)</f>
        <v>#DIV/0!</v>
      </c>
      <c r="U108" s="58" t="e">
        <f>AVERAGE(U105:U107)</f>
        <v>#DIV/0!</v>
      </c>
      <c r="V108" s="58" t="e">
        <f>_xlfn.STDEV.S(U105:U107)</f>
        <v>#DIV/0!</v>
      </c>
      <c r="W108" s="58" t="e">
        <f>AVERAGE(W105:W107)</f>
        <v>#DIV/0!</v>
      </c>
      <c r="X108" s="58" t="e">
        <f>_xlfn.STDEV.S(W105:W107)</f>
        <v>#DIV/0!</v>
      </c>
      <c r="Y108" s="59" t="e">
        <f>AVERAGE(Y105:Y107)</f>
        <v>#DIV/0!</v>
      </c>
      <c r="Z108" s="58" t="e">
        <f>_xlfn.STDEV.S(Y105:Y107)</f>
        <v>#DIV/0!</v>
      </c>
      <c r="AA108" s="58" t="e">
        <f>AVERAGE(AA105:AA107)</f>
        <v>#DIV/0!</v>
      </c>
      <c r="AB108" s="58" t="e">
        <f>_xlfn.STDEV.S(AA105:AA107)</f>
        <v>#DIV/0!</v>
      </c>
      <c r="AC108" s="58" t="e">
        <f>AVERAGE(AC105:AC107)</f>
        <v>#DIV/0!</v>
      </c>
      <c r="AD108" s="58" t="e">
        <f>_xlfn.STDEV.S(AC105:AC107)</f>
        <v>#DIV/0!</v>
      </c>
      <c r="AE108" s="58" t="e">
        <f>AVERAGE(AE105:AE107)</f>
        <v>#DIV/0!</v>
      </c>
      <c r="AF108" s="58" t="e">
        <f>_xlfn.STDEV.S(AE105:AE107)</f>
        <v>#DIV/0!</v>
      </c>
      <c r="AG108" s="58" t="e">
        <f>AVERAGE(AG105:AG107)</f>
        <v>#DIV/0!</v>
      </c>
      <c r="AH108" s="58" t="e">
        <f>_xlfn.STDEV.S(AG105:AG107)</f>
        <v>#DIV/0!</v>
      </c>
      <c r="AI108" s="58" t="e">
        <f>AVERAGE(AI105:AI107)</f>
        <v>#DIV/0!</v>
      </c>
      <c r="AJ108" s="58" t="e">
        <f>_xlfn.STDEV.S(AI105:AI107)</f>
        <v>#DIV/0!</v>
      </c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57"/>
      <c r="BI108" s="57"/>
      <c r="BJ108" s="57"/>
      <c r="BK108" s="57"/>
      <c r="BL108" s="57"/>
      <c r="BM108" s="57"/>
      <c r="BN108" s="57"/>
      <c r="BO108" s="59" t="e">
        <f>AVERAGE(BO105:BO107)</f>
        <v>#DIV/0!</v>
      </c>
      <c r="BP108" s="58" t="e">
        <f>_xlfn.STDEV.S(BO105:BO107)</f>
        <v>#DIV/0!</v>
      </c>
      <c r="BQ108" s="57" t="e">
        <f>AVERAGE(BQ105:BQ107)</f>
        <v>#DIV/0!</v>
      </c>
      <c r="BR108" s="57" t="e">
        <f>_xlfn.STDEV.S(BQ105:BQ107)</f>
        <v>#DIV/0!</v>
      </c>
      <c r="BS108" s="57" t="e">
        <f>AVERAGE(BS105:BS107)</f>
        <v>#DIV/0!</v>
      </c>
      <c r="BT108" s="57" t="e">
        <f>_xlfn.STDEV.S(BS105:BS107)</f>
        <v>#DIV/0!</v>
      </c>
      <c r="BU108" s="57" t="e">
        <f>AVERAGE(BU105:BU107)</f>
        <v>#DIV/0!</v>
      </c>
      <c r="BV108" s="57" t="e">
        <f>_xlfn.STDEV.S(BU105:BU107)</f>
        <v>#DIV/0!</v>
      </c>
      <c r="BW108" s="56" t="e">
        <f>AVERAGE(BW105:BW107)</f>
        <v>#DIV/0!</v>
      </c>
      <c r="BX108" s="55" t="e">
        <f>BQ108*0.05</f>
        <v>#DIV/0!</v>
      </c>
      <c r="BY108" s="55" t="e">
        <f>BS108*0.05</f>
        <v>#DIV/0!</v>
      </c>
      <c r="BZ108" s="54" t="e">
        <f>BU108*0.05</f>
        <v>#DIV/0!</v>
      </c>
    </row>
    <row r="109" spans="1:78" x14ac:dyDescent="0.3">
      <c r="A109" s="191" t="s">
        <v>57</v>
      </c>
      <c r="B109" s="95" t="s">
        <v>104</v>
      </c>
      <c r="C109" s="94">
        <v>13</v>
      </c>
      <c r="D109" s="93"/>
      <c r="E109" s="88"/>
      <c r="F109" s="86">
        <v>1.35</v>
      </c>
      <c r="G109" s="85"/>
      <c r="H109" s="90">
        <v>0.25600000000000001</v>
      </c>
      <c r="I109" s="86">
        <f>H109*0.2907</f>
        <v>7.4419200000000005E-2</v>
      </c>
      <c r="J109" s="92"/>
      <c r="K109" s="92">
        <f>(I109-$I$5)/($AA$5/1000-AA109/1000)*0.05</f>
        <v>0.23807444825963625</v>
      </c>
      <c r="L109" s="91"/>
      <c r="M109" s="89">
        <v>2.4654573355844787</v>
      </c>
      <c r="N109" s="88"/>
      <c r="O109" s="88">
        <v>0</v>
      </c>
      <c r="P109" s="88"/>
      <c r="Q109" s="88">
        <v>0.23315676668816859</v>
      </c>
      <c r="R109" s="88"/>
      <c r="S109" s="88">
        <v>79.146354335237746</v>
      </c>
      <c r="T109" s="88"/>
      <c r="U109" s="88">
        <v>18.155031562489608</v>
      </c>
      <c r="V109" s="88"/>
      <c r="W109" s="88">
        <v>0</v>
      </c>
      <c r="X109" s="88"/>
      <c r="Y109" s="89">
        <v>0.14982829200126663</v>
      </c>
      <c r="Z109" s="88"/>
      <c r="AA109" s="88">
        <v>0</v>
      </c>
      <c r="AB109" s="88"/>
      <c r="AC109" s="88">
        <v>1.4169168379928399E-2</v>
      </c>
      <c r="AD109" s="88"/>
      <c r="AE109" s="88">
        <v>4.8098025940345419</v>
      </c>
      <c r="AF109" s="88"/>
      <c r="AG109" s="88">
        <v>1.1032993071819068</v>
      </c>
      <c r="AH109" s="88"/>
      <c r="AI109" s="88">
        <v>0</v>
      </c>
      <c r="AJ109" s="88"/>
      <c r="AK109" s="89">
        <f>8*(AG109-$AG$5)/(2*($AA$5-AA109)+2*($AI$5-AI109))</f>
        <v>0.80317203324564113</v>
      </c>
      <c r="AL109" s="89"/>
      <c r="AM109" s="89">
        <f>(AG109-$AG$5)/(($AA$5-AA109)+($AI$5-AI109))</f>
        <v>0.20079300831141028</v>
      </c>
      <c r="AN109" s="89"/>
      <c r="AO109" s="37">
        <f>8*(BW109-$BW$5)/(2*($AA$5-AA109)+2*($AI$5-AI109))</f>
        <v>0.12347726951157828</v>
      </c>
      <c r="AQ109" s="37">
        <f>(BW109-$BW$5)/(($AA$5-AA109)+($AI$5-AI109))</f>
        <v>3.086931737789457E-2</v>
      </c>
      <c r="AS109" s="37">
        <f>14*(BX109-$BX$5)/(2*($AA$5-AA109)+2*($AI$5-AI109))</f>
        <v>0</v>
      </c>
      <c r="AU109" s="37">
        <f>(BX109-$BX$5)/(($AA$5-AA109)+($AI$5-AI109))</f>
        <v>0</v>
      </c>
      <c r="AY109" s="90"/>
      <c r="AZ109" s="90"/>
      <c r="BA109" s="90"/>
      <c r="BB109" s="90"/>
      <c r="BC109" s="90"/>
      <c r="BD109" s="90"/>
      <c r="BE109" s="90"/>
      <c r="BF109" s="90"/>
      <c r="BG109" s="90">
        <v>204.22</v>
      </c>
      <c r="BH109" s="87"/>
      <c r="BI109" s="87">
        <v>0</v>
      </c>
      <c r="BJ109" s="87"/>
      <c r="BK109" s="87">
        <v>0</v>
      </c>
      <c r="BL109" s="87"/>
      <c r="BM109" s="87">
        <v>0</v>
      </c>
      <c r="BN109" s="87"/>
      <c r="BO109" s="89">
        <f>(BG109/1000)/60.2*1000</f>
        <v>3.3923588039867107</v>
      </c>
      <c r="BP109" s="88"/>
      <c r="BQ109" s="87">
        <f>BI109/74.08</f>
        <v>0</v>
      </c>
      <c r="BR109" s="87"/>
      <c r="BS109" s="87">
        <f>(BK109/1000)/88.12*1000</f>
        <v>0</v>
      </c>
      <c r="BT109" s="87"/>
      <c r="BU109" s="87">
        <f>BM109/88.12</f>
        <v>0</v>
      </c>
      <c r="BV109" s="87"/>
      <c r="BW109" s="86">
        <f>BO109*0.05</f>
        <v>0.16961794019933554</v>
      </c>
      <c r="BX109" s="85">
        <f>BQ109*0.05</f>
        <v>0</v>
      </c>
      <c r="BY109" s="85">
        <f>BS109*0.05</f>
        <v>0</v>
      </c>
      <c r="BZ109" s="84">
        <f>BU109*0.05</f>
        <v>0</v>
      </c>
    </row>
    <row r="110" spans="1:78" x14ac:dyDescent="0.3">
      <c r="A110" s="192"/>
      <c r="B110" s="70" t="s">
        <v>103</v>
      </c>
      <c r="C110" s="20">
        <v>13</v>
      </c>
      <c r="D110" s="69"/>
      <c r="E110" s="21"/>
      <c r="F110" s="52">
        <v>1.35</v>
      </c>
      <c r="H110" s="37">
        <v>0.26400000000000001</v>
      </c>
      <c r="I110" s="52">
        <f>H110*0.2907</f>
        <v>7.6744800000000002E-2</v>
      </c>
      <c r="K110" s="53">
        <f>(I110-$I$6)/($AA$6/1000-AA110/1000)*0.05</f>
        <v>0.26443777334701463</v>
      </c>
      <c r="L110" s="68"/>
      <c r="M110" s="22">
        <v>2.1968171582414344</v>
      </c>
      <c r="O110" s="21">
        <v>0</v>
      </c>
      <c r="Q110" s="21">
        <v>0.20382650915852399</v>
      </c>
      <c r="S110" s="21">
        <v>78.501401369037282</v>
      </c>
      <c r="U110" s="21">
        <v>19.09795496356276</v>
      </c>
      <c r="W110" s="21">
        <v>0</v>
      </c>
      <c r="Y110" s="22">
        <v>0.13350276149895768</v>
      </c>
      <c r="AA110" s="21">
        <v>0</v>
      </c>
      <c r="AC110" s="21">
        <v>1.2386739486839424E-2</v>
      </c>
      <c r="AE110" s="21">
        <v>4.7706081614429685</v>
      </c>
      <c r="AG110" s="21">
        <v>1.1606016991688777</v>
      </c>
      <c r="AI110" s="21">
        <v>0</v>
      </c>
      <c r="AJ110" s="21"/>
      <c r="AK110" s="22">
        <f>8*(AG110-$AG$6)/(2*($AA$6-AA110)+2*($AI$6-AI110))</f>
        <v>0.85313243635802039</v>
      </c>
      <c r="AL110" s="22"/>
      <c r="AM110" s="22">
        <f>(AG110-$AG$6)/(($AA$6-AA110)+($AI$6-AI110))</f>
        <v>0.2132831090895051</v>
      </c>
      <c r="AN110" s="22"/>
      <c r="AO110" s="37">
        <f>8*(BW110-$BW$6)/(2*($AA$6-AA110)+2*($AI$6-AI110))</f>
        <v>0.13345567781125611</v>
      </c>
      <c r="AQ110" s="37">
        <f>(BW110-$BW$6)/(($AA$6-AA110)+($AI$6-AI110))</f>
        <v>3.3363919452814028E-2</v>
      </c>
      <c r="AS110" s="37">
        <f>14*(BX110-$BX$6)/(2*($AA$6-AA110)+2*($AI$6-AI110))</f>
        <v>0</v>
      </c>
      <c r="AU110" s="37">
        <f>(BX110-$BX$6)/(($AA$6-AA110)+($AI$6-AI110))</f>
        <v>0</v>
      </c>
      <c r="BG110" s="37">
        <v>218.59</v>
      </c>
      <c r="BI110" s="2">
        <v>0</v>
      </c>
      <c r="BK110" s="2">
        <v>0</v>
      </c>
      <c r="BM110" s="2">
        <v>0</v>
      </c>
      <c r="BO110" s="22">
        <f>(BG110/1000)/60.2*1000</f>
        <v>3.6310631229235879</v>
      </c>
      <c r="BQ110" s="2">
        <f>BI110/74.08</f>
        <v>0</v>
      </c>
      <c r="BS110" s="2">
        <f>(BK110/1000)/88.12*1000</f>
        <v>0</v>
      </c>
      <c r="BU110" s="2">
        <f>BM110/88.12</f>
        <v>0</v>
      </c>
      <c r="BW110" s="52">
        <f>BO110*0.05</f>
        <v>0.1815531561461794</v>
      </c>
      <c r="BX110" s="51">
        <f>BQ110*0.05</f>
        <v>0</v>
      </c>
      <c r="BY110" s="51">
        <f>BS110*0.05</f>
        <v>0</v>
      </c>
      <c r="BZ110" s="67">
        <f>BU110*0.05</f>
        <v>0</v>
      </c>
    </row>
    <row r="111" spans="1:78" x14ac:dyDescent="0.3">
      <c r="A111" s="192"/>
      <c r="B111" s="70" t="s">
        <v>102</v>
      </c>
      <c r="C111" s="20">
        <v>13</v>
      </c>
      <c r="D111" s="69"/>
      <c r="E111" s="21"/>
      <c r="F111" s="52">
        <v>1.32</v>
      </c>
      <c r="H111" s="37">
        <v>0.246</v>
      </c>
      <c r="I111" s="52">
        <f>H111*0.2907</f>
        <v>7.1512199999999998E-2</v>
      </c>
      <c r="K111" s="53">
        <f>(I111-$I$7)/($AA$7/1000-AA111/1000)*0.05</f>
        <v>0.25614538354130478</v>
      </c>
      <c r="L111" s="68"/>
      <c r="M111" s="22">
        <v>2.5700831909020225</v>
      </c>
      <c r="O111" s="21">
        <v>0</v>
      </c>
      <c r="Q111" s="21">
        <v>0.15019911023245155</v>
      </c>
      <c r="S111" s="21">
        <v>79.043241976384664</v>
      </c>
      <c r="U111" s="21">
        <v>18.236475722480872</v>
      </c>
      <c r="W111" s="21">
        <v>0</v>
      </c>
      <c r="Y111" s="22">
        <v>0.15271569787157216</v>
      </c>
      <c r="AA111" s="21">
        <v>0</v>
      </c>
      <c r="AC111" s="21">
        <v>8.9249102986380616E-3</v>
      </c>
      <c r="AE111" s="21">
        <v>4.696791101232221</v>
      </c>
      <c r="AG111" s="21">
        <v>1.0836209997152655</v>
      </c>
      <c r="AI111" s="21">
        <v>0</v>
      </c>
      <c r="AJ111" s="21"/>
      <c r="AK111" s="22">
        <f>8*(AG111-$AG$7)/(2*($AA$7-AA111)+2*($AI$7-AI111))</f>
        <v>0.78747571013580109</v>
      </c>
      <c r="AL111" s="22"/>
      <c r="AM111" s="22">
        <f>(AG111-$AG$7)/(($AA$7-AA111)+($AI$7-AI111))</f>
        <v>0.19686892753395027</v>
      </c>
      <c r="AN111" s="22"/>
      <c r="AO111" s="37">
        <f>8*(BW111-$BW$7)/(2*($AA$7-AA111)+2*($AI$7-AI111))</f>
        <v>0.14464742288700558</v>
      </c>
      <c r="AQ111" s="37">
        <f>(BW111-$BW$7)/(($AA$7-AA111)+($AI$7-AI111))</f>
        <v>3.6161855721751394E-2</v>
      </c>
      <c r="AS111" s="37">
        <f>14*(BX111-$BX$7)/(2*($AA$7-AA111)+2*($AI$7-AI111))</f>
        <v>0</v>
      </c>
      <c r="AU111" s="37">
        <f>(BX111-$BX$7)/(($AA$7-AA111)+($AI$7-AI111))</f>
        <v>0</v>
      </c>
      <c r="BG111" s="37">
        <v>239.65</v>
      </c>
      <c r="BI111" s="2">
        <v>0</v>
      </c>
      <c r="BK111" s="2">
        <v>0</v>
      </c>
      <c r="BM111" s="2">
        <v>0</v>
      </c>
      <c r="BO111" s="22">
        <f>(BG111/1000)/60.2*1000</f>
        <v>3.9808970099667773</v>
      </c>
      <c r="BQ111" s="2">
        <f>BI111/74.08</f>
        <v>0</v>
      </c>
      <c r="BS111" s="2">
        <f>(BK111/1000)/88.12*1000</f>
        <v>0</v>
      </c>
      <c r="BU111" s="2">
        <f>BM111/88.12</f>
        <v>0</v>
      </c>
      <c r="BW111" s="52">
        <f>BO111*0.05</f>
        <v>0.19904485049833887</v>
      </c>
      <c r="BX111" s="51">
        <f>BQ111*0.05</f>
        <v>0</v>
      </c>
      <c r="BY111" s="51">
        <f>BS111*0.05</f>
        <v>0</v>
      </c>
      <c r="BZ111" s="67">
        <f>BU111*0.05</f>
        <v>0</v>
      </c>
    </row>
    <row r="112" spans="1:78" x14ac:dyDescent="0.3">
      <c r="A112" s="192"/>
      <c r="B112" s="83" t="s">
        <v>63</v>
      </c>
      <c r="C112" s="80">
        <v>13</v>
      </c>
      <c r="D112" s="79"/>
      <c r="E112" s="76"/>
      <c r="F112" s="74">
        <f>AVERAGE(F109:F111)</f>
        <v>1.34</v>
      </c>
      <c r="G112" s="73">
        <f>_xlfn.STDEV.S(F109:F111)</f>
        <v>1.732050807568879E-2</v>
      </c>
      <c r="H112" s="78">
        <f>AVERAGE(H109:H111)</f>
        <v>0.25533333333333336</v>
      </c>
      <c r="I112" s="74">
        <f>AVERAGE(I109:I111)</f>
        <v>7.4225400000000011E-2</v>
      </c>
      <c r="J112" s="82">
        <f>_xlfn.STDEV.S(I109:I111)</f>
        <v>2.6216778062912328E-3</v>
      </c>
      <c r="K112" s="82">
        <f>AVERAGE(K109:K111)</f>
        <v>0.25288586838265187</v>
      </c>
      <c r="L112" s="81">
        <f>_xlfn.STDEV.S(K109:K111)</f>
        <v>1.3480525090582136E-2</v>
      </c>
      <c r="M112" s="77">
        <f>AVERAGE(M109:M111)</f>
        <v>2.4107858949093122</v>
      </c>
      <c r="N112" s="76">
        <f>_xlfn.STDEV.S(M109:M111)</f>
        <v>0.19254507940653151</v>
      </c>
      <c r="O112" s="76">
        <f>AVERAGE(O109:O111)</f>
        <v>0</v>
      </c>
      <c r="P112" s="76">
        <f>_xlfn.STDEV.S(O109:O111)</f>
        <v>0</v>
      </c>
      <c r="Q112" s="76">
        <f>AVERAGE(Q109:Q111)</f>
        <v>0.19572746202638139</v>
      </c>
      <c r="R112" s="76">
        <f>_xlfn.STDEV.S(Q109:Q111)</f>
        <v>4.2067673033966163E-2</v>
      </c>
      <c r="S112" s="76">
        <f>AVERAGE(S109:S111)</f>
        <v>78.896999226886564</v>
      </c>
      <c r="T112" s="76">
        <f>_xlfn.STDEV.S(S109:S111)</f>
        <v>0.34645531961317483</v>
      </c>
      <c r="U112" s="76">
        <f>AVERAGE(U109:U111)</f>
        <v>18.496487416177747</v>
      </c>
      <c r="V112" s="76">
        <f>_xlfn.STDEV.S(U109:U111)</f>
        <v>0.52247554556857312</v>
      </c>
      <c r="W112" s="76">
        <f>AVERAGE(W109:W111)</f>
        <v>0</v>
      </c>
      <c r="X112" s="76">
        <f>_xlfn.STDEV.S(W109:W111)</f>
        <v>0</v>
      </c>
      <c r="Y112" s="77">
        <f>AVERAGE(Y109:Y111)</f>
        <v>0.14534891712393216</v>
      </c>
      <c r="Z112" s="76">
        <f>_xlfn.STDEV.S(Y109:Y111)</f>
        <v>1.0360155910183232E-2</v>
      </c>
      <c r="AA112" s="76">
        <f>AVERAGE(AA109:AA111)</f>
        <v>0</v>
      </c>
      <c r="AB112" s="76">
        <f>_xlfn.STDEV.S(AA109:AA111)</f>
        <v>0</v>
      </c>
      <c r="AC112" s="76">
        <f>AVERAGE(AC109:AC111)</f>
        <v>1.1826939388468627E-2</v>
      </c>
      <c r="AD112" s="76">
        <f>_xlfn.STDEV.S(AC109:AC111)</f>
        <v>2.6665694850119162E-3</v>
      </c>
      <c r="AE112" s="76">
        <f>AVERAGE(AE109:AE111)</f>
        <v>4.7590672855699099</v>
      </c>
      <c r="AF112" s="76">
        <f>_xlfn.STDEV.S(AE109:AE111)</f>
        <v>5.7382865371905734E-2</v>
      </c>
      <c r="AG112" s="76">
        <f>AVERAGE(AG109:AG111)</f>
        <v>1.1158406686886833</v>
      </c>
      <c r="AH112" s="76">
        <f>_xlfn.STDEV.S(AG109:AG111)</f>
        <v>3.9993391121841408E-2</v>
      </c>
      <c r="AI112" s="76">
        <f>AVERAGE(AI109:AI111)</f>
        <v>0</v>
      </c>
      <c r="AJ112" s="76">
        <f>_xlfn.STDEV.S(AI109:AI111)</f>
        <v>0</v>
      </c>
      <c r="AK112" s="77">
        <f>AVERAGE(AK109:AK111)</f>
        <v>0.81459339324648761</v>
      </c>
      <c r="AL112" s="77">
        <f>_xlfn.STDEV.S(AK109:AK111)</f>
        <v>3.4286105389159695E-2</v>
      </c>
      <c r="AM112" s="77">
        <f>AVERAGE(AM109:AM111)</f>
        <v>0.2036483483116219</v>
      </c>
      <c r="AN112" s="77">
        <f>_xlfn.STDEV.S(AM109:AM111)</f>
        <v>8.5715263472899237E-3</v>
      </c>
      <c r="AO112" s="78">
        <f>AVERAGE(AO109:AO111)</f>
        <v>0.13386012340327999</v>
      </c>
      <c r="AP112" s="78">
        <f>_xlfn.STDEV.S(AO109:AO111)</f>
        <v>1.0590870156057038E-2</v>
      </c>
      <c r="AQ112" s="78">
        <f>AVERAGE(AQ109:AQ111)</f>
        <v>3.3465030850819998E-2</v>
      </c>
      <c r="AR112" s="78">
        <f>_xlfn.STDEV.S(AQ109:AQ111)</f>
        <v>2.6477175390142594E-3</v>
      </c>
      <c r="AS112" s="78">
        <f>AVERAGE(AS109:AS111)</f>
        <v>0</v>
      </c>
      <c r="AT112" s="78">
        <f>_xlfn.STDEV.S(AS109:AS111)</f>
        <v>0</v>
      </c>
      <c r="AU112" s="78">
        <f>AVERAGE(AU109:AU111)</f>
        <v>0</v>
      </c>
      <c r="AV112" s="80">
        <f>_xlfn.STDEV.S(AU109:AU111)</f>
        <v>0</v>
      </c>
      <c r="AW112" s="80"/>
      <c r="AX112" s="80"/>
      <c r="AY112" s="79">
        <f>SUM(AK112,AO112,AS112)</f>
        <v>0.94845351664976763</v>
      </c>
      <c r="AZ112" s="77">
        <f>SUM(AL112,AP112,AT112)</f>
        <v>4.4876975545216732E-2</v>
      </c>
      <c r="BA112" s="78"/>
      <c r="BB112" s="78"/>
      <c r="BC112" s="78"/>
      <c r="BD112" s="78"/>
      <c r="BE112" s="78"/>
      <c r="BF112" s="78"/>
      <c r="BG112" s="78"/>
      <c r="BH112" s="75"/>
      <c r="BI112" s="75"/>
      <c r="BJ112" s="75"/>
      <c r="BK112" s="75"/>
      <c r="BL112" s="75"/>
      <c r="BM112" s="75"/>
      <c r="BN112" s="75"/>
      <c r="BO112" s="77">
        <f>AVERAGE(BO109:BO111)</f>
        <v>3.668106312292359</v>
      </c>
      <c r="BP112" s="76">
        <f>_xlfn.STDEV.S(BO109:BO111)</f>
        <v>0.29601258990711321</v>
      </c>
      <c r="BQ112" s="75">
        <f>AVERAGE(BQ109:BQ111)</f>
        <v>0</v>
      </c>
      <c r="BR112" s="75">
        <f>_xlfn.STDEV.S(BQ109:BQ111)</f>
        <v>0</v>
      </c>
      <c r="BS112" s="75">
        <f>AVERAGE(BS109:BS111)</f>
        <v>0</v>
      </c>
      <c r="BT112" s="75">
        <f>_xlfn.STDEV.S(BS109:BS111)</f>
        <v>0</v>
      </c>
      <c r="BU112" s="75">
        <f>AVERAGE(BU109:BU111)</f>
        <v>0</v>
      </c>
      <c r="BV112" s="75">
        <f>_xlfn.STDEV.S(BU109:BU111)</f>
        <v>0</v>
      </c>
      <c r="BW112" s="74">
        <f>AVERAGE(BW109:BW111)</f>
        <v>0.18340531561461793</v>
      </c>
      <c r="BX112" s="73">
        <f>BQ112*0.05</f>
        <v>0</v>
      </c>
      <c r="BY112" s="73">
        <f>BS112*0.05</f>
        <v>0</v>
      </c>
      <c r="BZ112" s="72">
        <f>BU112*0.05</f>
        <v>0</v>
      </c>
    </row>
    <row r="113" spans="1:78" x14ac:dyDescent="0.3">
      <c r="A113" s="191" t="s">
        <v>58</v>
      </c>
      <c r="B113" s="70" t="s">
        <v>101</v>
      </c>
      <c r="C113" s="20">
        <v>13</v>
      </c>
      <c r="D113" s="69"/>
      <c r="E113" s="21"/>
      <c r="F113" s="52"/>
      <c r="I113" s="52">
        <f>H113*0.2907</f>
        <v>0</v>
      </c>
      <c r="L113" s="68"/>
      <c r="AJ113" s="21"/>
      <c r="BZ113" s="67"/>
    </row>
    <row r="114" spans="1:78" x14ac:dyDescent="0.3">
      <c r="A114" s="192"/>
      <c r="B114" s="70" t="s">
        <v>100</v>
      </c>
      <c r="C114" s="20">
        <v>13</v>
      </c>
      <c r="D114" s="69"/>
      <c r="E114" s="21"/>
      <c r="F114" s="52"/>
      <c r="I114" s="52">
        <f>H114*0.2907</f>
        <v>0</v>
      </c>
      <c r="L114" s="68"/>
      <c r="AJ114" s="21"/>
      <c r="BZ114" s="67"/>
    </row>
    <row r="115" spans="1:78" x14ac:dyDescent="0.3">
      <c r="A115" s="192"/>
      <c r="B115" s="70" t="s">
        <v>99</v>
      </c>
      <c r="C115" s="20">
        <v>13</v>
      </c>
      <c r="D115" s="69"/>
      <c r="E115" s="21"/>
      <c r="F115" s="52"/>
      <c r="G115" s="67"/>
      <c r="I115" s="52">
        <f>H115*0.2907</f>
        <v>0</v>
      </c>
      <c r="L115" s="68"/>
      <c r="AJ115" s="21"/>
      <c r="BZ115" s="67"/>
    </row>
    <row r="116" spans="1:78" ht="15" thickBot="1" x14ac:dyDescent="0.35">
      <c r="A116" s="192"/>
      <c r="B116" s="66" t="s">
        <v>63</v>
      </c>
      <c r="C116" s="65">
        <v>13</v>
      </c>
      <c r="D116" s="64"/>
      <c r="E116" s="58"/>
      <c r="F116" s="56" t="e">
        <f>AVERAGE(F113:F115)</f>
        <v>#DIV/0!</v>
      </c>
      <c r="G116" s="55" t="e">
        <f>_xlfn.STDEV.S(F113:F115)</f>
        <v>#DIV/0!</v>
      </c>
      <c r="H116" s="60" t="e">
        <f>AVERAGE(H113:H115)</f>
        <v>#DIV/0!</v>
      </c>
      <c r="I116" s="56">
        <f>AVERAGE(I113:I115)</f>
        <v>0</v>
      </c>
      <c r="J116" s="63">
        <f>_xlfn.STDEV.S(I113:I115)</f>
        <v>0</v>
      </c>
      <c r="K116" s="63"/>
      <c r="L116" s="62" t="e">
        <f>_xlfn.STDEV.S(K113:K115)</f>
        <v>#DIV/0!</v>
      </c>
      <c r="M116" s="59" t="e">
        <f>AVERAGE(M113:M115)</f>
        <v>#DIV/0!</v>
      </c>
      <c r="N116" s="58" t="e">
        <f>_xlfn.STDEV.S(M113:M115)</f>
        <v>#DIV/0!</v>
      </c>
      <c r="O116" s="58" t="e">
        <f>AVERAGE(O113:O115)</f>
        <v>#DIV/0!</v>
      </c>
      <c r="P116" s="58" t="e">
        <f>_xlfn.STDEV.S(O113:O115)</f>
        <v>#DIV/0!</v>
      </c>
      <c r="Q116" s="58" t="e">
        <f>AVERAGE(Q113:Q115)</f>
        <v>#DIV/0!</v>
      </c>
      <c r="R116" s="58" t="e">
        <f>_xlfn.STDEV.S(Q113:Q115)</f>
        <v>#DIV/0!</v>
      </c>
      <c r="S116" s="58" t="e">
        <f>AVERAGE(S113:S115)</f>
        <v>#DIV/0!</v>
      </c>
      <c r="T116" s="58" t="e">
        <f>_xlfn.STDEV.S(S113:S115)</f>
        <v>#DIV/0!</v>
      </c>
      <c r="U116" s="58" t="e">
        <f>AVERAGE(U113:U115)</f>
        <v>#DIV/0!</v>
      </c>
      <c r="V116" s="58" t="e">
        <f>_xlfn.STDEV.S(U113:U115)</f>
        <v>#DIV/0!</v>
      </c>
      <c r="W116" s="58" t="e">
        <f>AVERAGE(W113:W115)</f>
        <v>#DIV/0!</v>
      </c>
      <c r="X116" s="58" t="e">
        <f>_xlfn.STDEV.S(W113:W115)</f>
        <v>#DIV/0!</v>
      </c>
      <c r="Y116" s="59" t="e">
        <f>AVERAGE(Y113:Y115)</f>
        <v>#DIV/0!</v>
      </c>
      <c r="Z116" s="58" t="e">
        <f>_xlfn.STDEV.S(Y113:Y115)</f>
        <v>#DIV/0!</v>
      </c>
      <c r="AA116" s="58" t="e">
        <f>AVERAGE(AA113:AA115)</f>
        <v>#DIV/0!</v>
      </c>
      <c r="AB116" s="58" t="e">
        <f>_xlfn.STDEV.S(AA113:AA115)</f>
        <v>#DIV/0!</v>
      </c>
      <c r="AC116" s="58" t="e">
        <f>AVERAGE(AC113:AC115)</f>
        <v>#DIV/0!</v>
      </c>
      <c r="AD116" s="58" t="e">
        <f>_xlfn.STDEV.S(AC113:AC115)</f>
        <v>#DIV/0!</v>
      </c>
      <c r="AE116" s="58" t="e">
        <f>AVERAGE(AE113:AE115)</f>
        <v>#DIV/0!</v>
      </c>
      <c r="AF116" s="58" t="e">
        <f>_xlfn.STDEV.S(AE113:AE115)</f>
        <v>#DIV/0!</v>
      </c>
      <c r="AG116" s="58" t="e">
        <f>AVERAGE(AG113:AG115)</f>
        <v>#DIV/0!</v>
      </c>
      <c r="AH116" s="58" t="e">
        <f>_xlfn.STDEV.S(AG113:AG115)</f>
        <v>#DIV/0!</v>
      </c>
      <c r="AI116" s="58" t="e">
        <f>AVERAGE(AI113:AI115)</f>
        <v>#DIV/0!</v>
      </c>
      <c r="AJ116" s="58" t="e">
        <f>_xlfn.STDEV.S(AI113:AI115)</f>
        <v>#DIV/0!</v>
      </c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57"/>
      <c r="BI116" s="57"/>
      <c r="BJ116" s="57"/>
      <c r="BK116" s="57"/>
      <c r="BL116" s="57"/>
      <c r="BM116" s="57"/>
      <c r="BN116" s="57"/>
      <c r="BO116" s="59" t="e">
        <f>AVERAGE(BO113:BO115)</f>
        <v>#DIV/0!</v>
      </c>
      <c r="BP116" s="58" t="e">
        <f>_xlfn.STDEV.S(BO113:BO115)</f>
        <v>#DIV/0!</v>
      </c>
      <c r="BQ116" s="57" t="e">
        <f>AVERAGE(BQ113:BQ115)</f>
        <v>#DIV/0!</v>
      </c>
      <c r="BR116" s="57" t="e">
        <f>_xlfn.STDEV.S(BQ113:BQ115)</f>
        <v>#DIV/0!</v>
      </c>
      <c r="BS116" s="57" t="e">
        <f>AVERAGE(BS113:BS115)</f>
        <v>#DIV/0!</v>
      </c>
      <c r="BT116" s="57" t="e">
        <f>_xlfn.STDEV.S(BS113:BS115)</f>
        <v>#DIV/0!</v>
      </c>
      <c r="BU116" s="57" t="e">
        <f>AVERAGE(BU113:BU115)</f>
        <v>#DIV/0!</v>
      </c>
      <c r="BV116" s="57" t="e">
        <f>_xlfn.STDEV.S(BU113:BU115)</f>
        <v>#DIV/0!</v>
      </c>
      <c r="BW116" s="56" t="e">
        <f>AVERAGE(BW113:BW115)</f>
        <v>#DIV/0!</v>
      </c>
      <c r="BX116" s="55" t="e">
        <f>BQ116*0.05</f>
        <v>#DIV/0!</v>
      </c>
      <c r="BY116" s="55" t="e">
        <f>BS116*0.05</f>
        <v>#DIV/0!</v>
      </c>
      <c r="BZ116" s="54" t="e">
        <f>BU116*0.05</f>
        <v>#DIV/0!</v>
      </c>
    </row>
    <row r="117" spans="1:78" x14ac:dyDescent="0.3">
      <c r="A117" s="191" t="s">
        <v>57</v>
      </c>
      <c r="B117" s="95" t="s">
        <v>104</v>
      </c>
      <c r="C117" s="94">
        <v>14</v>
      </c>
      <c r="D117" s="93"/>
      <c r="E117" s="88"/>
      <c r="F117" s="86">
        <v>1.355</v>
      </c>
      <c r="G117" s="85"/>
      <c r="H117" s="90">
        <v>0.246</v>
      </c>
      <c r="I117" s="86">
        <f>H117*0.2907</f>
        <v>7.1512199999999998E-2</v>
      </c>
      <c r="J117" s="92"/>
      <c r="K117" s="92">
        <f>(I117-$I$5)/($AA$5/1000-AA117/1000)*0.05</f>
        <v>0.21162173178634328</v>
      </c>
      <c r="L117" s="91"/>
      <c r="M117" s="89">
        <v>2.4926542185642351</v>
      </c>
      <c r="N117" s="88"/>
      <c r="O117" s="88">
        <v>0</v>
      </c>
      <c r="P117" s="88"/>
      <c r="Q117" s="88">
        <v>0.20953559878881478</v>
      </c>
      <c r="R117" s="88"/>
      <c r="S117" s="88">
        <v>78.417988776976983</v>
      </c>
      <c r="T117" s="88"/>
      <c r="U117" s="88">
        <v>18.879821405669986</v>
      </c>
      <c r="V117" s="88"/>
      <c r="W117" s="88">
        <v>0</v>
      </c>
      <c r="X117" s="88"/>
      <c r="Y117" s="89">
        <v>0.15204211461654904</v>
      </c>
      <c r="Z117" s="88"/>
      <c r="AA117" s="88">
        <v>0</v>
      </c>
      <c r="AB117" s="88"/>
      <c r="AC117" s="88">
        <v>1.2780848338301211E-2</v>
      </c>
      <c r="AD117" s="88"/>
      <c r="AE117" s="88">
        <v>4.7831892401409473</v>
      </c>
      <c r="AF117" s="88"/>
      <c r="AG117" s="88">
        <v>1.1515949339151708</v>
      </c>
      <c r="AH117" s="88"/>
      <c r="AI117" s="88">
        <v>0</v>
      </c>
      <c r="AJ117" s="88"/>
      <c r="AK117" s="89">
        <f>8*(AG117-$AG$5)/(2*($AA$5-AA117)+2*($AI$5-AI117))</f>
        <v>0.8383299423168491</v>
      </c>
      <c r="AL117" s="89"/>
      <c r="AM117" s="89">
        <f>(AG117-$AG$5)/(($AA$5-AA117)+($AI$5-AI117))</f>
        <v>0.20958248557921227</v>
      </c>
      <c r="AN117" s="89"/>
      <c r="AO117" s="37">
        <f>8*(BW117-$BW$5)/(2*($AA$5-AA117)+2*($AI$5-AI117))</f>
        <v>3.5201481887004643E-2</v>
      </c>
      <c r="AQ117" s="37">
        <f>(BW117-$BW$5)/(($AA$5-AA117)+($AI$5-AI117))</f>
        <v>8.8003704717511608E-3</v>
      </c>
      <c r="AS117" s="37">
        <f>14*(BX117-$BX$5)/(2*($AA$5-AA117)+2*($AI$5-AI117))</f>
        <v>0</v>
      </c>
      <c r="AU117" s="37">
        <f>(BX117-$BX$5)/(($AA$5-AA117)+($AI$5-AI117))</f>
        <v>0</v>
      </c>
      <c r="AY117" s="90"/>
      <c r="AZ117" s="90"/>
      <c r="BA117" s="90"/>
      <c r="BB117" s="90"/>
      <c r="BC117" s="90"/>
      <c r="BD117" s="90"/>
      <c r="BE117" s="90"/>
      <c r="BF117" s="90"/>
      <c r="BG117" s="90">
        <v>58.22</v>
      </c>
      <c r="BH117" s="87"/>
      <c r="BI117" s="87">
        <v>0</v>
      </c>
      <c r="BJ117" s="87"/>
      <c r="BK117" s="87">
        <v>0</v>
      </c>
      <c r="BL117" s="87"/>
      <c r="BM117" s="87">
        <v>0</v>
      </c>
      <c r="BN117" s="87"/>
      <c r="BO117" s="89">
        <f>(BG117/1000)/60.2*1000</f>
        <v>0.96710963455149501</v>
      </c>
      <c r="BP117" s="88"/>
      <c r="BQ117" s="87">
        <f>BI117/74.08</f>
        <v>0</v>
      </c>
      <c r="BR117" s="87"/>
      <c r="BS117" s="87">
        <f>(BK117/1000)/88.12*1000</f>
        <v>0</v>
      </c>
      <c r="BT117" s="87"/>
      <c r="BU117" s="87">
        <f>BM117/88.12</f>
        <v>0</v>
      </c>
      <c r="BV117" s="87"/>
      <c r="BW117" s="86">
        <f>BO117*0.05</f>
        <v>4.8355481727574756E-2</v>
      </c>
      <c r="BX117" s="85">
        <f>BQ117*0.05</f>
        <v>0</v>
      </c>
      <c r="BY117" s="85">
        <f>BS117*0.05</f>
        <v>0</v>
      </c>
      <c r="BZ117" s="84">
        <f>BU117*0.05</f>
        <v>0</v>
      </c>
    </row>
    <row r="118" spans="1:78" x14ac:dyDescent="0.3">
      <c r="A118" s="192"/>
      <c r="B118" s="70" t="s">
        <v>103</v>
      </c>
      <c r="C118" s="20">
        <v>14</v>
      </c>
      <c r="D118" s="69"/>
      <c r="E118" s="21"/>
      <c r="F118" s="52">
        <v>1.39</v>
      </c>
      <c r="H118" s="37">
        <v>0.25600000000000001</v>
      </c>
      <c r="I118" s="52">
        <f>H118*0.2907</f>
        <v>7.4419200000000005E-2</v>
      </c>
      <c r="K118" s="53">
        <f>(I118-$I$6)/($AA$6/1000-AA118/1000)*0.05</f>
        <v>0.24306906438968015</v>
      </c>
      <c r="L118" s="68"/>
      <c r="M118" s="22">
        <v>2.373523332004718</v>
      </c>
      <c r="O118" s="21">
        <v>0</v>
      </c>
      <c r="Q118" s="21">
        <v>0.33415254245921722</v>
      </c>
      <c r="S118" s="21">
        <v>78.142117489482459</v>
      </c>
      <c r="U118" s="21">
        <v>19.150206636053603</v>
      </c>
      <c r="W118" s="21">
        <v>0</v>
      </c>
      <c r="Y118" s="22">
        <v>0.14851518966423366</v>
      </c>
      <c r="AA118" s="21">
        <v>0</v>
      </c>
      <c r="AC118" s="21">
        <v>2.090846445490846E-2</v>
      </c>
      <c r="AE118" s="21">
        <v>4.8894785415542108</v>
      </c>
      <c r="AG118" s="21">
        <v>1.1982593692308872</v>
      </c>
      <c r="AI118" s="21">
        <v>0</v>
      </c>
      <c r="AJ118" s="21"/>
      <c r="AK118" s="22">
        <f>8*(AG118-$AG$6)/(2*($AA$6-AA118)+2*($AI$6-AI118))</f>
        <v>0.88081375013739471</v>
      </c>
      <c r="AL118" s="22"/>
      <c r="AM118" s="22">
        <f>(AG118-$AG$6)/(($AA$6-AA118)+($AI$6-AI118))</f>
        <v>0.22020343753434868</v>
      </c>
      <c r="AN118" s="22"/>
      <c r="AO118" s="37">
        <f>8*(BW118-$BW$6)/(2*($AA$6-AA118)+2*($AI$6-AI118))</f>
        <v>5.3470187395168178E-2</v>
      </c>
      <c r="AQ118" s="37">
        <f>(BW118-$BW$6)/(($AA$6-AA118)+($AI$6-AI118))</f>
        <v>1.3367546848792045E-2</v>
      </c>
      <c r="AS118" s="37">
        <f>14*(BX118-$BX$6)/(2*($AA$6-AA118)+2*($AI$6-AI118))</f>
        <v>0</v>
      </c>
      <c r="AU118" s="37">
        <f>(BX118-$BX$6)/(($AA$6-AA118)+($AI$6-AI118))</f>
        <v>0</v>
      </c>
      <c r="BG118" s="37">
        <v>87.58</v>
      </c>
      <c r="BI118" s="2">
        <v>0</v>
      </c>
      <c r="BK118" s="2">
        <v>0</v>
      </c>
      <c r="BM118" s="2">
        <v>0</v>
      </c>
      <c r="BO118" s="22">
        <f>(BG118/1000)/60.2*1000</f>
        <v>1.4548172757475084</v>
      </c>
      <c r="BQ118" s="2">
        <f>BI118/74.08</f>
        <v>0</v>
      </c>
      <c r="BS118" s="2">
        <f>(BK118/1000)/88.12*1000</f>
        <v>0</v>
      </c>
      <c r="BU118" s="2">
        <f>BM118/88.12</f>
        <v>0</v>
      </c>
      <c r="BW118" s="52">
        <f>BO118*0.05</f>
        <v>7.2740863787375418E-2</v>
      </c>
      <c r="BX118" s="51">
        <f>BQ118*0.05</f>
        <v>0</v>
      </c>
      <c r="BY118" s="51">
        <f>BS118*0.05</f>
        <v>0</v>
      </c>
      <c r="BZ118" s="67">
        <f>BU118*0.05</f>
        <v>0</v>
      </c>
    </row>
    <row r="119" spans="1:78" x14ac:dyDescent="0.3">
      <c r="A119" s="192"/>
      <c r="B119" s="70" t="s">
        <v>102</v>
      </c>
      <c r="C119" s="20">
        <v>14</v>
      </c>
      <c r="D119" s="69"/>
      <c r="E119" s="21"/>
      <c r="F119" s="52">
        <v>1.35</v>
      </c>
      <c r="H119" s="37">
        <v>0.23799999999999999</v>
      </c>
      <c r="I119" s="52">
        <f>H119*0.2907</f>
        <v>6.9186600000000001E-2</v>
      </c>
      <c r="K119" s="53">
        <f>(I119-$I$7)/($AA$7/1000-AA119/1000)*0.05</f>
        <v>0.23501999108428998</v>
      </c>
      <c r="L119" s="68"/>
      <c r="M119" s="22">
        <v>2.4779739542661385</v>
      </c>
      <c r="O119" s="21">
        <v>0</v>
      </c>
      <c r="Q119" s="21">
        <v>0.13613298692814829</v>
      </c>
      <c r="S119" s="21">
        <v>78.61146320399655</v>
      </c>
      <c r="U119" s="21">
        <v>18.774429854809149</v>
      </c>
      <c r="W119" s="21">
        <v>0</v>
      </c>
      <c r="Y119" s="22">
        <v>0.15058893935526341</v>
      </c>
      <c r="AA119" s="21">
        <v>0</v>
      </c>
      <c r="AC119" s="21">
        <v>8.2729368795343029E-3</v>
      </c>
      <c r="AE119" s="21">
        <v>4.7772967285126411</v>
      </c>
      <c r="AG119" s="21">
        <v>1.1409407568502041</v>
      </c>
      <c r="AI119" s="21">
        <v>0</v>
      </c>
      <c r="AJ119" s="21"/>
      <c r="AK119" s="22">
        <f>8*(AG119-$AG$7)/(2*($AA$7-AA119)+2*($AI$7-AI119))</f>
        <v>0.8291304182546988</v>
      </c>
      <c r="AL119" s="22"/>
      <c r="AM119" s="22">
        <f>(AG119-$AG$7)/(($AA$7-AA119)+($AI$7-AI119))</f>
        <v>0.2072826045636747</v>
      </c>
      <c r="AN119" s="22"/>
      <c r="AO119" s="37">
        <f>8*(BW119-$BW$7)/(2*($AA$7-AA119)+2*($AI$7-AI119))</f>
        <v>4.5322657978657414E-2</v>
      </c>
      <c r="AQ119" s="37">
        <f>(BW119-$BW$7)/(($AA$7-AA119)+($AI$7-AI119))</f>
        <v>1.1330664494664354E-2</v>
      </c>
      <c r="AS119" s="37">
        <f>14*(BX119-$BX$7)/(2*($AA$7-AA119)+2*($AI$7-AI119))</f>
        <v>0</v>
      </c>
      <c r="AU119" s="37">
        <f>(BX119-$BX$7)/(($AA$7-AA119)+($AI$7-AI119))</f>
        <v>0</v>
      </c>
      <c r="BG119" s="37">
        <v>75.09</v>
      </c>
      <c r="BI119" s="2">
        <v>0</v>
      </c>
      <c r="BK119" s="2">
        <v>0</v>
      </c>
      <c r="BM119" s="2">
        <v>0</v>
      </c>
      <c r="BO119" s="22">
        <f>(BG119/1000)/60.2*1000</f>
        <v>1.2473421926910297</v>
      </c>
      <c r="BQ119" s="2">
        <f>BI119/74.08</f>
        <v>0</v>
      </c>
      <c r="BS119" s="2">
        <f>(BK119/1000)/88.12*1000</f>
        <v>0</v>
      </c>
      <c r="BU119" s="2">
        <f>BM119/88.12</f>
        <v>0</v>
      </c>
      <c r="BW119" s="52">
        <f>BO119*0.05</f>
        <v>6.2367109634551492E-2</v>
      </c>
      <c r="BX119" s="51">
        <f>BQ119*0.05</f>
        <v>0</v>
      </c>
      <c r="BY119" s="51">
        <f>BS119*0.05</f>
        <v>0</v>
      </c>
      <c r="BZ119" s="67">
        <f>BU119*0.05</f>
        <v>0</v>
      </c>
    </row>
    <row r="120" spans="1:78" x14ac:dyDescent="0.3">
      <c r="A120" s="192"/>
      <c r="B120" s="83" t="s">
        <v>63</v>
      </c>
      <c r="C120" s="80">
        <v>14</v>
      </c>
      <c r="D120" s="79"/>
      <c r="E120" s="76"/>
      <c r="F120" s="74">
        <f>AVERAGE(F117:F119)</f>
        <v>1.3650000000000002</v>
      </c>
      <c r="G120" s="73">
        <f>_xlfn.STDEV.S(F117:F119)</f>
        <v>2.1794494717703287E-2</v>
      </c>
      <c r="H120" s="78">
        <f>AVERAGE(H117:H119)</f>
        <v>0.24666666666666667</v>
      </c>
      <c r="I120" s="74">
        <f>AVERAGE(I117:I119)</f>
        <v>7.1705999999999992E-2</v>
      </c>
      <c r="J120" s="82">
        <f>_xlfn.STDEV.S(I117:I119)</f>
        <v>2.6216778062912328E-3</v>
      </c>
      <c r="K120" s="82">
        <f>AVERAGE(K117:K119)</f>
        <v>0.2299035957534378</v>
      </c>
      <c r="L120" s="81">
        <f>_xlfn.STDEV.S(K117:K119)</f>
        <v>1.6336058516435294E-2</v>
      </c>
      <c r="M120" s="77">
        <f>AVERAGE(M117:M119)</f>
        <v>2.4480505016116969</v>
      </c>
      <c r="N120" s="76">
        <f>_xlfn.STDEV.S(M117:M119)</f>
        <v>6.4958462090678196E-2</v>
      </c>
      <c r="O120" s="76">
        <f>AVERAGE(O117:O119)</f>
        <v>0</v>
      </c>
      <c r="P120" s="76">
        <f>_xlfn.STDEV.S(O117:O119)</f>
        <v>0</v>
      </c>
      <c r="Q120" s="76">
        <f>AVERAGE(Q117:Q119)</f>
        <v>0.22660704272539345</v>
      </c>
      <c r="R120" s="76">
        <f>_xlfn.STDEV.S(Q117:Q119)</f>
        <v>0.10010750092645565</v>
      </c>
      <c r="S120" s="76">
        <f>AVERAGE(S117:S119)</f>
        <v>78.390523156818674</v>
      </c>
      <c r="T120" s="76">
        <f>_xlfn.STDEV.S(S117:S119)</f>
        <v>0.23587522157105967</v>
      </c>
      <c r="U120" s="76">
        <f>AVERAGE(U117:U119)</f>
        <v>18.934819298844246</v>
      </c>
      <c r="V120" s="76">
        <f>_xlfn.STDEV.S(U117:U119)</f>
        <v>0.1938314306835093</v>
      </c>
      <c r="W120" s="76">
        <f>AVERAGE(W117:W119)</f>
        <v>0</v>
      </c>
      <c r="X120" s="76">
        <f>_xlfn.STDEV.S(W117:W119)</f>
        <v>0</v>
      </c>
      <c r="Y120" s="77">
        <f>AVERAGE(Y117:Y119)</f>
        <v>0.15038208121201538</v>
      </c>
      <c r="Z120" s="76">
        <f>_xlfn.STDEV.S(Y117:Y119)</f>
        <v>1.7725384688032108E-3</v>
      </c>
      <c r="AA120" s="76">
        <f>AVERAGE(AA117:AA119)</f>
        <v>0</v>
      </c>
      <c r="AB120" s="76">
        <f>_xlfn.STDEV.S(AA117:AA119)</f>
        <v>0</v>
      </c>
      <c r="AC120" s="76">
        <f>AVERAGE(AC117:AC119)</f>
        <v>1.3987416557581324E-2</v>
      </c>
      <c r="AD120" s="76">
        <f>_xlfn.STDEV.S(AC117:AC119)</f>
        <v>6.4035923064981893E-3</v>
      </c>
      <c r="AE120" s="76">
        <f>AVERAGE(AE117:AE119)</f>
        <v>4.8166548367359328</v>
      </c>
      <c r="AF120" s="76">
        <f>_xlfn.STDEV.S(AE117:AE119)</f>
        <v>6.3135959729120839E-2</v>
      </c>
      <c r="AG120" s="76">
        <f>AVERAGE(AG117:AG119)</f>
        <v>1.1635983533320875</v>
      </c>
      <c r="AH120" s="76">
        <f>_xlfn.STDEV.S(AG117:AG119)</f>
        <v>3.0486347593399167E-2</v>
      </c>
      <c r="AI120" s="76">
        <f>AVERAGE(AI117:AI119)</f>
        <v>0</v>
      </c>
      <c r="AJ120" s="76">
        <f>_xlfn.STDEV.S(AI117:AI119)</f>
        <v>0</v>
      </c>
      <c r="AK120" s="77">
        <f>AVERAGE(AK117:AK119)</f>
        <v>0.8494247035696475</v>
      </c>
      <c r="AL120" s="77">
        <f>_xlfn.STDEV.S(AK117:AK119)</f>
        <v>2.7570128655243362E-2</v>
      </c>
      <c r="AM120" s="77">
        <f>AVERAGE(AM117:AM119)</f>
        <v>0.21235617589241187</v>
      </c>
      <c r="AN120" s="77">
        <f>_xlfn.STDEV.S(AM117:AM119)</f>
        <v>6.8925321638108406E-3</v>
      </c>
      <c r="AO120" s="78">
        <f>AVERAGE(AO117:AO119)</f>
        <v>4.4664775753610081E-2</v>
      </c>
      <c r="AP120" s="78">
        <f>_xlfn.STDEV.S(AO117:AO119)</f>
        <v>9.1521039658936151E-3</v>
      </c>
      <c r="AQ120" s="78">
        <f>AVERAGE(AQ117:AQ119)</f>
        <v>1.116619393840252E-2</v>
      </c>
      <c r="AR120" s="78">
        <f>_xlfn.STDEV.S(AQ117:AQ119)</f>
        <v>2.2880259914734098E-3</v>
      </c>
      <c r="AS120" s="78">
        <f>AVERAGE(AS117:AS119)</f>
        <v>0</v>
      </c>
      <c r="AT120" s="78">
        <f>_xlfn.STDEV.S(AS117:AS119)</f>
        <v>0</v>
      </c>
      <c r="AU120" s="78">
        <f>AVERAGE(AU117:AU119)</f>
        <v>0</v>
      </c>
      <c r="AV120" s="80">
        <f>_xlfn.STDEV.S(AU117:AU119)</f>
        <v>0</v>
      </c>
      <c r="AW120" s="80"/>
      <c r="AX120" s="80"/>
      <c r="AY120" s="79">
        <f>SUM(AK120,AO120,AS120)</f>
        <v>0.89408947932325755</v>
      </c>
      <c r="AZ120" s="77">
        <f>SUM(AL120,AP120,AT120)</f>
        <v>3.6722232621136976E-2</v>
      </c>
      <c r="BA120" s="78"/>
      <c r="BB120" s="78"/>
      <c r="BC120" s="78"/>
      <c r="BD120" s="78"/>
      <c r="BE120" s="78"/>
      <c r="BF120" s="78"/>
      <c r="BG120" s="78"/>
      <c r="BH120" s="75"/>
      <c r="BI120" s="75"/>
      <c r="BJ120" s="75"/>
      <c r="BK120" s="75"/>
      <c r="BL120" s="75"/>
      <c r="BM120" s="75"/>
      <c r="BN120" s="75"/>
      <c r="BO120" s="77">
        <f>AVERAGE(BO117:BO119)</f>
        <v>1.2230897009966777</v>
      </c>
      <c r="BP120" s="76">
        <f>_xlfn.STDEV.S(BO117:BO119)</f>
        <v>0.2447566614727435</v>
      </c>
      <c r="BQ120" s="75">
        <f>AVERAGE(BQ117:BQ119)</f>
        <v>0</v>
      </c>
      <c r="BR120" s="75">
        <f>_xlfn.STDEV.S(BQ117:BQ119)</f>
        <v>0</v>
      </c>
      <c r="BS120" s="75">
        <f>AVERAGE(BS117:BS119)</f>
        <v>0</v>
      </c>
      <c r="BT120" s="75">
        <f>_xlfn.STDEV.S(BS117:BS119)</f>
        <v>0</v>
      </c>
      <c r="BU120" s="75">
        <f>AVERAGE(BU117:BU119)</f>
        <v>0</v>
      </c>
      <c r="BV120" s="75">
        <f>_xlfn.STDEV.S(BU117:BU119)</f>
        <v>0</v>
      </c>
      <c r="BW120" s="74">
        <f>AVERAGE(BW117:BW119)</f>
        <v>6.1154485049833888E-2</v>
      </c>
      <c r="BX120" s="73">
        <f>BQ120*0.05</f>
        <v>0</v>
      </c>
      <c r="BY120" s="73">
        <f>BS120*0.05</f>
        <v>0</v>
      </c>
      <c r="BZ120" s="72">
        <f>BU120*0.05</f>
        <v>0</v>
      </c>
    </row>
    <row r="121" spans="1:78" x14ac:dyDescent="0.3">
      <c r="A121" s="191" t="s">
        <v>58</v>
      </c>
      <c r="B121" s="70" t="s">
        <v>101</v>
      </c>
      <c r="C121" s="20">
        <v>14</v>
      </c>
      <c r="D121" s="69"/>
      <c r="E121" s="21"/>
      <c r="F121" s="52"/>
      <c r="I121" s="52">
        <f>H121*0.2907</f>
        <v>0</v>
      </c>
      <c r="L121" s="68"/>
      <c r="AJ121" s="21"/>
      <c r="BZ121" s="67"/>
    </row>
    <row r="122" spans="1:78" x14ac:dyDescent="0.3">
      <c r="A122" s="192"/>
      <c r="B122" s="70" t="s">
        <v>100</v>
      </c>
      <c r="C122" s="20">
        <v>14</v>
      </c>
      <c r="D122" s="69"/>
      <c r="E122" s="21"/>
      <c r="F122" s="52"/>
      <c r="I122" s="52">
        <f>H122*0.2907</f>
        <v>0</v>
      </c>
      <c r="L122" s="68"/>
      <c r="AJ122" s="21"/>
      <c r="BZ122" s="67"/>
    </row>
    <row r="123" spans="1:78" x14ac:dyDescent="0.3">
      <c r="A123" s="192"/>
      <c r="B123" s="70" t="s">
        <v>99</v>
      </c>
      <c r="C123" s="20">
        <v>14</v>
      </c>
      <c r="D123" s="69"/>
      <c r="E123" s="21"/>
      <c r="F123" s="52"/>
      <c r="G123" s="67"/>
      <c r="I123" s="52">
        <f>H123*0.2907</f>
        <v>0</v>
      </c>
      <c r="L123" s="68"/>
      <c r="AJ123" s="21"/>
      <c r="BZ123" s="67"/>
    </row>
    <row r="124" spans="1:78" ht="15" thickBot="1" x14ac:dyDescent="0.35">
      <c r="A124" s="192"/>
      <c r="B124" s="66" t="s">
        <v>63</v>
      </c>
      <c r="C124" s="65">
        <v>14</v>
      </c>
      <c r="D124" s="64"/>
      <c r="E124" s="58"/>
      <c r="F124" s="56" t="e">
        <f>AVERAGE(F121:F123)</f>
        <v>#DIV/0!</v>
      </c>
      <c r="G124" s="55" t="e">
        <f>_xlfn.STDEV.S(F121:F123)</f>
        <v>#DIV/0!</v>
      </c>
      <c r="H124" s="60" t="e">
        <f>AVERAGE(H121:H123)</f>
        <v>#DIV/0!</v>
      </c>
      <c r="I124" s="56">
        <f>AVERAGE(I121:I123)</f>
        <v>0</v>
      </c>
      <c r="J124" s="63">
        <f>_xlfn.STDEV.S(I121:I123)</f>
        <v>0</v>
      </c>
      <c r="K124" s="63"/>
      <c r="L124" s="62" t="e">
        <f>_xlfn.STDEV.S(K121:K123)</f>
        <v>#DIV/0!</v>
      </c>
      <c r="M124" s="59" t="e">
        <f>AVERAGE(M121:M123)</f>
        <v>#DIV/0!</v>
      </c>
      <c r="N124" s="58" t="e">
        <f>_xlfn.STDEV.S(M121:M123)</f>
        <v>#DIV/0!</v>
      </c>
      <c r="O124" s="58" t="e">
        <f>AVERAGE(O121:O123)</f>
        <v>#DIV/0!</v>
      </c>
      <c r="P124" s="58" t="e">
        <f>_xlfn.STDEV.S(O121:O123)</f>
        <v>#DIV/0!</v>
      </c>
      <c r="Q124" s="58" t="e">
        <f>AVERAGE(Q121:Q123)</f>
        <v>#DIV/0!</v>
      </c>
      <c r="R124" s="58" t="e">
        <f>_xlfn.STDEV.S(Q121:Q123)</f>
        <v>#DIV/0!</v>
      </c>
      <c r="S124" s="58" t="e">
        <f>AVERAGE(S121:S123)</f>
        <v>#DIV/0!</v>
      </c>
      <c r="T124" s="58" t="e">
        <f>_xlfn.STDEV.S(S121:S123)</f>
        <v>#DIV/0!</v>
      </c>
      <c r="U124" s="58" t="e">
        <f>AVERAGE(U121:U123)</f>
        <v>#DIV/0!</v>
      </c>
      <c r="V124" s="58" t="e">
        <f>_xlfn.STDEV.S(U121:U123)</f>
        <v>#DIV/0!</v>
      </c>
      <c r="W124" s="58" t="e">
        <f>AVERAGE(W121:W123)</f>
        <v>#DIV/0!</v>
      </c>
      <c r="X124" s="58" t="e">
        <f>_xlfn.STDEV.S(W121:W123)</f>
        <v>#DIV/0!</v>
      </c>
      <c r="Y124" s="59" t="e">
        <f>AVERAGE(Y121:Y123)</f>
        <v>#DIV/0!</v>
      </c>
      <c r="Z124" s="58" t="e">
        <f>_xlfn.STDEV.S(Y121:Y123)</f>
        <v>#DIV/0!</v>
      </c>
      <c r="AA124" s="58" t="e">
        <f>AVERAGE(AA121:AA123)</f>
        <v>#DIV/0!</v>
      </c>
      <c r="AB124" s="58" t="e">
        <f>_xlfn.STDEV.S(AA121:AA123)</f>
        <v>#DIV/0!</v>
      </c>
      <c r="AC124" s="58" t="e">
        <f>AVERAGE(AC121:AC123)</f>
        <v>#DIV/0!</v>
      </c>
      <c r="AD124" s="58" t="e">
        <f>_xlfn.STDEV.S(AC121:AC123)</f>
        <v>#DIV/0!</v>
      </c>
      <c r="AE124" s="58" t="e">
        <f>AVERAGE(AE121:AE123)</f>
        <v>#DIV/0!</v>
      </c>
      <c r="AF124" s="58" t="e">
        <f>_xlfn.STDEV.S(AE121:AE123)</f>
        <v>#DIV/0!</v>
      </c>
      <c r="AG124" s="58" t="e">
        <f>AVERAGE(AG121:AG123)</f>
        <v>#DIV/0!</v>
      </c>
      <c r="AH124" s="58" t="e">
        <f>_xlfn.STDEV.S(AG121:AG123)</f>
        <v>#DIV/0!</v>
      </c>
      <c r="AI124" s="58" t="e">
        <f>AVERAGE(AI121:AI123)</f>
        <v>#DIV/0!</v>
      </c>
      <c r="AJ124" s="58" t="e">
        <f>_xlfn.STDEV.S(AI121:AI123)</f>
        <v>#DIV/0!</v>
      </c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57"/>
      <c r="BI124" s="57"/>
      <c r="BJ124" s="57"/>
      <c r="BK124" s="57"/>
      <c r="BL124" s="57"/>
      <c r="BM124" s="57"/>
      <c r="BN124" s="57"/>
      <c r="BO124" s="59" t="e">
        <f>AVERAGE(BO121:BO123)</f>
        <v>#DIV/0!</v>
      </c>
      <c r="BP124" s="58" t="e">
        <f>_xlfn.STDEV.S(BO121:BO123)</f>
        <v>#DIV/0!</v>
      </c>
      <c r="BQ124" s="57" t="e">
        <f>AVERAGE(BQ121:BQ123)</f>
        <v>#DIV/0!</v>
      </c>
      <c r="BR124" s="57" t="e">
        <f>_xlfn.STDEV.S(BQ121:BQ123)</f>
        <v>#DIV/0!</v>
      </c>
      <c r="BS124" s="57" t="e">
        <f>AVERAGE(BS121:BS123)</f>
        <v>#DIV/0!</v>
      </c>
      <c r="BT124" s="57" t="e">
        <f>_xlfn.STDEV.S(BS121:BS123)</f>
        <v>#DIV/0!</v>
      </c>
      <c r="BU124" s="57" t="e">
        <f>AVERAGE(BU121:BU123)</f>
        <v>#DIV/0!</v>
      </c>
      <c r="BV124" s="57" t="e">
        <f>_xlfn.STDEV.S(BU121:BU123)</f>
        <v>#DIV/0!</v>
      </c>
      <c r="BW124" s="56" t="e">
        <f>AVERAGE(BW121:BW123)</f>
        <v>#DIV/0!</v>
      </c>
      <c r="BX124" s="55" t="e">
        <f>BQ124*0.05</f>
        <v>#DIV/0!</v>
      </c>
      <c r="BY124" s="55" t="e">
        <f>BS124*0.05</f>
        <v>#DIV/0!</v>
      </c>
      <c r="BZ124" s="54" t="e">
        <f>BU124*0.05</f>
        <v>#DIV/0!</v>
      </c>
    </row>
    <row r="125" spans="1:78" x14ac:dyDescent="0.3">
      <c r="A125" s="191" t="s">
        <v>57</v>
      </c>
      <c r="B125" s="95" t="s">
        <v>104</v>
      </c>
      <c r="C125" s="94">
        <v>15</v>
      </c>
      <c r="D125" s="93"/>
      <c r="E125" s="88"/>
      <c r="F125" s="86">
        <v>1.45</v>
      </c>
      <c r="G125" s="85"/>
      <c r="H125" s="90">
        <v>0.24399999999999999</v>
      </c>
      <c r="I125" s="86">
        <f>H125*0.2907</f>
        <v>7.0930800000000002E-2</v>
      </c>
      <c r="J125" s="92"/>
      <c r="K125" s="92">
        <f>(I125-$I$5)/($AA$5/1000-AA125/1000)*0.05</f>
        <v>0.20633118849168472</v>
      </c>
      <c r="L125" s="91"/>
      <c r="M125" s="89">
        <v>2.4271514690721165</v>
      </c>
      <c r="N125" s="88"/>
      <c r="O125" s="88">
        <v>0</v>
      </c>
      <c r="P125" s="88"/>
      <c r="Q125" s="88">
        <v>0.15092166597500434</v>
      </c>
      <c r="R125" s="88"/>
      <c r="S125" s="88">
        <v>77.830872734235541</v>
      </c>
      <c r="T125" s="88"/>
      <c r="U125" s="88">
        <v>19.591054130717335</v>
      </c>
      <c r="V125" s="88"/>
      <c r="W125" s="88">
        <v>0</v>
      </c>
      <c r="X125" s="88"/>
      <c r="Y125" s="89">
        <v>0.15842636246398861</v>
      </c>
      <c r="Z125" s="88"/>
      <c r="AA125" s="88">
        <v>0</v>
      </c>
      <c r="AB125" s="88"/>
      <c r="AC125" s="88">
        <v>9.8510417920335547E-3</v>
      </c>
      <c r="AD125" s="88"/>
      <c r="AE125" s="88">
        <v>5.0802194308031465</v>
      </c>
      <c r="AF125" s="88"/>
      <c r="AG125" s="88">
        <v>1.2787580348049661</v>
      </c>
      <c r="AH125" s="88"/>
      <c r="AI125" s="88">
        <v>0</v>
      </c>
      <c r="AJ125" s="88"/>
      <c r="AK125" s="89">
        <f>8*(AG125-$AG$5)/(2*($AA$5-AA125)+2*($AI$5-AI125))</f>
        <v>0.930901237912377</v>
      </c>
      <c r="AL125" s="89"/>
      <c r="AM125" s="89">
        <f>(AG125-$AG$5)/(($AA$5-AA125)+($AI$5-AI125))</f>
        <v>0.23272530947809425</v>
      </c>
      <c r="AN125" s="89"/>
      <c r="AO125" s="37">
        <f>8*(BW125-$BW$5)/(2*($AA$5-AA125)+2*($AI$5-AI125))</f>
        <v>1.1155399189543723E-2</v>
      </c>
      <c r="AQ125" s="37">
        <f>(BW125-$BW$5)/(($AA$5-AA125)+($AI$5-AI125))</f>
        <v>2.7888497973859307E-3</v>
      </c>
      <c r="AS125" s="37">
        <f>14*(BX125-$BX$5)/(2*($AA$5-AA125)+2*($AI$5-AI125))</f>
        <v>0</v>
      </c>
      <c r="AU125" s="37">
        <f>(BX125-$BX$5)/(($AA$5-AA125)+($AI$5-AI125))</f>
        <v>0</v>
      </c>
      <c r="AY125" s="90"/>
      <c r="AZ125" s="90"/>
      <c r="BA125" s="90"/>
      <c r="BB125" s="90"/>
      <c r="BC125" s="90"/>
      <c r="BD125" s="90"/>
      <c r="BE125" s="90"/>
      <c r="BF125" s="90"/>
      <c r="BG125" s="90">
        <v>18.45</v>
      </c>
      <c r="BH125" s="87"/>
      <c r="BI125" s="87">
        <v>0</v>
      </c>
      <c r="BJ125" s="87"/>
      <c r="BK125" s="87">
        <v>0</v>
      </c>
      <c r="BL125" s="87"/>
      <c r="BM125" s="87">
        <v>0</v>
      </c>
      <c r="BN125" s="87"/>
      <c r="BO125" s="89">
        <f>(BG125/1000)/60.2*1000</f>
        <v>0.30647840531561454</v>
      </c>
      <c r="BP125" s="88"/>
      <c r="BQ125" s="87">
        <f>BI125/74.08</f>
        <v>0</v>
      </c>
      <c r="BR125" s="87"/>
      <c r="BS125" s="87">
        <f>(BK125/1000)/88.12*1000</f>
        <v>0</v>
      </c>
      <c r="BT125" s="87"/>
      <c r="BU125" s="87">
        <f>BM125/88.12</f>
        <v>0</v>
      </c>
      <c r="BV125" s="87"/>
      <c r="BW125" s="86">
        <f>BO125*0.05</f>
        <v>1.5323920265780729E-2</v>
      </c>
      <c r="BX125" s="85">
        <f>BQ125*0.05</f>
        <v>0</v>
      </c>
      <c r="BY125" s="85">
        <f>BS125*0.05</f>
        <v>0</v>
      </c>
      <c r="BZ125" s="84">
        <f>BU125*0.05</f>
        <v>0</v>
      </c>
    </row>
    <row r="126" spans="1:78" x14ac:dyDescent="0.3">
      <c r="A126" s="192"/>
      <c r="B126" s="70" t="s">
        <v>103</v>
      </c>
      <c r="C126" s="20">
        <v>15</v>
      </c>
      <c r="D126" s="69"/>
      <c r="E126" s="21"/>
      <c r="F126" s="52">
        <v>1.4350000000000001</v>
      </c>
      <c r="H126" s="37">
        <v>0.254</v>
      </c>
      <c r="I126" s="52">
        <f>H126*0.2907</f>
        <v>7.3837800000000009E-2</v>
      </c>
      <c r="K126" s="53">
        <f>(I126-$I$6)/($AA$6/1000-AA126/1000)*0.05</f>
        <v>0.23772688715034654</v>
      </c>
      <c r="L126" s="68"/>
      <c r="M126" s="22">
        <v>2.3421459377710776</v>
      </c>
      <c r="O126" s="21">
        <v>0</v>
      </c>
      <c r="Q126" s="21">
        <v>0.21153589613431578</v>
      </c>
      <c r="S126" s="21">
        <v>77.601817713046131</v>
      </c>
      <c r="U126" s="21">
        <v>19.844500453048479</v>
      </c>
      <c r="W126" s="21">
        <v>0</v>
      </c>
      <c r="Y126" s="22">
        <v>0.15129633993991023</v>
      </c>
      <c r="AA126" s="21">
        <v>0</v>
      </c>
      <c r="AC126" s="21">
        <v>1.3664651008676438E-2</v>
      </c>
      <c r="AE126" s="21">
        <v>5.0128690972353622</v>
      </c>
      <c r="AG126" s="21">
        <v>1.2819014554402119</v>
      </c>
      <c r="AI126" s="21">
        <v>0</v>
      </c>
      <c r="AJ126" s="21"/>
      <c r="AK126" s="22">
        <f>8*(AG126-$AG$6)/(2*($AA$6-AA126)+2*($AI$6-AI126))</f>
        <v>0.94229718311955313</v>
      </c>
      <c r="AL126" s="22"/>
      <c r="AM126" s="22">
        <f>(AG126-$AG$6)/(($AA$6-AA126)+($AI$6-AI126))</f>
        <v>0.23557429577988828</v>
      </c>
      <c r="AN126" s="22"/>
      <c r="AO126" s="37">
        <f>8*(BW126-$BW$6)/(2*($AA$6-AA126)+2*($AI$6-AI126))</f>
        <v>7.3507770751064707E-3</v>
      </c>
      <c r="AQ126" s="37">
        <f>(BW126-$BW$6)/(($AA$6-AA126)+($AI$6-AI126))</f>
        <v>1.8376942687766177E-3</v>
      </c>
      <c r="AS126" s="37">
        <f>14*(BX126-$BX$6)/(2*($AA$6-AA126)+2*($AI$6-AI126))</f>
        <v>0</v>
      </c>
      <c r="AU126" s="37">
        <f>(BX126-$BX$6)/(($AA$6-AA126)+($AI$6-AI126))</f>
        <v>0</v>
      </c>
      <c r="BG126" s="37">
        <v>12.04</v>
      </c>
      <c r="BI126" s="2">
        <v>0</v>
      </c>
      <c r="BK126" s="2">
        <v>0</v>
      </c>
      <c r="BM126" s="2">
        <v>0</v>
      </c>
      <c r="BO126" s="22">
        <f>(BG126/1000)/60.2*1000</f>
        <v>0.19999999999999996</v>
      </c>
      <c r="BQ126" s="2">
        <f>BI126/74.08</f>
        <v>0</v>
      </c>
      <c r="BS126" s="2">
        <f>(BK126/1000)/88.12*1000</f>
        <v>0</v>
      </c>
      <c r="BU126" s="2">
        <f>BM126/88.12</f>
        <v>0</v>
      </c>
      <c r="BW126" s="52">
        <f>BO126*0.05</f>
        <v>9.9999999999999985E-3</v>
      </c>
      <c r="BX126" s="51">
        <f>BQ126*0.05</f>
        <v>0</v>
      </c>
      <c r="BY126" s="51">
        <f>BS126*0.05</f>
        <v>0</v>
      </c>
      <c r="BZ126" s="67">
        <f>BU126*0.05</f>
        <v>0</v>
      </c>
    </row>
    <row r="127" spans="1:78" x14ac:dyDescent="0.3">
      <c r="A127" s="192"/>
      <c r="B127" s="70" t="s">
        <v>102</v>
      </c>
      <c r="C127" s="20">
        <v>15</v>
      </c>
      <c r="D127" s="69"/>
      <c r="E127" s="21"/>
      <c r="F127" s="52">
        <v>1.415</v>
      </c>
      <c r="H127" s="37">
        <v>0.245</v>
      </c>
      <c r="I127" s="52">
        <f>H127*0.2907</f>
        <v>7.1221500000000007E-2</v>
      </c>
      <c r="K127" s="53">
        <f>(I127-$I$7)/($AA$7/1000-AA127/1000)*0.05</f>
        <v>0.25350470948417803</v>
      </c>
      <c r="L127" s="68"/>
      <c r="M127" s="22">
        <v>2.5192298057618334</v>
      </c>
      <c r="O127" s="21">
        <v>0</v>
      </c>
      <c r="Q127" s="21">
        <v>9.9282124593258664E-2</v>
      </c>
      <c r="S127" s="21">
        <v>78.152096693810364</v>
      </c>
      <c r="U127" s="21">
        <v>19.229391375834531</v>
      </c>
      <c r="W127" s="21">
        <v>0</v>
      </c>
      <c r="Y127" s="22">
        <v>0.16046739207187322</v>
      </c>
      <c r="AA127" s="21">
        <v>0</v>
      </c>
      <c r="AC127" s="21">
        <v>6.3239739290148591E-3</v>
      </c>
      <c r="AE127" s="21">
        <v>4.9780544485151346</v>
      </c>
      <c r="AG127" s="21">
        <v>1.2248546274548393</v>
      </c>
      <c r="AI127" s="21">
        <v>0</v>
      </c>
      <c r="AJ127" s="21"/>
      <c r="AK127" s="22">
        <f>8*(AG127-$AG$7)/(2*($AA$7-AA127)+2*($AI$7-AI127))</f>
        <v>0.89011127305724702</v>
      </c>
      <c r="AL127" s="22"/>
      <c r="AM127" s="22">
        <f>(AG127-$AG$7)/(($AA$7-AA127)+($AI$7-AI127))</f>
        <v>0.22252781826431176</v>
      </c>
      <c r="AN127" s="22"/>
      <c r="AO127" s="37">
        <f>8*(BW127-$BW$7)/(2*($AA$7-AA127)+2*($AI$7-AI127))</f>
        <v>6.790250396323025E-3</v>
      </c>
      <c r="AQ127" s="37">
        <f>(BW127-$BW$7)/(($AA$7-AA127)+($AI$7-AI127))</f>
        <v>1.6975625990807563E-3</v>
      </c>
      <c r="AS127" s="37">
        <f>14*(BX127-$BX$7)/(2*($AA$7-AA127)+2*($AI$7-AI127))</f>
        <v>0</v>
      </c>
      <c r="AU127" s="37">
        <f>(BX127-$BX$7)/(($AA$7-AA127)+($AI$7-AI127))</f>
        <v>0</v>
      </c>
      <c r="BG127" s="37">
        <v>11.25</v>
      </c>
      <c r="BI127" s="2">
        <v>0</v>
      </c>
      <c r="BK127" s="2">
        <v>0</v>
      </c>
      <c r="BM127" s="2">
        <v>0</v>
      </c>
      <c r="BO127" s="22">
        <f>(BG127/1000)/60.2*1000</f>
        <v>0.18687707641196014</v>
      </c>
      <c r="BQ127" s="2">
        <f>BI127/74.08</f>
        <v>0</v>
      </c>
      <c r="BS127" s="2">
        <f>(BK127/1000)/88.12*1000</f>
        <v>0</v>
      </c>
      <c r="BU127" s="2">
        <f>BM127/88.12</f>
        <v>0</v>
      </c>
      <c r="BW127" s="52">
        <f>BO127*0.05</f>
        <v>9.3438538205980071E-3</v>
      </c>
      <c r="BX127" s="51">
        <f>BQ127*0.05</f>
        <v>0</v>
      </c>
      <c r="BY127" s="51">
        <f>BS127*0.05</f>
        <v>0</v>
      </c>
      <c r="BZ127" s="67">
        <f>BU127*0.05</f>
        <v>0</v>
      </c>
    </row>
    <row r="128" spans="1:78" x14ac:dyDescent="0.3">
      <c r="A128" s="192"/>
      <c r="B128" s="83" t="s">
        <v>63</v>
      </c>
      <c r="C128" s="80">
        <v>15</v>
      </c>
      <c r="D128" s="79"/>
      <c r="E128" s="76"/>
      <c r="F128" s="74">
        <f>AVERAGE(F125:F127)</f>
        <v>1.4333333333333333</v>
      </c>
      <c r="G128" s="73">
        <f>_xlfn.STDEV.S(F125:F127)</f>
        <v>1.7559422921421194E-2</v>
      </c>
      <c r="H128" s="78">
        <f>AVERAGE(H125:H127)</f>
        <v>0.24766666666666667</v>
      </c>
      <c r="I128" s="74">
        <f>AVERAGE(I125:I127)</f>
        <v>7.1996700000000011E-2</v>
      </c>
      <c r="J128" s="82">
        <f>_xlfn.STDEV.S(I125:I127)</f>
        <v>1.6010507580960726E-3</v>
      </c>
      <c r="K128" s="82">
        <f>AVERAGE(K125:K127)</f>
        <v>0.23252092837540309</v>
      </c>
      <c r="L128" s="81">
        <f>_xlfn.STDEV.S(K125:K127)</f>
        <v>2.4013783037707941E-2</v>
      </c>
      <c r="M128" s="77">
        <f>AVERAGE(M125:M127)</f>
        <v>2.4295090708683422</v>
      </c>
      <c r="N128" s="76">
        <f>_xlfn.STDEV.S(M125:M127)</f>
        <v>8.8565471772661122E-2</v>
      </c>
      <c r="O128" s="76">
        <f>AVERAGE(O125:O127)</f>
        <v>0</v>
      </c>
      <c r="P128" s="76">
        <f>_xlfn.STDEV.S(O125:O127)</f>
        <v>0</v>
      </c>
      <c r="Q128" s="76">
        <f>AVERAGE(Q125:Q127)</f>
        <v>0.15391322890085959</v>
      </c>
      <c r="R128" s="76">
        <f>_xlfn.STDEV.S(Q125:Q127)</f>
        <v>5.6186647816473832E-2</v>
      </c>
      <c r="S128" s="76">
        <f>AVERAGE(S125:S127)</f>
        <v>77.861595713697355</v>
      </c>
      <c r="T128" s="76">
        <f>_xlfn.STDEV.S(S125:S127)</f>
        <v>0.27642298252494962</v>
      </c>
      <c r="U128" s="76">
        <f>AVERAGE(U125:U127)</f>
        <v>19.554981986533448</v>
      </c>
      <c r="V128" s="76">
        <f>_xlfn.STDEV.S(U125:U127)</f>
        <v>0.30913701478028455</v>
      </c>
      <c r="W128" s="76">
        <f>AVERAGE(W125:W127)</f>
        <v>0</v>
      </c>
      <c r="X128" s="76">
        <f>_xlfn.STDEV.S(W125:W127)</f>
        <v>0</v>
      </c>
      <c r="Y128" s="77">
        <f>AVERAGE(Y125:Y127)</f>
        <v>0.15673003149192402</v>
      </c>
      <c r="Z128" s="76">
        <f>_xlfn.STDEV.S(Y125:Y127)</f>
        <v>4.8151015956971127E-3</v>
      </c>
      <c r="AA128" s="76">
        <f>AVERAGE(AA125:AA127)</f>
        <v>0</v>
      </c>
      <c r="AB128" s="76">
        <f>_xlfn.STDEV.S(AA125:AA127)</f>
        <v>0</v>
      </c>
      <c r="AC128" s="76">
        <f>AVERAGE(AC125:AC127)</f>
        <v>9.9465555765749503E-3</v>
      </c>
      <c r="AD128" s="76">
        <f>_xlfn.STDEV.S(AC125:AC127)</f>
        <v>3.6712705102246623E-3</v>
      </c>
      <c r="AE128" s="76">
        <f>AVERAGE(AE125:AE127)</f>
        <v>5.0237143255178811</v>
      </c>
      <c r="AF128" s="76">
        <f>_xlfn.STDEV.S(AE125:AE127)</f>
        <v>5.1938763306921452E-2</v>
      </c>
      <c r="AG128" s="76">
        <f>AVERAGE(AG125:AG127)</f>
        <v>1.261838039233339</v>
      </c>
      <c r="AH128" s="76">
        <f>_xlfn.STDEV.S(AG125:AG127)</f>
        <v>3.2067114516371453E-2</v>
      </c>
      <c r="AI128" s="76">
        <f>AVERAGE(AI125:AI127)</f>
        <v>0</v>
      </c>
      <c r="AJ128" s="76">
        <f>_xlfn.STDEV.S(AI125:AI127)</f>
        <v>0</v>
      </c>
      <c r="AK128" s="77">
        <f>AVERAGE(AK125:AK127)</f>
        <v>0.92110323136305905</v>
      </c>
      <c r="AL128" s="77">
        <f>_xlfn.STDEV.S(AK125:AK127)</f>
        <v>2.7437984647439642E-2</v>
      </c>
      <c r="AM128" s="77">
        <f>AVERAGE(AM125:AM127)</f>
        <v>0.23027580784076476</v>
      </c>
      <c r="AN128" s="77">
        <f>_xlfn.STDEV.S(AM125:AM127)</f>
        <v>6.8594961618599105E-3</v>
      </c>
      <c r="AO128" s="78">
        <f>AVERAGE(AO125:AO127)</f>
        <v>8.4321422203244064E-3</v>
      </c>
      <c r="AP128" s="78">
        <f>_xlfn.STDEV.S(AO125:AO127)</f>
        <v>2.3750039851983791E-3</v>
      </c>
      <c r="AQ128" s="78">
        <f>AVERAGE(AQ125:AQ127)</f>
        <v>2.1080355550811016E-3</v>
      </c>
      <c r="AR128" s="78">
        <f>_xlfn.STDEV.S(AQ125:AQ127)</f>
        <v>5.9375099629959478E-4</v>
      </c>
      <c r="AS128" s="78">
        <f>AVERAGE(AS125:AS127)</f>
        <v>0</v>
      </c>
      <c r="AT128" s="78">
        <f>_xlfn.STDEV.S(AS125:AS127)</f>
        <v>0</v>
      </c>
      <c r="AU128" s="78">
        <f>AVERAGE(AU125:AU127)</f>
        <v>0</v>
      </c>
      <c r="AV128" s="80">
        <f>_xlfn.STDEV.S(AU125:AU127)</f>
        <v>0</v>
      </c>
      <c r="AW128" s="80"/>
      <c r="AX128" s="80"/>
      <c r="AY128" s="79">
        <f>SUM(AK128,AO128,AS128)</f>
        <v>0.92953537358338345</v>
      </c>
      <c r="AZ128" s="77">
        <f>SUM(AL128,AP128,AT128)</f>
        <v>2.981298863263802E-2</v>
      </c>
      <c r="BA128" s="78"/>
      <c r="BB128" s="78"/>
      <c r="BC128" s="78"/>
      <c r="BD128" s="78"/>
      <c r="BE128" s="78"/>
      <c r="BF128" s="78"/>
      <c r="BG128" s="78"/>
      <c r="BH128" s="75"/>
      <c r="BI128" s="75"/>
      <c r="BJ128" s="75"/>
      <c r="BK128" s="75"/>
      <c r="BL128" s="75"/>
      <c r="BM128" s="75"/>
      <c r="BN128" s="75"/>
      <c r="BO128" s="77">
        <f>AVERAGE(BO125:BO127)</f>
        <v>0.23111849390919156</v>
      </c>
      <c r="BP128" s="76">
        <f>_xlfn.STDEV.S(BO125:BO127)</f>
        <v>6.559260603347232E-2</v>
      </c>
      <c r="BQ128" s="75">
        <f>AVERAGE(BQ125:BQ127)</f>
        <v>0</v>
      </c>
      <c r="BR128" s="75">
        <f>_xlfn.STDEV.S(BQ125:BQ127)</f>
        <v>0</v>
      </c>
      <c r="BS128" s="75">
        <f>AVERAGE(BS125:BS127)</f>
        <v>0</v>
      </c>
      <c r="BT128" s="75">
        <f>_xlfn.STDEV.S(BS125:BS127)</f>
        <v>0</v>
      </c>
      <c r="BU128" s="75">
        <f>AVERAGE(BU125:BU127)</f>
        <v>0</v>
      </c>
      <c r="BV128" s="75">
        <f>_xlfn.STDEV.S(BU125:BU127)</f>
        <v>0</v>
      </c>
      <c r="BW128" s="74">
        <f>AVERAGE(BW125:BW127)</f>
        <v>1.1555924695459579E-2</v>
      </c>
      <c r="BX128" s="73">
        <f>BQ128*0.05</f>
        <v>0</v>
      </c>
      <c r="BY128" s="73">
        <f>BS128*0.05</f>
        <v>0</v>
      </c>
      <c r="BZ128" s="72">
        <f>BU128*0.05</f>
        <v>0</v>
      </c>
    </row>
    <row r="129" spans="1:78" x14ac:dyDescent="0.3">
      <c r="A129" s="191" t="s">
        <v>58</v>
      </c>
      <c r="B129" s="70" t="s">
        <v>101</v>
      </c>
      <c r="C129" s="20">
        <v>15</v>
      </c>
      <c r="D129" s="69"/>
      <c r="E129" s="21"/>
      <c r="F129" s="52"/>
      <c r="I129" s="52">
        <f>H129*0.2907</f>
        <v>0</v>
      </c>
      <c r="L129" s="68"/>
      <c r="AJ129" s="21"/>
      <c r="BZ129" s="67"/>
    </row>
    <row r="130" spans="1:78" x14ac:dyDescent="0.3">
      <c r="A130" s="192"/>
      <c r="B130" s="70" t="s">
        <v>100</v>
      </c>
      <c r="C130" s="20">
        <v>15</v>
      </c>
      <c r="D130" s="69"/>
      <c r="E130" s="21"/>
      <c r="F130" s="52"/>
      <c r="I130" s="52">
        <f>H130*0.2907</f>
        <v>0</v>
      </c>
      <c r="L130" s="68"/>
      <c r="AJ130" s="21"/>
      <c r="BZ130" s="67"/>
    </row>
    <row r="131" spans="1:78" x14ac:dyDescent="0.3">
      <c r="A131" s="192"/>
      <c r="B131" s="70" t="s">
        <v>99</v>
      </c>
      <c r="C131" s="20">
        <v>15</v>
      </c>
      <c r="D131" s="69"/>
      <c r="E131" s="21"/>
      <c r="F131" s="52"/>
      <c r="G131" s="67"/>
      <c r="I131" s="52">
        <f>H131*0.2907</f>
        <v>0</v>
      </c>
      <c r="L131" s="68"/>
      <c r="AJ131" s="21"/>
      <c r="BZ131" s="67"/>
    </row>
    <row r="132" spans="1:78" ht="15" thickBot="1" x14ac:dyDescent="0.35">
      <c r="A132" s="192"/>
      <c r="B132" s="66" t="s">
        <v>63</v>
      </c>
      <c r="C132" s="65">
        <v>15</v>
      </c>
      <c r="D132" s="64"/>
      <c r="E132" s="58"/>
      <c r="F132" s="56" t="e">
        <f>AVERAGE(F129:F131)</f>
        <v>#DIV/0!</v>
      </c>
      <c r="G132" s="55" t="e">
        <f>_xlfn.STDEV.S(F129:F131)</f>
        <v>#DIV/0!</v>
      </c>
      <c r="H132" s="60" t="e">
        <f>AVERAGE(H129:H131)</f>
        <v>#DIV/0!</v>
      </c>
      <c r="I132" s="56">
        <f>AVERAGE(I129:I131)</f>
        <v>0</v>
      </c>
      <c r="J132" s="63">
        <f>_xlfn.STDEV.S(I129:I131)</f>
        <v>0</v>
      </c>
      <c r="K132" s="63"/>
      <c r="L132" s="62" t="e">
        <f>_xlfn.STDEV.S(K129:K131)</f>
        <v>#DIV/0!</v>
      </c>
      <c r="M132" s="59" t="e">
        <f>AVERAGE(M129:M131)</f>
        <v>#DIV/0!</v>
      </c>
      <c r="N132" s="58" t="e">
        <f>_xlfn.STDEV.S(M129:M131)</f>
        <v>#DIV/0!</v>
      </c>
      <c r="O132" s="58" t="e">
        <f>AVERAGE(O129:O131)</f>
        <v>#DIV/0!</v>
      </c>
      <c r="P132" s="58" t="e">
        <f>_xlfn.STDEV.S(O129:O131)</f>
        <v>#DIV/0!</v>
      </c>
      <c r="Q132" s="58" t="e">
        <f>AVERAGE(Q129:Q131)</f>
        <v>#DIV/0!</v>
      </c>
      <c r="R132" s="58" t="e">
        <f>_xlfn.STDEV.S(Q129:Q131)</f>
        <v>#DIV/0!</v>
      </c>
      <c r="S132" s="58" t="e">
        <f>AVERAGE(S129:S131)</f>
        <v>#DIV/0!</v>
      </c>
      <c r="T132" s="58" t="e">
        <f>_xlfn.STDEV.S(S129:S131)</f>
        <v>#DIV/0!</v>
      </c>
      <c r="U132" s="58" t="e">
        <f>AVERAGE(U129:U131)</f>
        <v>#DIV/0!</v>
      </c>
      <c r="V132" s="58" t="e">
        <f>_xlfn.STDEV.S(U129:U131)</f>
        <v>#DIV/0!</v>
      </c>
      <c r="W132" s="58" t="e">
        <f>AVERAGE(W129:W131)</f>
        <v>#DIV/0!</v>
      </c>
      <c r="X132" s="58" t="e">
        <f>_xlfn.STDEV.S(W129:W131)</f>
        <v>#DIV/0!</v>
      </c>
      <c r="Y132" s="59" t="e">
        <f>AVERAGE(Y129:Y131)</f>
        <v>#DIV/0!</v>
      </c>
      <c r="Z132" s="58" t="e">
        <f>_xlfn.STDEV.S(Y129:Y131)</f>
        <v>#DIV/0!</v>
      </c>
      <c r="AA132" s="58" t="e">
        <f>AVERAGE(AA129:AA131)</f>
        <v>#DIV/0!</v>
      </c>
      <c r="AB132" s="58" t="e">
        <f>_xlfn.STDEV.S(AA129:AA131)</f>
        <v>#DIV/0!</v>
      </c>
      <c r="AC132" s="58" t="e">
        <f>AVERAGE(AC129:AC131)</f>
        <v>#DIV/0!</v>
      </c>
      <c r="AD132" s="58" t="e">
        <f>_xlfn.STDEV.S(AC129:AC131)</f>
        <v>#DIV/0!</v>
      </c>
      <c r="AE132" s="58" t="e">
        <f>AVERAGE(AE129:AE131)</f>
        <v>#DIV/0!</v>
      </c>
      <c r="AF132" s="58" t="e">
        <f>_xlfn.STDEV.S(AE129:AE131)</f>
        <v>#DIV/0!</v>
      </c>
      <c r="AG132" s="58" t="e">
        <f>AVERAGE(AG129:AG131)</f>
        <v>#DIV/0!</v>
      </c>
      <c r="AH132" s="58" t="e">
        <f>_xlfn.STDEV.S(AG129:AG131)</f>
        <v>#DIV/0!</v>
      </c>
      <c r="AI132" s="58" t="e">
        <f>AVERAGE(AI129:AI131)</f>
        <v>#DIV/0!</v>
      </c>
      <c r="AJ132" s="58" t="e">
        <f>_xlfn.STDEV.S(AI129:AI131)</f>
        <v>#DIV/0!</v>
      </c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57"/>
      <c r="BI132" s="57"/>
      <c r="BJ132" s="57"/>
      <c r="BK132" s="57"/>
      <c r="BL132" s="57"/>
      <c r="BM132" s="57"/>
      <c r="BN132" s="57"/>
      <c r="BO132" s="59" t="e">
        <f>AVERAGE(BO129:BO131)</f>
        <v>#DIV/0!</v>
      </c>
      <c r="BP132" s="58" t="e">
        <f>_xlfn.STDEV.S(BO129:BO131)</f>
        <v>#DIV/0!</v>
      </c>
      <c r="BQ132" s="57" t="e">
        <f>AVERAGE(BQ129:BQ131)</f>
        <v>#DIV/0!</v>
      </c>
      <c r="BR132" s="57" t="e">
        <f>_xlfn.STDEV.S(BQ129:BQ131)</f>
        <v>#DIV/0!</v>
      </c>
      <c r="BS132" s="57" t="e">
        <f>AVERAGE(BS129:BS131)</f>
        <v>#DIV/0!</v>
      </c>
      <c r="BT132" s="57" t="e">
        <f>_xlfn.STDEV.S(BS129:BS131)</f>
        <v>#DIV/0!</v>
      </c>
      <c r="BU132" s="57" t="e">
        <f>AVERAGE(BU129:BU131)</f>
        <v>#DIV/0!</v>
      </c>
      <c r="BV132" s="57" t="e">
        <f>_xlfn.STDEV.S(BU129:BU131)</f>
        <v>#DIV/0!</v>
      </c>
      <c r="BW132" s="56" t="e">
        <f>AVERAGE(BW129:BW131)</f>
        <v>#DIV/0!</v>
      </c>
      <c r="BX132" s="55" t="e">
        <f>BQ132*0.05</f>
        <v>#DIV/0!</v>
      </c>
      <c r="BY132" s="55" t="e">
        <f>BS132*0.05</f>
        <v>#DIV/0!</v>
      </c>
      <c r="BZ132" s="54" t="e">
        <f>BU132*0.05</f>
        <v>#DIV/0!</v>
      </c>
    </row>
    <row r="133" spans="1:78" x14ac:dyDescent="0.3">
      <c r="A133" s="191" t="s">
        <v>57</v>
      </c>
      <c r="B133" s="95" t="s">
        <v>104</v>
      </c>
      <c r="C133" s="94">
        <v>16</v>
      </c>
      <c r="D133" s="69">
        <v>7.54</v>
      </c>
      <c r="E133" s="21"/>
      <c r="F133" s="86">
        <v>1.4450000000000001</v>
      </c>
      <c r="G133" s="85"/>
      <c r="H133" s="90">
        <v>0.245</v>
      </c>
      <c r="I133" s="86">
        <f>H133*0.2907</f>
        <v>7.1221500000000007E-2</v>
      </c>
      <c r="J133" s="92"/>
      <c r="K133" s="92">
        <f>(I133-$I$5)/($AA$5/1000-AA133/1000)*0.05</f>
        <v>0.20897646013901405</v>
      </c>
      <c r="L133" s="91"/>
      <c r="M133" s="89">
        <v>2.5330155669458185</v>
      </c>
      <c r="N133" s="88"/>
      <c r="O133" s="88">
        <v>0</v>
      </c>
      <c r="P133" s="88"/>
      <c r="Q133" s="88">
        <v>5.430619106323311E-2</v>
      </c>
      <c r="R133" s="88"/>
      <c r="S133" s="88">
        <v>78.463901990791925</v>
      </c>
      <c r="T133" s="88"/>
      <c r="U133" s="88">
        <v>18.948776251199014</v>
      </c>
      <c r="V133" s="88"/>
      <c r="W133" s="88">
        <v>0</v>
      </c>
      <c r="X133" s="88"/>
      <c r="Y133" s="89">
        <v>0.16476625649289486</v>
      </c>
      <c r="Z133" s="88"/>
      <c r="AA133" s="88">
        <v>0</v>
      </c>
      <c r="AB133" s="88"/>
      <c r="AC133" s="88">
        <v>3.5324803852925619E-3</v>
      </c>
      <c r="AD133" s="88"/>
      <c r="AE133" s="88">
        <v>5.1038783849387706</v>
      </c>
      <c r="AF133" s="88"/>
      <c r="AG133" s="88">
        <v>1.2325699726338533</v>
      </c>
      <c r="AH133" s="88"/>
      <c r="AI133" s="88">
        <v>0</v>
      </c>
      <c r="AJ133" s="88"/>
      <c r="AK133" s="89">
        <f>8*(AG133-$AG$5)/(2*($AA$5-AA133)+2*($AI$5-AI133))</f>
        <v>0.89727757879814862</v>
      </c>
      <c r="AL133" s="89"/>
      <c r="AM133" s="89">
        <f>(AG133-$AG$5)/(($AA$5-AA133)+($AI$5-AI133))</f>
        <v>0.22431939469953716</v>
      </c>
      <c r="AN133" s="89"/>
      <c r="AO133" s="37">
        <f>8*(BW133-$BW$5)/(2*($AA$5-AA133)+2*($AI$5-AI133))</f>
        <v>7.4973956612651581E-4</v>
      </c>
      <c r="AQ133" s="37">
        <f>(BW133-$BW$5)/(($AA$5-AA133)+($AI$5-AI133))</f>
        <v>1.8743489153162895E-4</v>
      </c>
      <c r="AS133" s="37">
        <f>14*(BX133-$BX$5)/(2*($AA$5-AA133)+2*($AI$5-AI133))</f>
        <v>0</v>
      </c>
      <c r="AU133" s="37">
        <f>(BX133-$BX$5)/(($AA$5-AA133)+($AI$5-AI133))</f>
        <v>0</v>
      </c>
      <c r="AY133" s="90"/>
      <c r="AZ133" s="90"/>
      <c r="BA133" s="90"/>
      <c r="BB133" s="90"/>
      <c r="BC133" s="90"/>
      <c r="BD133" s="90"/>
      <c r="BE133" s="90"/>
      <c r="BF133" s="90"/>
      <c r="BG133" s="90">
        <v>1.24</v>
      </c>
      <c r="BH133" s="87"/>
      <c r="BI133" s="87">
        <v>0</v>
      </c>
      <c r="BJ133" s="87"/>
      <c r="BK133" s="87">
        <v>0</v>
      </c>
      <c r="BL133" s="87"/>
      <c r="BM133" s="87">
        <v>0</v>
      </c>
      <c r="BN133" s="87"/>
      <c r="BO133" s="89">
        <f>(BG133/1000)/60.2*1000</f>
        <v>2.0598006644518271E-2</v>
      </c>
      <c r="BP133" s="88"/>
      <c r="BQ133" s="87">
        <f>BI133/74.08</f>
        <v>0</v>
      </c>
      <c r="BR133" s="87"/>
      <c r="BS133" s="87">
        <f>(BK133/1000)/88.12*1000</f>
        <v>0</v>
      </c>
      <c r="BT133" s="87"/>
      <c r="BU133" s="87">
        <f>BM133/88.12</f>
        <v>0</v>
      </c>
      <c r="BV133" s="87"/>
      <c r="BW133" s="86">
        <f>BO133*0.05</f>
        <v>1.0299003322259135E-3</v>
      </c>
      <c r="BX133" s="85">
        <f>BQ133*0.05</f>
        <v>0</v>
      </c>
      <c r="BY133" s="85">
        <f>BS133*0.05</f>
        <v>0</v>
      </c>
      <c r="BZ133" s="84">
        <f>BU133*0.05</f>
        <v>0</v>
      </c>
    </row>
    <row r="134" spans="1:78" x14ac:dyDescent="0.3">
      <c r="A134" s="192"/>
      <c r="B134" s="70" t="s">
        <v>103</v>
      </c>
      <c r="C134" s="20">
        <v>16</v>
      </c>
      <c r="D134" s="69">
        <v>7.58</v>
      </c>
      <c r="E134" s="21"/>
      <c r="F134" s="52">
        <v>1.44</v>
      </c>
      <c r="H134" s="37">
        <v>0.25900000000000001</v>
      </c>
      <c r="I134" s="52">
        <f>H134*0.2907</f>
        <v>7.5291300000000005E-2</v>
      </c>
      <c r="K134" s="53">
        <f>(I134-$I$6)/($AA$6/1000-AA134/1000)*0.05</f>
        <v>0.2510823302486806</v>
      </c>
      <c r="L134" s="68"/>
      <c r="M134" s="22">
        <v>2.282625621458918</v>
      </c>
      <c r="O134" s="21">
        <v>0</v>
      </c>
      <c r="Q134" s="21">
        <v>0.15052914326926242</v>
      </c>
      <c r="S134" s="21">
        <v>78.385473742830428</v>
      </c>
      <c r="U134" s="21">
        <v>19.181371492441386</v>
      </c>
      <c r="W134" s="21">
        <v>0</v>
      </c>
      <c r="Y134" s="22">
        <v>0.14796525554063372</v>
      </c>
      <c r="AA134" s="21">
        <v>0</v>
      </c>
      <c r="AC134" s="21">
        <v>9.7576593116103991E-3</v>
      </c>
      <c r="AE134" s="21">
        <v>5.0811339993715583</v>
      </c>
      <c r="AG134" s="21">
        <v>1.243382404813683</v>
      </c>
      <c r="AI134" s="21">
        <v>0</v>
      </c>
      <c r="AJ134" s="21"/>
      <c r="AK134" s="22">
        <f>8*(AG134-$AG$6)/(2*($AA$6-AA134)+2*($AI$6-AI134))</f>
        <v>0.91398268768951763</v>
      </c>
      <c r="AL134" s="22"/>
      <c r="AM134" s="22">
        <f>(AG134-$AG$6)/(($AA$6-AA134)+($AI$6-AI134))</f>
        <v>0.22849567192237941</v>
      </c>
      <c r="AN134" s="22"/>
      <c r="AO134" s="37">
        <f>8*(BW134-$BW$6)/(2*($AA$6-AA134)+2*($AI$6-AI134))</f>
        <v>3.5838090889431062E-3</v>
      </c>
      <c r="AQ134" s="37">
        <f>(BW134-$BW$6)/(($AA$6-AA134)+($AI$6-AI134))</f>
        <v>8.9595227223577655E-4</v>
      </c>
      <c r="AS134" s="37">
        <f>14*(BX134-$BX$6)/(2*($AA$6-AA134)+2*($AI$6-AI134))</f>
        <v>0</v>
      </c>
      <c r="AU134" s="37">
        <f>(BX134-$BX$6)/(($AA$6-AA134)+($AI$6-AI134))</f>
        <v>0</v>
      </c>
      <c r="BG134" s="37">
        <v>5.87</v>
      </c>
      <c r="BI134" s="2">
        <v>0</v>
      </c>
      <c r="BK134" s="2">
        <v>0</v>
      </c>
      <c r="BM134" s="2">
        <v>0</v>
      </c>
      <c r="BO134" s="22">
        <f>(BG134/1000)/60.2*1000</f>
        <v>9.7508305647840535E-2</v>
      </c>
      <c r="BQ134" s="2">
        <f>BI134/74.08</f>
        <v>0</v>
      </c>
      <c r="BS134" s="2">
        <f>(BK134/1000)/88.12*1000</f>
        <v>0</v>
      </c>
      <c r="BU134" s="2">
        <f>BM134/88.12</f>
        <v>0</v>
      </c>
      <c r="BW134" s="52">
        <f>BO134*0.05</f>
        <v>4.8754152823920274E-3</v>
      </c>
      <c r="BX134" s="51">
        <f>BQ134*0.05</f>
        <v>0</v>
      </c>
      <c r="BY134" s="51">
        <f>BS134*0.05</f>
        <v>0</v>
      </c>
      <c r="BZ134" s="67">
        <f>BU134*0.05</f>
        <v>0</v>
      </c>
    </row>
    <row r="135" spans="1:78" x14ac:dyDescent="0.3">
      <c r="A135" s="192"/>
      <c r="B135" s="70" t="s">
        <v>102</v>
      </c>
      <c r="C135" s="20">
        <v>16</v>
      </c>
      <c r="D135" s="69">
        <v>7.49</v>
      </c>
      <c r="E135" s="21"/>
      <c r="F135" s="52">
        <v>1.39</v>
      </c>
      <c r="H135" s="37">
        <v>0.24399999999999999</v>
      </c>
      <c r="I135" s="52">
        <f>H135*0.2907</f>
        <v>7.0930800000000002E-2</v>
      </c>
      <c r="K135" s="53">
        <f>(I135-$I$7)/($AA$7/1000-AA135/1000)*0.05</f>
        <v>0.2508640354270511</v>
      </c>
      <c r="L135" s="68"/>
      <c r="M135" s="22">
        <v>2.6550531465597436</v>
      </c>
      <c r="O135" s="21">
        <v>0</v>
      </c>
      <c r="Q135" s="21">
        <v>9.143808927392709E-2</v>
      </c>
      <c r="S135" s="21">
        <v>77.721273961322254</v>
      </c>
      <c r="U135" s="21">
        <v>19.532234802844066</v>
      </c>
      <c r="W135" s="21">
        <v>0</v>
      </c>
      <c r="Y135" s="22">
        <v>0.16613096501431693</v>
      </c>
      <c r="AA135" s="21">
        <v>0</v>
      </c>
      <c r="AC135" s="21">
        <v>5.7214289777309914E-3</v>
      </c>
      <c r="AE135" s="21">
        <v>4.8631456820617833</v>
      </c>
      <c r="AG135" s="21">
        <v>1.222163488850408</v>
      </c>
      <c r="AI135" s="21">
        <v>0</v>
      </c>
      <c r="AJ135" s="21"/>
      <c r="AK135" s="22">
        <f>8*(AG135-$AG$7)/(2*($AA$7-AA135)+2*($AI$7-AI135))</f>
        <v>0.88815560194700161</v>
      </c>
      <c r="AL135" s="22"/>
      <c r="AM135" s="22">
        <f>(AG135-$AG$7)/(($AA$7-AA135)+($AI$7-AI135))</f>
        <v>0.2220389004867504</v>
      </c>
      <c r="AN135" s="22"/>
      <c r="AO135" s="37">
        <f>8*(BW135-$BW$7)/(2*($AA$7-AA135)+2*($AI$7-AI135))</f>
        <v>1.7684829921090191E-3</v>
      </c>
      <c r="AQ135" s="37">
        <f>(BW135-$BW$7)/(($AA$7-AA135)+($AI$7-AI135))</f>
        <v>4.4212074802725478E-4</v>
      </c>
      <c r="AS135" s="37">
        <f>14*(BX135-$BX$7)/(2*($AA$7-AA135)+2*($AI$7-AI135))</f>
        <v>0</v>
      </c>
      <c r="AU135" s="37">
        <f>(BX135-$BX$7)/(($AA$7-AA135)+($AI$7-AI135))</f>
        <v>0</v>
      </c>
      <c r="BG135" s="37">
        <v>2.93</v>
      </c>
      <c r="BI135" s="2">
        <v>0</v>
      </c>
      <c r="BK135" s="2">
        <v>0</v>
      </c>
      <c r="BM135" s="2">
        <v>0</v>
      </c>
      <c r="BO135" s="22">
        <f>(BG135/1000)/60.2*1000</f>
        <v>4.8671096345514954E-2</v>
      </c>
      <c r="BQ135" s="2">
        <f>BI135/74.08</f>
        <v>0</v>
      </c>
      <c r="BS135" s="2">
        <f>(BK135/1000)/88.12*1000</f>
        <v>0</v>
      </c>
      <c r="BU135" s="2">
        <f>BM135/88.12</f>
        <v>0</v>
      </c>
      <c r="BW135" s="52">
        <f>BO135*0.05</f>
        <v>2.433554817275748E-3</v>
      </c>
      <c r="BX135" s="51">
        <f>BQ135*0.05</f>
        <v>0</v>
      </c>
      <c r="BY135" s="51">
        <f>BS135*0.05</f>
        <v>0</v>
      </c>
      <c r="BZ135" s="67">
        <f>BU135*0.05</f>
        <v>0</v>
      </c>
    </row>
    <row r="136" spans="1:78" x14ac:dyDescent="0.3">
      <c r="A136" s="192"/>
      <c r="B136" s="83" t="s">
        <v>63</v>
      </c>
      <c r="C136" s="80">
        <v>16</v>
      </c>
      <c r="D136" s="73">
        <f>AVERAGE(D133:D135)</f>
        <v>7.5366666666666662</v>
      </c>
      <c r="E136" s="79">
        <f>_xlfn.STDEV.S(D133:D135)</f>
        <v>4.5092497528228866E-2</v>
      </c>
      <c r="F136" s="74">
        <f>AVERAGE(F133:F135)</f>
        <v>1.4249999999999998</v>
      </c>
      <c r="G136" s="73">
        <f>_xlfn.STDEV.S(F133:F135)</f>
        <v>3.0413812651491162E-2</v>
      </c>
      <c r="H136" s="78">
        <f>AVERAGE(H133:H135)</f>
        <v>0.24933333333333332</v>
      </c>
      <c r="I136" s="74">
        <f>AVERAGE(I133:I135)</f>
        <v>7.248120000000001E-2</v>
      </c>
      <c r="J136" s="82">
        <f>_xlfn.STDEV.S(I133:I135)</f>
        <v>2.4379547022042886E-3</v>
      </c>
      <c r="K136" s="82">
        <f>AVERAGE(K133:K135)</f>
        <v>0.23697427527158191</v>
      </c>
      <c r="L136" s="81">
        <f>_xlfn.STDEV.S(K133:K135)</f>
        <v>2.424706481835218E-2</v>
      </c>
      <c r="M136" s="77">
        <f>AVERAGE(M133:M135)</f>
        <v>2.4902314449881602</v>
      </c>
      <c r="N136" s="76">
        <f>_xlfn.STDEV.S(M133:M135)</f>
        <v>0.18986423091764112</v>
      </c>
      <c r="O136" s="76">
        <f>AVERAGE(O133:O135)</f>
        <v>0</v>
      </c>
      <c r="P136" s="76">
        <f>_xlfn.STDEV.S(O133:O135)</f>
        <v>0</v>
      </c>
      <c r="Q136" s="76">
        <f>AVERAGE(Q133:Q135)</f>
        <v>9.8757807868807543E-2</v>
      </c>
      <c r="R136" s="76">
        <f>_xlfn.STDEV.S(Q133:Q135)</f>
        <v>4.8527289673359369E-2</v>
      </c>
      <c r="S136" s="76">
        <f>AVERAGE(S133:S135)</f>
        <v>78.19021656498154</v>
      </c>
      <c r="T136" s="76">
        <f>_xlfn.STDEV.S(S133:S135)</f>
        <v>0.40800505102833845</v>
      </c>
      <c r="U136" s="76">
        <f>AVERAGE(U133:U135)</f>
        <v>19.220794182161487</v>
      </c>
      <c r="V136" s="76">
        <f>_xlfn.STDEV.S(U133:U135)</f>
        <v>0.29372024397462115</v>
      </c>
      <c r="W136" s="76">
        <f>AVERAGE(W133:W135)</f>
        <v>0</v>
      </c>
      <c r="X136" s="76">
        <f>_xlfn.STDEV.S(W133:W135)</f>
        <v>0</v>
      </c>
      <c r="Y136" s="77">
        <f>AVERAGE(Y133:Y135)</f>
        <v>0.15962082568261515</v>
      </c>
      <c r="Z136" s="76">
        <f>_xlfn.STDEV.S(Y133:Y135)</f>
        <v>1.0117057073976483E-2</v>
      </c>
      <c r="AA136" s="76">
        <f>AVERAGE(AA133:AA135)</f>
        <v>0</v>
      </c>
      <c r="AB136" s="76">
        <f>_xlfn.STDEV.S(AA133:AA135)</f>
        <v>0</v>
      </c>
      <c r="AC136" s="76">
        <f>AVERAGE(AC133:AC135)</f>
        <v>6.3371895582113175E-3</v>
      </c>
      <c r="AD136" s="76">
        <f>_xlfn.STDEV.S(AC133:AC135)</f>
        <v>3.1579398324735435E-3</v>
      </c>
      <c r="AE136" s="76">
        <f>AVERAGE(AE133:AE135)</f>
        <v>5.0160526887907047</v>
      </c>
      <c r="AF136" s="76">
        <f>_xlfn.STDEV.S(AE133:AE135)</f>
        <v>0.13290877058646716</v>
      </c>
      <c r="AG136" s="76">
        <f>AVERAGE(AG133:AG135)</f>
        <v>1.2327052887659813</v>
      </c>
      <c r="AH136" s="76">
        <f>_xlfn.STDEV.S(AG133:AG135)</f>
        <v>1.061010515998036E-2</v>
      </c>
      <c r="AI136" s="76">
        <f>AVERAGE(AI133:AI135)</f>
        <v>0</v>
      </c>
      <c r="AJ136" s="76">
        <f>_xlfn.STDEV.S(AI133:AI135)</f>
        <v>0</v>
      </c>
      <c r="AK136" s="77">
        <f>AVERAGE(AK133:AK135)</f>
        <v>0.89980528947822258</v>
      </c>
      <c r="AL136" s="77">
        <f>_xlfn.STDEV.S(AK133:AK135)</f>
        <v>1.3097770056366033E-2</v>
      </c>
      <c r="AM136" s="77">
        <f>AVERAGE(AM133:AM135)</f>
        <v>0.22495132236955565</v>
      </c>
      <c r="AN136" s="77">
        <f>_xlfn.STDEV.S(AM133:AM135)</f>
        <v>3.2744425140915083E-3</v>
      </c>
      <c r="AO136" s="78">
        <f>AVERAGE(AO133:AO135)</f>
        <v>2.0340105490595471E-3</v>
      </c>
      <c r="AP136" s="78">
        <f>_xlfn.STDEV.S(AO133:AO135)</f>
        <v>1.435571725015699E-3</v>
      </c>
      <c r="AQ136" s="78">
        <f>AVERAGE(AQ133:AQ135)</f>
        <v>5.0850263726488678E-4</v>
      </c>
      <c r="AR136" s="78">
        <f>_xlfn.STDEV.S(AQ133:AQ135)</f>
        <v>3.5889293125392486E-4</v>
      </c>
      <c r="AS136" s="78">
        <f>AVERAGE(AS133:AS135)</f>
        <v>0</v>
      </c>
      <c r="AT136" s="78">
        <f>_xlfn.STDEV.S(AS133:AS135)</f>
        <v>0</v>
      </c>
      <c r="AU136" s="78">
        <f>AVERAGE(AU133:AU135)</f>
        <v>0</v>
      </c>
      <c r="AV136" s="80">
        <f>_xlfn.STDEV.S(AU133:AU135)</f>
        <v>0</v>
      </c>
      <c r="AW136" s="80"/>
      <c r="AX136" s="80"/>
      <c r="AY136" s="79">
        <f>SUM(AK136,AO136,AS136)</f>
        <v>0.90183930002728208</v>
      </c>
      <c r="AZ136" s="77">
        <f>SUM(AL136,AP136,AT136)</f>
        <v>1.4533341781381732E-2</v>
      </c>
      <c r="BA136" s="78"/>
      <c r="BB136" s="78"/>
      <c r="BC136" s="78"/>
      <c r="BD136" s="78"/>
      <c r="BE136" s="78"/>
      <c r="BF136" s="78"/>
      <c r="BG136" s="78"/>
      <c r="BH136" s="75"/>
      <c r="BI136" s="75"/>
      <c r="BJ136" s="75"/>
      <c r="BK136" s="75"/>
      <c r="BL136" s="75"/>
      <c r="BM136" s="75"/>
      <c r="BN136" s="75"/>
      <c r="BO136" s="77">
        <f>AVERAGE(BO133:BO135)</f>
        <v>5.5592469545957923E-2</v>
      </c>
      <c r="BP136" s="76">
        <f>_xlfn.STDEV.S(BO133:BO135)</f>
        <v>3.8919501261320974E-2</v>
      </c>
      <c r="BQ136" s="75">
        <f>AVERAGE(BQ133:BQ135)</f>
        <v>0</v>
      </c>
      <c r="BR136" s="75">
        <f>_xlfn.STDEV.S(BQ133:BQ135)</f>
        <v>0</v>
      </c>
      <c r="BS136" s="75">
        <f>AVERAGE(BS133:BS135)</f>
        <v>0</v>
      </c>
      <c r="BT136" s="75">
        <f>_xlfn.STDEV.S(BS133:BS135)</f>
        <v>0</v>
      </c>
      <c r="BU136" s="75">
        <f>AVERAGE(BU133:BU135)</f>
        <v>0</v>
      </c>
      <c r="BV136" s="75">
        <f>_xlfn.STDEV.S(BU133:BU135)</f>
        <v>0</v>
      </c>
      <c r="BW136" s="74">
        <f>AVERAGE(BW133:BW135)</f>
        <v>2.7796234772978962E-3</v>
      </c>
      <c r="BX136" s="73">
        <f>BQ136*0.05</f>
        <v>0</v>
      </c>
      <c r="BY136" s="73">
        <f>BS136*0.05</f>
        <v>0</v>
      </c>
      <c r="BZ136" s="72">
        <f>BU136*0.05</f>
        <v>0</v>
      </c>
    </row>
    <row r="137" spans="1:78" x14ac:dyDescent="0.3">
      <c r="A137" s="191" t="s">
        <v>58</v>
      </c>
      <c r="B137" s="70" t="s">
        <v>101</v>
      </c>
      <c r="C137" s="20">
        <v>16</v>
      </c>
      <c r="D137" s="69"/>
      <c r="E137" s="21"/>
      <c r="F137" s="52"/>
      <c r="I137" s="52">
        <f>H137*0.2907</f>
        <v>0</v>
      </c>
      <c r="L137" s="68"/>
      <c r="AJ137" s="21"/>
      <c r="BZ137" s="67"/>
    </row>
    <row r="138" spans="1:78" x14ac:dyDescent="0.3">
      <c r="A138" s="192"/>
      <c r="B138" s="70" t="s">
        <v>100</v>
      </c>
      <c r="C138" s="20">
        <v>16</v>
      </c>
      <c r="D138" s="69"/>
      <c r="E138" s="21"/>
      <c r="F138" s="52"/>
      <c r="I138" s="52">
        <f>H138*0.2907</f>
        <v>0</v>
      </c>
      <c r="L138" s="68"/>
      <c r="AJ138" s="21"/>
      <c r="BZ138" s="67"/>
    </row>
    <row r="139" spans="1:78" x14ac:dyDescent="0.3">
      <c r="A139" s="192"/>
      <c r="B139" s="70" t="s">
        <v>99</v>
      </c>
      <c r="C139" s="20">
        <v>16</v>
      </c>
      <c r="D139" s="69"/>
      <c r="E139" s="21"/>
      <c r="F139" s="52"/>
      <c r="G139" s="67"/>
      <c r="I139" s="52">
        <f>H139*0.2907</f>
        <v>0</v>
      </c>
      <c r="L139" s="68"/>
      <c r="AJ139" s="21"/>
      <c r="BZ139" s="67"/>
    </row>
    <row r="140" spans="1:78" ht="15" thickBot="1" x14ac:dyDescent="0.35">
      <c r="A140" s="193"/>
      <c r="B140" s="66" t="s">
        <v>63</v>
      </c>
      <c r="C140" s="65">
        <v>16</v>
      </c>
      <c r="D140" s="64"/>
      <c r="E140" s="64"/>
      <c r="F140" s="56" t="e">
        <f>AVERAGE(F137:F139)</f>
        <v>#DIV/0!</v>
      </c>
      <c r="G140" s="55" t="e">
        <f>_xlfn.STDEV.S(F137:F139)</f>
        <v>#DIV/0!</v>
      </c>
      <c r="H140" s="60" t="e">
        <f>AVERAGE(H137:H139)</f>
        <v>#DIV/0!</v>
      </c>
      <c r="I140" s="56">
        <f>AVERAGE(I137:I139)</f>
        <v>0</v>
      </c>
      <c r="J140" s="63">
        <f>_xlfn.STDEV.S(I137:I139)</f>
        <v>0</v>
      </c>
      <c r="K140" s="63"/>
      <c r="L140" s="62" t="e">
        <f>_xlfn.STDEV.S(K137:K139)</f>
        <v>#DIV/0!</v>
      </c>
      <c r="M140" s="59" t="e">
        <f>AVERAGE(M137:M139)</f>
        <v>#DIV/0!</v>
      </c>
      <c r="N140" s="58" t="e">
        <f>_xlfn.STDEV.S(M137:M139)</f>
        <v>#DIV/0!</v>
      </c>
      <c r="O140" s="58" t="e">
        <f>AVERAGE(O137:O139)</f>
        <v>#DIV/0!</v>
      </c>
      <c r="P140" s="58" t="e">
        <f>_xlfn.STDEV.S(O137:O139)</f>
        <v>#DIV/0!</v>
      </c>
      <c r="Q140" s="58" t="e">
        <f>AVERAGE(Q137:Q139)</f>
        <v>#DIV/0!</v>
      </c>
      <c r="R140" s="58" t="e">
        <f>_xlfn.STDEV.S(Q137:Q139)</f>
        <v>#DIV/0!</v>
      </c>
      <c r="S140" s="58" t="e">
        <f>AVERAGE(S137:S139)</f>
        <v>#DIV/0!</v>
      </c>
      <c r="T140" s="58" t="e">
        <f>_xlfn.STDEV.S(S137:S139)</f>
        <v>#DIV/0!</v>
      </c>
      <c r="U140" s="58" t="e">
        <f>AVERAGE(U137:U139)</f>
        <v>#DIV/0!</v>
      </c>
      <c r="V140" s="58" t="e">
        <f>_xlfn.STDEV.S(U137:U139)</f>
        <v>#DIV/0!</v>
      </c>
      <c r="W140" s="58" t="e">
        <f>AVERAGE(W137:W139)</f>
        <v>#DIV/0!</v>
      </c>
      <c r="X140" s="58" t="e">
        <f>_xlfn.STDEV.S(W137:W139)</f>
        <v>#DIV/0!</v>
      </c>
      <c r="Y140" s="59" t="e">
        <f>AVERAGE(Y137:Y139)</f>
        <v>#DIV/0!</v>
      </c>
      <c r="Z140" s="58" t="e">
        <f>_xlfn.STDEV.S(Y137:Y139)</f>
        <v>#DIV/0!</v>
      </c>
      <c r="AA140" s="58" t="e">
        <f>AVERAGE(AA137:AA139)</f>
        <v>#DIV/0!</v>
      </c>
      <c r="AB140" s="58" t="e">
        <f>_xlfn.STDEV.S(AA137:AA139)</f>
        <v>#DIV/0!</v>
      </c>
      <c r="AC140" s="58" t="e">
        <f>AVERAGE(AC137:AC139)</f>
        <v>#DIV/0!</v>
      </c>
      <c r="AD140" s="58" t="e">
        <f>_xlfn.STDEV.S(AC137:AC139)</f>
        <v>#DIV/0!</v>
      </c>
      <c r="AE140" s="58" t="e">
        <f>AVERAGE(AE137:AE139)</f>
        <v>#DIV/0!</v>
      </c>
      <c r="AF140" s="58" t="e">
        <f>_xlfn.STDEV.S(AE137:AE139)</f>
        <v>#DIV/0!</v>
      </c>
      <c r="AG140" s="58" t="e">
        <f>AVERAGE(AG137:AG139)</f>
        <v>#DIV/0!</v>
      </c>
      <c r="AH140" s="58" t="e">
        <f>_xlfn.STDEV.S(AG137:AG139)</f>
        <v>#DIV/0!</v>
      </c>
      <c r="AI140" s="58" t="e">
        <f>AVERAGE(AI137:AI139)</f>
        <v>#DIV/0!</v>
      </c>
      <c r="AJ140" s="58" t="e">
        <f>_xlfn.STDEV.S(AI137:AI139)</f>
        <v>#DIV/0!</v>
      </c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57"/>
      <c r="BI140" s="57"/>
      <c r="BJ140" s="57"/>
      <c r="BK140" s="57"/>
      <c r="BL140" s="57"/>
      <c r="BM140" s="57"/>
      <c r="BN140" s="57"/>
      <c r="BO140" s="59" t="e">
        <f>AVERAGE(BO137:BO139)</f>
        <v>#DIV/0!</v>
      </c>
      <c r="BP140" s="58" t="e">
        <f>_xlfn.STDEV.S(BO137:BO139)</f>
        <v>#DIV/0!</v>
      </c>
      <c r="BQ140" s="57" t="e">
        <f>AVERAGE(BQ137:BQ139)</f>
        <v>#DIV/0!</v>
      </c>
      <c r="BR140" s="57" t="e">
        <f>_xlfn.STDEV.S(BQ137:BQ139)</f>
        <v>#DIV/0!</v>
      </c>
      <c r="BS140" s="57" t="e">
        <f>AVERAGE(BS137:BS139)</f>
        <v>#DIV/0!</v>
      </c>
      <c r="BT140" s="57" t="e">
        <f>_xlfn.STDEV.S(BS137:BS139)</f>
        <v>#DIV/0!</v>
      </c>
      <c r="BU140" s="57" t="e">
        <f>AVERAGE(BU137:BU139)</f>
        <v>#DIV/0!</v>
      </c>
      <c r="BV140" s="57" t="e">
        <f>_xlfn.STDEV.S(BU137:BU139)</f>
        <v>#DIV/0!</v>
      </c>
      <c r="BW140" s="56" t="e">
        <f>AVERAGE(BW137:BW139)</f>
        <v>#DIV/0!</v>
      </c>
      <c r="BX140" s="55" t="e">
        <f>BQ140*0.05</f>
        <v>#DIV/0!</v>
      </c>
      <c r="BY140" s="55" t="e">
        <f>BS140*0.05</f>
        <v>#DIV/0!</v>
      </c>
      <c r="BZ140" s="54" t="e">
        <f>BU140*0.05</f>
        <v>#DIV/0!</v>
      </c>
    </row>
    <row r="141" spans="1:78" x14ac:dyDescent="0.3">
      <c r="B141" s="2"/>
      <c r="C141" s="2"/>
      <c r="D141" s="2"/>
      <c r="F141" s="2"/>
      <c r="H141" s="2"/>
      <c r="I141" s="109"/>
      <c r="J141" s="109"/>
      <c r="K141" s="109"/>
      <c r="L141" s="109"/>
      <c r="M141" s="21"/>
      <c r="Y141" s="21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O141" s="21"/>
      <c r="BW141" s="51"/>
    </row>
    <row r="142" spans="1:78" x14ac:dyDescent="0.3">
      <c r="B142" s="2"/>
      <c r="C142" s="2"/>
      <c r="D142" s="2"/>
      <c r="F142" s="2"/>
      <c r="H142" s="2"/>
      <c r="I142" s="109"/>
      <c r="J142" s="109"/>
      <c r="K142" s="109"/>
      <c r="L142" s="109"/>
      <c r="M142" s="21"/>
      <c r="Y142" s="21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O142" s="21"/>
      <c r="BW142" s="51"/>
    </row>
    <row r="143" spans="1:78" ht="15" thickBot="1" x14ac:dyDescent="0.35">
      <c r="B143" s="2"/>
      <c r="C143" s="2"/>
      <c r="D143" s="2"/>
      <c r="F143" s="2"/>
      <c r="H143" s="2"/>
      <c r="I143" s="109"/>
      <c r="J143" s="109"/>
      <c r="K143" s="109"/>
      <c r="L143" s="109"/>
      <c r="M143" s="21"/>
      <c r="Y143" s="21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O143" s="21"/>
      <c r="BW143" s="51"/>
    </row>
    <row r="144" spans="1:78" ht="15" thickBot="1" x14ac:dyDescent="0.35">
      <c r="B144" s="2"/>
      <c r="C144" s="2"/>
      <c r="D144" s="2"/>
      <c r="F144" s="2"/>
      <c r="H144" s="2"/>
      <c r="I144" s="108"/>
      <c r="J144" s="108"/>
      <c r="K144" s="108"/>
      <c r="L144" s="108"/>
      <c r="M144" s="184" t="s">
        <v>8</v>
      </c>
      <c r="N144" s="185"/>
      <c r="O144" s="185"/>
      <c r="P144" s="185"/>
      <c r="Q144" s="185"/>
      <c r="R144" s="185"/>
      <c r="S144" s="185"/>
      <c r="T144" s="185"/>
      <c r="U144" s="185"/>
      <c r="V144" s="185"/>
      <c r="W144" s="185"/>
      <c r="X144" s="186"/>
      <c r="AI144" s="58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187" t="s">
        <v>10</v>
      </c>
      <c r="BH144" s="188"/>
      <c r="BI144" s="188"/>
      <c r="BJ144" s="188"/>
      <c r="BK144" s="188"/>
      <c r="BL144" s="188"/>
      <c r="BM144" s="188"/>
      <c r="BN144" s="188"/>
      <c r="BO144" s="107"/>
      <c r="BP144" s="106"/>
      <c r="BQ144" s="105"/>
      <c r="BR144" s="105"/>
      <c r="BS144" s="105"/>
      <c r="BT144" s="105"/>
      <c r="BU144" s="105"/>
      <c r="BV144" s="105"/>
      <c r="BW144" s="104"/>
      <c r="BX144" s="104"/>
      <c r="BY144" s="104"/>
      <c r="BZ144" s="104"/>
    </row>
    <row r="145" spans="1:78" ht="16.2" thickBot="1" x14ac:dyDescent="0.35">
      <c r="B145" s="2"/>
      <c r="C145" s="2"/>
      <c r="D145" s="2"/>
      <c r="F145" s="2"/>
      <c r="H145" s="103" t="s">
        <v>91</v>
      </c>
      <c r="I145" s="189" t="s">
        <v>90</v>
      </c>
      <c r="J145" s="190"/>
      <c r="K145" s="189" t="s">
        <v>44</v>
      </c>
      <c r="L145" s="190"/>
      <c r="M145" s="176" t="s">
        <v>89</v>
      </c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67" t="s">
        <v>88</v>
      </c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7"/>
      <c r="AK145" s="5"/>
      <c r="AL145" s="6"/>
      <c r="AM145" s="5"/>
      <c r="AN145" s="6"/>
      <c r="AO145" s="5"/>
      <c r="AP145" s="6"/>
      <c r="AQ145" s="5"/>
      <c r="AR145" s="6"/>
      <c r="AS145" s="5"/>
      <c r="AT145" s="6"/>
      <c r="AU145" s="5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178" t="s">
        <v>13</v>
      </c>
      <c r="BH145" s="179"/>
      <c r="BI145" s="179"/>
      <c r="BJ145" s="179"/>
      <c r="BK145" s="179"/>
      <c r="BL145" s="179"/>
      <c r="BM145" s="179"/>
      <c r="BN145" s="179"/>
      <c r="BO145" s="178" t="s">
        <v>87</v>
      </c>
      <c r="BP145" s="179"/>
      <c r="BQ145" s="179"/>
      <c r="BR145" s="179"/>
      <c r="BS145" s="179"/>
      <c r="BT145" s="179"/>
      <c r="BU145" s="179"/>
      <c r="BV145" s="179"/>
      <c r="BW145" s="181" t="s">
        <v>86</v>
      </c>
      <c r="BX145" s="182"/>
      <c r="BY145" s="182"/>
      <c r="BZ145" s="183"/>
    </row>
    <row r="146" spans="1:78" ht="16.2" thickBot="1" x14ac:dyDescent="0.35">
      <c r="A146" s="8" t="s">
        <v>85</v>
      </c>
      <c r="B146" s="10" t="s">
        <v>84</v>
      </c>
      <c r="C146" s="11" t="s">
        <v>16</v>
      </c>
      <c r="D146" s="12" t="s">
        <v>0</v>
      </c>
      <c r="E146" s="12"/>
      <c r="F146" s="102" t="s">
        <v>83</v>
      </c>
      <c r="G146" s="101" t="s">
        <v>47</v>
      </c>
      <c r="H146" s="14" t="s">
        <v>82</v>
      </c>
      <c r="I146" s="49" t="s">
        <v>81</v>
      </c>
      <c r="J146" s="49" t="s">
        <v>47</v>
      </c>
      <c r="K146" s="49" t="s">
        <v>49</v>
      </c>
      <c r="L146" s="49" t="s">
        <v>47</v>
      </c>
      <c r="M146" s="99" t="s">
        <v>80</v>
      </c>
      <c r="N146" s="99" t="s">
        <v>47</v>
      </c>
      <c r="O146" s="99" t="s">
        <v>79</v>
      </c>
      <c r="P146" s="99" t="s">
        <v>47</v>
      </c>
      <c r="Q146" s="99" t="s">
        <v>78</v>
      </c>
      <c r="R146" s="99" t="s">
        <v>47</v>
      </c>
      <c r="S146" s="99" t="s">
        <v>77</v>
      </c>
      <c r="T146" s="99" t="s">
        <v>47</v>
      </c>
      <c r="U146" s="99" t="s">
        <v>76</v>
      </c>
      <c r="V146" s="99" t="s">
        <v>47</v>
      </c>
      <c r="W146" s="99" t="s">
        <v>59</v>
      </c>
      <c r="X146" s="100" t="s">
        <v>47</v>
      </c>
      <c r="Y146" s="99" t="s">
        <v>80</v>
      </c>
      <c r="Z146" s="99" t="s">
        <v>47</v>
      </c>
      <c r="AA146" s="99" t="s">
        <v>79</v>
      </c>
      <c r="AB146" s="99" t="s">
        <v>47</v>
      </c>
      <c r="AC146" s="99" t="s">
        <v>78</v>
      </c>
      <c r="AD146" s="99" t="s">
        <v>47</v>
      </c>
      <c r="AE146" s="99" t="s">
        <v>77</v>
      </c>
      <c r="AF146" s="99" t="s">
        <v>47</v>
      </c>
      <c r="AG146" s="99" t="s">
        <v>76</v>
      </c>
      <c r="AH146" s="99" t="s">
        <v>47</v>
      </c>
      <c r="AI146" s="99" t="s">
        <v>59</v>
      </c>
      <c r="AJ146" s="98" t="s">
        <v>47</v>
      </c>
      <c r="AK146" s="15" t="s">
        <v>50</v>
      </c>
      <c r="AL146" s="15" t="s">
        <v>47</v>
      </c>
      <c r="AM146" s="15" t="s">
        <v>75</v>
      </c>
      <c r="AN146" s="15" t="s">
        <v>47</v>
      </c>
      <c r="AO146" s="15" t="s">
        <v>51</v>
      </c>
      <c r="AP146" s="15" t="s">
        <v>47</v>
      </c>
      <c r="AQ146" s="15" t="s">
        <v>74</v>
      </c>
      <c r="AR146" s="15" t="s">
        <v>47</v>
      </c>
      <c r="AS146" s="15" t="s">
        <v>52</v>
      </c>
      <c r="AT146" s="15" t="s">
        <v>47</v>
      </c>
      <c r="AU146" s="15" t="s">
        <v>73</v>
      </c>
      <c r="AV146" s="15" t="s">
        <v>47</v>
      </c>
      <c r="AW146" s="15"/>
      <c r="AX146" s="15"/>
      <c r="AY146" s="15" t="s">
        <v>54</v>
      </c>
      <c r="AZ146" s="15" t="s">
        <v>47</v>
      </c>
      <c r="BA146" s="15" t="s">
        <v>72</v>
      </c>
      <c r="BB146" s="15" t="s">
        <v>47</v>
      </c>
      <c r="BC146" s="15" t="s">
        <v>71</v>
      </c>
      <c r="BD146" s="15" t="s">
        <v>47</v>
      </c>
      <c r="BE146" s="15" t="s">
        <v>70</v>
      </c>
      <c r="BF146" s="15" t="s">
        <v>47</v>
      </c>
      <c r="BG146" s="17" t="s">
        <v>30</v>
      </c>
      <c r="BH146" s="17" t="s">
        <v>47</v>
      </c>
      <c r="BI146" s="17" t="s">
        <v>31</v>
      </c>
      <c r="BJ146" s="17" t="s">
        <v>47</v>
      </c>
      <c r="BK146" s="17" t="s">
        <v>32</v>
      </c>
      <c r="BL146" s="17" t="s">
        <v>47</v>
      </c>
      <c r="BM146" s="17" t="s">
        <v>33</v>
      </c>
      <c r="BN146" s="17" t="s">
        <v>47</v>
      </c>
      <c r="BO146" s="97" t="s">
        <v>30</v>
      </c>
      <c r="BP146" s="97" t="s">
        <v>47</v>
      </c>
      <c r="BQ146" s="17" t="s">
        <v>31</v>
      </c>
      <c r="BR146" s="17" t="s">
        <v>47</v>
      </c>
      <c r="BS146" s="17" t="s">
        <v>32</v>
      </c>
      <c r="BT146" s="17" t="s">
        <v>47</v>
      </c>
      <c r="BU146" s="17" t="s">
        <v>33</v>
      </c>
      <c r="BV146" s="17" t="s">
        <v>47</v>
      </c>
      <c r="BW146" s="96" t="s">
        <v>30</v>
      </c>
      <c r="BX146" s="96" t="s">
        <v>31</v>
      </c>
      <c r="BY146" s="96" t="s">
        <v>32</v>
      </c>
      <c r="BZ146" s="96" t="s">
        <v>33</v>
      </c>
    </row>
    <row r="147" spans="1:78" x14ac:dyDescent="0.3">
      <c r="A147" s="172" t="s">
        <v>98</v>
      </c>
      <c r="B147" s="95" t="s">
        <v>97</v>
      </c>
      <c r="C147" s="94">
        <v>0</v>
      </c>
      <c r="D147" s="93">
        <v>7.2</v>
      </c>
      <c r="E147" s="88"/>
      <c r="F147" s="86">
        <v>1.5649999999999999</v>
      </c>
      <c r="G147" s="85"/>
      <c r="H147" s="90">
        <v>0.15</v>
      </c>
      <c r="I147" s="86">
        <f>H147*0.2907</f>
        <v>4.3604999999999998E-2</v>
      </c>
      <c r="J147" s="92"/>
      <c r="K147" s="92"/>
      <c r="L147" s="91"/>
      <c r="M147" s="89">
        <v>13.081613338230291</v>
      </c>
      <c r="O147" s="88">
        <v>58.198069238443161</v>
      </c>
      <c r="Q147" s="88">
        <v>0.27310099297523555</v>
      </c>
      <c r="S147" s="88">
        <v>0.62362794294075719</v>
      </c>
      <c r="U147" s="88">
        <v>6.9246380252302506</v>
      </c>
      <c r="W147" s="88">
        <v>20.898950462180309</v>
      </c>
      <c r="X147" s="88"/>
      <c r="Y147" s="89">
        <v>0.92159098714042587</v>
      </c>
      <c r="AA147" s="21">
        <v>4.1000153950720204</v>
      </c>
      <c r="AB147" s="88"/>
      <c r="AC147" s="88">
        <v>1.9239783901083156E-2</v>
      </c>
      <c r="AE147" s="21">
        <v>4.3934175142106464E-2</v>
      </c>
      <c r="AF147" s="88"/>
      <c r="AG147" s="88">
        <v>0.48783615814510867</v>
      </c>
      <c r="AI147" s="21">
        <v>1.4723172049698559</v>
      </c>
      <c r="AJ147" s="87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>
        <v>0.04</v>
      </c>
      <c r="BH147" s="87"/>
      <c r="BI147" s="87">
        <v>0</v>
      </c>
      <c r="BJ147" s="87"/>
      <c r="BK147" s="87">
        <v>0</v>
      </c>
      <c r="BL147" s="87"/>
      <c r="BM147" s="87">
        <v>0</v>
      </c>
      <c r="BN147" s="87"/>
      <c r="BO147" s="89">
        <f>(BG147/1000)/60.2*1000</f>
        <v>6.6445182724252495E-4</v>
      </c>
      <c r="BP147" s="88"/>
      <c r="BQ147" s="87">
        <f>BI147/74.08</f>
        <v>0</v>
      </c>
      <c r="BR147" s="87"/>
      <c r="BS147" s="87">
        <f>(BK147/1000)/88.12*1000</f>
        <v>0</v>
      </c>
      <c r="BT147" s="87"/>
      <c r="BU147" s="87">
        <f>BM147/88.12</f>
        <v>0</v>
      </c>
      <c r="BV147" s="87"/>
      <c r="BW147" s="86">
        <f>BO147*0.05</f>
        <v>3.3222591362126248E-5</v>
      </c>
      <c r="BX147" s="85">
        <f t="shared" ref="BX147:BX178" si="6">BQ147*0.05</f>
        <v>0</v>
      </c>
      <c r="BY147" s="85">
        <f t="shared" ref="BY147:BY178" si="7">BS147*0.05</f>
        <v>0</v>
      </c>
      <c r="BZ147" s="84">
        <f t="shared" ref="BZ147:BZ178" si="8">BU147*0.05</f>
        <v>0</v>
      </c>
    </row>
    <row r="148" spans="1:78" x14ac:dyDescent="0.3">
      <c r="A148" s="173"/>
      <c r="B148" s="70" t="s">
        <v>96</v>
      </c>
      <c r="C148" s="20">
        <v>0</v>
      </c>
      <c r="D148" s="69">
        <v>7.23</v>
      </c>
      <c r="E148" s="21"/>
      <c r="F148" s="52">
        <v>1.58</v>
      </c>
      <c r="H148" s="37">
        <v>0.151</v>
      </c>
      <c r="I148" s="52">
        <f>H148*0.2907</f>
        <v>4.3895700000000003E-2</v>
      </c>
      <c r="L148" s="68"/>
      <c r="M148" s="22">
        <v>13.06410382004162</v>
      </c>
      <c r="O148" s="21">
        <v>56.966918883449189</v>
      </c>
      <c r="Q148" s="21">
        <v>0.23175205508217622</v>
      </c>
      <c r="S148" s="21">
        <v>0.57100746931732871</v>
      </c>
      <c r="U148" s="21">
        <v>7.0068447346301523</v>
      </c>
      <c r="W148" s="21">
        <v>22.159373037479522</v>
      </c>
      <c r="Y148" s="22">
        <v>0.92917877063481491</v>
      </c>
      <c r="AA148" s="21">
        <v>4.0517476272481057</v>
      </c>
      <c r="AC148" s="21">
        <v>1.6483265335276737E-2</v>
      </c>
      <c r="AE148" s="21">
        <v>4.0612660896771867E-2</v>
      </c>
      <c r="AG148" s="21">
        <v>0.49835882095216916</v>
      </c>
      <c r="AI148" s="21">
        <v>1.5760758855434365</v>
      </c>
      <c r="BG148" s="37">
        <v>0.09</v>
      </c>
      <c r="BI148" s="2">
        <v>0</v>
      </c>
      <c r="BK148" s="2">
        <v>0</v>
      </c>
      <c r="BM148" s="2">
        <v>0</v>
      </c>
      <c r="BO148" s="22">
        <f>(BG148/1000)/60.2*1000</f>
        <v>1.4950166112956808E-3</v>
      </c>
      <c r="BQ148" s="2">
        <f>BI148/74.08</f>
        <v>0</v>
      </c>
      <c r="BS148" s="2">
        <f>(BK148/1000)/88.12*1000</f>
        <v>0</v>
      </c>
      <c r="BU148" s="2">
        <f>BM148/88.12</f>
        <v>0</v>
      </c>
      <c r="BW148" s="52">
        <f>BO148*0.05</f>
        <v>7.4750830564784051E-5</v>
      </c>
      <c r="BX148" s="51">
        <f t="shared" si="6"/>
        <v>0</v>
      </c>
      <c r="BY148" s="51">
        <f t="shared" si="7"/>
        <v>0</v>
      </c>
      <c r="BZ148" s="67">
        <f t="shared" si="8"/>
        <v>0</v>
      </c>
    </row>
    <row r="149" spans="1:78" x14ac:dyDescent="0.3">
      <c r="A149" s="173"/>
      <c r="B149" s="70" t="s">
        <v>95</v>
      </c>
      <c r="C149" s="20">
        <v>0</v>
      </c>
      <c r="D149" s="69">
        <v>7.15</v>
      </c>
      <c r="E149" s="21"/>
      <c r="F149" s="52">
        <v>1.575</v>
      </c>
      <c r="H149" s="37">
        <v>0.14699999999999999</v>
      </c>
      <c r="I149" s="52">
        <f>H149*0.2907</f>
        <v>4.2732899999999997E-2</v>
      </c>
      <c r="L149" s="68"/>
      <c r="M149" s="22">
        <v>13.295634923622968</v>
      </c>
      <c r="O149" s="21">
        <v>57.132143531728211</v>
      </c>
      <c r="Q149" s="21">
        <v>0.15367380356559526</v>
      </c>
      <c r="S149" s="21">
        <v>0.51981086825511091</v>
      </c>
      <c r="U149" s="21">
        <v>7.1300410372316962</v>
      </c>
      <c r="W149" s="21">
        <v>21.768695835596418</v>
      </c>
      <c r="Y149" s="22">
        <v>0.94265376924115196</v>
      </c>
      <c r="AA149" s="21">
        <v>4.0506399848059882</v>
      </c>
      <c r="AC149" s="21">
        <v>1.0895394691332206E-2</v>
      </c>
      <c r="AE149" s="21">
        <v>3.6854326782287603E-2</v>
      </c>
      <c r="AG149" s="21">
        <v>0.50551629141446697</v>
      </c>
      <c r="AI149" s="21">
        <v>1.5433894882620229</v>
      </c>
      <c r="BG149" s="37">
        <v>0.21</v>
      </c>
      <c r="BI149" s="2">
        <v>0.04</v>
      </c>
      <c r="BK149" s="2">
        <v>0</v>
      </c>
      <c r="BM149" s="2">
        <v>0</v>
      </c>
      <c r="BO149" s="22">
        <f>(BG149/1000)/60.2*1000</f>
        <v>3.4883720930232553E-3</v>
      </c>
      <c r="BQ149" s="2">
        <f>BI149/74.08</f>
        <v>5.3995680345572358E-4</v>
      </c>
      <c r="BS149" s="2">
        <f>(BK149/1000)/88.12*1000</f>
        <v>0</v>
      </c>
      <c r="BU149" s="2">
        <f>BM149/88.12</f>
        <v>0</v>
      </c>
      <c r="BW149" s="52">
        <f>BO149*0.05</f>
        <v>1.7441860465116277E-4</v>
      </c>
      <c r="BX149" s="51">
        <f t="shared" si="6"/>
        <v>2.699784017278618E-5</v>
      </c>
      <c r="BY149" s="51">
        <f t="shared" si="7"/>
        <v>0</v>
      </c>
      <c r="BZ149" s="67">
        <f t="shared" si="8"/>
        <v>0</v>
      </c>
    </row>
    <row r="150" spans="1:78" ht="15" thickBot="1" x14ac:dyDescent="0.35">
      <c r="A150" s="173"/>
      <c r="B150" s="83" t="s">
        <v>63</v>
      </c>
      <c r="C150" s="80">
        <v>0</v>
      </c>
      <c r="D150" s="79">
        <f>AVERAGE(D147:D149)</f>
        <v>7.1933333333333325</v>
      </c>
      <c r="E150" s="79">
        <f>_xlfn.STDEV.S(D147:D149)</f>
        <v>4.0414518843273822E-2</v>
      </c>
      <c r="F150" s="74">
        <f>AVERAGE(F147:F149)</f>
        <v>1.5733333333333333</v>
      </c>
      <c r="G150" s="73">
        <f>_xlfn.STDEV.S(F147:F149)</f>
        <v>7.6376261582597887E-3</v>
      </c>
      <c r="H150" s="77">
        <f>AVERAGE(H147:H149)</f>
        <v>0.14933333333333332</v>
      </c>
      <c r="I150" s="74">
        <f>AVERAGE(I147:I149)</f>
        <v>4.3411200000000004E-2</v>
      </c>
      <c r="J150" s="82">
        <f>_xlfn.STDEV.S(I147:I149)</f>
        <v>6.0514030604480711E-4</v>
      </c>
      <c r="K150" s="82"/>
      <c r="L150" s="81" t="e">
        <f>_xlfn.STDEV.S(K147:K149)</f>
        <v>#DIV/0!</v>
      </c>
      <c r="M150" s="77">
        <f>AVERAGE(M147:M149)</f>
        <v>13.147117360631626</v>
      </c>
      <c r="N150" s="76">
        <f>_xlfn.STDEV.S(M147:M149)</f>
        <v>0.12891759264920069</v>
      </c>
      <c r="O150" s="76">
        <f>AVERAGE(O147:O149)</f>
        <v>57.432377217873523</v>
      </c>
      <c r="P150" s="76">
        <f>_xlfn.STDEV.S(O147:O149)</f>
        <v>0.66823498776459289</v>
      </c>
      <c r="Q150" s="76">
        <f>AVERAGE(Q147:Q149)</f>
        <v>0.21950895054100236</v>
      </c>
      <c r="R150" s="76">
        <f>_xlfn.STDEV.S(Q147:Q149)</f>
        <v>6.064761824817276E-2</v>
      </c>
      <c r="S150" s="76">
        <f>AVERAGE(S147:S149)</f>
        <v>0.57148209350439894</v>
      </c>
      <c r="T150" s="76">
        <f>_xlfn.STDEV.S(S147:S149)</f>
        <v>5.1910164709433146E-2</v>
      </c>
      <c r="U150" s="76">
        <f>AVERAGE(U147:U149)</f>
        <v>7.0205079323640334</v>
      </c>
      <c r="V150" s="76">
        <f>_xlfn.STDEV.S(U147:U149)</f>
        <v>0.1033809052197399</v>
      </c>
      <c r="W150" s="76">
        <f>AVERAGE(W147:W149)</f>
        <v>21.609006445085416</v>
      </c>
      <c r="X150" s="76">
        <f>_xlfn.STDEV.S(W147:W149)</f>
        <v>0.64520678325813219</v>
      </c>
      <c r="Y150" s="77">
        <f>AVERAGE(Y147:Y149)</f>
        <v>0.93114117567213095</v>
      </c>
      <c r="Z150" s="76">
        <f>_xlfn.STDEV.S(Y147:Y149)</f>
        <v>1.0667636692516733E-2</v>
      </c>
      <c r="AA150" s="76">
        <f>AVERAGE(AA147:AA149)</f>
        <v>4.0674676690420375</v>
      </c>
      <c r="AB150" s="76">
        <f>_xlfn.STDEV.S(AA147:AA149)</f>
        <v>2.8192597791565539E-2</v>
      </c>
      <c r="AC150" s="76">
        <f>AVERAGE(AC147:AC149)</f>
        <v>1.5539481309230699E-2</v>
      </c>
      <c r="AD150" s="76">
        <f>_xlfn.STDEV.S(AC147:AC149)</f>
        <v>4.2515002101395569E-3</v>
      </c>
      <c r="AE150" s="76">
        <f>AVERAGE(AE147:AE149)</f>
        <v>4.0467054273721978E-2</v>
      </c>
      <c r="AF150" s="76">
        <f>_xlfn.STDEV.S(AE147:AE149)</f>
        <v>3.5421694152051016E-3</v>
      </c>
      <c r="AG150" s="76">
        <f>AVERAGE(AG147:AG149)</f>
        <v>0.4972370901705816</v>
      </c>
      <c r="AH150" s="76">
        <f>_xlfn.STDEV.S(AG147:AG149)</f>
        <v>8.893283311878596E-3</v>
      </c>
      <c r="AI150" s="76">
        <f>AVERAGE(AI147:AI149)</f>
        <v>1.530594192925105</v>
      </c>
      <c r="AJ150" s="76">
        <f>_xlfn.STDEV.S(AI147:AI149)</f>
        <v>5.3049558298460864E-2</v>
      </c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7">
        <f>AVERAGE(BG147:BG149)</f>
        <v>0.11333333333333333</v>
      </c>
      <c r="BH150" s="76">
        <f>_xlfn.STDEV.S(BG147:BG149)</f>
        <v>8.7368949480541039E-2</v>
      </c>
      <c r="BI150" s="75">
        <f>AVERAGE(BI147:BI149)</f>
        <v>1.3333333333333334E-2</v>
      </c>
      <c r="BJ150" s="75">
        <f>_xlfn.STDEV.S(BI147:BI149)</f>
        <v>2.3094010767585032E-2</v>
      </c>
      <c r="BK150" s="75">
        <f>AVERAGE(BK147:BK149)</f>
        <v>0</v>
      </c>
      <c r="BL150" s="75">
        <f>_xlfn.STDEV.S(BK147:BK149)</f>
        <v>0</v>
      </c>
      <c r="BM150" s="75">
        <f>AVERAGE(BM147:BM149)</f>
        <v>0</v>
      </c>
      <c r="BN150" s="75">
        <f>_xlfn.STDEV.S(BM147:BM149)</f>
        <v>0</v>
      </c>
      <c r="BO150" s="77">
        <f>AVERAGE(BO147:BO149)</f>
        <v>1.882613510520487E-3</v>
      </c>
      <c r="BP150" s="76">
        <f>_xlfn.STDEV.S(BO147:BO149)</f>
        <v>1.4513114531651335E-3</v>
      </c>
      <c r="BQ150" s="75">
        <f>AVERAGE(BQ147:BQ149)</f>
        <v>1.7998560115190787E-4</v>
      </c>
      <c r="BR150" s="75">
        <f>_xlfn.STDEV.S(BQ147:BQ149)</f>
        <v>3.1174420582593185E-4</v>
      </c>
      <c r="BS150" s="75">
        <f>AVERAGE(BS147:BS149)</f>
        <v>0</v>
      </c>
      <c r="BT150" s="75">
        <f>_xlfn.STDEV.S(BS147:BS149)</f>
        <v>0</v>
      </c>
      <c r="BU150" s="75">
        <f>AVERAGE(BU147:BU149)</f>
        <v>0</v>
      </c>
      <c r="BV150" s="75">
        <f>_xlfn.STDEV.S(BU147:BU149)</f>
        <v>0</v>
      </c>
      <c r="BW150" s="74">
        <f>AVERAGE(BW147:BW149)</f>
        <v>9.4130675526024369E-5</v>
      </c>
      <c r="BX150" s="55">
        <f t="shared" si="6"/>
        <v>8.9992800575953934E-6</v>
      </c>
      <c r="BY150" s="55">
        <f t="shared" si="7"/>
        <v>0</v>
      </c>
      <c r="BZ150" s="54">
        <f t="shared" si="8"/>
        <v>0</v>
      </c>
    </row>
    <row r="151" spans="1:78" x14ac:dyDescent="0.3">
      <c r="A151" s="174" t="s">
        <v>61</v>
      </c>
      <c r="B151" s="70" t="s">
        <v>94</v>
      </c>
      <c r="C151" s="20">
        <v>0</v>
      </c>
      <c r="D151" s="69">
        <v>7.08</v>
      </c>
      <c r="E151" s="21"/>
      <c r="F151" s="52">
        <v>1.4</v>
      </c>
      <c r="H151" s="37">
        <v>0.185</v>
      </c>
      <c r="I151" s="52">
        <f>H151*0.2907</f>
        <v>5.3779500000000001E-2</v>
      </c>
      <c r="L151" s="68"/>
      <c r="M151" s="22">
        <v>0.77574916383533088</v>
      </c>
      <c r="O151" s="21">
        <v>0</v>
      </c>
      <c r="Q151" s="21">
        <v>0.37456101084347754</v>
      </c>
      <c r="S151" s="21">
        <v>98.849689825321192</v>
      </c>
      <c r="U151" s="21">
        <v>0</v>
      </c>
      <c r="W151" s="21">
        <v>0</v>
      </c>
      <c r="Y151" s="22">
        <v>4.8889086278703933E-2</v>
      </c>
      <c r="AA151" s="21">
        <v>0</v>
      </c>
      <c r="AC151" s="21">
        <v>2.3605498309827933E-2</v>
      </c>
      <c r="AE151" s="21">
        <v>6.229682531142358</v>
      </c>
      <c r="AG151" s="21">
        <v>0</v>
      </c>
      <c r="AI151" s="21">
        <v>0</v>
      </c>
      <c r="BG151" s="37">
        <v>1542.42</v>
      </c>
      <c r="BI151" s="2">
        <v>0</v>
      </c>
      <c r="BK151" s="2">
        <v>0</v>
      </c>
      <c r="BM151" s="2">
        <v>0</v>
      </c>
      <c r="BO151" s="89">
        <f>(BG151/1000)/60.2*1000</f>
        <v>25.621594684385382</v>
      </c>
      <c r="BP151" s="88"/>
      <c r="BQ151" s="87">
        <f>BI151/74.08</f>
        <v>0</v>
      </c>
      <c r="BR151" s="87"/>
      <c r="BS151" s="87">
        <f>(BK151/1000)/88.12*1000</f>
        <v>0</v>
      </c>
      <c r="BT151" s="87"/>
      <c r="BU151" s="87">
        <f>BM151/88.12</f>
        <v>0</v>
      </c>
      <c r="BV151" s="87"/>
      <c r="BW151" s="86">
        <f>BO151*0.05</f>
        <v>1.2810797342192692</v>
      </c>
      <c r="BX151" s="51">
        <f t="shared" si="6"/>
        <v>0</v>
      </c>
      <c r="BY151" s="51">
        <f t="shared" si="7"/>
        <v>0</v>
      </c>
      <c r="BZ151" s="67">
        <f t="shared" si="8"/>
        <v>0</v>
      </c>
    </row>
    <row r="152" spans="1:78" x14ac:dyDescent="0.3">
      <c r="A152" s="173"/>
      <c r="B152" s="70" t="s">
        <v>93</v>
      </c>
      <c r="C152" s="20">
        <v>0</v>
      </c>
      <c r="D152" s="69">
        <v>7.06</v>
      </c>
      <c r="E152" s="21"/>
      <c r="F152" s="52">
        <v>1.395</v>
      </c>
      <c r="H152" s="37">
        <v>0.16</v>
      </c>
      <c r="I152" s="52">
        <f>H152*0.2907</f>
        <v>4.6512000000000005E-2</v>
      </c>
      <c r="L152" s="68"/>
      <c r="M152" s="22">
        <v>0.7168485437929365</v>
      </c>
      <c r="O152" s="21">
        <v>0</v>
      </c>
      <c r="Q152" s="21">
        <v>0.33878552750574692</v>
      </c>
      <c r="S152" s="21">
        <v>98.944365928701316</v>
      </c>
      <c r="U152" s="21">
        <v>0</v>
      </c>
      <c r="W152" s="21">
        <v>0</v>
      </c>
      <c r="Y152" s="22">
        <v>4.5015718221077965E-2</v>
      </c>
      <c r="AA152" s="21">
        <v>0</v>
      </c>
      <c r="AC152" s="21">
        <v>2.1274610900211519E-2</v>
      </c>
      <c r="AE152" s="21">
        <v>6.2133790111962748</v>
      </c>
      <c r="AG152" s="21">
        <v>0</v>
      </c>
      <c r="AI152" s="21">
        <v>0</v>
      </c>
      <c r="BG152" s="37">
        <v>1593.52</v>
      </c>
      <c r="BI152" s="2">
        <v>0</v>
      </c>
      <c r="BK152" s="2">
        <v>0</v>
      </c>
      <c r="BM152" s="2">
        <v>0</v>
      </c>
      <c r="BO152" s="22">
        <f>(BG152/1000)/60.2*1000</f>
        <v>26.470431893687707</v>
      </c>
      <c r="BQ152" s="2">
        <f>BI152/74.08</f>
        <v>0</v>
      </c>
      <c r="BS152" s="2">
        <f>(BK152/1000)/88.12*1000</f>
        <v>0</v>
      </c>
      <c r="BU152" s="2">
        <f>BM152/88.12</f>
        <v>0</v>
      </c>
      <c r="BW152" s="52">
        <f>BO152*0.05</f>
        <v>1.3235215946843855</v>
      </c>
      <c r="BX152" s="51">
        <f t="shared" si="6"/>
        <v>0</v>
      </c>
      <c r="BY152" s="51">
        <f t="shared" si="7"/>
        <v>0</v>
      </c>
      <c r="BZ152" s="67">
        <f t="shared" si="8"/>
        <v>0</v>
      </c>
    </row>
    <row r="153" spans="1:78" x14ac:dyDescent="0.3">
      <c r="A153" s="173"/>
      <c r="B153" s="70" t="s">
        <v>92</v>
      </c>
      <c r="C153" s="20">
        <v>0</v>
      </c>
      <c r="D153" s="69">
        <v>7.12</v>
      </c>
      <c r="E153" s="21"/>
      <c r="F153" s="52">
        <v>1.405</v>
      </c>
      <c r="G153" s="67"/>
      <c r="H153" s="37">
        <v>0.17199999999999999</v>
      </c>
      <c r="I153" s="52">
        <f>H153*0.2907</f>
        <v>5.00004E-2</v>
      </c>
      <c r="L153" s="68"/>
      <c r="M153" s="22">
        <v>0.40044790676548547</v>
      </c>
      <c r="O153" s="21">
        <v>0</v>
      </c>
      <c r="Q153" s="21">
        <v>0.31065975894522385</v>
      </c>
      <c r="S153" s="21">
        <v>99.288892334289287</v>
      </c>
      <c r="U153" s="21">
        <v>0</v>
      </c>
      <c r="W153" s="21">
        <v>0</v>
      </c>
      <c r="Y153" s="22">
        <v>2.5327068256099927E-2</v>
      </c>
      <c r="AA153" s="21">
        <v>0</v>
      </c>
      <c r="AC153" s="21">
        <v>1.9648250836873611E-2</v>
      </c>
      <c r="AE153" s="21">
        <v>6.2797095720512415</v>
      </c>
      <c r="AG153" s="21">
        <v>0</v>
      </c>
      <c r="AI153" s="21">
        <v>0</v>
      </c>
      <c r="BG153" s="37">
        <v>1503.88</v>
      </c>
      <c r="BI153" s="2">
        <v>0</v>
      </c>
      <c r="BK153" s="2">
        <v>0</v>
      </c>
      <c r="BM153" s="2">
        <v>0</v>
      </c>
      <c r="BO153" s="22">
        <f>(BG153/1000)/60.2*1000</f>
        <v>24.981395348837211</v>
      </c>
      <c r="BQ153" s="2">
        <f>BI153/74.08</f>
        <v>0</v>
      </c>
      <c r="BS153" s="2">
        <f>(BK153/1000)/88.12*1000</f>
        <v>0</v>
      </c>
      <c r="BU153" s="2">
        <f>BM153/88.12</f>
        <v>0</v>
      </c>
      <c r="BW153" s="52">
        <f>BO153*0.05</f>
        <v>1.2490697674418607</v>
      </c>
      <c r="BX153" s="51">
        <f t="shared" si="6"/>
        <v>0</v>
      </c>
      <c r="BY153" s="51">
        <f t="shared" si="7"/>
        <v>0</v>
      </c>
      <c r="BZ153" s="67">
        <f t="shared" si="8"/>
        <v>0</v>
      </c>
    </row>
    <row r="154" spans="1:78" ht="15" thickBot="1" x14ac:dyDescent="0.35">
      <c r="A154" s="175"/>
      <c r="B154" s="66" t="s">
        <v>63</v>
      </c>
      <c r="C154" s="65">
        <v>0</v>
      </c>
      <c r="D154" s="69">
        <f>AVERAGE(D151:D153)</f>
        <v>7.0866666666666669</v>
      </c>
      <c r="E154" s="79">
        <f>_xlfn.STDEV.S(D151:D153)</f>
        <v>3.0550504633039155E-2</v>
      </c>
      <c r="F154" s="56">
        <f>AVERAGE(F151:F153)</f>
        <v>1.4000000000000001</v>
      </c>
      <c r="G154" s="55">
        <f>_xlfn.STDEV.S(F151:F153)</f>
        <v>5.0000000000000044E-3</v>
      </c>
      <c r="H154" s="60">
        <f>AVERAGE(H151:H153)</f>
        <v>0.17233333333333331</v>
      </c>
      <c r="I154" s="56">
        <f>AVERAGE(I151:I153)</f>
        <v>5.0097300000000004E-2</v>
      </c>
      <c r="J154" s="63">
        <f>_xlfn.STDEV.S(I151:I153)</f>
        <v>3.63471887083444E-3</v>
      </c>
      <c r="K154" s="63"/>
      <c r="L154" s="62" t="e">
        <f>_xlfn.STDEV.S(K151:K153)</f>
        <v>#DIV/0!</v>
      </c>
      <c r="M154" s="77">
        <f>AVERAGE(M151:M153)</f>
        <v>0.63101520479791773</v>
      </c>
      <c r="N154" s="58">
        <f>_xlfn.STDEV.S(M151:M153)</f>
        <v>0.20183726105906927</v>
      </c>
      <c r="O154" s="58">
        <f>AVERAGE(O151:O153)</f>
        <v>0</v>
      </c>
      <c r="P154" s="58">
        <f>_xlfn.STDEV.S(O151:O153)</f>
        <v>0</v>
      </c>
      <c r="Q154" s="58">
        <f>AVERAGE(Q151:Q153)</f>
        <v>0.34133543243148279</v>
      </c>
      <c r="R154" s="58">
        <f>_xlfn.STDEV.S(Q151:Q153)</f>
        <v>3.2026848266551868E-2</v>
      </c>
      <c r="S154" s="58">
        <f>AVERAGE(S151:S153)</f>
        <v>99.027649362770603</v>
      </c>
      <c r="T154" s="58">
        <f>_xlfn.STDEV.S(S151:S153)</f>
        <v>0.23114239932073599</v>
      </c>
      <c r="U154" s="58">
        <f>AVERAGE(U151:U153)</f>
        <v>0</v>
      </c>
      <c r="V154" s="58">
        <f>_xlfn.STDEV.S(U151:U153)</f>
        <v>0</v>
      </c>
      <c r="W154" s="58">
        <f>AVERAGE(W151:W153)</f>
        <v>0</v>
      </c>
      <c r="X154" s="76">
        <f>_xlfn.STDEV.S(W151:W153)</f>
        <v>0</v>
      </c>
      <c r="Y154" s="59">
        <f>AVERAGE(Y151:Y153)</f>
        <v>3.9743957585293942E-2</v>
      </c>
      <c r="Z154" s="58">
        <f>_xlfn.STDEV.S(Y151:Y153)</f>
        <v>1.2634704922360882E-2</v>
      </c>
      <c r="AA154" s="58">
        <f>AVERAGE(AA151:AA153)</f>
        <v>0</v>
      </c>
      <c r="AB154" s="58">
        <f>_xlfn.STDEV.S(AA151:AA153)</f>
        <v>0</v>
      </c>
      <c r="AC154" s="58">
        <f>AVERAGE(AC151:AC153)</f>
        <v>2.150945334897102E-2</v>
      </c>
      <c r="AD154" s="58">
        <f>_xlfn.STDEV.S(AC151:AC153)</f>
        <v>1.9890487983846351E-3</v>
      </c>
      <c r="AE154" s="58">
        <f>AVERAGE(AE151:AE153)</f>
        <v>6.2409237047966251</v>
      </c>
      <c r="AF154" s="58">
        <f>_xlfn.STDEV.S(AE151:AE153)</f>
        <v>3.456456009668929E-2</v>
      </c>
      <c r="AG154" s="58">
        <f>AVERAGE(AG151:AG153)</f>
        <v>0</v>
      </c>
      <c r="AH154" s="58">
        <f>_xlfn.STDEV.S(AG151:AG153)</f>
        <v>0</v>
      </c>
      <c r="AI154" s="58">
        <f>AVERAGE(AI151:AI153)</f>
        <v>0</v>
      </c>
      <c r="AJ154" s="57">
        <f>_xlfn.STDEV.S(AI151:AI153)</f>
        <v>0</v>
      </c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>
        <f>AVERAGE(BG151:BG153)</f>
        <v>1546.6066666666666</v>
      </c>
      <c r="BH154" s="57">
        <f>_xlfn.STDEV.S(BG151:BG153)</f>
        <v>44.966415615805175</v>
      </c>
      <c r="BI154" s="57">
        <f>AVERAGE(BI151:BI153)</f>
        <v>0</v>
      </c>
      <c r="BJ154" s="57" t="e">
        <f>_xlfn.STDEV.S(BH151:BH153)</f>
        <v>#DIV/0!</v>
      </c>
      <c r="BK154" s="57">
        <f>AVERAGE(BK151:BK153)</f>
        <v>0</v>
      </c>
      <c r="BL154" s="57">
        <f>_xlfn.STDEV.S(BK151:BK153)</f>
        <v>0</v>
      </c>
      <c r="BM154" s="57">
        <f>AVERAGE(BM151:BM153)</f>
        <v>0</v>
      </c>
      <c r="BN154" s="57" t="e">
        <f>_xlfn.STDEV.S(BL151:BL153)</f>
        <v>#DIV/0!</v>
      </c>
      <c r="BO154" s="59">
        <f>AVERAGE(BO151:BO153)</f>
        <v>25.691140642303434</v>
      </c>
      <c r="BP154" s="58">
        <f>_xlfn.STDEV.S(BO151:BO153)</f>
        <v>0.74695042551171364</v>
      </c>
      <c r="BQ154" s="57">
        <f>AVERAGE(BQ151:BQ153)</f>
        <v>0</v>
      </c>
      <c r="BR154" s="57">
        <f>_xlfn.STDEV.S(BQ151:BQ153)</f>
        <v>0</v>
      </c>
      <c r="BS154" s="57">
        <f>AVERAGE(BS151:BS153)</f>
        <v>0</v>
      </c>
      <c r="BT154" s="57">
        <f>_xlfn.STDEV.S(BS151:BS153)</f>
        <v>0</v>
      </c>
      <c r="BU154" s="57">
        <f>AVERAGE(BU151:BU153)</f>
        <v>0</v>
      </c>
      <c r="BV154" s="57">
        <f>_xlfn.STDEV.S(BU151:BU153)</f>
        <v>0</v>
      </c>
      <c r="BW154" s="74">
        <f>AVERAGE(BW151:BW153)</f>
        <v>1.2845570321151718</v>
      </c>
      <c r="BX154" s="55">
        <f t="shared" si="6"/>
        <v>0</v>
      </c>
      <c r="BY154" s="55">
        <f t="shared" si="7"/>
        <v>0</v>
      </c>
      <c r="BZ154" s="54">
        <f t="shared" si="8"/>
        <v>0</v>
      </c>
    </row>
    <row r="155" spans="1:78" x14ac:dyDescent="0.3">
      <c r="A155" s="172" t="s">
        <v>98</v>
      </c>
      <c r="B155" s="95" t="s">
        <v>97</v>
      </c>
      <c r="C155" s="94">
        <v>1</v>
      </c>
      <c r="D155" s="93"/>
      <c r="E155" s="88"/>
      <c r="F155" s="86">
        <v>1.47</v>
      </c>
      <c r="G155" s="85"/>
      <c r="H155" s="90">
        <v>0.217</v>
      </c>
      <c r="I155" s="86">
        <f>H155*0.2907</f>
        <v>6.3081899999999996E-2</v>
      </c>
      <c r="J155" s="92"/>
      <c r="K155" s="92">
        <f>(I155-$I$147)/(($AA$147-AA155)+($AI$147-AI155))*1000*0.05</f>
        <v>1.5133848242549626</v>
      </c>
      <c r="L155" s="91"/>
      <c r="M155" s="89">
        <v>15.90978500470068</v>
      </c>
      <c r="O155" s="21">
        <v>56.758833080234425</v>
      </c>
      <c r="Q155" s="21">
        <v>0.53842896257945827</v>
      </c>
      <c r="S155" s="21">
        <v>0.94676188400646244</v>
      </c>
      <c r="U155" s="21">
        <v>8.1206418213020779</v>
      </c>
      <c r="W155" s="21">
        <v>17.725549247176886</v>
      </c>
      <c r="X155" s="88"/>
      <c r="Y155" s="89">
        <v>1.0527959712146422</v>
      </c>
      <c r="AA155" s="21">
        <v>3.7558942990153494</v>
      </c>
      <c r="AB155" s="88"/>
      <c r="AC155" s="88">
        <v>3.562938420735734E-2</v>
      </c>
      <c r="AE155" s="21">
        <v>6.2649941334033801E-2</v>
      </c>
      <c r="AF155" s="88"/>
      <c r="AG155" s="88">
        <v>0.53736609203820029</v>
      </c>
      <c r="AI155" s="21">
        <v>1.17295028370785</v>
      </c>
      <c r="AJ155" s="87"/>
      <c r="AK155" s="89">
        <f>8*(AG155-$AG$147)/(2*($AA$147-AA155)+2*($AI$147-AI155))</f>
        <v>0.30788411010029887</v>
      </c>
      <c r="AL155" s="89"/>
      <c r="AM155" s="89">
        <f>(AG155-$AG$147)/(($AA$147-AA155)+($AI$147-AI155))</f>
        <v>7.6971027525074717E-2</v>
      </c>
      <c r="AN155" s="89"/>
      <c r="AO155" s="37">
        <f>8*(BW155-$BW$147)/(2*($AA$147-AA155)+2*($AI$147-AI155))</f>
        <v>0.27007088047953048</v>
      </c>
      <c r="AQ155" s="37">
        <f>(BW155-$BW$147)/(($AA$147-AA155)+($AI$147-AI155))</f>
        <v>6.7517720119882621E-2</v>
      </c>
      <c r="AS155" s="37">
        <f>14*(BX155-$BX$147)/(2*($AA$147-AA155)+2*($AI$147-AI155))</f>
        <v>6.6079860273575398E-4</v>
      </c>
      <c r="AU155" s="37">
        <f>(BX155-$BX$147)/(($AA$147-AA155)+($AI$147-AI155))</f>
        <v>9.4399800390822009E-5</v>
      </c>
      <c r="AY155" s="90"/>
      <c r="AZ155" s="90"/>
      <c r="BA155" s="90"/>
      <c r="BB155" s="90"/>
      <c r="BC155" s="90"/>
      <c r="BD155" s="90"/>
      <c r="BE155" s="90"/>
      <c r="BF155" s="90"/>
      <c r="BG155" s="90">
        <v>52.35</v>
      </c>
      <c r="BH155" s="87"/>
      <c r="BI155" s="87">
        <v>0.09</v>
      </c>
      <c r="BJ155" s="87"/>
      <c r="BK155" s="87">
        <v>0</v>
      </c>
      <c r="BL155" s="87"/>
      <c r="BM155" s="87">
        <v>0</v>
      </c>
      <c r="BN155" s="87"/>
      <c r="BO155" s="89">
        <f>(BG155/1000)/60.2*1000</f>
        <v>0.86960132890365438</v>
      </c>
      <c r="BP155" s="88"/>
      <c r="BQ155" s="2">
        <f>BI155/74.08</f>
        <v>1.214902807775378E-3</v>
      </c>
      <c r="BR155" s="87"/>
      <c r="BS155" s="87">
        <f>(BK155/1000)/88.12*1000</f>
        <v>0</v>
      </c>
      <c r="BT155" s="87"/>
      <c r="BU155" s="87">
        <f>BM155/88.12</f>
        <v>0</v>
      </c>
      <c r="BV155" s="87"/>
      <c r="BW155" s="86">
        <f>BO155*0.05</f>
        <v>4.3480066445182722E-2</v>
      </c>
      <c r="BX155" s="85">
        <f t="shared" si="6"/>
        <v>6.0745140388768904E-5</v>
      </c>
      <c r="BY155" s="85">
        <f t="shared" si="7"/>
        <v>0</v>
      </c>
      <c r="BZ155" s="84">
        <f t="shared" si="8"/>
        <v>0</v>
      </c>
    </row>
    <row r="156" spans="1:78" x14ac:dyDescent="0.3">
      <c r="A156" s="173"/>
      <c r="B156" s="70" t="s">
        <v>96</v>
      </c>
      <c r="C156" s="20">
        <v>1</v>
      </c>
      <c r="D156" s="69"/>
      <c r="E156" s="21"/>
      <c r="F156" s="52">
        <v>1.48</v>
      </c>
      <c r="H156" s="37">
        <v>0.184</v>
      </c>
      <c r="I156" s="52">
        <f>H156*0.2907</f>
        <v>5.3488800000000003E-2</v>
      </c>
      <c r="K156" s="53">
        <f>(I156-$I$147)/(($AA$147-AA156)+($AI$147-AI156))*1000*0.05</f>
        <v>0.76937595291625993</v>
      </c>
      <c r="L156" s="68"/>
      <c r="M156" s="22">
        <v>17.090207138641226</v>
      </c>
      <c r="O156" s="21">
        <v>55.446724849577599</v>
      </c>
      <c r="Q156" s="21">
        <v>0.31337646975135131</v>
      </c>
      <c r="S156" s="21">
        <v>0.75985867510383209</v>
      </c>
      <c r="U156" s="21">
        <v>7.8380030834449155</v>
      </c>
      <c r="W156" s="21">
        <v>18.551829783481057</v>
      </c>
      <c r="Y156" s="22">
        <v>1.1386011303694512</v>
      </c>
      <c r="AA156" s="21">
        <v>3.6940279937433433</v>
      </c>
      <c r="AC156" s="21">
        <v>2.087808531491242E-2</v>
      </c>
      <c r="AE156" s="21">
        <v>5.0624076079106177E-2</v>
      </c>
      <c r="AG156" s="21">
        <v>0.52219139874972664</v>
      </c>
      <c r="AI156" s="21">
        <v>1.2359788380875414</v>
      </c>
      <c r="AK156" s="22">
        <f>8*(AG156-$AG$148)/(2*($AA$148-AA156)+2*($AI$148-AI156))</f>
        <v>0.13661225618595468</v>
      </c>
      <c r="AL156" s="22"/>
      <c r="AM156" s="22">
        <f>(AG156-$AG$148)/(($AA$148-AA156)+($AI$148-AI156))</f>
        <v>3.4153064046488671E-2</v>
      </c>
      <c r="AN156" s="22"/>
      <c r="AO156" s="37">
        <f>8*(BW156-$BW$148)/(2*($AA$148-AA156)+2*($AI$148-AI156))</f>
        <v>0.3257907110762337</v>
      </c>
      <c r="AQ156" s="37">
        <f>(BW156-$BW$148)/(($AA$148-AA156)+($AI$148-AI156))</f>
        <v>8.1447677769058424E-2</v>
      </c>
      <c r="AS156" s="37">
        <f>14*(BX156-$BX$148)/(2*($AA$148-AA156)+2*($AI$148-AI156))</f>
        <v>3.3852888295342662E-4</v>
      </c>
      <c r="AU156" s="37">
        <f>(BX156-$BX$148)/(($AA$148-AA156)+($AI$148-AI156))</f>
        <v>4.8361268993346667E-5</v>
      </c>
      <c r="BG156" s="37">
        <v>68.52</v>
      </c>
      <c r="BI156" s="2">
        <v>0.05</v>
      </c>
      <c r="BK156" s="2">
        <v>0</v>
      </c>
      <c r="BM156" s="2">
        <v>0</v>
      </c>
      <c r="BO156" s="22">
        <f>(BG156/1000)/60.2*1000</f>
        <v>1.138205980066445</v>
      </c>
      <c r="BQ156" s="2">
        <f>BI156/74.08</f>
        <v>6.749460043196545E-4</v>
      </c>
      <c r="BS156" s="2">
        <f>(BK156/1000)/88.12*1000</f>
        <v>0</v>
      </c>
      <c r="BU156" s="2">
        <f>BM156/88.12</f>
        <v>0</v>
      </c>
      <c r="BW156" s="52">
        <f>BO156*0.05</f>
        <v>5.6910299003322257E-2</v>
      </c>
      <c r="BX156" s="51">
        <f t="shared" si="6"/>
        <v>3.3747300215982723E-5</v>
      </c>
      <c r="BY156" s="51">
        <f t="shared" si="7"/>
        <v>0</v>
      </c>
      <c r="BZ156" s="67">
        <f t="shared" si="8"/>
        <v>0</v>
      </c>
    </row>
    <row r="157" spans="1:78" x14ac:dyDescent="0.3">
      <c r="A157" s="173"/>
      <c r="B157" s="70" t="s">
        <v>95</v>
      </c>
      <c r="C157" s="20">
        <v>1</v>
      </c>
      <c r="D157" s="69"/>
      <c r="E157" s="21"/>
      <c r="F157" s="52">
        <v>1.425</v>
      </c>
      <c r="H157" s="37">
        <v>0.187</v>
      </c>
      <c r="I157" s="52">
        <f>H157*0.2907</f>
        <v>5.4360900000000004E-2</v>
      </c>
      <c r="K157" s="53">
        <f>(I157-$I$147)/(($AA$147-AA157)+($AI$147-AI157))*1000*0.05</f>
        <v>0.62764046458170808</v>
      </c>
      <c r="L157" s="68"/>
      <c r="M157" s="22">
        <v>16.683447556090503</v>
      </c>
      <c r="O157" s="21">
        <v>55.197748860038942</v>
      </c>
      <c r="Q157" s="21">
        <v>0.41617668311769707</v>
      </c>
      <c r="S157" s="21">
        <v>0.89560971113704624</v>
      </c>
      <c r="U157" s="21">
        <v>8.4944097814431476</v>
      </c>
      <c r="W157" s="21">
        <v>18.312607408172664</v>
      </c>
      <c r="Y157" s="22">
        <v>1.0701957785305232</v>
      </c>
      <c r="AA157" s="21">
        <v>3.540778823789124</v>
      </c>
      <c r="AC157" s="21">
        <v>2.6696552250245139E-2</v>
      </c>
      <c r="AE157" s="21">
        <v>5.7450819373355715E-2</v>
      </c>
      <c r="AG157" s="21">
        <v>0.54489226274398983</v>
      </c>
      <c r="AI157" s="21">
        <v>1.1747017561102737</v>
      </c>
      <c r="AK157" s="22">
        <f>8*(AG157-$AG$149)/(2*($AA$149-AA157)+2*($AI$149-AI157))</f>
        <v>0.17927731346861181</v>
      </c>
      <c r="AL157" s="22"/>
      <c r="AM157" s="22">
        <f>(AG157-$AG$149)/(($AA$149-AA157)+($AI$149-AI157))</f>
        <v>4.4819328367152952E-2</v>
      </c>
      <c r="AN157" s="22"/>
      <c r="AO157" s="37">
        <f>8*(BW157-$BW$149)/(2*($AA$149-AA157)+2*($AI$149-AI157))</f>
        <v>9.6239942562176717E-2</v>
      </c>
      <c r="AQ157" s="37">
        <f>(BW157-$BW$148)/(($AA$148-AA157)+($AI$148-AI157))</f>
        <v>2.3278024920865871E-2</v>
      </c>
      <c r="AS157" s="37">
        <f>14*(BX157-$BX$149)/(2*($AA$149-AA157)+2*($AI$149-AI157))</f>
        <v>5.3777565107361856E-5</v>
      </c>
      <c r="AU157" s="37">
        <f>(BX157-$BX$149)/(($AA$149-AA157)+($AI$149-AI157))</f>
        <v>7.6825093010516939E-6</v>
      </c>
      <c r="BG157" s="37">
        <v>25.66</v>
      </c>
      <c r="BI157" s="2">
        <v>0.05</v>
      </c>
      <c r="BK157" s="2">
        <v>0</v>
      </c>
      <c r="BM157" s="2">
        <v>0</v>
      </c>
      <c r="BO157" s="22">
        <f>(BG157/1000)/60.2*1000</f>
        <v>0.42624584717607966</v>
      </c>
      <c r="BQ157" s="2">
        <f>BI157/74.08</f>
        <v>6.749460043196545E-4</v>
      </c>
      <c r="BS157" s="2">
        <f>(BK157/1000)/88.12*1000</f>
        <v>0</v>
      </c>
      <c r="BU157" s="2">
        <f>BM157/88.12</f>
        <v>0</v>
      </c>
      <c r="BW157" s="52">
        <f>BO157*0.05</f>
        <v>2.1312292358803983E-2</v>
      </c>
      <c r="BX157" s="51">
        <f t="shared" si="6"/>
        <v>3.3747300215982723E-5</v>
      </c>
      <c r="BY157" s="51">
        <f t="shared" si="7"/>
        <v>0</v>
      </c>
      <c r="BZ157" s="67">
        <f t="shared" si="8"/>
        <v>0</v>
      </c>
    </row>
    <row r="158" spans="1:78" x14ac:dyDescent="0.3">
      <c r="A158" s="173"/>
      <c r="B158" s="83" t="s">
        <v>63</v>
      </c>
      <c r="C158" s="80">
        <v>1</v>
      </c>
      <c r="D158" s="79" t="e">
        <f>AVERAGE(D155:D157)</f>
        <v>#DIV/0!</v>
      </c>
      <c r="E158" s="76"/>
      <c r="F158" s="74">
        <f>AVERAGE(F155:F157)</f>
        <v>1.4583333333333333</v>
      </c>
      <c r="G158" s="73">
        <f>_xlfn.STDEV.S(F155:F157)</f>
        <v>2.9297326385411538E-2</v>
      </c>
      <c r="H158" s="77">
        <f>AVERAGE(H155:H157)</f>
        <v>0.19600000000000004</v>
      </c>
      <c r="I158" s="74">
        <f>AVERAGE(I155:I157)</f>
        <v>5.6977200000000006E-2</v>
      </c>
      <c r="J158" s="82">
        <f>_xlfn.STDEV.S(I155:I157)</f>
        <v>5.3047772026730729E-3</v>
      </c>
      <c r="K158" s="82">
        <f>(I158-$I$147)/(($AA$147-AA158)+($AI$147-AI158))*1000*0.05</f>
        <v>0.93613758836776639</v>
      </c>
      <c r="L158" s="81">
        <f>_xlfn.STDEV.S(K155:K157)</f>
        <v>0.47577677188241457</v>
      </c>
      <c r="M158" s="77">
        <f>AVERAGE(M155:M157)</f>
        <v>16.561146566477472</v>
      </c>
      <c r="N158" s="76">
        <f>_xlfn.STDEV.S(M155:M157)</f>
        <v>0.5996392687436618</v>
      </c>
      <c r="O158" s="76">
        <f>AVERAGE(O155:O157)</f>
        <v>55.801102263283646</v>
      </c>
      <c r="P158" s="76">
        <f>_xlfn.STDEV.S(O155:O157)</f>
        <v>0.83870942473813859</v>
      </c>
      <c r="Q158" s="76">
        <f>AVERAGE(Q155:Q157)</f>
        <v>0.42266070514950221</v>
      </c>
      <c r="R158" s="76">
        <f>_xlfn.STDEV.S(Q155:Q157)</f>
        <v>0.1126662684139221</v>
      </c>
      <c r="S158" s="76">
        <f>AVERAGE(S155:S157)</f>
        <v>0.86741009008244685</v>
      </c>
      <c r="T158" s="76">
        <f>_xlfn.STDEV.S(S155:S157)</f>
        <v>9.6589939151250748E-2</v>
      </c>
      <c r="U158" s="76">
        <f>AVERAGE(U155:U157)</f>
        <v>8.151018228730047</v>
      </c>
      <c r="V158" s="76">
        <f>_xlfn.STDEV.S(U155:U157)</f>
        <v>0.32925595346236047</v>
      </c>
      <c r="W158" s="76">
        <f>AVERAGE(W155:W157)</f>
        <v>18.196662146276868</v>
      </c>
      <c r="X158" s="76">
        <f>_xlfn.STDEV.S(W155:W157)</f>
        <v>0.42516744817288232</v>
      </c>
      <c r="Y158" s="77">
        <f>AVERAGE(Y155:Y157)</f>
        <v>1.0871976267048722</v>
      </c>
      <c r="Z158" s="76">
        <f>_xlfn.STDEV.S(Y155:Y157)</f>
        <v>4.5358885186953593E-2</v>
      </c>
      <c r="AA158" s="76">
        <f>AVERAGE(AA155:AA157)</f>
        <v>3.6635670388492723</v>
      </c>
      <c r="AB158" s="76">
        <f>_xlfn.STDEV.S(AA155:AA157)</f>
        <v>0.11074551571167644</v>
      </c>
      <c r="AC158" s="76">
        <f>AVERAGE(AC155:AC157)</f>
        <v>2.7734673924171633E-2</v>
      </c>
      <c r="AD158" s="76">
        <f>_xlfn.STDEV.S(AC155:AC157)</f>
        <v>7.4302407236218537E-3</v>
      </c>
      <c r="AE158" s="76">
        <f>AVERAGE(AE155:AE157)</f>
        <v>5.69082789288319E-2</v>
      </c>
      <c r="AF158" s="76">
        <f>_xlfn.STDEV.S(AE155:AE157)</f>
        <v>6.0312620058224084E-3</v>
      </c>
      <c r="AG158" s="76">
        <f>AVERAGE(AG155:AG157)</f>
        <v>0.53481658451063896</v>
      </c>
      <c r="AH158" s="76">
        <f>_xlfn.STDEV.S(AG155:AG157)</f>
        <v>1.1563187190231236E-2</v>
      </c>
      <c r="AI158" s="76">
        <f>AVERAGE(AI155:AI157)</f>
        <v>1.1945436259685549</v>
      </c>
      <c r="AJ158" s="76">
        <f>_xlfn.STDEV.S(AI155:AI157)</f>
        <v>3.5894630746159756E-2</v>
      </c>
      <c r="AK158" s="77">
        <f>AVERAGE(AK155:AK157)</f>
        <v>0.20792455991828848</v>
      </c>
      <c r="AL158" s="77">
        <f>_xlfn.STDEV.S(AK155:AK157)</f>
        <v>8.9157223670746272E-2</v>
      </c>
      <c r="AM158" s="77">
        <f>AVERAGE(AM155:AM157)</f>
        <v>5.198113997957212E-2</v>
      </c>
      <c r="AN158" s="77">
        <f>_xlfn.STDEV.S(AM155:AM157)</f>
        <v>2.2289305917686568E-2</v>
      </c>
      <c r="AO158" s="78">
        <f>AVERAGE(AO155:AO157)</f>
        <v>0.23070051137264694</v>
      </c>
      <c r="AP158" s="78">
        <f>_xlfn.STDEV.S(AO155:AO157)</f>
        <v>0.11973265345785067</v>
      </c>
      <c r="AQ158" s="78">
        <f>AVERAGE(AQ155:AQ157)</f>
        <v>5.7414474269935629E-2</v>
      </c>
      <c r="AR158" s="78">
        <f>_xlfn.STDEV.S(AQ155:AQ157)</f>
        <v>3.0372418584106258E-2</v>
      </c>
      <c r="AS158" s="78">
        <f>AVERAGE(AS155:AS157)</f>
        <v>3.5103501693218084E-4</v>
      </c>
      <c r="AT158" s="78">
        <f>_xlfn.STDEV.S(AS155:AS157)</f>
        <v>3.0370370029221468E-4</v>
      </c>
      <c r="AU158" s="78">
        <f>AVERAGE(AU155:AU157)</f>
        <v>5.0147859561740124E-5</v>
      </c>
      <c r="AV158" s="80">
        <f>_xlfn.STDEV.S(AU155:AU157)</f>
        <v>4.3386242898887819E-5</v>
      </c>
      <c r="AW158" s="80"/>
      <c r="AX158" s="80"/>
      <c r="AY158" s="79">
        <f>SUM(AK158,AO158,AS158)</f>
        <v>0.4389761063078676</v>
      </c>
      <c r="AZ158" s="77">
        <f>SUM(AL158,AP158,AT158)</f>
        <v>0.20919358082888914</v>
      </c>
      <c r="BA158" s="78"/>
      <c r="BB158" s="78"/>
      <c r="BC158" s="78"/>
      <c r="BD158" s="78"/>
      <c r="BE158" s="78"/>
      <c r="BF158" s="78"/>
      <c r="BG158" s="78"/>
      <c r="BH158" s="75"/>
      <c r="BI158" s="75"/>
      <c r="BJ158" s="75"/>
      <c r="BK158" s="75"/>
      <c r="BL158" s="75"/>
      <c r="BM158" s="75"/>
      <c r="BN158" s="75"/>
      <c r="BO158" s="77">
        <f>AVERAGE(BO155:BO157)</f>
        <v>0.81135105204872637</v>
      </c>
      <c r="BP158" s="76">
        <f>_xlfn.STDEV.S(BO155:BO157)</f>
        <v>0.35953668626660823</v>
      </c>
      <c r="BQ158" s="75">
        <f>AVERAGE(BQ155:BQ157)</f>
        <v>8.5493160547156239E-4</v>
      </c>
      <c r="BR158" s="75">
        <f>_xlfn.STDEV.S(BQ155:BQ157)</f>
        <v>3.1174420582593179E-4</v>
      </c>
      <c r="BS158" s="75">
        <f>AVERAGE(BS155:BS157)</f>
        <v>0</v>
      </c>
      <c r="BT158" s="75">
        <f>_xlfn.STDEV.S(BS155:BS157)</f>
        <v>0</v>
      </c>
      <c r="BU158" s="75">
        <f>AVERAGE(BU155:BU157)</f>
        <v>0</v>
      </c>
      <c r="BV158" s="75">
        <f>_xlfn.STDEV.S(BU155:BU157)</f>
        <v>0</v>
      </c>
      <c r="BW158" s="74">
        <f>AVERAGE(BW155:BW157)</f>
        <v>4.0567552602436323E-2</v>
      </c>
      <c r="BX158" s="73">
        <f t="shared" si="6"/>
        <v>4.2746580273578124E-5</v>
      </c>
      <c r="BY158" s="73">
        <f t="shared" si="7"/>
        <v>0</v>
      </c>
      <c r="BZ158" s="72">
        <f t="shared" si="8"/>
        <v>0</v>
      </c>
    </row>
    <row r="159" spans="1:78" x14ac:dyDescent="0.3">
      <c r="A159" s="174" t="s">
        <v>61</v>
      </c>
      <c r="B159" s="70" t="s">
        <v>94</v>
      </c>
      <c r="C159" s="20">
        <v>1</v>
      </c>
      <c r="D159" s="69"/>
      <c r="E159" s="21"/>
      <c r="F159" s="52">
        <v>1.4</v>
      </c>
      <c r="H159" s="37">
        <v>0.2</v>
      </c>
      <c r="I159" s="52">
        <f>H159*0.2907</f>
        <v>5.8140000000000004E-2</v>
      </c>
      <c r="K159" s="53">
        <f>(I159-$I$151)/($BW$151-BW159)*1000*0.05</f>
        <v>8.7793344481605136</v>
      </c>
      <c r="L159" s="68"/>
      <c r="M159" s="22">
        <v>2.2519890178800499</v>
      </c>
      <c r="O159" s="21">
        <v>0</v>
      </c>
      <c r="Q159" s="21">
        <v>0.2974142759832657</v>
      </c>
      <c r="S159" s="21">
        <v>97.328940696108091</v>
      </c>
      <c r="U159" s="21">
        <v>0.12165601002858506</v>
      </c>
      <c r="W159" s="21">
        <v>0</v>
      </c>
      <c r="Y159" s="22">
        <v>0.14192433653360931</v>
      </c>
      <c r="AA159" s="21">
        <v>0</v>
      </c>
      <c r="AC159" s="21">
        <v>1.8743574439934081E-2</v>
      </c>
      <c r="AE159" s="21">
        <v>6.1338422275334121</v>
      </c>
      <c r="AG159" s="21">
        <v>7.6669772239327631E-3</v>
      </c>
      <c r="AI159" s="21">
        <v>0</v>
      </c>
      <c r="AK159" s="22">
        <f>8*(AG159-$AG$151)/(8*($BW$151-BW159))</f>
        <v>0.30873045410083666</v>
      </c>
      <c r="AL159" s="22"/>
      <c r="AM159" s="22">
        <f>(AG159-$AG$151)/($BW$151-BW159)</f>
        <v>0.30873045410083666</v>
      </c>
      <c r="AN159" s="22"/>
      <c r="BG159" s="37">
        <v>1512.52</v>
      </c>
      <c r="BI159" s="2">
        <v>0</v>
      </c>
      <c r="BK159" s="2">
        <v>0</v>
      </c>
      <c r="BM159" s="2">
        <v>0</v>
      </c>
      <c r="BO159" s="22">
        <f>(BG159/1000)/60.2*1000</f>
        <v>25.124916943521594</v>
      </c>
      <c r="BQ159" s="2">
        <f>BI159/74.08</f>
        <v>0</v>
      </c>
      <c r="BS159" s="2">
        <f>(BK159/1000)/88.12*1000</f>
        <v>0</v>
      </c>
      <c r="BU159" s="2">
        <f>BM159/88.12</f>
        <v>0</v>
      </c>
      <c r="BW159" s="52">
        <f>BO159*0.05</f>
        <v>1.2562458471760798</v>
      </c>
      <c r="BX159" s="51">
        <f t="shared" si="6"/>
        <v>0</v>
      </c>
      <c r="BY159" s="51">
        <f t="shared" si="7"/>
        <v>0</v>
      </c>
      <c r="BZ159" s="67">
        <f t="shared" si="8"/>
        <v>0</v>
      </c>
    </row>
    <row r="160" spans="1:78" x14ac:dyDescent="0.3">
      <c r="A160" s="173"/>
      <c r="B160" s="70" t="s">
        <v>93</v>
      </c>
      <c r="C160" s="20">
        <v>1</v>
      </c>
      <c r="D160" s="69"/>
      <c r="E160" s="21"/>
      <c r="F160" s="52">
        <v>1.1000000000000001</v>
      </c>
      <c r="H160" s="37">
        <v>0.19800000000000001</v>
      </c>
      <c r="I160" s="52">
        <f>H160*0.2907</f>
        <v>5.7558600000000008E-2</v>
      </c>
      <c r="K160" s="53">
        <f>(I160-$I$152)/($BW$152-BW160)*1000*0.05</f>
        <v>515.5079999999806</v>
      </c>
      <c r="L160" s="68"/>
      <c r="M160" s="22">
        <v>2.2187249347183049</v>
      </c>
      <c r="O160" s="21">
        <v>0</v>
      </c>
      <c r="Q160" s="21">
        <v>0.52282376144313181</v>
      </c>
      <c r="S160" s="21">
        <v>97.258451303838555</v>
      </c>
      <c r="U160" s="21">
        <v>0</v>
      </c>
      <c r="W160" s="21">
        <v>0</v>
      </c>
      <c r="Y160" s="22">
        <v>0.10986483757608238</v>
      </c>
      <c r="AA160" s="21">
        <v>0</v>
      </c>
      <c r="AC160" s="21">
        <v>2.5888719567285546E-2</v>
      </c>
      <c r="AE160" s="21">
        <v>4.8159570337880453</v>
      </c>
      <c r="AG160" s="21">
        <v>0</v>
      </c>
      <c r="AI160" s="21">
        <v>0</v>
      </c>
      <c r="AK160" s="22">
        <f>8*(AG160-$AG$152)/(8*($BW$152-BW160))</f>
        <v>0</v>
      </c>
      <c r="AL160" s="22"/>
      <c r="AM160" s="22">
        <f>(AG160-$AG$152)/($BW$152-BW160)</f>
        <v>0</v>
      </c>
      <c r="AN160" s="22"/>
      <c r="BG160" s="37">
        <v>1592.23</v>
      </c>
      <c r="BI160" s="2">
        <v>0</v>
      </c>
      <c r="BK160" s="2">
        <v>0</v>
      </c>
      <c r="BM160" s="2">
        <v>0</v>
      </c>
      <c r="BO160" s="22">
        <f>(BG160/1000)/60.2*1000</f>
        <v>26.449003322259134</v>
      </c>
      <c r="BQ160" s="2">
        <f>BI160/74.08</f>
        <v>0</v>
      </c>
      <c r="BS160" s="2">
        <f>(BK160/1000)/88.12*1000</f>
        <v>0</v>
      </c>
      <c r="BU160" s="2">
        <f>BM160/88.12</f>
        <v>0</v>
      </c>
      <c r="BW160" s="52">
        <f>BO160*0.05</f>
        <v>1.3224501661129568</v>
      </c>
      <c r="BX160" s="51">
        <f t="shared" si="6"/>
        <v>0</v>
      </c>
      <c r="BY160" s="51">
        <f t="shared" si="7"/>
        <v>0</v>
      </c>
      <c r="BZ160" s="67">
        <f t="shared" si="8"/>
        <v>0</v>
      </c>
    </row>
    <row r="161" spans="1:78" x14ac:dyDescent="0.3">
      <c r="A161" s="173"/>
      <c r="B161" s="70" t="s">
        <v>92</v>
      </c>
      <c r="C161" s="20">
        <v>1</v>
      </c>
      <c r="D161" s="69"/>
      <c r="E161" s="21"/>
      <c r="F161" s="52">
        <v>1.41</v>
      </c>
      <c r="G161" s="67"/>
      <c r="H161" s="37">
        <v>0.20899999999999999</v>
      </c>
      <c r="I161" s="52">
        <f>H161*0.2907</f>
        <v>6.0756299999999999E-2</v>
      </c>
      <c r="K161" s="53">
        <f>(I161-$I$153)/($BW$153-BW161)*1000*0.05</f>
        <v>719.45019999999249</v>
      </c>
      <c r="L161" s="68"/>
      <c r="M161" s="22">
        <v>1.7779624221585115</v>
      </c>
      <c r="O161" s="21">
        <v>0</v>
      </c>
      <c r="Q161" s="21">
        <v>0.33000181361450209</v>
      </c>
      <c r="S161" s="21">
        <v>97.86878424961607</v>
      </c>
      <c r="U161" s="21">
        <v>2.3251514610918757E-2</v>
      </c>
      <c r="W161" s="21">
        <v>0</v>
      </c>
      <c r="Y161" s="22">
        <v>0.11285070047339379</v>
      </c>
      <c r="AA161" s="21">
        <v>0</v>
      </c>
      <c r="AC161" s="21">
        <v>2.094585091324655E-2</v>
      </c>
      <c r="AE161" s="21">
        <v>6.2119202967406508</v>
      </c>
      <c r="AG161" s="21">
        <v>1.4758184302477899E-3</v>
      </c>
      <c r="AI161" s="21">
        <v>0</v>
      </c>
      <c r="AK161" s="22">
        <f>8*(AG161-$AG$153)/(8*($BW$153-BW161))</f>
        <v>1.9743171000203565</v>
      </c>
      <c r="AL161" s="22"/>
      <c r="AM161" s="22">
        <f>(AG161-$AG$153)/($BW$153-BW161)</f>
        <v>1.9743171000203565</v>
      </c>
      <c r="AN161" s="22"/>
      <c r="BG161" s="37">
        <v>1502.98</v>
      </c>
      <c r="BI161" s="2">
        <v>0</v>
      </c>
      <c r="BK161" s="2">
        <v>0</v>
      </c>
      <c r="BM161" s="2">
        <v>0</v>
      </c>
      <c r="BO161" s="22">
        <f>(BG161/1000)/60.2*1000</f>
        <v>24.966445182724254</v>
      </c>
      <c r="BQ161" s="2">
        <f>BI161/74.08</f>
        <v>0</v>
      </c>
      <c r="BS161" s="2">
        <f>(BK161/1000)/88.12*1000</f>
        <v>0</v>
      </c>
      <c r="BU161" s="2">
        <f>BM161/88.12</f>
        <v>0</v>
      </c>
      <c r="BW161" s="52">
        <f>BO161*0.05</f>
        <v>1.2483222591362129</v>
      </c>
      <c r="BX161" s="51">
        <f t="shared" si="6"/>
        <v>0</v>
      </c>
      <c r="BY161" s="51">
        <f t="shared" si="7"/>
        <v>0</v>
      </c>
      <c r="BZ161" s="67">
        <f t="shared" si="8"/>
        <v>0</v>
      </c>
    </row>
    <row r="162" spans="1:78" ht="15" thickBot="1" x14ac:dyDescent="0.35">
      <c r="A162" s="175"/>
      <c r="B162" s="66" t="s">
        <v>63</v>
      </c>
      <c r="C162" s="65">
        <v>1</v>
      </c>
      <c r="D162" s="69" t="e">
        <f>AVERAGE(D159:D161)</f>
        <v>#DIV/0!</v>
      </c>
      <c r="E162" s="21"/>
      <c r="F162" s="56">
        <f>AVERAGE(F159:F161)</f>
        <v>1.3033333333333335</v>
      </c>
      <c r="G162" s="55">
        <f>_xlfn.STDEV.S(F159:F161)</f>
        <v>0.17616280348964933</v>
      </c>
      <c r="H162" s="60">
        <f>AVERAGE(H159:H161)</f>
        <v>0.20233333333333334</v>
      </c>
      <c r="I162" s="56">
        <f>AVERAGE(I159:I161)</f>
        <v>5.8818300000000011E-2</v>
      </c>
      <c r="J162" s="63">
        <f>_xlfn.STDEV.S(I159:I161)</f>
        <v>1.7033465560478247E-3</v>
      </c>
      <c r="K162" s="56">
        <f>AVERAGE(K159:K161)</f>
        <v>414.57917814937787</v>
      </c>
      <c r="L162" s="62">
        <f>_xlfn.STDEV.S(K159:K161)</f>
        <v>365.92791653023761</v>
      </c>
      <c r="M162" s="59">
        <f>AVERAGE(M159:M161)</f>
        <v>2.0828921249189554</v>
      </c>
      <c r="N162" s="58">
        <f>_xlfn.STDEV.S(M159:M161)</f>
        <v>0.26460010870430106</v>
      </c>
      <c r="O162" s="58">
        <f>AVERAGE(O159:O161)</f>
        <v>0</v>
      </c>
      <c r="P162" s="58">
        <f>_xlfn.STDEV.S(O159:O161)</f>
        <v>0</v>
      </c>
      <c r="Q162" s="58">
        <f>AVERAGE(Q159:Q161)</f>
        <v>0.38341328368029987</v>
      </c>
      <c r="R162" s="58">
        <f>_xlfn.STDEV.S(Q159:Q161)</f>
        <v>0.12182753336074176</v>
      </c>
      <c r="S162" s="58">
        <f>AVERAGE(S159:S161)</f>
        <v>97.485392083187563</v>
      </c>
      <c r="T162" s="58">
        <f>_xlfn.STDEV.S(S159:S161)</f>
        <v>0.33389272763072392</v>
      </c>
      <c r="U162" s="58">
        <f>AVERAGE(U159:U161)</f>
        <v>4.8302508213167943E-2</v>
      </c>
      <c r="V162" s="58">
        <f>_xlfn.STDEV.S(U159:U161)</f>
        <v>6.4581037498353533E-2</v>
      </c>
      <c r="W162" s="58">
        <f>AVERAGE(W159:W161)</f>
        <v>0</v>
      </c>
      <c r="X162" s="58">
        <f>_xlfn.STDEV.S(W159:W161)</f>
        <v>0</v>
      </c>
      <c r="Y162" s="59">
        <f>AVERAGE(Y159:Y161)</f>
        <v>0.1215466248610285</v>
      </c>
      <c r="Z162" s="58">
        <f>_xlfn.STDEV.S(Y159:Y161)</f>
        <v>1.7710651994449877E-2</v>
      </c>
      <c r="AA162" s="58">
        <f>AVERAGE(AA159:AA161)</f>
        <v>0</v>
      </c>
      <c r="AB162" s="58">
        <f>_xlfn.STDEV.S(AA159:AA161)</f>
        <v>0</v>
      </c>
      <c r="AC162" s="58">
        <f>AVERAGE(AC159:AC161)</f>
        <v>2.1859381640155395E-2</v>
      </c>
      <c r="AD162" s="58">
        <f>_xlfn.STDEV.S(AC159:AC161)</f>
        <v>3.6591226427223704E-3</v>
      </c>
      <c r="AE162" s="58">
        <f>AVERAGE(AE159:AE161)</f>
        <v>5.7205731860207036</v>
      </c>
      <c r="AF162" s="58">
        <f>_xlfn.STDEV.S(AE159:AE161)</f>
        <v>0.78439265255542856</v>
      </c>
      <c r="AG162" s="58">
        <f>AVERAGE(AG159:AG161)</f>
        <v>3.0475985513935175E-3</v>
      </c>
      <c r="AH162" s="58">
        <f>_xlfn.STDEV.S(AG159:AG161)</f>
        <v>4.0679853121659126E-3</v>
      </c>
      <c r="AI162" s="58">
        <f>AVERAGE(AI159:AI161)</f>
        <v>0</v>
      </c>
      <c r="AJ162" s="57">
        <f>_xlfn.STDEV.S(AI159:AI161)</f>
        <v>0</v>
      </c>
      <c r="AK162" s="77">
        <f>AVERAGE(AK159:AK161)</f>
        <v>0.76101585137373107</v>
      </c>
      <c r="AL162" s="77">
        <f>_xlfn.STDEV.S(AK159:AK161)</f>
        <v>1.0620280426137167</v>
      </c>
      <c r="AM162" s="77">
        <f>AVERAGE(AM159:AM161)</f>
        <v>0.76101585137373107</v>
      </c>
      <c r="AN162" s="77">
        <f>_xlfn.STDEV.S(AM159:AM161)</f>
        <v>1.0620280426137167</v>
      </c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59">
        <f>SUM(AK162,AO162,AS162)</f>
        <v>0.76101585137373107</v>
      </c>
      <c r="AZ162" s="59">
        <f>SUM(AL162,AP162,AT162)</f>
        <v>1.0620280426137167</v>
      </c>
      <c r="BA162" s="60"/>
      <c r="BB162" s="60"/>
      <c r="BC162" s="60"/>
      <c r="BD162" s="60"/>
      <c r="BE162" s="60"/>
      <c r="BF162" s="60"/>
      <c r="BG162" s="60">
        <f>AVERAGE(BG159:BG161)</f>
        <v>1535.9099999999999</v>
      </c>
      <c r="BH162" s="57">
        <f>_xlfn.STDEV.S(BG159:BG161)</f>
        <v>49.007241301668884</v>
      </c>
      <c r="BI162" s="57">
        <f>AVERAGE(BI159:BI161)</f>
        <v>0</v>
      </c>
      <c r="BJ162" s="57" t="e">
        <f>_xlfn.STDEV.S(BH159:BH161)</f>
        <v>#DIV/0!</v>
      </c>
      <c r="BK162" s="57">
        <f>AVERAGE(BK159:BK161)</f>
        <v>0</v>
      </c>
      <c r="BL162" s="57">
        <f>_xlfn.STDEV.S(BK159:BK161)</f>
        <v>0</v>
      </c>
      <c r="BM162" s="57">
        <f>AVERAGE(BM159:BM161)</f>
        <v>0</v>
      </c>
      <c r="BN162" s="57" t="e">
        <f>_xlfn.STDEV.S(BL159:BL161)</f>
        <v>#DIV/0!</v>
      </c>
      <c r="BO162" s="59">
        <f>AVERAGE(BO159:BO161)</f>
        <v>25.513455149501663</v>
      </c>
      <c r="BP162" s="58">
        <f>_xlfn.STDEV.S(BO159:BO161)</f>
        <v>0.81407377577522921</v>
      </c>
      <c r="BQ162" s="57">
        <f>AVERAGE(BQ159:BQ161)</f>
        <v>0</v>
      </c>
      <c r="BR162" s="57">
        <f>_xlfn.STDEV.S(BQ159:BQ161)</f>
        <v>0</v>
      </c>
      <c r="BS162" s="57">
        <f>AVERAGE(BS159:BS161)</f>
        <v>0</v>
      </c>
      <c r="BT162" s="57">
        <f>_xlfn.STDEV.S(BS159:BS161)</f>
        <v>0</v>
      </c>
      <c r="BU162" s="57">
        <f>AVERAGE(BU159:BU161)</f>
        <v>0</v>
      </c>
      <c r="BV162" s="57">
        <f>_xlfn.STDEV.S(BU159:BU161)</f>
        <v>0</v>
      </c>
      <c r="BW162" s="56">
        <f>AVERAGE(BW159:BW161)</f>
        <v>1.275672757475083</v>
      </c>
      <c r="BX162" s="55">
        <f t="shared" si="6"/>
        <v>0</v>
      </c>
      <c r="BY162" s="55">
        <f t="shared" si="7"/>
        <v>0</v>
      </c>
      <c r="BZ162" s="54">
        <f t="shared" si="8"/>
        <v>0</v>
      </c>
    </row>
    <row r="163" spans="1:78" x14ac:dyDescent="0.3">
      <c r="A163" s="172" t="s">
        <v>98</v>
      </c>
      <c r="B163" s="95" t="s">
        <v>97</v>
      </c>
      <c r="C163" s="94">
        <v>2</v>
      </c>
      <c r="D163" s="93"/>
      <c r="E163" s="88"/>
      <c r="F163" s="86">
        <v>1.375</v>
      </c>
      <c r="G163" s="85"/>
      <c r="H163" s="90">
        <v>0.51900000000000002</v>
      </c>
      <c r="I163" s="86">
        <f>H163*0.2907</f>
        <v>0.15087330000000002</v>
      </c>
      <c r="J163" s="92"/>
      <c r="K163" s="92">
        <f>(I163-$I$147)/(($AA$147-AA163)+($AI$147-AI163))*1000*0.05</f>
        <v>1.4838193296191902</v>
      </c>
      <c r="L163" s="91"/>
      <c r="M163" s="89">
        <v>17.993231697127683</v>
      </c>
      <c r="O163" s="88">
        <v>26.99239413091853</v>
      </c>
      <c r="Q163" s="88">
        <v>0.26531559162197221</v>
      </c>
      <c r="S163" s="88">
        <v>39.567734004058543</v>
      </c>
      <c r="U163" s="88">
        <v>10.544544080527359</v>
      </c>
      <c r="W163" s="88">
        <v>4.6367804957459224</v>
      </c>
      <c r="X163" s="88"/>
      <c r="Y163" s="89">
        <v>1.1137159494968745</v>
      </c>
      <c r="AA163" s="21">
        <v>1.6707315486583023</v>
      </c>
      <c r="AB163" s="88"/>
      <c r="AC163" s="88">
        <v>1.6422075312171918E-2</v>
      </c>
      <c r="AE163" s="21">
        <v>2.449099594088171</v>
      </c>
      <c r="AF163" s="88"/>
      <c r="AG163" s="88">
        <v>0.6526691325011309</v>
      </c>
      <c r="AI163" s="21">
        <v>0.28699993860761619</v>
      </c>
      <c r="AJ163" s="87"/>
      <c r="AK163" s="89">
        <f>8*(AG163-$AG$147)/(2*($AA$147-AA163)+2*($AI$147-AI163))</f>
        <v>0.18240792741795298</v>
      </c>
      <c r="AL163" s="89"/>
      <c r="AM163" s="89">
        <f>(AG163-$AG$147)/(($AA$147-AA163)+($AI$147-AI163))</f>
        <v>4.5601981854488244E-2</v>
      </c>
      <c r="AN163" s="89"/>
      <c r="AO163" s="37">
        <f>8*(BW163-$BW$147)/(2*($AA$147-AA163)+2*($AI$147-AI163))</f>
        <v>0.19797886284349042</v>
      </c>
      <c r="AQ163" s="37">
        <f>(BW163-$BW$147)/(($AA$147-AA163)+($AI$147-AI163))</f>
        <v>4.9494715710872605E-2</v>
      </c>
      <c r="AS163" s="37">
        <f>14*(BX163-$BX$147)/(2*($AA$147-AA163)+2*($AI$147-AI163))</f>
        <v>1.1084153843367117E-2</v>
      </c>
      <c r="AU163" s="37">
        <f>(BX163-$BX$147)/(($AA$147-AA163)+($AI$147-AI163))</f>
        <v>1.5834505490524454E-3</v>
      </c>
      <c r="AY163" s="90"/>
      <c r="AZ163" s="90"/>
      <c r="BA163" s="90"/>
      <c r="BB163" s="90"/>
      <c r="BC163" s="90"/>
      <c r="BD163" s="90"/>
      <c r="BE163" s="90"/>
      <c r="BF163" s="90"/>
      <c r="BG163" s="90">
        <v>215.44</v>
      </c>
      <c r="BH163" s="87"/>
      <c r="BI163" s="87">
        <v>8.48</v>
      </c>
      <c r="BJ163" s="87"/>
      <c r="BK163" s="87">
        <v>0</v>
      </c>
      <c r="BL163" s="87"/>
      <c r="BM163" s="87">
        <v>0</v>
      </c>
      <c r="BN163" s="87"/>
      <c r="BO163" s="89">
        <f>(BG163/1000)/60.2*1000</f>
        <v>3.5787375415282385</v>
      </c>
      <c r="BP163" s="88"/>
      <c r="BQ163" s="87">
        <f>BI163/74.08</f>
        <v>0.1144708423326134</v>
      </c>
      <c r="BR163" s="87"/>
      <c r="BS163" s="87">
        <f>(BK163/1000)/88.12*1000</f>
        <v>0</v>
      </c>
      <c r="BT163" s="87"/>
      <c r="BU163" s="87">
        <f>BM163/88.12</f>
        <v>0</v>
      </c>
      <c r="BV163" s="87"/>
      <c r="BW163" s="86">
        <f>BO163*0.05</f>
        <v>0.17893687707641193</v>
      </c>
      <c r="BX163" s="85">
        <f t="shared" si="6"/>
        <v>5.7235421166306703E-3</v>
      </c>
      <c r="BY163" s="85">
        <f t="shared" si="7"/>
        <v>0</v>
      </c>
      <c r="BZ163" s="84">
        <f t="shared" si="8"/>
        <v>0</v>
      </c>
    </row>
    <row r="164" spans="1:78" x14ac:dyDescent="0.3">
      <c r="A164" s="173"/>
      <c r="B164" s="70" t="s">
        <v>96</v>
      </c>
      <c r="C164" s="20">
        <v>2</v>
      </c>
      <c r="D164" s="69"/>
      <c r="E164" s="21"/>
      <c r="F164" s="52">
        <v>1.345</v>
      </c>
      <c r="H164" s="37">
        <v>0.52400000000000002</v>
      </c>
      <c r="I164" s="52">
        <f>H164*0.2907</f>
        <v>0.15232680000000001</v>
      </c>
      <c r="K164" s="53">
        <f>(I164-$I$147)/(($AA$147-AA164)+($AI$147-AI164))*1000*0.05</f>
        <v>1.5659762147688803</v>
      </c>
      <c r="L164" s="68"/>
      <c r="M164" s="22">
        <v>19.182235711962925</v>
      </c>
      <c r="O164" s="21">
        <v>29.78158096999061</v>
      </c>
      <c r="Q164" s="21">
        <v>0.3567459358080281</v>
      </c>
      <c r="S164" s="21">
        <v>34.184753009143414</v>
      </c>
      <c r="U164" s="21">
        <v>11.576021635582874</v>
      </c>
      <c r="W164" s="21">
        <v>4.9186627375121414</v>
      </c>
      <c r="Y164" s="22">
        <v>1.1614060294585509</v>
      </c>
      <c r="AA164" s="21">
        <v>1.8031530956417217</v>
      </c>
      <c r="AC164" s="21">
        <v>2.1599509413487376E-2</v>
      </c>
      <c r="AE164" s="21">
        <v>2.0697471794494877</v>
      </c>
      <c r="AG164" s="21">
        <v>0.70088083196287687</v>
      </c>
      <c r="AI164" s="21">
        <v>0.29780494025819332</v>
      </c>
      <c r="AK164" s="22">
        <f>8*(AG164-$AG$148)/(2*($AA$148-AA164)+2*($AI$148-AI164))</f>
        <v>0.22969065572548999</v>
      </c>
      <c r="AL164" s="22"/>
      <c r="AM164" s="22">
        <f>(AG164-$AG$148)/(($AA$148-AA164)+($AI$148-AI164))</f>
        <v>5.7422663931372499E-2</v>
      </c>
      <c r="AN164" s="22"/>
      <c r="AO164" s="37">
        <f>8*(BW164-$BW$148)/(2*($AA$148-AA164)+2*($AI$148-AI164))</f>
        <v>0.21133463753945306</v>
      </c>
      <c r="AQ164" s="37">
        <f>(BW164-$BW$148)/(($AA$148-AA164)+($AI$148-AI164))</f>
        <v>5.2833659384863264E-2</v>
      </c>
      <c r="AS164" s="37">
        <f>14*(BX164-$BX$148)/(2*($AA$148-AA164)+2*($AI$148-AI164))</f>
        <v>6.0952226214557011E-3</v>
      </c>
      <c r="AU164" s="37">
        <f>(BX164-$BX$148)/(($AA$148-AA164)+($AI$148-AI164))</f>
        <v>8.7074608877938579E-4</v>
      </c>
      <c r="BG164" s="37">
        <v>224.44</v>
      </c>
      <c r="BI164" s="2">
        <v>4.55</v>
      </c>
      <c r="BK164" s="2">
        <v>0</v>
      </c>
      <c r="BM164" s="2">
        <v>0</v>
      </c>
      <c r="BO164" s="22">
        <f>(BG164/1000)/60.2*1000</f>
        <v>3.7282392026578073</v>
      </c>
      <c r="BQ164" s="2">
        <f>BI164/74.08</f>
        <v>6.1420086393088554E-2</v>
      </c>
      <c r="BS164" s="2">
        <f>(BK164/1000)/88.12*1000</f>
        <v>0</v>
      </c>
      <c r="BU164" s="2">
        <f>BM164/88.12</f>
        <v>0</v>
      </c>
      <c r="BW164" s="52">
        <f>BO164*0.05</f>
        <v>0.18641196013289038</v>
      </c>
      <c r="BX164" s="51">
        <f t="shared" si="6"/>
        <v>3.0710043196544279E-3</v>
      </c>
      <c r="BY164" s="51">
        <f t="shared" si="7"/>
        <v>0</v>
      </c>
      <c r="BZ164" s="67">
        <f t="shared" si="8"/>
        <v>0</v>
      </c>
    </row>
    <row r="165" spans="1:78" x14ac:dyDescent="0.3">
      <c r="A165" s="173"/>
      <c r="B165" s="70" t="s">
        <v>95</v>
      </c>
      <c r="C165" s="20">
        <v>2</v>
      </c>
      <c r="D165" s="69"/>
      <c r="E165" s="21"/>
      <c r="F165" s="52">
        <v>1.355</v>
      </c>
      <c r="H165" s="37">
        <v>0.495</v>
      </c>
      <c r="I165" s="52">
        <f>H165*0.2907</f>
        <v>0.14389650000000001</v>
      </c>
      <c r="K165" s="53">
        <f>(I165-$I$147)/(($AA$147-AA165)+($AI$147-AI165))*1000*0.05</f>
        <v>1.4057353001870723</v>
      </c>
      <c r="L165" s="68"/>
      <c r="M165" s="22">
        <v>18.406109745925736</v>
      </c>
      <c r="O165" s="21">
        <v>27.859757649426044</v>
      </c>
      <c r="Q165" s="21">
        <v>0.15056486503159963</v>
      </c>
      <c r="S165" s="21">
        <v>37.367898211591196</v>
      </c>
      <c r="U165" s="21">
        <v>11.202704079294413</v>
      </c>
      <c r="W165" s="21">
        <v>5.0129654487309985</v>
      </c>
      <c r="Y165" s="22">
        <v>1.1227003837085574</v>
      </c>
      <c r="AA165" s="21">
        <v>1.6993357659383499</v>
      </c>
      <c r="AC165" s="21">
        <v>9.1838652532983817E-3</v>
      </c>
      <c r="AE165" s="21">
        <v>2.2792949862652105</v>
      </c>
      <c r="AG165" s="21">
        <v>0.68332093755886092</v>
      </c>
      <c r="AI165" s="21">
        <v>0.30577119828668992</v>
      </c>
      <c r="AK165" s="22">
        <f>8*(AG165-$AG$149)/(2*($AA$149-AA165)+2*($AI$149-AI165))</f>
        <v>0.19817050460832178</v>
      </c>
      <c r="AL165" s="22"/>
      <c r="AM165" s="22">
        <f>(AG165-$AG$149)/(($AA$149-AA165)+($AI$149-AI165))</f>
        <v>4.9542626152080445E-2</v>
      </c>
      <c r="AN165" s="22"/>
      <c r="AO165" s="37">
        <f>8*(BW165-$BW$149)/(2*($AA$149-AA165)+2*($AI$149-AI165))</f>
        <v>0.13721624541833879</v>
      </c>
      <c r="AQ165" s="37">
        <f>(BW165-$BW$148)/(($AA$148-AA165)+($AI$148-AI165))</f>
        <v>3.4011572272481881E-2</v>
      </c>
      <c r="AS165" s="37">
        <f>14*(BX165-$BX$149)/(2*($AA$149-AA165)+2*($AI$149-AI165))</f>
        <v>3.1331410483952122E-3</v>
      </c>
      <c r="AU165" s="37">
        <f>(BX165-$BX$149)/(($AA$149-AA165)+($AI$149-AI165))</f>
        <v>4.475915783421732E-4</v>
      </c>
      <c r="BG165" s="37">
        <v>148.44</v>
      </c>
      <c r="BI165" s="2">
        <v>2.42</v>
      </c>
      <c r="BK165" s="2">
        <v>0</v>
      </c>
      <c r="BM165" s="2">
        <v>0</v>
      </c>
      <c r="BO165" s="22">
        <f>(BG165/1000)/60.2*1000</f>
        <v>2.4657807308970097</v>
      </c>
      <c r="BQ165" s="2">
        <f>BI165/74.08</f>
        <v>3.2667386609071272E-2</v>
      </c>
      <c r="BS165" s="2">
        <f>(BK165/1000)/88.12*1000</f>
        <v>0</v>
      </c>
      <c r="BU165" s="2">
        <f>BM165/88.12</f>
        <v>0</v>
      </c>
      <c r="BW165" s="52">
        <f>BO165*0.05</f>
        <v>0.12328903654485049</v>
      </c>
      <c r="BX165" s="51">
        <f t="shared" si="6"/>
        <v>1.6333693304535638E-3</v>
      </c>
      <c r="BY165" s="51">
        <f t="shared" si="7"/>
        <v>0</v>
      </c>
      <c r="BZ165" s="67">
        <f t="shared" si="8"/>
        <v>0</v>
      </c>
    </row>
    <row r="166" spans="1:78" x14ac:dyDescent="0.3">
      <c r="A166" s="173"/>
      <c r="B166" s="83" t="s">
        <v>63</v>
      </c>
      <c r="C166" s="80">
        <v>2</v>
      </c>
      <c r="D166" s="79" t="e">
        <f>AVERAGE(D163:D165)</f>
        <v>#DIV/0!</v>
      </c>
      <c r="E166" s="77"/>
      <c r="F166" s="74">
        <f>AVERAGE(F163:F165)</f>
        <v>1.3583333333333332</v>
      </c>
      <c r="G166" s="73">
        <f>_xlfn.STDEV.S(F163:F165)</f>
        <v>1.527525231651948E-2</v>
      </c>
      <c r="H166" s="77">
        <f>AVERAGE(H163:H165)</f>
        <v>0.51266666666666671</v>
      </c>
      <c r="I166" s="74">
        <f>AVERAGE(I163:I165)</f>
        <v>0.14903220000000003</v>
      </c>
      <c r="J166" s="82">
        <f>_xlfn.STDEV.S(I163:I165)</f>
        <v>4.5066313838609002E-3</v>
      </c>
      <c r="K166" s="82">
        <f>(I166-$I$147)/(($AA$147-AA166)+($AI$147-AI166))*1000*0.05</f>
        <v>1.4844439277699535</v>
      </c>
      <c r="L166" s="81">
        <f>_xlfn.STDEV.S(K163:K165)</f>
        <v>8.012908350059246E-2</v>
      </c>
      <c r="M166" s="77">
        <f>AVERAGE(M163:M165)</f>
        <v>18.527192385005449</v>
      </c>
      <c r="N166" s="76">
        <f>_xlfn.STDEV.S(M163:M165)</f>
        <v>0.60367904629733626</v>
      </c>
      <c r="O166" s="76">
        <f>AVERAGE(O163:O165)</f>
        <v>28.211244250111729</v>
      </c>
      <c r="P166" s="76">
        <f>_xlfn.STDEV.S(O163:O165)</f>
        <v>1.4274270309404291</v>
      </c>
      <c r="Q166" s="76">
        <f>AVERAGE(Q163:Q165)</f>
        <v>0.25754213082053329</v>
      </c>
      <c r="R166" s="76">
        <f>_xlfn.STDEV.S(Q163:Q165)</f>
        <v>0.10331010844177974</v>
      </c>
      <c r="S166" s="76">
        <f>AVERAGE(S163:S165)</f>
        <v>37.040128408264387</v>
      </c>
      <c r="T166" s="76">
        <f>_xlfn.STDEV.S(S163:S165)</f>
        <v>2.7064175363169745</v>
      </c>
      <c r="U166" s="76">
        <f>AVERAGE(U163:U165)</f>
        <v>11.107756598468216</v>
      </c>
      <c r="V166" s="76">
        <f>_xlfn.STDEV.S(U163:U165)</f>
        <v>0.52225257752571863</v>
      </c>
      <c r="W166" s="76">
        <f>AVERAGE(W163:W165)</f>
        <v>4.8561362273296877</v>
      </c>
      <c r="X166" s="76">
        <f>_xlfn.STDEV.S(W163:W165)</f>
        <v>0.19573183969347799</v>
      </c>
      <c r="Y166" s="77">
        <f>AVERAGE(Y163:Y165)</f>
        <v>1.1326074542213276</v>
      </c>
      <c r="Z166" s="76">
        <f>_xlfn.STDEV.S(Y163:Y165)</f>
        <v>2.5341635035974346E-2</v>
      </c>
      <c r="AA166" s="76">
        <f>AVERAGE(AA163:AA165)</f>
        <v>1.7244068034127913</v>
      </c>
      <c r="AB166" s="76">
        <f>_xlfn.STDEV.S(AA163:AA165)</f>
        <v>6.9679869520573284E-2</v>
      </c>
      <c r="AC166" s="76">
        <f>AVERAGE(AC163:AC165)</f>
        <v>1.5735149992985892E-2</v>
      </c>
      <c r="AD166" s="76">
        <f>_xlfn.STDEV.S(AC163:AC165)</f>
        <v>6.2362612817066015E-3</v>
      </c>
      <c r="AE166" s="76">
        <f>AVERAGE(AE163:AE165)</f>
        <v>2.2660472532676228</v>
      </c>
      <c r="AF166" s="76">
        <f>_xlfn.STDEV.S(AE163:AE165)</f>
        <v>0.19002286821651596</v>
      </c>
      <c r="AG166" s="76">
        <f>AVERAGE(AG163:AG165)</f>
        <v>0.67895696734095623</v>
      </c>
      <c r="AH166" s="76">
        <f>_xlfn.STDEV.S(AG163:AG165)</f>
        <v>2.4400310823727196E-2</v>
      </c>
      <c r="AI166" s="76">
        <f>AVERAGE(AI163:AI165)</f>
        <v>0.29685869238416651</v>
      </c>
      <c r="AJ166" s="76">
        <f>_xlfn.STDEV.S(AI163:AI165)</f>
        <v>9.4213367556907762E-3</v>
      </c>
      <c r="AK166" s="77">
        <f>AVERAGE(AK163:AK165)</f>
        <v>0.20342302925058822</v>
      </c>
      <c r="AL166" s="77">
        <f>_xlfn.STDEV.S(AK163:AK165)</f>
        <v>2.4075004888666235E-2</v>
      </c>
      <c r="AM166" s="77">
        <f>AVERAGE(AM163:AM165)</f>
        <v>5.0855757312647056E-2</v>
      </c>
      <c r="AN166" s="77">
        <f>_xlfn.STDEV.S(AM163:AM165)</f>
        <v>6.0187512221665587E-3</v>
      </c>
      <c r="AO166" s="78">
        <f>AVERAGE(AO163:AO165)</f>
        <v>0.18217658193376074</v>
      </c>
      <c r="AP166" s="78">
        <f>_xlfn.STDEV.S(AO163:AO165)</f>
        <v>3.9505291722974678E-2</v>
      </c>
      <c r="AQ166" s="78">
        <f>AVERAGE(AQ163:AQ165)</f>
        <v>4.5446649122739248E-2</v>
      </c>
      <c r="AR166" s="78">
        <f>_xlfn.STDEV.S(AQ163:AQ165)</f>
        <v>1.0042802056348117E-2</v>
      </c>
      <c r="AS166" s="78">
        <f>AVERAGE(AS163:AS165)</f>
        <v>6.7708391710726776E-3</v>
      </c>
      <c r="AT166" s="78">
        <f>_xlfn.STDEV.S(AS163:AS165)</f>
        <v>4.0183322918891347E-3</v>
      </c>
      <c r="AU166" s="78">
        <f>AVERAGE(AU163:AU165)</f>
        <v>9.6726273872466823E-4</v>
      </c>
      <c r="AV166" s="80">
        <f>_xlfn.STDEV.S(AU163:AU165)</f>
        <v>5.7404747026987659E-4</v>
      </c>
      <c r="AW166" s="80"/>
      <c r="AX166" s="80"/>
      <c r="AY166" s="79">
        <f>SUM(AK166,AO166,AS166)</f>
        <v>0.39237045035542162</v>
      </c>
      <c r="AZ166" s="77">
        <f>SUM(AL166,AP166,AT166)</f>
        <v>6.759862890353005E-2</v>
      </c>
      <c r="BA166" s="78"/>
      <c r="BB166" s="78"/>
      <c r="BC166" s="78"/>
      <c r="BD166" s="78"/>
      <c r="BE166" s="78"/>
      <c r="BF166" s="78"/>
      <c r="BG166" s="78"/>
      <c r="BH166" s="75"/>
      <c r="BI166" s="75"/>
      <c r="BJ166" s="75"/>
      <c r="BK166" s="75"/>
      <c r="BL166" s="75"/>
      <c r="BM166" s="75"/>
      <c r="BN166" s="75"/>
      <c r="BO166" s="77">
        <f>AVERAGE(BO163:BO165)</f>
        <v>3.2575858250276855</v>
      </c>
      <c r="BP166" s="76">
        <f>_xlfn.STDEV.S(BO163:BO165)</f>
        <v>0.68978559494134728</v>
      </c>
      <c r="BQ166" s="75">
        <f>AVERAGE(BQ163:BQ165)</f>
        <v>6.9519438444924406E-2</v>
      </c>
      <c r="BR166" s="75">
        <f>_xlfn.STDEV.S(BQ163:BQ165)</f>
        <v>4.149880684818618E-2</v>
      </c>
      <c r="BS166" s="75">
        <f>AVERAGE(BS163:BS165)</f>
        <v>0</v>
      </c>
      <c r="BT166" s="75">
        <f>_xlfn.STDEV.S(BS163:BS165)</f>
        <v>0</v>
      </c>
      <c r="BU166" s="75">
        <f>AVERAGE(BU163:BU165)</f>
        <v>0</v>
      </c>
      <c r="BV166" s="75">
        <f>_xlfn.STDEV.S(BU163:BU165)</f>
        <v>0</v>
      </c>
      <c r="BW166" s="74">
        <f>AVERAGE(BW163:BW165)</f>
        <v>0.16287929125138426</v>
      </c>
      <c r="BX166" s="73">
        <f t="shared" si="6"/>
        <v>3.4759719222462204E-3</v>
      </c>
      <c r="BY166" s="73">
        <f t="shared" si="7"/>
        <v>0</v>
      </c>
      <c r="BZ166" s="72">
        <f t="shared" si="8"/>
        <v>0</v>
      </c>
    </row>
    <row r="167" spans="1:78" x14ac:dyDescent="0.3">
      <c r="A167" s="174" t="s">
        <v>61</v>
      </c>
      <c r="B167" s="70" t="s">
        <v>94</v>
      </c>
      <c r="C167" s="20">
        <v>2</v>
      </c>
      <c r="D167" s="69"/>
      <c r="E167" s="21"/>
      <c r="F167" s="52">
        <v>1.365</v>
      </c>
      <c r="H167" s="37">
        <v>0.192</v>
      </c>
      <c r="I167" s="52">
        <f>H167*0.2907</f>
        <v>5.5814400000000007E-2</v>
      </c>
      <c r="K167" s="53">
        <f>(I167-$I$151)/($BW$151-BW167)*1000*0.05</f>
        <v>6.8666468609864957</v>
      </c>
      <c r="L167" s="68"/>
      <c r="M167" s="22">
        <v>2.2695829834409409</v>
      </c>
      <c r="O167" s="21">
        <v>0</v>
      </c>
      <c r="Q167" s="21">
        <v>0.1475446842446031</v>
      </c>
      <c r="S167" s="21">
        <v>97.582872332314452</v>
      </c>
      <c r="U167" s="21">
        <v>0</v>
      </c>
      <c r="W167" s="21">
        <v>0</v>
      </c>
      <c r="Y167" s="22">
        <v>0.13945731091981392</v>
      </c>
      <c r="AA167" s="21">
        <v>0</v>
      </c>
      <c r="AC167" s="21">
        <v>9.0660641427922559E-3</v>
      </c>
      <c r="AE167" s="21">
        <v>5.9960993127750104</v>
      </c>
      <c r="AG167" s="21">
        <v>0</v>
      </c>
      <c r="AI167" s="21">
        <v>0</v>
      </c>
      <c r="AK167" s="22">
        <f>8*(AG167-$AG$151)/(8*($BW$151-BW167))</f>
        <v>0</v>
      </c>
      <c r="AL167" s="22"/>
      <c r="AM167" s="22">
        <f>(AG167-$AG$151)/($BW$151-BW167)</f>
        <v>0</v>
      </c>
      <c r="AN167" s="22"/>
      <c r="BG167" s="37">
        <v>1524.58</v>
      </c>
      <c r="BI167" s="2">
        <v>0</v>
      </c>
      <c r="BK167" s="2">
        <v>0</v>
      </c>
      <c r="BM167" s="2">
        <v>0</v>
      </c>
      <c r="BO167" s="22">
        <f>(BG167/1000)/60.2*1000</f>
        <v>25.325249169435214</v>
      </c>
      <c r="BQ167" s="2">
        <f>BI167/74.08</f>
        <v>0</v>
      </c>
      <c r="BS167" s="2">
        <f>(BK167/1000)/88.12*1000</f>
        <v>0</v>
      </c>
      <c r="BU167" s="2">
        <f>BM167/88.12</f>
        <v>0</v>
      </c>
      <c r="BW167" s="52">
        <f>BO167*0.05</f>
        <v>1.2662624584717608</v>
      </c>
      <c r="BX167" s="51">
        <f t="shared" si="6"/>
        <v>0</v>
      </c>
      <c r="BY167" s="51">
        <f t="shared" si="7"/>
        <v>0</v>
      </c>
      <c r="BZ167" s="67">
        <f t="shared" si="8"/>
        <v>0</v>
      </c>
    </row>
    <row r="168" spans="1:78" x14ac:dyDescent="0.3">
      <c r="A168" s="173"/>
      <c r="B168" s="70" t="s">
        <v>93</v>
      </c>
      <c r="C168" s="20">
        <v>2</v>
      </c>
      <c r="D168" s="69"/>
      <c r="E168" s="21"/>
      <c r="F168" s="52">
        <v>1.365</v>
      </c>
      <c r="H168" s="37">
        <v>0.191</v>
      </c>
      <c r="I168" s="52">
        <f>H168*0.2907</f>
        <v>5.5523700000000002E-2</v>
      </c>
      <c r="K168" s="53">
        <f>(I168-$I$152)/($BW$152-BW168)*1000*0.05</f>
        <v>6.1676255115961807</v>
      </c>
      <c r="L168" s="68"/>
      <c r="M168" s="22">
        <v>2.2289078140446379</v>
      </c>
      <c r="O168" s="21">
        <v>0</v>
      </c>
      <c r="Q168" s="21">
        <v>0.13207153964211765</v>
      </c>
      <c r="S168" s="21">
        <v>97.639020646313256</v>
      </c>
      <c r="U168" s="21">
        <v>0</v>
      </c>
      <c r="W168" s="21">
        <v>0</v>
      </c>
      <c r="Y168" s="22">
        <v>0.13695797523277231</v>
      </c>
      <c r="AA168" s="21">
        <v>0</v>
      </c>
      <c r="AC168" s="21">
        <v>8.1152977890260134E-3</v>
      </c>
      <c r="AE168" s="21">
        <v>5.999549414815819</v>
      </c>
      <c r="AG168" s="21">
        <v>0</v>
      </c>
      <c r="AI168" s="21">
        <v>0</v>
      </c>
      <c r="AK168" s="22">
        <f>8*(AG168-$AG$152)/(8*($BW$152-BW168))</f>
        <v>0</v>
      </c>
      <c r="AL168" s="22"/>
      <c r="AM168" s="22">
        <f>(AG168-$AG$152)/($BW$152-BW168)</f>
        <v>0</v>
      </c>
      <c r="AN168" s="22"/>
      <c r="BG168" s="37">
        <v>1505.56</v>
      </c>
      <c r="BI168" s="2">
        <v>0</v>
      </c>
      <c r="BK168" s="2">
        <v>0</v>
      </c>
      <c r="BM168" s="2">
        <v>0</v>
      </c>
      <c r="BO168" s="22">
        <f>(BG168/1000)/60.2*1000</f>
        <v>25.009302325581395</v>
      </c>
      <c r="BQ168" s="2">
        <f>BI168/74.08</f>
        <v>0</v>
      </c>
      <c r="BS168" s="2">
        <f>(BK168/1000)/88.12*1000</f>
        <v>0</v>
      </c>
      <c r="BU168" s="2">
        <f>BM168/88.12</f>
        <v>0</v>
      </c>
      <c r="BW168" s="52">
        <f>BO168*0.05</f>
        <v>1.2504651162790699</v>
      </c>
      <c r="BX168" s="51">
        <f t="shared" si="6"/>
        <v>0</v>
      </c>
      <c r="BY168" s="51">
        <f t="shared" si="7"/>
        <v>0</v>
      </c>
      <c r="BZ168" s="67">
        <f t="shared" si="8"/>
        <v>0</v>
      </c>
    </row>
    <row r="169" spans="1:78" x14ac:dyDescent="0.3">
      <c r="A169" s="173"/>
      <c r="B169" s="70" t="s">
        <v>92</v>
      </c>
      <c r="C169" s="20">
        <v>2</v>
      </c>
      <c r="D169" s="69"/>
      <c r="E169" s="21"/>
      <c r="F169" s="52">
        <v>1.375</v>
      </c>
      <c r="G169" s="67"/>
      <c r="H169" s="37">
        <v>0.186</v>
      </c>
      <c r="I169" s="52">
        <f>H169*0.2907</f>
        <v>5.4070199999999999E-2</v>
      </c>
      <c r="K169" s="53">
        <f>(I169-$I$153)/($BW$153-BW169)*1000*0.05</f>
        <v>-140.80572413794829</v>
      </c>
      <c r="L169" s="68"/>
      <c r="M169" s="22">
        <v>1.8472274988419217</v>
      </c>
      <c r="O169" s="21">
        <v>0</v>
      </c>
      <c r="Q169" s="21">
        <v>0.60740350238295338</v>
      </c>
      <c r="S169" s="21">
        <v>97.545368998775118</v>
      </c>
      <c r="U169" s="21">
        <v>0</v>
      </c>
      <c r="W169" s="21">
        <v>0</v>
      </c>
      <c r="Y169" s="22">
        <v>0.1143366996234411</v>
      </c>
      <c r="AA169" s="21">
        <v>0</v>
      </c>
      <c r="AC169" s="21">
        <v>3.7596079446481308E-2</v>
      </c>
      <c r="AE169" s="21">
        <v>6.0377054595943438</v>
      </c>
      <c r="AG169" s="21">
        <v>0</v>
      </c>
      <c r="AI169" s="21">
        <v>0</v>
      </c>
      <c r="AK169" s="22">
        <f>8*(AG169-$AG$153)/(8*($BW$153-BW169))</f>
        <v>0</v>
      </c>
      <c r="AL169" s="22"/>
      <c r="AM169" s="22">
        <f>(AG169-$AG$153)/($BW$153-BW169)</f>
        <v>0</v>
      </c>
      <c r="AN169" s="22"/>
      <c r="BG169" s="37">
        <v>1505.62</v>
      </c>
      <c r="BI169" s="2">
        <v>0</v>
      </c>
      <c r="BK169" s="2">
        <v>0</v>
      </c>
      <c r="BM169" s="2">
        <v>0</v>
      </c>
      <c r="BO169" s="22">
        <f>(BG169/1000)/60.2*1000</f>
        <v>25.01029900332226</v>
      </c>
      <c r="BQ169" s="2">
        <f>BI169/74.08</f>
        <v>0</v>
      </c>
      <c r="BS169" s="2">
        <f>(BK169/1000)/88.12*1000</f>
        <v>0</v>
      </c>
      <c r="BU169" s="2">
        <f>BM169/88.12</f>
        <v>0</v>
      </c>
      <c r="BW169" s="52">
        <f>BO169*0.05</f>
        <v>1.250514950166113</v>
      </c>
      <c r="BX169" s="51">
        <f t="shared" si="6"/>
        <v>0</v>
      </c>
      <c r="BY169" s="51">
        <f t="shared" si="7"/>
        <v>0</v>
      </c>
      <c r="BZ169" s="67">
        <f t="shared" si="8"/>
        <v>0</v>
      </c>
    </row>
    <row r="170" spans="1:78" ht="15" thickBot="1" x14ac:dyDescent="0.35">
      <c r="A170" s="175"/>
      <c r="B170" s="66" t="s">
        <v>63</v>
      </c>
      <c r="C170" s="65">
        <v>2</v>
      </c>
      <c r="D170" s="69" t="e">
        <f>AVERAGE(D167:D169)</f>
        <v>#DIV/0!</v>
      </c>
      <c r="E170" s="21"/>
      <c r="F170" s="56">
        <f>AVERAGE(F167:F169)</f>
        <v>1.3683333333333334</v>
      </c>
      <c r="G170" s="55">
        <f>_xlfn.STDEV.S(F167:F169)</f>
        <v>5.7735026918962632E-3</v>
      </c>
      <c r="H170" s="60">
        <f>AVERAGE(H167:H169)</f>
        <v>0.18966666666666665</v>
      </c>
      <c r="I170" s="56">
        <f>AVERAGE(I167:I169)</f>
        <v>5.51361E-2</v>
      </c>
      <c r="J170" s="63">
        <f>_xlfn.STDEV.S(I167:I169)</f>
        <v>9.3446975874022099E-4</v>
      </c>
      <c r="K170" s="56">
        <f>AVERAGE(K167:K169)</f>
        <v>-42.59048392178854</v>
      </c>
      <c r="L170" s="62">
        <f>_xlfn.STDEV.S(K167:K169)</f>
        <v>85.057611157086924</v>
      </c>
      <c r="M170" s="59">
        <f>AVERAGE(M167:M169)</f>
        <v>2.1152394321091665</v>
      </c>
      <c r="N170" s="58">
        <f>_xlfn.STDEV.S(M167:M169)</f>
        <v>0.23299445193306464</v>
      </c>
      <c r="O170" s="58">
        <f>AVERAGE(O167:O169)</f>
        <v>0</v>
      </c>
      <c r="P170" s="58">
        <f>_xlfn.STDEV.S(O167:O169)</f>
        <v>0</v>
      </c>
      <c r="Q170" s="58">
        <f>AVERAGE(Q167:Q169)</f>
        <v>0.29567324208989137</v>
      </c>
      <c r="R170" s="58">
        <f>_xlfn.STDEV.S(Q167:Q169)</f>
        <v>0.27007715737869703</v>
      </c>
      <c r="S170" s="58">
        <f>AVERAGE(S167:S169)</f>
        <v>97.589087325800946</v>
      </c>
      <c r="T170" s="58">
        <f>_xlfn.STDEV.S(S167:S169)</f>
        <v>4.7134142398899653E-2</v>
      </c>
      <c r="U170" s="58">
        <f>AVERAGE(U167:U169)</f>
        <v>0</v>
      </c>
      <c r="V170" s="58">
        <f>_xlfn.STDEV.S(U167:U169)</f>
        <v>0</v>
      </c>
      <c r="W170" s="58">
        <f>AVERAGE(W167:W169)</f>
        <v>0</v>
      </c>
      <c r="X170" s="58">
        <f>_xlfn.STDEV.S(W167:W169)</f>
        <v>0</v>
      </c>
      <c r="Y170" s="59">
        <f>AVERAGE(Y167:Y169)</f>
        <v>0.13025066192534246</v>
      </c>
      <c r="Z170" s="58">
        <f>_xlfn.STDEV.S(Y167:Y169)</f>
        <v>1.3838436213275065E-2</v>
      </c>
      <c r="AA170" s="58">
        <f>AVERAGE(AA167:AA169)</f>
        <v>0</v>
      </c>
      <c r="AB170" s="58">
        <f>_xlfn.STDEV.S(AA167:AA169)</f>
        <v>0</v>
      </c>
      <c r="AC170" s="58">
        <f>AVERAGE(AC167:AC169)</f>
        <v>1.825914712609986E-2</v>
      </c>
      <c r="AD170" s="58">
        <f>_xlfn.STDEV.S(AC167:AC169)</f>
        <v>1.6753020707834243E-2</v>
      </c>
      <c r="AE170" s="58">
        <f>AVERAGE(AE167:AE169)</f>
        <v>6.0111180623950586</v>
      </c>
      <c r="AF170" s="58">
        <f>_xlfn.STDEV.S(AE167:AE169)</f>
        <v>2.3089891043429601E-2</v>
      </c>
      <c r="AG170" s="58">
        <f>AVERAGE(AG167:AG169)</f>
        <v>0</v>
      </c>
      <c r="AH170" s="58">
        <f>_xlfn.STDEV.S(AG167:AG169)</f>
        <v>0</v>
      </c>
      <c r="AI170" s="58">
        <f>AVERAGE(AI167:AI169)</f>
        <v>0</v>
      </c>
      <c r="AJ170" s="57">
        <f>_xlfn.STDEV.S(AI167:AI169)</f>
        <v>0</v>
      </c>
      <c r="AK170" s="77">
        <f>AVERAGE(AK167:AK169)</f>
        <v>0</v>
      </c>
      <c r="AL170" s="77">
        <f>_xlfn.STDEV.S(AK167:AK169)</f>
        <v>0</v>
      </c>
      <c r="AM170" s="77">
        <f>AVERAGE(AM167:AM169)</f>
        <v>0</v>
      </c>
      <c r="AN170" s="77">
        <f>_xlfn.STDEV.S(AM167:AM169)</f>
        <v>0</v>
      </c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59">
        <f>SUM(AK170,AO170,AS170)</f>
        <v>0</v>
      </c>
      <c r="AZ170" s="59">
        <f>SUM(AL170,AP170,AT170)</f>
        <v>0</v>
      </c>
      <c r="BA170" s="60"/>
      <c r="BB170" s="60"/>
      <c r="BC170" s="60"/>
      <c r="BD170" s="60"/>
      <c r="BE170" s="60"/>
      <c r="BF170" s="60"/>
      <c r="BG170" s="60">
        <f>AVERAGE(BG167:BG169)</f>
        <v>1511.92</v>
      </c>
      <c r="BH170" s="57">
        <f>_xlfn.STDEV.S(BG167:BG169)</f>
        <v>10.963922655692173</v>
      </c>
      <c r="BI170" s="57">
        <f>AVERAGE(BI167:BI169)</f>
        <v>0</v>
      </c>
      <c r="BJ170" s="57" t="e">
        <f>_xlfn.STDEV.S(BH167:BH169)</f>
        <v>#DIV/0!</v>
      </c>
      <c r="BK170" s="57">
        <f>AVERAGE(BK167:BK169)</f>
        <v>0</v>
      </c>
      <c r="BL170" s="57">
        <f>_xlfn.STDEV.S(BK167:BK169)</f>
        <v>0</v>
      </c>
      <c r="BM170" s="57">
        <f>AVERAGE(BM167:BM169)</f>
        <v>0</v>
      </c>
      <c r="BN170" s="57" t="e">
        <f>_xlfn.STDEV.S(BL167:BL169)</f>
        <v>#DIV/0!</v>
      </c>
      <c r="BO170" s="59">
        <f>AVERAGE(BO167:BO169)</f>
        <v>25.114950166112958</v>
      </c>
      <c r="BP170" s="58">
        <f>_xlfn.STDEV.S(BO167:BO169)</f>
        <v>0.18212496105800824</v>
      </c>
      <c r="BQ170" s="57">
        <f>AVERAGE(BQ167:BQ169)</f>
        <v>0</v>
      </c>
      <c r="BR170" s="57">
        <f>_xlfn.STDEV.S(BQ167:BQ169)</f>
        <v>0</v>
      </c>
      <c r="BS170" s="57">
        <f>AVERAGE(BS167:BS169)</f>
        <v>0</v>
      </c>
      <c r="BT170" s="57">
        <f>_xlfn.STDEV.S(BS167:BS169)</f>
        <v>0</v>
      </c>
      <c r="BU170" s="57">
        <f>AVERAGE(BU167:BU169)</f>
        <v>0</v>
      </c>
      <c r="BV170" s="57">
        <f>_xlfn.STDEV.S(BU167:BU169)</f>
        <v>0</v>
      </c>
      <c r="BW170" s="56">
        <f>AVERAGE(BW167:BW169)</f>
        <v>1.2557475083056477</v>
      </c>
      <c r="BX170" s="55">
        <f t="shared" si="6"/>
        <v>0</v>
      </c>
      <c r="BY170" s="55">
        <f t="shared" si="7"/>
        <v>0</v>
      </c>
      <c r="BZ170" s="54">
        <f t="shared" si="8"/>
        <v>0</v>
      </c>
    </row>
    <row r="171" spans="1:78" x14ac:dyDescent="0.3">
      <c r="A171" s="172" t="s">
        <v>98</v>
      </c>
      <c r="B171" s="95" t="s">
        <v>97</v>
      </c>
      <c r="C171" s="94">
        <v>3</v>
      </c>
      <c r="D171" s="93"/>
      <c r="E171" s="88"/>
      <c r="F171" s="86">
        <v>1.35</v>
      </c>
      <c r="G171" s="85"/>
      <c r="H171" s="90">
        <v>0.56699999999999995</v>
      </c>
      <c r="I171" s="86">
        <f>H171*0.2907</f>
        <v>0.1648269</v>
      </c>
      <c r="J171" s="92"/>
      <c r="K171" s="92">
        <f>(I171-$I$147)/(($AA$147-AA171)+($AI$147-AI171))*1000*0.05</f>
        <v>1.197749254500226</v>
      </c>
      <c r="L171" s="91"/>
      <c r="M171" s="89">
        <v>14.843943219385244</v>
      </c>
      <c r="O171" s="88">
        <v>6.999940540695694</v>
      </c>
      <c r="Q171" s="88">
        <v>0.20804283242400809</v>
      </c>
      <c r="S171" s="88">
        <v>66.053795860830377</v>
      </c>
      <c r="U171" s="88">
        <v>10.470319307831808</v>
      </c>
      <c r="W171" s="88">
        <v>1.4239582388328791</v>
      </c>
      <c r="X171" s="88"/>
      <c r="Y171" s="89">
        <v>0.90208117862117743</v>
      </c>
      <c r="AA171" s="21">
        <v>0.42539334191083267</v>
      </c>
      <c r="AB171" s="88"/>
      <c r="AC171" s="88">
        <v>1.2642969641089052E-2</v>
      </c>
      <c r="AE171" s="21">
        <v>4.0141548065695334</v>
      </c>
      <c r="AF171" s="88"/>
      <c r="AG171" s="88">
        <v>0.63629170781348166</v>
      </c>
      <c r="AI171" s="21">
        <v>8.6535357041529953E-2</v>
      </c>
      <c r="AJ171" s="87"/>
      <c r="AK171" s="89">
        <f>8*(AG171-$AG$147)/(2*($AA$147-AA171)+2*($AI$147-AI171))</f>
        <v>0.11734679884853481</v>
      </c>
      <c r="AL171" s="89"/>
      <c r="AM171" s="89">
        <f>(AG171-$AG$147)/(($AA$147-AA171)+($AI$147-AI171))</f>
        <v>2.9336699712133704E-2</v>
      </c>
      <c r="AN171" s="89"/>
      <c r="AO171" s="37">
        <f>8*(BW171-$BW$147)/(2*($AA$147-AA171)+2*($AI$147-AI171))</f>
        <v>0.22486485248720814</v>
      </c>
      <c r="AQ171" s="37">
        <f>(BW171-$BW$147)/(($AA$147-AA171)+($AI$147-AI171))</f>
        <v>5.6216213121802035E-2</v>
      </c>
      <c r="AS171" s="37">
        <f>14*(BX171-$BX$147)/(2*($AA$147-AA171)+2*($AI$147-AI171))</f>
        <v>1.4191407694581356E-2</v>
      </c>
      <c r="AU171" s="37">
        <f>(BX171-$BX$147)/(($AA$147-AA171)+($AI$147-AI171))</f>
        <v>2.027343956368765E-3</v>
      </c>
      <c r="AY171" s="90"/>
      <c r="AZ171" s="90"/>
      <c r="BA171" s="90"/>
      <c r="BB171" s="90"/>
      <c r="BC171" s="90"/>
      <c r="BD171" s="90"/>
      <c r="BE171" s="90"/>
      <c r="BF171" s="90"/>
      <c r="BG171" s="90">
        <v>342.55</v>
      </c>
      <c r="BH171" s="87"/>
      <c r="BI171" s="87">
        <v>15.2</v>
      </c>
      <c r="BJ171" s="87"/>
      <c r="BK171" s="87">
        <v>1.1200000000000001</v>
      </c>
      <c r="BL171" s="87"/>
      <c r="BM171" s="87">
        <v>0.37</v>
      </c>
      <c r="BN171" s="87"/>
      <c r="BO171" s="89">
        <f>(BG171/1000)/60.2*1000</f>
        <v>5.6901993355481721</v>
      </c>
      <c r="BP171" s="88"/>
      <c r="BQ171" s="87">
        <f>BI171/74.08</f>
        <v>0.20518358531317493</v>
      </c>
      <c r="BR171" s="87"/>
      <c r="BS171" s="87">
        <f>(BK171/1000)/88.12*1000</f>
        <v>1.2709940989559692E-2</v>
      </c>
      <c r="BT171" s="87"/>
      <c r="BU171" s="87">
        <f>BM171/88.12</f>
        <v>4.1988197911938261E-3</v>
      </c>
      <c r="BV171" s="87"/>
      <c r="BW171" s="86">
        <f>BO171*0.05</f>
        <v>0.28450996677740864</v>
      </c>
      <c r="BX171" s="85">
        <f t="shared" si="6"/>
        <v>1.0259179265658747E-2</v>
      </c>
      <c r="BY171" s="85">
        <f t="shared" si="7"/>
        <v>6.354970494779847E-4</v>
      </c>
      <c r="BZ171" s="84">
        <f t="shared" si="8"/>
        <v>2.0994098955969131E-4</v>
      </c>
    </row>
    <row r="172" spans="1:78" x14ac:dyDescent="0.3">
      <c r="A172" s="173"/>
      <c r="B172" s="70" t="s">
        <v>96</v>
      </c>
      <c r="C172" s="20">
        <v>3</v>
      </c>
      <c r="D172" s="69"/>
      <c r="E172" s="21"/>
      <c r="F172" s="52">
        <v>1.325</v>
      </c>
      <c r="H172" s="37">
        <v>0.57199999999999995</v>
      </c>
      <c r="I172" s="52">
        <f>H172*0.2907</f>
        <v>0.16628039999999999</v>
      </c>
      <c r="K172" s="53">
        <f>(I172-$I$147)/(($AA$147-AA172)+($AI$147-AI172))*1000*0.05</f>
        <v>1.2265402542079507</v>
      </c>
      <c r="L172" s="68"/>
      <c r="M172" s="22">
        <v>14.640144589007317</v>
      </c>
      <c r="O172" s="21">
        <v>7.92817221504471</v>
      </c>
      <c r="Q172" s="21">
        <v>0.29022548406111659</v>
      </c>
      <c r="S172" s="21">
        <v>64.853572881761252</v>
      </c>
      <c r="U172" s="21">
        <v>10.635111973113426</v>
      </c>
      <c r="W172" s="21">
        <v>1.6527728570121827</v>
      </c>
      <c r="Y172" s="22">
        <v>0.87322027903413668</v>
      </c>
      <c r="AA172" s="21">
        <v>0.47288062708412437</v>
      </c>
      <c r="AC172" s="21">
        <v>1.7310674538348236E-2</v>
      </c>
      <c r="AE172" s="21">
        <v>3.8682305809120572</v>
      </c>
      <c r="AG172" s="21">
        <v>0.6343376862339507</v>
      </c>
      <c r="AI172" s="21">
        <v>9.8580636728403032E-2</v>
      </c>
      <c r="AK172" s="22">
        <f>8*(AG172-$AG$148)/(2*($AA$148-AA172)+2*($AI$148-AI172))</f>
        <v>0.10757050906250913</v>
      </c>
      <c r="AL172" s="22"/>
      <c r="AM172" s="22">
        <f>(AG172-$AG$148)/(($AA$148-AA172)+($AI$148-AI172))</f>
        <v>2.6892627265627283E-2</v>
      </c>
      <c r="AN172" s="22"/>
      <c r="AO172" s="37">
        <f>8*(BW172-$BW$148)/(2*($AA$148-AA172)+2*($AI$148-AI172))</f>
        <v>0.24582693486282098</v>
      </c>
      <c r="AQ172" s="37">
        <f>(BW172-$BW$148)/(($AA$148-AA172)+($AI$148-AI172))</f>
        <v>6.1456733715705245E-2</v>
      </c>
      <c r="AS172" s="37">
        <f>14*(BX172-$BX$148)/(2*($AA$148-AA172)+2*($AI$148-AI172))</f>
        <v>1.3006730021012004E-2</v>
      </c>
      <c r="AU172" s="37">
        <f>(BX172-$BX$148)/(($AA$148-AA172)+($AI$148-AI172))</f>
        <v>1.8581042887160005E-3</v>
      </c>
      <c r="BG172" s="37">
        <v>374.23</v>
      </c>
      <c r="BI172" s="2">
        <v>13.92</v>
      </c>
      <c r="BK172" s="2">
        <v>0.83</v>
      </c>
      <c r="BM172" s="2">
        <v>0.03</v>
      </c>
      <c r="BO172" s="22">
        <f>(BG172/1000)/60.2*1000</f>
        <v>6.2164451827242528</v>
      </c>
      <c r="BQ172" s="2">
        <f>BI172/74.08</f>
        <v>0.18790496760259179</v>
      </c>
      <c r="BS172" s="2">
        <f>(BK172/1000)/88.12*1000</f>
        <v>9.4189741261915556E-3</v>
      </c>
      <c r="BU172" s="2">
        <f>BM172/88.12</f>
        <v>3.4044484793463458E-4</v>
      </c>
      <c r="BW172" s="52">
        <f>BO172*0.05</f>
        <v>0.31082225913621264</v>
      </c>
      <c r="BX172" s="51">
        <f t="shared" si="6"/>
        <v>9.3952483801295894E-3</v>
      </c>
      <c r="BY172" s="51">
        <f t="shared" si="7"/>
        <v>4.7094870630957778E-4</v>
      </c>
      <c r="BZ172" s="67">
        <f t="shared" si="8"/>
        <v>1.7022242396731729E-5</v>
      </c>
    </row>
    <row r="173" spans="1:78" x14ac:dyDescent="0.3">
      <c r="A173" s="173"/>
      <c r="B173" s="70" t="s">
        <v>95</v>
      </c>
      <c r="C173" s="20">
        <v>3</v>
      </c>
      <c r="D173" s="69"/>
      <c r="E173" s="21"/>
      <c r="F173" s="52">
        <v>1.34</v>
      </c>
      <c r="H173" s="37">
        <v>0.51900000000000002</v>
      </c>
      <c r="I173" s="52">
        <f>H173*0.2907</f>
        <v>0.15087330000000002</v>
      </c>
      <c r="K173" s="53">
        <f>(I173-$I$147)/(($AA$147-AA173)+($AI$147-AI173))*1000*0.05</f>
        <v>1.0549283979425572</v>
      </c>
      <c r="L173" s="68"/>
      <c r="M173" s="22">
        <v>13.386150066058056</v>
      </c>
      <c r="O173" s="21">
        <v>6.8351173937734613</v>
      </c>
      <c r="Q173" s="21">
        <v>0.40641732444487122</v>
      </c>
      <c r="S173" s="21">
        <v>67.632372346317041</v>
      </c>
      <c r="U173" s="21">
        <v>10.481972191778437</v>
      </c>
      <c r="W173" s="21">
        <v>1.2579706776281578</v>
      </c>
      <c r="Y173" s="22">
        <v>0.80746379102019883</v>
      </c>
      <c r="AA173" s="21">
        <v>0.41230000975700126</v>
      </c>
      <c r="AC173" s="21">
        <v>2.4515433632007699E-2</v>
      </c>
      <c r="AE173" s="21">
        <v>4.0796413831425493</v>
      </c>
      <c r="AG173" s="21">
        <v>0.63228134762978472</v>
      </c>
      <c r="AI173" s="21">
        <v>7.588184558945428E-2</v>
      </c>
      <c r="AK173" s="22">
        <f>8*(AG173-$AG$149)/(2*($AA$149-AA173)+2*($AI$149-AI173))</f>
        <v>9.9309705816787122E-2</v>
      </c>
      <c r="AL173" s="22"/>
      <c r="AM173" s="22">
        <f>(AG173-$AG$149)/(($AA$149-AA173)+($AI$149-AI173))</f>
        <v>2.4827426454196781E-2</v>
      </c>
      <c r="AN173" s="22"/>
      <c r="AO173" s="37">
        <f>8*(BW173-$BW$149)/(2*($AA$149-AA173)+2*($AI$149-AI173))</f>
        <v>0.18531289471102166</v>
      </c>
      <c r="AQ173" s="37">
        <f>(BW173-$BW$148)/(($AA$148-AA173)+($AI$148-AI173))</f>
        <v>4.6042999501654185E-2</v>
      </c>
      <c r="AS173" s="37">
        <f>14*(BX173-$BX$149)/(2*($AA$149-AA173)+2*($AI$149-AI173))</f>
        <v>8.6703935835596192E-3</v>
      </c>
      <c r="AU173" s="37">
        <f>(BX173-$BX$149)/(($AA$149-AA173)+($AI$149-AI173))</f>
        <v>1.2386276547942312E-3</v>
      </c>
      <c r="BG173" s="37">
        <v>285.01</v>
      </c>
      <c r="BI173" s="2">
        <v>9.41</v>
      </c>
      <c r="BK173" s="2">
        <v>0.32</v>
      </c>
      <c r="BM173" s="2">
        <v>0.44</v>
      </c>
      <c r="BO173" s="22">
        <f>(BG173/1000)/60.2*1000</f>
        <v>4.7343853820598003</v>
      </c>
      <c r="BQ173" s="2">
        <f>BI173/74.08</f>
        <v>0.12702483801295897</v>
      </c>
      <c r="BS173" s="2">
        <f>(BK173/1000)/88.12*1000</f>
        <v>3.631411711302769E-3</v>
      </c>
      <c r="BU173" s="2">
        <f>BM173/88.12</f>
        <v>4.9931911030413074E-3</v>
      </c>
      <c r="BW173" s="52">
        <f>BO173*0.05</f>
        <v>0.23671926910299002</v>
      </c>
      <c r="BX173" s="51">
        <f t="shared" si="6"/>
        <v>6.3512419006479491E-3</v>
      </c>
      <c r="BY173" s="51">
        <f t="shared" si="7"/>
        <v>1.8157058556513846E-4</v>
      </c>
      <c r="BZ173" s="67">
        <f t="shared" si="8"/>
        <v>2.4965955515206538E-4</v>
      </c>
    </row>
    <row r="174" spans="1:78" x14ac:dyDescent="0.3">
      <c r="A174" s="173"/>
      <c r="B174" s="83" t="s">
        <v>63</v>
      </c>
      <c r="C174" s="80">
        <v>3</v>
      </c>
      <c r="D174" s="79" t="e">
        <f>AVERAGE(D171:D173)</f>
        <v>#DIV/0!</v>
      </c>
      <c r="E174" s="76"/>
      <c r="F174" s="74">
        <f>AVERAGE(F171:F173)</f>
        <v>1.3383333333333332</v>
      </c>
      <c r="G174" s="73">
        <f>_xlfn.STDEV.S(F171:F173)</f>
        <v>1.2583057392117986E-2</v>
      </c>
      <c r="H174" s="77">
        <f>AVERAGE(H171:H173)</f>
        <v>0.55266666666666664</v>
      </c>
      <c r="I174" s="74">
        <f>AVERAGE(I171:I173)</f>
        <v>0.1606602</v>
      </c>
      <c r="J174" s="82">
        <f>_xlfn.STDEV.S(I171:I173)</f>
        <v>8.5068045863296877E-3</v>
      </c>
      <c r="K174" s="82">
        <f>(I174-$I$147)/(($AA$147-AA174)+($AI$147-AI174))*1000*0.05</f>
        <v>1.1593123904769047</v>
      </c>
      <c r="L174" s="81">
        <f>_xlfn.STDEV.S(K171:K173)</f>
        <v>9.1903344102096787E-2</v>
      </c>
      <c r="M174" s="77">
        <f>AVERAGE(M171:M173)</f>
        <v>14.290079291483538</v>
      </c>
      <c r="N174" s="76">
        <f>_xlfn.STDEV.S(M171:M173)</f>
        <v>0.78942986000639415</v>
      </c>
      <c r="O174" s="76">
        <f>AVERAGE(O171:O173)</f>
        <v>7.2544100498379551</v>
      </c>
      <c r="P174" s="76">
        <f>_xlfn.STDEV.S(O171:O173)</f>
        <v>0.58928622832067601</v>
      </c>
      <c r="Q174" s="76">
        <f>AVERAGE(Q171:Q173)</f>
        <v>0.30156188030999864</v>
      </c>
      <c r="R174" s="76">
        <f>_xlfn.STDEV.S(Q171:Q173)</f>
        <v>9.9671937781241213E-2</v>
      </c>
      <c r="S174" s="76">
        <f>AVERAGE(S171:S173)</f>
        <v>66.17991369630289</v>
      </c>
      <c r="T174" s="76">
        <f>_xlfn.STDEV.S(S171:S173)</f>
        <v>1.3936860827934274</v>
      </c>
      <c r="U174" s="76">
        <f>AVERAGE(U171:U173)</f>
        <v>10.529134490907891</v>
      </c>
      <c r="V174" s="76">
        <f>_xlfn.STDEV.S(U171:U173)</f>
        <v>9.1963946615164938E-2</v>
      </c>
      <c r="W174" s="76">
        <f>AVERAGE(W171:W173)</f>
        <v>1.4449005911577399</v>
      </c>
      <c r="X174" s="76">
        <f>_xlfn.STDEV.S(W171:W173)</f>
        <v>0.19823250692625682</v>
      </c>
      <c r="Y174" s="77">
        <f>AVERAGE(Y171:Y173)</f>
        <v>0.86092174955850431</v>
      </c>
      <c r="Z174" s="76">
        <f>_xlfn.STDEV.S(Y171:Y173)</f>
        <v>4.8492812658740503E-2</v>
      </c>
      <c r="AA174" s="76">
        <f>AVERAGE(AA171:AA173)</f>
        <v>0.43685799291731947</v>
      </c>
      <c r="AB174" s="76">
        <f>_xlfn.STDEV.S(AA171:AA173)</f>
        <v>3.1876032782628953E-2</v>
      </c>
      <c r="AC174" s="76">
        <f>AVERAGE(AC171:AC173)</f>
        <v>1.8156359270481662E-2</v>
      </c>
      <c r="AD174" s="76">
        <f>_xlfn.STDEV.S(AC171:AC173)</f>
        <v>5.9812404485639729E-3</v>
      </c>
      <c r="AE174" s="76">
        <f>AVERAGE(AE171:AE173)</f>
        <v>3.9873422568747134</v>
      </c>
      <c r="AF174" s="76">
        <f>_xlfn.STDEV.S(AE171:AE173)</f>
        <v>0.10822576606699516</v>
      </c>
      <c r="AG174" s="76">
        <f>AVERAGE(AG171:AG173)</f>
        <v>0.63430358055907243</v>
      </c>
      <c r="AH174" s="76">
        <f>_xlfn.STDEV.S(AG171:AG173)</f>
        <v>2.0053976160700933E-3</v>
      </c>
      <c r="AI174" s="76">
        <f>AVERAGE(AI171:AI173)</f>
        <v>8.6999279786462422E-2</v>
      </c>
      <c r="AJ174" s="76">
        <f>_xlfn.STDEV.S(AI171:AI173)</f>
        <v>1.1356504657127222E-2</v>
      </c>
      <c r="AK174" s="77">
        <f>AVERAGE(AK171:AK173)</f>
        <v>0.10807567124261036</v>
      </c>
      <c r="AL174" s="77">
        <f>_xlfn.STDEV.S(AK171:AK173)</f>
        <v>9.0291512823816259E-3</v>
      </c>
      <c r="AM174" s="77">
        <f>AVERAGE(AM171:AM173)</f>
        <v>2.701891781065259E-2</v>
      </c>
      <c r="AN174" s="77">
        <f>_xlfn.STDEV.S(AM171:AM173)</f>
        <v>2.2572878205954065E-3</v>
      </c>
      <c r="AO174" s="78">
        <f>AVERAGE(AO171:AO173)</f>
        <v>0.2186682273536836</v>
      </c>
      <c r="AP174" s="78">
        <f>_xlfn.STDEV.S(AO171:AO173)</f>
        <v>3.0729235040226267E-2</v>
      </c>
      <c r="AQ174" s="78">
        <f>AVERAGE(AQ171:AQ173)</f>
        <v>5.4571982113053828E-2</v>
      </c>
      <c r="AR174" s="78">
        <f>_xlfn.STDEV.S(AQ171:AQ173)</f>
        <v>7.8373096348777309E-3</v>
      </c>
      <c r="AS174" s="78">
        <f>AVERAGE(AS171:AS173)</f>
        <v>1.1956177099717658E-2</v>
      </c>
      <c r="AT174" s="78">
        <f>_xlfn.STDEV.S(AS171:AS173)</f>
        <v>2.9065693323668275E-3</v>
      </c>
      <c r="AU174" s="78">
        <f>AVERAGE(AU171:AU173)</f>
        <v>1.7080252999596656E-3</v>
      </c>
      <c r="AV174" s="80">
        <f>_xlfn.STDEV.S(AU171:AU173)</f>
        <v>4.1522419033811827E-4</v>
      </c>
      <c r="AW174" s="80"/>
      <c r="AX174" s="80"/>
      <c r="AY174" s="79">
        <f>SUM(AK174,AO174,AS174)</f>
        <v>0.33870007569601157</v>
      </c>
      <c r="AZ174" s="77">
        <f>SUM(AL174,AP174,AT174)</f>
        <v>4.2664955654974718E-2</v>
      </c>
      <c r="BA174" s="78"/>
      <c r="BB174" s="78"/>
      <c r="BC174" s="78"/>
      <c r="BD174" s="78"/>
      <c r="BE174" s="78"/>
      <c r="BF174" s="78"/>
      <c r="BG174" s="78"/>
      <c r="BH174" s="75"/>
      <c r="BI174" s="75"/>
      <c r="BJ174" s="75"/>
      <c r="BK174" s="75"/>
      <c r="BL174" s="75"/>
      <c r="BM174" s="75"/>
      <c r="BN174" s="75"/>
      <c r="BO174" s="77">
        <f>AVERAGE(BO171:BO173)</f>
        <v>5.5470099667774093</v>
      </c>
      <c r="BP174" s="76">
        <f>_xlfn.STDEV.S(BO171:BO173)</f>
        <v>0.7513339535007747</v>
      </c>
      <c r="BQ174" s="75">
        <f>AVERAGE(BQ171:BQ173)</f>
        <v>0.17337113030957521</v>
      </c>
      <c r="BR174" s="75">
        <f>_xlfn.STDEV.S(BQ171:BQ173)</f>
        <v>4.1056324296381667E-2</v>
      </c>
      <c r="BS174" s="75">
        <f>AVERAGE(BS171:BS173)</f>
        <v>8.5867756090180058E-3</v>
      </c>
      <c r="BT174" s="75">
        <f>_xlfn.STDEV.S(BS171:BS173)</f>
        <v>4.5961221962684418E-3</v>
      </c>
      <c r="BU174" s="75">
        <f>AVERAGE(BU171:BU173)</f>
        <v>3.1774852473899231E-3</v>
      </c>
      <c r="BV174" s="75">
        <f>_xlfn.STDEV.S(BU171:BU173)</f>
        <v>2.4888461415639241E-3</v>
      </c>
      <c r="BW174" s="74">
        <f>AVERAGE(BW171:BW173)</f>
        <v>0.27735049833887043</v>
      </c>
      <c r="BX174" s="73">
        <f t="shared" si="6"/>
        <v>8.6685565154787612E-3</v>
      </c>
      <c r="BY174" s="73">
        <f t="shared" si="7"/>
        <v>4.2933878045090033E-4</v>
      </c>
      <c r="BZ174" s="72">
        <f t="shared" si="8"/>
        <v>1.5887426236949618E-4</v>
      </c>
    </row>
    <row r="175" spans="1:78" x14ac:dyDescent="0.3">
      <c r="A175" s="174" t="s">
        <v>61</v>
      </c>
      <c r="B175" s="70" t="s">
        <v>94</v>
      </c>
      <c r="C175" s="20">
        <v>3</v>
      </c>
      <c r="D175" s="69"/>
      <c r="E175" s="21"/>
      <c r="F175" s="52">
        <v>1.34</v>
      </c>
      <c r="H175" s="37">
        <v>0.19900000000000001</v>
      </c>
      <c r="I175" s="52">
        <f>H175*0.2907</f>
        <v>5.7849300000000006E-2</v>
      </c>
      <c r="K175" s="53">
        <f>(I175-$I$151)/($BW$151-BW175)*1000*0.05</f>
        <v>15.151636363636213</v>
      </c>
      <c r="L175" s="68"/>
      <c r="M175" s="22">
        <v>2.2965394693107553</v>
      </c>
      <c r="O175" s="21">
        <v>0</v>
      </c>
      <c r="Q175" s="21">
        <v>0.12370238506148207</v>
      </c>
      <c r="S175" s="21">
        <v>97.579758145627764</v>
      </c>
      <c r="U175" s="21">
        <v>0</v>
      </c>
      <c r="W175" s="21">
        <v>0</v>
      </c>
      <c r="Y175" s="22">
        <v>0.13852918553626017</v>
      </c>
      <c r="AA175" s="21">
        <v>0</v>
      </c>
      <c r="AC175" s="21">
        <v>7.461831542831256E-3</v>
      </c>
      <c r="AE175" s="21">
        <v>5.8860927936919039</v>
      </c>
      <c r="AG175" s="21">
        <v>0</v>
      </c>
      <c r="AI175" s="21">
        <v>0</v>
      </c>
      <c r="AK175" s="22">
        <f>8*(AG175-$AG$151)/(8*($BW$151-BW175))</f>
        <v>0</v>
      </c>
      <c r="AL175" s="22"/>
      <c r="AM175" s="22">
        <f>(AG175-$AG$151)/($BW$151-BW175)</f>
        <v>0</v>
      </c>
      <c r="AN175" s="22"/>
      <c r="BG175" s="37">
        <v>1526.25</v>
      </c>
      <c r="BI175" s="2">
        <v>0</v>
      </c>
      <c r="BK175" s="2">
        <v>0</v>
      </c>
      <c r="BM175" s="2">
        <v>0</v>
      </c>
      <c r="BO175" s="22">
        <f>(BG175/1000)/60.2*1000</f>
        <v>25.352990033222589</v>
      </c>
      <c r="BQ175" s="2">
        <f>BI175/74.08</f>
        <v>0</v>
      </c>
      <c r="BS175" s="2">
        <f>(BK175/1000)/88.12*1000</f>
        <v>0</v>
      </c>
      <c r="BU175" s="2">
        <f>BM175/88.12</f>
        <v>0</v>
      </c>
      <c r="BW175" s="52">
        <f>BO175*0.05</f>
        <v>1.2676495016611296</v>
      </c>
      <c r="BX175" s="51">
        <f t="shared" si="6"/>
        <v>0</v>
      </c>
      <c r="BY175" s="51">
        <f t="shared" si="7"/>
        <v>0</v>
      </c>
      <c r="BZ175" s="67">
        <f t="shared" si="8"/>
        <v>0</v>
      </c>
    </row>
    <row r="176" spans="1:78" x14ac:dyDescent="0.3">
      <c r="A176" s="173"/>
      <c r="B176" s="70" t="s">
        <v>93</v>
      </c>
      <c r="C176" s="20">
        <v>3</v>
      </c>
      <c r="D176" s="69"/>
      <c r="E176" s="21"/>
      <c r="F176" s="52">
        <v>1.31</v>
      </c>
      <c r="H176" s="37">
        <v>0.20100000000000001</v>
      </c>
      <c r="I176" s="52">
        <f>H176*0.2907</f>
        <v>5.8430700000000009E-2</v>
      </c>
      <c r="K176" s="53">
        <f>(I176-$I$152)/($BW$152-BW176)*1000*0.05</f>
        <v>355.20086138609543</v>
      </c>
      <c r="L176" s="68"/>
      <c r="M176" s="22">
        <v>2.2876831118182657</v>
      </c>
      <c r="O176" s="21">
        <v>0</v>
      </c>
      <c r="Q176" s="21">
        <v>0.15939507883279125</v>
      </c>
      <c r="S176" s="21">
        <v>97.552921809348945</v>
      </c>
      <c r="U176" s="21">
        <v>0</v>
      </c>
      <c r="W176" s="21">
        <v>0</v>
      </c>
      <c r="Y176" s="22">
        <v>0.13490552316787205</v>
      </c>
      <c r="AA176" s="21">
        <v>0</v>
      </c>
      <c r="AC176" s="21">
        <v>9.3995870272570049E-3</v>
      </c>
      <c r="AE176" s="21">
        <v>5.7527320480959174</v>
      </c>
      <c r="AG176" s="21">
        <v>0</v>
      </c>
      <c r="AI176" s="21">
        <v>0</v>
      </c>
      <c r="AK176" s="22">
        <f>8*(AG176-$AG$152)/(8*($BW$152-BW176))</f>
        <v>0</v>
      </c>
      <c r="AL176" s="22"/>
      <c r="AM176" s="22">
        <f>(AG176-$AG$152)/($BW$152-BW176)</f>
        <v>0</v>
      </c>
      <c r="AN176" s="22"/>
      <c r="BG176" s="37">
        <v>1591.5</v>
      </c>
      <c r="BI176" s="2">
        <v>0</v>
      </c>
      <c r="BK176" s="2">
        <v>0</v>
      </c>
      <c r="BM176" s="2">
        <v>0</v>
      </c>
      <c r="BO176" s="22">
        <f>(BG176/1000)/60.2*1000</f>
        <v>26.436877076411957</v>
      </c>
      <c r="BQ176" s="2">
        <f>BI176/74.08</f>
        <v>0</v>
      </c>
      <c r="BS176" s="2">
        <f>(BK176/1000)/88.12*1000</f>
        <v>0</v>
      </c>
      <c r="BU176" s="2">
        <f>BM176/88.12</f>
        <v>0</v>
      </c>
      <c r="BW176" s="52">
        <f>BO176*0.05</f>
        <v>1.3218438538205979</v>
      </c>
      <c r="BX176" s="51">
        <f t="shared" si="6"/>
        <v>0</v>
      </c>
      <c r="BY176" s="51">
        <f t="shared" si="7"/>
        <v>0</v>
      </c>
      <c r="BZ176" s="67">
        <f t="shared" si="8"/>
        <v>0</v>
      </c>
    </row>
    <row r="177" spans="1:78" x14ac:dyDescent="0.3">
      <c r="A177" s="173"/>
      <c r="B177" s="70" t="s">
        <v>92</v>
      </c>
      <c r="C177" s="20">
        <v>3</v>
      </c>
      <c r="D177" s="69"/>
      <c r="E177" s="21"/>
      <c r="F177" s="52">
        <v>1.35</v>
      </c>
      <c r="G177" s="67"/>
      <c r="H177" s="37">
        <v>0.186</v>
      </c>
      <c r="I177" s="52">
        <f>H177*0.2907</f>
        <v>5.4070199999999999E-2</v>
      </c>
      <c r="K177" s="53">
        <f>(I177-$I$153)/($BW$153-BW177)*1000*0.05</f>
        <v>110.86061538460409</v>
      </c>
      <c r="L177" s="68"/>
      <c r="M177" s="22">
        <v>1.8230418676375533</v>
      </c>
      <c r="O177" s="21">
        <v>0</v>
      </c>
      <c r="Q177" s="21">
        <v>0.17680773438558203</v>
      </c>
      <c r="S177" s="21">
        <v>98.000150397976853</v>
      </c>
      <c r="U177" s="21">
        <v>0</v>
      </c>
      <c r="W177" s="21">
        <v>0</v>
      </c>
      <c r="Y177" s="22">
        <v>0.11078806569985949</v>
      </c>
      <c r="AA177" s="21">
        <v>0</v>
      </c>
      <c r="AC177" s="21">
        <v>1.0744781697601463E-2</v>
      </c>
      <c r="AE177" s="21">
        <v>5.9555665142001821</v>
      </c>
      <c r="AG177" s="21">
        <v>0</v>
      </c>
      <c r="AI177" s="21">
        <v>0</v>
      </c>
      <c r="AK177" s="22">
        <f>8*(AG177-$AG$153)/(8*($BW$153-BW177))</f>
        <v>0</v>
      </c>
      <c r="AL177" s="22"/>
      <c r="AM177" s="22">
        <f>(AG177-$AG$153)/($BW$153-BW177)</f>
        <v>0</v>
      </c>
      <c r="AN177" s="22"/>
      <c r="BG177" s="37">
        <v>1501.67</v>
      </c>
      <c r="BI177" s="2">
        <v>0</v>
      </c>
      <c r="BK177" s="2">
        <v>0</v>
      </c>
      <c r="BM177" s="2">
        <v>0</v>
      </c>
      <c r="BO177" s="22">
        <f>(BG177/1000)/60.2*1000</f>
        <v>24.944684385382061</v>
      </c>
      <c r="BQ177" s="2">
        <f>BI177/74.08</f>
        <v>0</v>
      </c>
      <c r="BS177" s="2">
        <f>(BK177/1000)/88.12*1000</f>
        <v>0</v>
      </c>
      <c r="BU177" s="2">
        <f>BM177/88.12</f>
        <v>0</v>
      </c>
      <c r="BW177" s="52">
        <f>BO177*0.05</f>
        <v>1.2472342192691031</v>
      </c>
      <c r="BX177" s="51">
        <f t="shared" si="6"/>
        <v>0</v>
      </c>
      <c r="BY177" s="51">
        <f t="shared" si="7"/>
        <v>0</v>
      </c>
      <c r="BZ177" s="67">
        <f t="shared" si="8"/>
        <v>0</v>
      </c>
    </row>
    <row r="178" spans="1:78" ht="15" thickBot="1" x14ac:dyDescent="0.35">
      <c r="A178" s="175"/>
      <c r="B178" s="66" t="s">
        <v>63</v>
      </c>
      <c r="C178" s="65">
        <v>3</v>
      </c>
      <c r="D178" s="64" t="e">
        <f>AVERAGE(D175:D177)</f>
        <v>#DIV/0!</v>
      </c>
      <c r="E178" s="58"/>
      <c r="F178" s="56">
        <f>AVERAGE(F175:F177)</f>
        <v>1.3333333333333333</v>
      </c>
      <c r="G178" s="55">
        <f>_xlfn.STDEV.S(F175:F177)</f>
        <v>2.0816659994661344E-2</v>
      </c>
      <c r="H178" s="60">
        <f>AVERAGE(H175:H177)</f>
        <v>0.19533333333333336</v>
      </c>
      <c r="I178" s="56">
        <f>AVERAGE(I175:I177)</f>
        <v>5.6783400000000005E-2</v>
      </c>
      <c r="J178" s="63">
        <f>_xlfn.STDEV.S(I175:I177)</f>
        <v>2.3676142358923309E-3</v>
      </c>
      <c r="K178" s="56">
        <f>AVERAGE(K175:K177)</f>
        <v>160.40437104477857</v>
      </c>
      <c r="L178" s="62">
        <f>_xlfn.STDEV.S(K175:K177)</f>
        <v>175.35480219623324</v>
      </c>
      <c r="M178" s="59">
        <f>AVERAGE(M175:M177)</f>
        <v>2.1357548162555244</v>
      </c>
      <c r="N178" s="58">
        <f>_xlfn.STDEV.S(M175:M177)</f>
        <v>0.27085355811216427</v>
      </c>
      <c r="O178" s="58">
        <f>AVERAGE(O175:O177)</f>
        <v>0</v>
      </c>
      <c r="P178" s="58">
        <f>_xlfn.STDEV.S(O175:O177)</f>
        <v>0</v>
      </c>
      <c r="Q178" s="58">
        <f>AVERAGE(Q175:Q177)</f>
        <v>0.15330173275995176</v>
      </c>
      <c r="R178" s="58">
        <f>_xlfn.STDEV.S(Q175:Q177)</f>
        <v>2.7071963014920406E-2</v>
      </c>
      <c r="S178" s="58">
        <f>AVERAGE(S175:S177)</f>
        <v>97.710943450984516</v>
      </c>
      <c r="T178" s="58">
        <f>_xlfn.STDEV.S(S175:S177)</f>
        <v>0.25081973781520217</v>
      </c>
      <c r="U178" s="58">
        <f>AVERAGE(U175:U177)</f>
        <v>0</v>
      </c>
      <c r="V178" s="58">
        <f>_xlfn.STDEV.S(U175:U177)</f>
        <v>0</v>
      </c>
      <c r="W178" s="58">
        <f>AVERAGE(W175:W177)</f>
        <v>0</v>
      </c>
      <c r="X178" s="58">
        <f>_xlfn.STDEV.S(W175:W177)</f>
        <v>0</v>
      </c>
      <c r="Y178" s="59">
        <f>AVERAGE(Y175:Y177)</f>
        <v>0.12807425813466392</v>
      </c>
      <c r="Z178" s="58">
        <f>_xlfn.STDEV.S(Y175:Y177)</f>
        <v>1.5079524823741463E-2</v>
      </c>
      <c r="AA178" s="58">
        <f>AVERAGE(AA175:AA177)</f>
        <v>0</v>
      </c>
      <c r="AB178" s="58">
        <f>_xlfn.STDEV.S(AA175:AA177)</f>
        <v>0</v>
      </c>
      <c r="AC178" s="58">
        <f>AVERAGE(AC175:AC177)</f>
        <v>9.2020667558965746E-3</v>
      </c>
      <c r="AD178" s="58">
        <f>_xlfn.STDEV.S(AC175:AC177)</f>
        <v>1.6503639364925406E-3</v>
      </c>
      <c r="AE178" s="58">
        <f>AVERAGE(AE175:AE177)</f>
        <v>5.8647971186626675</v>
      </c>
      <c r="AF178" s="58">
        <f>_xlfn.STDEV.S(AE175:AE177)</f>
        <v>0.10308047580004492</v>
      </c>
      <c r="AG178" s="58">
        <f>AVERAGE(AG175:AG177)</f>
        <v>0</v>
      </c>
      <c r="AH178" s="58">
        <f>_xlfn.STDEV.S(AG175:AG177)</f>
        <v>0</v>
      </c>
      <c r="AI178" s="58">
        <f>AVERAGE(AI175:AI177)</f>
        <v>0</v>
      </c>
      <c r="AJ178" s="57">
        <f>_xlfn.STDEV.S(AI175:AI177)</f>
        <v>0</v>
      </c>
      <c r="AK178" s="77">
        <f>AVERAGE(AK175:AK177)</f>
        <v>0</v>
      </c>
      <c r="AL178" s="77">
        <f>_xlfn.STDEV.S(AK175:AK177)</f>
        <v>0</v>
      </c>
      <c r="AM178" s="77">
        <f>AVERAGE(AM175:AM177)</f>
        <v>0</v>
      </c>
      <c r="AN178" s="77">
        <f>_xlfn.STDEV.S(AM175:AM177)</f>
        <v>0</v>
      </c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59">
        <f>SUM(AK178,AO178,AS178)</f>
        <v>0</v>
      </c>
      <c r="AZ178" s="59">
        <f>SUM(AL178,AP178,AT178)</f>
        <v>0</v>
      </c>
      <c r="BA178" s="60"/>
      <c r="BB178" s="60"/>
      <c r="BC178" s="60"/>
      <c r="BD178" s="60"/>
      <c r="BE178" s="60"/>
      <c r="BF178" s="60"/>
      <c r="BG178" s="60">
        <f>AVERAGE(BG175:BG177)</f>
        <v>1539.8066666666666</v>
      </c>
      <c r="BH178" s="57">
        <f>_xlfn.STDEV.S(BG175:BG177)</f>
        <v>46.424073855418278</v>
      </c>
      <c r="BI178" s="57">
        <f>AVERAGE(BI175:BI177)</f>
        <v>0</v>
      </c>
      <c r="BJ178" s="57" t="e">
        <f>_xlfn.STDEV.S(BH175:BH177)</f>
        <v>#DIV/0!</v>
      </c>
      <c r="BK178" s="57">
        <f>AVERAGE(BK175:BK177)</f>
        <v>0</v>
      </c>
      <c r="BL178" s="57">
        <f>_xlfn.STDEV.S(BK175:BK177)</f>
        <v>0</v>
      </c>
      <c r="BM178" s="57">
        <f>AVERAGE(BM175:BM177)</f>
        <v>0</v>
      </c>
      <c r="BN178" s="57" t="e">
        <f>_xlfn.STDEV.S(BL175:BL177)</f>
        <v>#DIV/0!</v>
      </c>
      <c r="BO178" s="59">
        <f>AVERAGE(BO175:BO177)</f>
        <v>25.578183831672202</v>
      </c>
      <c r="BP178" s="58">
        <f>_xlfn.STDEV.S(BO175:BO177)</f>
        <v>0.77116401753186337</v>
      </c>
      <c r="BQ178" s="57">
        <f>AVERAGE(BQ175:BQ177)</f>
        <v>0</v>
      </c>
      <c r="BR178" s="57">
        <f>_xlfn.STDEV.S(BQ175:BQ177)</f>
        <v>0</v>
      </c>
      <c r="BS178" s="57">
        <f>AVERAGE(BS175:BS177)</f>
        <v>0</v>
      </c>
      <c r="BT178" s="57">
        <f>_xlfn.STDEV.S(BS175:BS177)</f>
        <v>0</v>
      </c>
      <c r="BU178" s="57">
        <f>AVERAGE(BU175:BU177)</f>
        <v>0</v>
      </c>
      <c r="BV178" s="57">
        <f>_xlfn.STDEV.S(BU175:BU177)</f>
        <v>0</v>
      </c>
      <c r="BW178" s="56">
        <f>AVERAGE(BW175:BW177)</f>
        <v>1.2789091915836102</v>
      </c>
      <c r="BX178" s="55">
        <f t="shared" si="6"/>
        <v>0</v>
      </c>
      <c r="BY178" s="55">
        <f t="shared" si="7"/>
        <v>0</v>
      </c>
      <c r="BZ178" s="54">
        <f t="shared" si="8"/>
        <v>0</v>
      </c>
    </row>
    <row r="179" spans="1:78" x14ac:dyDescent="0.3">
      <c r="A179" s="172" t="s">
        <v>98</v>
      </c>
      <c r="B179" s="95" t="s">
        <v>97</v>
      </c>
      <c r="C179" s="94">
        <v>4</v>
      </c>
      <c r="D179" s="93"/>
      <c r="E179" s="88"/>
      <c r="F179" s="86">
        <v>1.3149999999999999</v>
      </c>
      <c r="G179" s="85"/>
      <c r="H179" s="90">
        <v>0.59199999999999997</v>
      </c>
      <c r="I179" s="86">
        <f>H179*0.2907</f>
        <v>0.17209440000000001</v>
      </c>
      <c r="J179" s="92"/>
      <c r="K179" s="92">
        <f>(I179-$I$147)/(($AA$147-AA179)+($AI$147-AI179))*1000*0.05</f>
        <v>1.1996045534592461</v>
      </c>
      <c r="L179" s="91"/>
      <c r="M179" s="89">
        <v>15.331540236159521</v>
      </c>
      <c r="O179" s="88">
        <v>2.9405214317567063</v>
      </c>
      <c r="Q179" s="88">
        <v>0.15259354726006547</v>
      </c>
      <c r="S179" s="88">
        <v>69.19334998702638</v>
      </c>
      <c r="U179" s="88">
        <v>11.659350211549736</v>
      </c>
      <c r="W179" s="88">
        <v>0.72264458624757966</v>
      </c>
      <c r="X179" s="88"/>
      <c r="Y179" s="89">
        <v>0.90755741330842798</v>
      </c>
      <c r="AA179" s="21">
        <v>0.17406548743804531</v>
      </c>
      <c r="AB179" s="88"/>
      <c r="AC179" s="88">
        <v>9.0328435959929881E-3</v>
      </c>
      <c r="AE179" s="21">
        <v>4.0959314436173537</v>
      </c>
      <c r="AF179" s="88"/>
      <c r="AG179" s="88">
        <v>0.69018047475064226</v>
      </c>
      <c r="AI179" s="21">
        <v>4.2777270993907518E-2</v>
      </c>
      <c r="AJ179" s="87"/>
      <c r="AK179" s="89">
        <f>8*(AG179-$AG$147)/(2*($AA$147-AA179)+2*($AI$147-AI179))</f>
        <v>0.15113038963002234</v>
      </c>
      <c r="AL179" s="89"/>
      <c r="AM179" s="89">
        <f>(AG179-$AG$147)/(($AA$147-AA179)+($AI$147-AI179))</f>
        <v>3.7782597407505586E-2</v>
      </c>
      <c r="AN179" s="89"/>
      <c r="AO179" s="37">
        <f>8*(BW179-$BW$147)/(2*($AA$147-AA179)+2*($AI$147-AI179))</f>
        <v>0.24344255920238972</v>
      </c>
      <c r="AQ179" s="37">
        <f>(BW179-$BW$147)/(($AA$147-AA179)+($AI$147-AI179))</f>
        <v>6.086063980059743E-2</v>
      </c>
      <c r="AS179" s="37">
        <f>14*(BX179-$BX$147)/(2*($AA$147-AA179)+2*($AI$147-AI179))</f>
        <v>1.3241846921802346E-2</v>
      </c>
      <c r="AU179" s="37">
        <f>(BX179-$BX$147)/(($AA$147-AA179)+($AI$147-AI179))</f>
        <v>1.8916924174003352E-3</v>
      </c>
      <c r="AY179" s="90"/>
      <c r="AZ179" s="90"/>
      <c r="BA179" s="90"/>
      <c r="BB179" s="90"/>
      <c r="BC179" s="90"/>
      <c r="BD179" s="90"/>
      <c r="BE179" s="90"/>
      <c r="BF179" s="90"/>
      <c r="BG179" s="90">
        <v>392.47</v>
      </c>
      <c r="BH179" s="87"/>
      <c r="BI179" s="87">
        <v>15.01</v>
      </c>
      <c r="BJ179" s="87"/>
      <c r="BK179" s="87">
        <v>0.98</v>
      </c>
      <c r="BL179" s="87"/>
      <c r="BM179" s="87">
        <v>0.23</v>
      </c>
      <c r="BN179" s="87"/>
      <c r="BO179" s="89">
        <f>(BG179/1000)/60.2*1000</f>
        <v>6.5194352159468441</v>
      </c>
      <c r="BP179" s="88"/>
      <c r="BQ179" s="87">
        <f>BI179/74.08</f>
        <v>0.20261879049676026</v>
      </c>
      <c r="BR179" s="87"/>
      <c r="BS179" s="87">
        <f>(BK179/1000)/88.12*1000</f>
        <v>1.1121198365864728E-2</v>
      </c>
      <c r="BT179" s="87"/>
      <c r="BU179" s="87">
        <f>BM179/88.12</f>
        <v>2.6100771674988652E-3</v>
      </c>
      <c r="BV179" s="87"/>
      <c r="BW179" s="86">
        <f>BO179*0.05</f>
        <v>0.32597176079734225</v>
      </c>
      <c r="BX179" s="85">
        <f t="shared" ref="BX179:BX210" si="9">BQ179*0.05</f>
        <v>1.0130939524838014E-2</v>
      </c>
      <c r="BY179" s="85">
        <f t="shared" ref="BY179:BY210" si="10">BS179*0.05</f>
        <v>5.560599182932364E-4</v>
      </c>
      <c r="BZ179" s="84">
        <f t="shared" ref="BZ179:BZ210" si="11">BU179*0.05</f>
        <v>1.3050385837494328E-4</v>
      </c>
    </row>
    <row r="180" spans="1:78" x14ac:dyDescent="0.3">
      <c r="A180" s="173"/>
      <c r="B180" s="70" t="s">
        <v>96</v>
      </c>
      <c r="C180" s="20">
        <v>4</v>
      </c>
      <c r="D180" s="69"/>
      <c r="E180" s="21"/>
      <c r="F180" s="52">
        <v>1.3</v>
      </c>
      <c r="H180" s="37">
        <v>0.58099999999999996</v>
      </c>
      <c r="I180" s="52">
        <f>H180*0.2907</f>
        <v>0.16889669999999998</v>
      </c>
      <c r="K180" s="53">
        <f>(I180-$I$147)/(($AA$147-AA180)+($AI$147-AI180))*1000*0.05</f>
        <v>1.1861279957841766</v>
      </c>
      <c r="L180" s="68"/>
      <c r="M180" s="22">
        <v>15.283565797768794</v>
      </c>
      <c r="O180" s="21">
        <v>4.1574343090712489</v>
      </c>
      <c r="Q180" s="21">
        <v>0.30009187193626657</v>
      </c>
      <c r="S180" s="21">
        <v>67.504985412931532</v>
      </c>
      <c r="U180" s="21">
        <v>11.942297098600278</v>
      </c>
      <c r="W180" s="21">
        <v>0.81162550969188851</v>
      </c>
      <c r="Y180" s="22">
        <v>0.89439757287646826</v>
      </c>
      <c r="AA180" s="21">
        <v>0.24329395408298765</v>
      </c>
      <c r="AC180" s="21">
        <v>1.7561441187954708E-2</v>
      </c>
      <c r="AE180" s="21">
        <v>3.9504063324804424</v>
      </c>
      <c r="AG180" s="21">
        <v>0.69886580663768205</v>
      </c>
      <c r="AI180" s="21">
        <v>4.7496500198862361E-2</v>
      </c>
      <c r="AK180" s="22">
        <f>8*(AG180-$AG$148)/(2*($AA$148-AA180)+2*($AI$148-AI180))</f>
        <v>0.1502759930376015</v>
      </c>
      <c r="AL180" s="22"/>
      <c r="AM180" s="22">
        <f>(AG180-$AG$148)/(($AA$148-AA180)+($AI$148-AI180))</f>
        <v>3.7568998259400375E-2</v>
      </c>
      <c r="AN180" s="22"/>
      <c r="AO180" s="37">
        <f>8*(BW180-$BW$148)/(2*($AA$148-AA180)+2*($AI$148-AI180))</f>
        <v>0.2673477638564653</v>
      </c>
      <c r="AQ180" s="37">
        <f>(BW180-$BW$148)/(($AA$148-AA180)+($AI$148-AI180))</f>
        <v>6.6836940964116326E-2</v>
      </c>
      <c r="AS180" s="37">
        <f>14*(BX180-$BX$148)/(2*($AA$148-AA180)+2*($AI$148-AI180))</f>
        <v>1.2278452623580696E-2</v>
      </c>
      <c r="AU180" s="37">
        <f>(BX180-$BX$148)/(($AA$148-AA180)+($AI$148-AI180))</f>
        <v>1.7540646605115283E-3</v>
      </c>
      <c r="BG180" s="37">
        <v>429.57</v>
      </c>
      <c r="BI180" s="2">
        <v>13.87</v>
      </c>
      <c r="BK180" s="2">
        <v>0.42</v>
      </c>
      <c r="BM180" s="2">
        <v>0.44</v>
      </c>
      <c r="BO180" s="22">
        <f>(BG180/1000)/60.2*1000</f>
        <v>7.1357142857142852</v>
      </c>
      <c r="BQ180" s="2">
        <f>BI180/74.08</f>
        <v>0.18723002159827212</v>
      </c>
      <c r="BS180" s="2">
        <f>(BK180/1000)/88.12*1000</f>
        <v>4.7662278710848835E-3</v>
      </c>
      <c r="BU180" s="2">
        <f>BM180/88.12</f>
        <v>4.9931911030413074E-3</v>
      </c>
      <c r="BW180" s="52">
        <f>BO180*0.05</f>
        <v>0.35678571428571426</v>
      </c>
      <c r="BX180" s="51">
        <f t="shared" si="9"/>
        <v>9.3615010799136065E-3</v>
      </c>
      <c r="BY180" s="51">
        <f t="shared" si="10"/>
        <v>2.3831139355424418E-4</v>
      </c>
      <c r="BZ180" s="67">
        <f t="shared" si="11"/>
        <v>2.4965955515206538E-4</v>
      </c>
    </row>
    <row r="181" spans="1:78" x14ac:dyDescent="0.3">
      <c r="A181" s="173"/>
      <c r="B181" s="70" t="s">
        <v>95</v>
      </c>
      <c r="C181" s="20">
        <v>4</v>
      </c>
      <c r="D181" s="69"/>
      <c r="E181" s="21"/>
      <c r="F181" s="52">
        <v>1.29</v>
      </c>
      <c r="H181" s="37">
        <v>0.54500000000000004</v>
      </c>
      <c r="I181" s="52">
        <f>H181*0.2907</f>
        <v>0.15843150000000003</v>
      </c>
      <c r="K181" s="53">
        <f>(I181-$I$147)/(($AA$147-AA181)+($AI$147-AI181))*1000*0.05</f>
        <v>1.0620284890825695</v>
      </c>
      <c r="L181" s="68"/>
      <c r="M181" s="22">
        <v>14.790635269414516</v>
      </c>
      <c r="O181" s="21">
        <v>2.2186184094494252</v>
      </c>
      <c r="Q181" s="21">
        <v>0.15547743841165679</v>
      </c>
      <c r="S181" s="21">
        <v>70.614674779379143</v>
      </c>
      <c r="U181" s="21">
        <v>11.574852612106746</v>
      </c>
      <c r="W181" s="21">
        <v>0.64574149123851476</v>
      </c>
      <c r="Y181" s="22">
        <v>0.85889308591009983</v>
      </c>
      <c r="AA181" s="21">
        <v>0.12883530541040819</v>
      </c>
      <c r="AC181" s="21">
        <v>9.0285842652701349E-3</v>
      </c>
      <c r="AE181" s="21">
        <v>4.1005984413135952</v>
      </c>
      <c r="AG181" s="21">
        <v>0.67215239223193124</v>
      </c>
      <c r="AI181" s="21">
        <v>3.7498247506443469E-2</v>
      </c>
      <c r="AK181" s="22">
        <f>8*(AG181-$AG$149)/(2*($AA$149-AA181)+2*($AI$149-AI181))</f>
        <v>0.12280430095488733</v>
      </c>
      <c r="AL181" s="22"/>
      <c r="AM181" s="22">
        <f>(AG181-$AG$149)/(($AA$149-AA181)+($AI$149-AI181))</f>
        <v>3.0701075238721832E-2</v>
      </c>
      <c r="AN181" s="22"/>
      <c r="AO181" s="37">
        <f>8*(BW181-$BW$149)/(2*($AA$149-AA181)+2*($AI$149-AI181))</f>
        <v>0.23457271510805383</v>
      </c>
      <c r="AQ181" s="37">
        <f>(BW181-$BW$148)/(($AA$148-AA181)+($AI$148-AI181))</f>
        <v>5.8298561803834713E-2</v>
      </c>
      <c r="AS181" s="37">
        <f>14*(BX181-$BX$149)/(2*($AA$149-AA181)+2*($AI$149-AI181))</f>
        <v>8.252012917740038E-3</v>
      </c>
      <c r="AU181" s="37">
        <f>(BX181-$BX$149)/(($AA$149-AA181)+($AI$149-AI181))</f>
        <v>1.1788589882485768E-3</v>
      </c>
      <c r="BG181" s="37">
        <v>383.44</v>
      </c>
      <c r="BI181" s="2">
        <v>9.52</v>
      </c>
      <c r="BK181" s="2">
        <v>0.24</v>
      </c>
      <c r="BM181" s="2">
        <v>0.28999999999999998</v>
      </c>
      <c r="BO181" s="22">
        <f>(BG181/1000)/60.2*1000</f>
        <v>6.3694352159468437</v>
      </c>
      <c r="BQ181" s="2">
        <f>BI181/74.08</f>
        <v>0.12850971922246221</v>
      </c>
      <c r="BS181" s="2">
        <f>(BK181/1000)/88.12*1000</f>
        <v>2.7235587834770762E-3</v>
      </c>
      <c r="BU181" s="2">
        <f>BM181/88.12</f>
        <v>3.2909668633681341E-3</v>
      </c>
      <c r="BW181" s="52">
        <f>BO181*0.05</f>
        <v>0.31847176079734218</v>
      </c>
      <c r="BX181" s="51">
        <f t="shared" si="9"/>
        <v>6.4254859611231107E-3</v>
      </c>
      <c r="BY181" s="51">
        <f t="shared" si="10"/>
        <v>1.3617793917385381E-4</v>
      </c>
      <c r="BZ181" s="67">
        <f t="shared" si="11"/>
        <v>1.6454834316840671E-4</v>
      </c>
    </row>
    <row r="182" spans="1:78" x14ac:dyDescent="0.3">
      <c r="A182" s="173"/>
      <c r="B182" s="83" t="s">
        <v>63</v>
      </c>
      <c r="C182" s="80">
        <v>4</v>
      </c>
      <c r="D182" s="79" t="e">
        <f>AVERAGE(D179:D181)</f>
        <v>#DIV/0!</v>
      </c>
      <c r="E182" s="76"/>
      <c r="F182" s="74">
        <f>AVERAGE(F179:F181)</f>
        <v>1.3016666666666667</v>
      </c>
      <c r="G182" s="73">
        <f>_xlfn.STDEV.S(F179:F181)</f>
        <v>1.2583057392117868E-2</v>
      </c>
      <c r="H182" s="77">
        <f>AVERAGE(H179:H181)</f>
        <v>0.57266666666666666</v>
      </c>
      <c r="I182" s="74">
        <f>AVERAGE(I179:I181)</f>
        <v>0.16647420000000002</v>
      </c>
      <c r="J182" s="82">
        <f>_xlfn.STDEV.S(I179:I181)</f>
        <v>7.1463339405599966E-3</v>
      </c>
      <c r="K182" s="82">
        <f>(I182-$I$147)/(($AA$147-AA182)+($AI$147-AI182))*1000*0.05</f>
        <v>1.148809097256738</v>
      </c>
      <c r="L182" s="81">
        <f>_xlfn.STDEV.S(K179:K181)</f>
        <v>7.5839170463693706E-2</v>
      </c>
      <c r="M182" s="77">
        <f>AVERAGE(M179:M181)</f>
        <v>15.135247101114276</v>
      </c>
      <c r="N182" s="76">
        <f>_xlfn.STDEV.S(M179:M181)</f>
        <v>0.29940503101204707</v>
      </c>
      <c r="O182" s="76">
        <f>AVERAGE(O179:O181)</f>
        <v>3.1055247167591271</v>
      </c>
      <c r="P182" s="76">
        <f>_xlfn.STDEV.S(O179:O181)</f>
        <v>0.97988332785224352</v>
      </c>
      <c r="Q182" s="76">
        <f>AVERAGE(Q179:Q181)</f>
        <v>0.20272095253599628</v>
      </c>
      <c r="R182" s="76">
        <f>_xlfn.STDEV.S(Q179:Q181)</f>
        <v>8.4338017321276923E-2</v>
      </c>
      <c r="S182" s="76">
        <f>AVERAGE(S179:S181)</f>
        <v>69.10433672644568</v>
      </c>
      <c r="T182" s="76">
        <f>_xlfn.STDEV.S(S179:S181)</f>
        <v>1.5567544794760482</v>
      </c>
      <c r="U182" s="76">
        <f>AVERAGE(U179:U181)</f>
        <v>11.725499974085587</v>
      </c>
      <c r="V182" s="76">
        <f>_xlfn.STDEV.S(U179:U181)</f>
        <v>0.19244663150153088</v>
      </c>
      <c r="W182" s="76">
        <f>AVERAGE(W179:W181)</f>
        <v>0.72667052905932772</v>
      </c>
      <c r="X182" s="76">
        <f>_xlfn.STDEV.S(W179:W181)</f>
        <v>8.3015257972269219E-2</v>
      </c>
      <c r="Y182" s="77">
        <f>AVERAGE(Y179:Y181)</f>
        <v>0.8869493573649988</v>
      </c>
      <c r="Z182" s="76">
        <f>_xlfn.STDEV.S(Y179:Y181)</f>
        <v>2.517262652191642E-2</v>
      </c>
      <c r="AA182" s="76">
        <f>AVERAGE(AA179:AA181)</f>
        <v>0.18206491564381375</v>
      </c>
      <c r="AB182" s="76">
        <f>_xlfn.STDEV.S(AA179:AA181)</f>
        <v>5.764710489437145E-2</v>
      </c>
      <c r="AC182" s="76">
        <f>AVERAGE(AC179:AC181)</f>
        <v>1.1874289683072609E-2</v>
      </c>
      <c r="AD182" s="76">
        <f>_xlfn.STDEV.S(AC179:AC181)</f>
        <v>4.9252181388326974E-3</v>
      </c>
      <c r="AE182" s="76">
        <f>AVERAGE(AE179:AE181)</f>
        <v>4.048978739137131</v>
      </c>
      <c r="AF182" s="76">
        <f>_xlfn.STDEV.S(AE179:AE181)</f>
        <v>8.5398095601967552E-2</v>
      </c>
      <c r="AG182" s="76">
        <f>AVERAGE(AG179:AG181)</f>
        <v>0.68706622454008526</v>
      </c>
      <c r="AH182" s="76">
        <f>_xlfn.STDEV.S(AG179:AG181)</f>
        <v>1.3626281337320533E-2</v>
      </c>
      <c r="AI182" s="76">
        <f>AVERAGE(AI179:AI181)</f>
        <v>4.259067289973778E-2</v>
      </c>
      <c r="AJ182" s="76">
        <f>_xlfn.STDEV.S(AI179:AI181)</f>
        <v>5.0017375342900827E-3</v>
      </c>
      <c r="AK182" s="77">
        <f>AVERAGE(AK179:AK181)</f>
        <v>0.14140356120750372</v>
      </c>
      <c r="AL182" s="77">
        <f>_xlfn.STDEV.S(AK179:AK181)</f>
        <v>1.6113095911174307E-2</v>
      </c>
      <c r="AM182" s="77">
        <f>AVERAGE(AM179:AM181)</f>
        <v>3.535089030187593E-2</v>
      </c>
      <c r="AN182" s="77">
        <f>_xlfn.STDEV.S(AM179:AM181)</f>
        <v>4.0282739777935768E-3</v>
      </c>
      <c r="AO182" s="78">
        <f>AVERAGE(AO179:AO181)</f>
        <v>0.24845434605563632</v>
      </c>
      <c r="AP182" s="78">
        <f>_xlfn.STDEV.S(AO179:AO181)</f>
        <v>1.6952565018662175E-2</v>
      </c>
      <c r="AQ182" s="78">
        <f>AVERAGE(AQ179:AQ181)</f>
        <v>6.1998714189516163E-2</v>
      </c>
      <c r="AR182" s="78">
        <f>_xlfn.STDEV.S(AQ179:AQ181)</f>
        <v>4.3814825866614355E-3</v>
      </c>
      <c r="AS182" s="78">
        <f>AVERAGE(AS179:AS181)</f>
        <v>1.1257437487707694E-2</v>
      </c>
      <c r="AT182" s="78">
        <f>_xlfn.STDEV.S(AS179:AS181)</f>
        <v>2.646972757280559E-3</v>
      </c>
      <c r="AU182" s="78">
        <f>AVERAGE(AU179:AU181)</f>
        <v>1.6082053553868134E-3</v>
      </c>
      <c r="AV182" s="80">
        <f>_xlfn.STDEV.S(AU179:AU181)</f>
        <v>3.7813896532579427E-4</v>
      </c>
      <c r="AW182" s="80"/>
      <c r="AX182" s="80"/>
      <c r="AY182" s="79">
        <f>SUM(AK182,AO182,AS182)</f>
        <v>0.40111534475084776</v>
      </c>
      <c r="AZ182" s="77">
        <f>SUM(AL182,AP182,AT182)</f>
        <v>3.5712633687117044E-2</v>
      </c>
      <c r="BA182" s="78"/>
      <c r="BB182" s="78"/>
      <c r="BC182" s="78"/>
      <c r="BD182" s="78"/>
      <c r="BE182" s="78"/>
      <c r="BF182" s="78"/>
      <c r="BG182" s="78"/>
      <c r="BH182" s="75"/>
      <c r="BI182" s="75"/>
      <c r="BJ182" s="75"/>
      <c r="BK182" s="75"/>
      <c r="BL182" s="75"/>
      <c r="BM182" s="75"/>
      <c r="BN182" s="75"/>
      <c r="BO182" s="77">
        <f>AVERAGE(BO179:BO181)</f>
        <v>6.674861572535991</v>
      </c>
      <c r="BP182" s="76">
        <f>_xlfn.STDEV.S(BO179:BO181)</f>
        <v>0.40609594609260308</v>
      </c>
      <c r="BQ182" s="75">
        <f>AVERAGE(BQ179:BQ181)</f>
        <v>0.17278617710583155</v>
      </c>
      <c r="BR182" s="75">
        <f>_xlfn.STDEV.S(BQ179:BQ181)</f>
        <v>3.9108913230567872E-2</v>
      </c>
      <c r="BS182" s="75">
        <f>AVERAGE(BS179:BS181)</f>
        <v>6.2036616734755627E-3</v>
      </c>
      <c r="BT182" s="75">
        <f>_xlfn.STDEV.S(BS179:BS181)</f>
        <v>4.3794690992302304E-3</v>
      </c>
      <c r="BU182" s="75">
        <f>AVERAGE(BU179:BU181)</f>
        <v>3.631411711302769E-3</v>
      </c>
      <c r="BV182" s="75">
        <f>_xlfn.STDEV.S(BU179:BU181)</f>
        <v>1.2274913556958656E-3</v>
      </c>
      <c r="BW182" s="74">
        <f>AVERAGE(BW179:BW181)</f>
        <v>0.33374307862679958</v>
      </c>
      <c r="BX182" s="73">
        <f t="shared" si="9"/>
        <v>8.6393088552915772E-3</v>
      </c>
      <c r="BY182" s="73">
        <f t="shared" si="10"/>
        <v>3.1018308367377815E-4</v>
      </c>
      <c r="BZ182" s="72">
        <f t="shared" si="11"/>
        <v>1.8157058556513846E-4</v>
      </c>
    </row>
    <row r="183" spans="1:78" x14ac:dyDescent="0.3">
      <c r="A183" s="174" t="s">
        <v>61</v>
      </c>
      <c r="B183" s="70" t="s">
        <v>94</v>
      </c>
      <c r="C183" s="20">
        <v>4</v>
      </c>
      <c r="D183" s="69"/>
      <c r="E183" s="21"/>
      <c r="F183" s="52">
        <v>1.3</v>
      </c>
      <c r="H183" s="37">
        <v>0.214</v>
      </c>
      <c r="I183" s="52">
        <f>H183*0.2907</f>
        <v>6.2209800000000003E-2</v>
      </c>
      <c r="K183" s="53">
        <f>(I183-$I$151)/($BW$151-BW183)*1000*0.05</f>
        <v>70.388912621357704</v>
      </c>
      <c r="L183" s="68"/>
      <c r="M183" s="22">
        <v>2.3925606494292757</v>
      </c>
      <c r="O183" s="21">
        <v>0</v>
      </c>
      <c r="Q183" s="21">
        <v>0.20666558265609375</v>
      </c>
      <c r="S183" s="21">
        <v>97.398634204362409</v>
      </c>
      <c r="U183" s="21">
        <v>2.1395635522139531E-3</v>
      </c>
      <c r="W183" s="21">
        <v>0</v>
      </c>
      <c r="Y183" s="22">
        <v>0.14001316617629173</v>
      </c>
      <c r="AA183" s="21">
        <v>0</v>
      </c>
      <c r="AC183" s="21">
        <v>1.2094114552226799E-2</v>
      </c>
      <c r="AE183" s="21">
        <v>5.6997891190144978</v>
      </c>
      <c r="AG183" s="21">
        <v>1.2520772138099333E-4</v>
      </c>
      <c r="AI183" s="21">
        <v>0</v>
      </c>
      <c r="AK183" s="22">
        <f>8*(AG183-$AG$151)/(8*($BW$151-BW183))</f>
        <v>2.0908473861679985E-2</v>
      </c>
      <c r="AL183" s="22"/>
      <c r="AM183" s="22">
        <f>(AG183-$AG$151)/($BW$151-BW183)</f>
        <v>2.0908473861679985E-2</v>
      </c>
      <c r="AN183" s="22"/>
      <c r="BG183" s="37">
        <v>1535.21</v>
      </c>
      <c r="BI183" s="2">
        <v>0</v>
      </c>
      <c r="BK183" s="2">
        <v>0</v>
      </c>
      <c r="BM183" s="2">
        <v>0</v>
      </c>
      <c r="BO183" s="22">
        <f>(BG183/1000)/60.2*1000</f>
        <v>25.501827242524914</v>
      </c>
      <c r="BQ183" s="2">
        <f>BI183/74.08</f>
        <v>0</v>
      </c>
      <c r="BS183" s="2">
        <f>(BK183/1000)/88.12*1000</f>
        <v>0</v>
      </c>
      <c r="BU183" s="2">
        <f>BM183/88.12</f>
        <v>0</v>
      </c>
      <c r="BW183" s="52">
        <f>BO183*0.05</f>
        <v>1.2750913621262459</v>
      </c>
      <c r="BX183" s="51">
        <f t="shared" si="9"/>
        <v>0</v>
      </c>
      <c r="BY183" s="51">
        <f t="shared" si="10"/>
        <v>0</v>
      </c>
      <c r="BZ183" s="67">
        <f t="shared" si="11"/>
        <v>0</v>
      </c>
    </row>
    <row r="184" spans="1:78" x14ac:dyDescent="0.3">
      <c r="A184" s="173"/>
      <c r="B184" s="70" t="s">
        <v>93</v>
      </c>
      <c r="C184" s="20">
        <v>4</v>
      </c>
      <c r="D184" s="69"/>
      <c r="E184" s="21"/>
      <c r="F184" s="52">
        <v>1.31</v>
      </c>
      <c r="H184" s="37">
        <v>0.217</v>
      </c>
      <c r="I184" s="52">
        <f>H184*0.2907</f>
        <v>6.3081899999999996E-2</v>
      </c>
      <c r="K184" s="53">
        <f>(I184-$I$152)/($BW$152-BW184)*1000*0.05</f>
        <v>767.31383076931024</v>
      </c>
      <c r="L184" s="68"/>
      <c r="M184" s="22">
        <v>2.3455263023857169</v>
      </c>
      <c r="O184" s="21">
        <v>0</v>
      </c>
      <c r="Q184" s="21">
        <v>0.30477302405872225</v>
      </c>
      <c r="S184" s="21">
        <v>97.349700673555574</v>
      </c>
      <c r="U184" s="21">
        <v>0</v>
      </c>
      <c r="W184" s="21">
        <v>0</v>
      </c>
      <c r="Y184" s="22">
        <v>0.13831655760917574</v>
      </c>
      <c r="AA184" s="21">
        <v>0</v>
      </c>
      <c r="AC184" s="21">
        <v>1.7972578477190162E-2</v>
      </c>
      <c r="AE184" s="21">
        <v>5.7407480222046816</v>
      </c>
      <c r="AG184" s="21">
        <v>0</v>
      </c>
      <c r="AI184" s="21">
        <v>0</v>
      </c>
      <c r="AK184" s="22">
        <f>8*(AG184-$AG$152)/(8*($BW$152-BW184))</f>
        <v>0</v>
      </c>
      <c r="AL184" s="22"/>
      <c r="AM184" s="22">
        <f>(AG184-$AG$152)/($BW$152-BW184)</f>
        <v>0</v>
      </c>
      <c r="AN184" s="22"/>
      <c r="BG184" s="37">
        <v>1592.22</v>
      </c>
      <c r="BI184" s="2">
        <v>0</v>
      </c>
      <c r="BK184" s="2">
        <v>0</v>
      </c>
      <c r="BM184" s="2">
        <v>0</v>
      </c>
      <c r="BO184" s="22">
        <f>(BG184/1000)/60.2*1000</f>
        <v>26.448837209302326</v>
      </c>
      <c r="BQ184" s="2">
        <f>BI184/74.08</f>
        <v>0</v>
      </c>
      <c r="BS184" s="2">
        <f>(BK184/1000)/88.12*1000</f>
        <v>0</v>
      </c>
      <c r="BU184" s="2">
        <f>BM184/88.12</f>
        <v>0</v>
      </c>
      <c r="BW184" s="52">
        <f>BO184*0.05</f>
        <v>1.3224418604651165</v>
      </c>
      <c r="BX184" s="51">
        <f t="shared" si="9"/>
        <v>0</v>
      </c>
      <c r="BY184" s="51">
        <f t="shared" si="10"/>
        <v>0</v>
      </c>
      <c r="BZ184" s="67">
        <f t="shared" si="11"/>
        <v>0</v>
      </c>
    </row>
    <row r="185" spans="1:78" x14ac:dyDescent="0.3">
      <c r="A185" s="173"/>
      <c r="B185" s="70" t="s">
        <v>92</v>
      </c>
      <c r="C185" s="20">
        <v>4</v>
      </c>
      <c r="D185" s="69"/>
      <c r="E185" s="21"/>
      <c r="F185" s="52">
        <v>1.333</v>
      </c>
      <c r="G185" s="67"/>
      <c r="H185" s="37">
        <v>0.21099999999999999</v>
      </c>
      <c r="I185" s="52">
        <f>H185*0.2907</f>
        <v>6.1337700000000002E-2</v>
      </c>
      <c r="K185" s="53">
        <f>(I185-$I$153)/($BW$153-BW185)*1000*0.05</f>
        <v>1587.2219999986244</v>
      </c>
      <c r="L185" s="68"/>
      <c r="M185" s="22">
        <v>1.9065959427036803</v>
      </c>
      <c r="O185" s="21">
        <v>0</v>
      </c>
      <c r="Q185" s="21">
        <v>0.15208091132585719</v>
      </c>
      <c r="S185" s="21">
        <v>97.874442451861981</v>
      </c>
      <c r="U185" s="21">
        <v>6.6880694108497799E-2</v>
      </c>
      <c r="W185" s="21">
        <v>0</v>
      </c>
      <c r="Y185" s="22">
        <v>0.11440667993069267</v>
      </c>
      <c r="AA185" s="21">
        <v>0</v>
      </c>
      <c r="AC185" s="21">
        <v>9.1257259894051545E-3</v>
      </c>
      <c r="AE185" s="21">
        <v>5.8730272944493871</v>
      </c>
      <c r="AG185" s="21">
        <v>4.0132248228552268E-3</v>
      </c>
      <c r="AI185" s="21">
        <v>0</v>
      </c>
      <c r="AK185" s="22">
        <f>8*(AG185-$AG$153)/(8*($BW$153-BW185))</f>
        <v>11.237029503984894</v>
      </c>
      <c r="AL185" s="22"/>
      <c r="AM185" s="22">
        <f>(AG185-$AG$153)/($BW$153-BW185)</f>
        <v>11.237029503984894</v>
      </c>
      <c r="AN185" s="22"/>
      <c r="BG185" s="37">
        <v>1503.45</v>
      </c>
      <c r="BI185" s="2">
        <v>0</v>
      </c>
      <c r="BK185" s="2">
        <v>0</v>
      </c>
      <c r="BM185" s="2">
        <v>0</v>
      </c>
      <c r="BO185" s="22">
        <f>(BG185/1000)/60.2*1000</f>
        <v>24.974252491694351</v>
      </c>
      <c r="BQ185" s="2">
        <f>BI185/74.08</f>
        <v>0</v>
      </c>
      <c r="BS185" s="2">
        <f>(BK185/1000)/88.12*1000</f>
        <v>0</v>
      </c>
      <c r="BU185" s="2">
        <f>BM185/88.12</f>
        <v>0</v>
      </c>
      <c r="BW185" s="52">
        <f>BO185*0.05</f>
        <v>1.2487126245847175</v>
      </c>
      <c r="BX185" s="51">
        <f t="shared" si="9"/>
        <v>0</v>
      </c>
      <c r="BY185" s="51">
        <f t="shared" si="10"/>
        <v>0</v>
      </c>
      <c r="BZ185" s="67">
        <f t="shared" si="11"/>
        <v>0</v>
      </c>
    </row>
    <row r="186" spans="1:78" ht="15" thickBot="1" x14ac:dyDescent="0.35">
      <c r="A186" s="175"/>
      <c r="B186" s="66" t="s">
        <v>63</v>
      </c>
      <c r="C186" s="65">
        <v>4</v>
      </c>
      <c r="D186" s="64" t="e">
        <f>AVERAGE(D183:D185)</f>
        <v>#DIV/0!</v>
      </c>
      <c r="E186" s="58"/>
      <c r="F186" s="56">
        <f>AVERAGE(F183:F185)</f>
        <v>1.3143333333333336</v>
      </c>
      <c r="G186" s="55">
        <f>_xlfn.STDEV.S(F183:F185)</f>
        <v>1.692138686199603E-2</v>
      </c>
      <c r="H186" s="60">
        <f>AVERAGE(H183:H185)</f>
        <v>0.214</v>
      </c>
      <c r="I186" s="56">
        <f>AVERAGE(I183:I185)</f>
        <v>6.2209800000000003E-2</v>
      </c>
      <c r="J186" s="63">
        <f>_xlfn.STDEV.S(I183:I185)</f>
        <v>8.7209999999999718E-4</v>
      </c>
      <c r="K186" s="56">
        <f>AVERAGE(K183:K185)</f>
        <v>808.30824779643081</v>
      </c>
      <c r="L186" s="62">
        <f>_xlfn.STDEV.S(K183:K185)</f>
        <v>759.24703516784155</v>
      </c>
      <c r="M186" s="59">
        <f>AVERAGE(M183:M185)</f>
        <v>2.2148942981728905</v>
      </c>
      <c r="N186" s="58">
        <f>_xlfn.STDEV.S(M183:M185)</f>
        <v>0.26802791727582842</v>
      </c>
      <c r="O186" s="58">
        <f>AVERAGE(O183:O185)</f>
        <v>0</v>
      </c>
      <c r="P186" s="58">
        <f>_xlfn.STDEV.S(O183:O185)</f>
        <v>0</v>
      </c>
      <c r="Q186" s="58">
        <f>AVERAGE(Q183:Q185)</f>
        <v>0.22117317268022441</v>
      </c>
      <c r="R186" s="58">
        <f>_xlfn.STDEV.S(Q183:Q185)</f>
        <v>7.7372947138762097E-2</v>
      </c>
      <c r="S186" s="58">
        <f>AVERAGE(S183:S185)</f>
        <v>97.540925776593326</v>
      </c>
      <c r="T186" s="58">
        <f>_xlfn.STDEV.S(S183:S185)</f>
        <v>0.28986833583715416</v>
      </c>
      <c r="U186" s="58">
        <f>AVERAGE(U183:U185)</f>
        <v>2.3006752553570584E-2</v>
      </c>
      <c r="V186" s="58">
        <f>_xlfn.STDEV.S(U183:U185)</f>
        <v>3.8011004902822124E-2</v>
      </c>
      <c r="W186" s="58">
        <f>AVERAGE(W183:W185)</f>
        <v>0</v>
      </c>
      <c r="X186" s="58">
        <f>_xlfn.STDEV.S(W183:W185)</f>
        <v>0</v>
      </c>
      <c r="Y186" s="59">
        <f>AVERAGE(Y183:Y185)</f>
        <v>0.13091213457205339</v>
      </c>
      <c r="Z186" s="58">
        <f>_xlfn.STDEV.S(Y183:Y185)</f>
        <v>1.4319292749504588E-2</v>
      </c>
      <c r="AA186" s="58">
        <f>AVERAGE(AA183:AA185)</f>
        <v>0</v>
      </c>
      <c r="AB186" s="58">
        <f>_xlfn.STDEV.S(AA183:AA185)</f>
        <v>0</v>
      </c>
      <c r="AC186" s="58">
        <f>AVERAGE(AC183:AC185)</f>
        <v>1.3064139672940706E-2</v>
      </c>
      <c r="AD186" s="58">
        <f>_xlfn.STDEV.S(AC183:AC185)</f>
        <v>4.5024894543206793E-3</v>
      </c>
      <c r="AE186" s="58">
        <f>AVERAGE(AE183:AE185)</f>
        <v>5.7711881452228555</v>
      </c>
      <c r="AF186" s="58">
        <f>_xlfn.STDEV.S(AE183:AE185)</f>
        <v>9.054179793898251E-2</v>
      </c>
      <c r="AG186" s="58">
        <f>AVERAGE(AG183:AG185)</f>
        <v>1.3794775147454067E-3</v>
      </c>
      <c r="AH186" s="58">
        <f>_xlfn.STDEV.S(AG183:AG185)</f>
        <v>2.2817510612696437E-3</v>
      </c>
      <c r="AI186" s="58">
        <f>AVERAGE(AI183:AI185)</f>
        <v>0</v>
      </c>
      <c r="AJ186" s="57">
        <f>_xlfn.STDEV.S(AI183:AI185)</f>
        <v>0</v>
      </c>
      <c r="AK186" s="77">
        <f>AVERAGE(AK183:AK185)</f>
        <v>3.7526459926155247</v>
      </c>
      <c r="AL186" s="77">
        <f>_xlfn.STDEV.S(AK183:AK185)</f>
        <v>6.4816746832908141</v>
      </c>
      <c r="AM186" s="77">
        <f>AVERAGE(AM183:AM185)</f>
        <v>3.7526459926155247</v>
      </c>
      <c r="AN186" s="77">
        <f>_xlfn.STDEV.S(AM183:AM185)</f>
        <v>6.4816746832908141</v>
      </c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59">
        <f>SUM(AK186,AO186,AS186)</f>
        <v>3.7526459926155247</v>
      </c>
      <c r="AZ186" s="59">
        <f>SUM(AL186,AP186,AT186)</f>
        <v>6.4816746832908141</v>
      </c>
      <c r="BA186" s="60"/>
      <c r="BB186" s="60"/>
      <c r="BC186" s="60"/>
      <c r="BD186" s="60"/>
      <c r="BE186" s="60"/>
      <c r="BF186" s="60"/>
      <c r="BG186" s="60">
        <f>AVERAGE(BG183:BG185)</f>
        <v>1543.6266666666668</v>
      </c>
      <c r="BH186" s="57">
        <f>_xlfn.STDEV.S(BG183:BG185)</f>
        <v>44.979533493949589</v>
      </c>
      <c r="BI186" s="57">
        <f>AVERAGE(BI183:BI185)</f>
        <v>0</v>
      </c>
      <c r="BJ186" s="57" t="e">
        <f>_xlfn.STDEV.S(BH183:BH185)</f>
        <v>#DIV/0!</v>
      </c>
      <c r="BK186" s="57">
        <f>AVERAGE(BK183:BK185)</f>
        <v>0</v>
      </c>
      <c r="BL186" s="57">
        <f>_xlfn.STDEV.S(BK183:BK185)</f>
        <v>0</v>
      </c>
      <c r="BM186" s="57">
        <f>AVERAGE(BM183:BM185)</f>
        <v>0</v>
      </c>
      <c r="BN186" s="57" t="e">
        <f>_xlfn.STDEV.S(BL183:BL185)</f>
        <v>#DIV/0!</v>
      </c>
      <c r="BO186" s="59">
        <f>AVERAGE(BO183:BO185)</f>
        <v>25.641638981173866</v>
      </c>
      <c r="BP186" s="58">
        <f>_xlfn.STDEV.S(BO183:BO185)</f>
        <v>0.74716833046427988</v>
      </c>
      <c r="BQ186" s="57">
        <f>AVERAGE(BQ183:BQ185)</f>
        <v>0</v>
      </c>
      <c r="BR186" s="57">
        <f>_xlfn.STDEV.S(BQ183:BQ185)</f>
        <v>0</v>
      </c>
      <c r="BS186" s="57">
        <f>AVERAGE(BS183:BS185)</f>
        <v>0</v>
      </c>
      <c r="BT186" s="57">
        <f>_xlfn.STDEV.S(BS183:BS185)</f>
        <v>0</v>
      </c>
      <c r="BU186" s="57">
        <f>AVERAGE(BU183:BU185)</f>
        <v>0</v>
      </c>
      <c r="BV186" s="57">
        <f>_xlfn.STDEV.S(BU183:BU185)</f>
        <v>0</v>
      </c>
      <c r="BW186" s="56">
        <f>AVERAGE(BW183:BW185)</f>
        <v>1.2820819490586934</v>
      </c>
      <c r="BX186" s="55">
        <f t="shared" si="9"/>
        <v>0</v>
      </c>
      <c r="BY186" s="55">
        <f t="shared" si="10"/>
        <v>0</v>
      </c>
      <c r="BZ186" s="54">
        <f t="shared" si="11"/>
        <v>0</v>
      </c>
    </row>
    <row r="187" spans="1:78" x14ac:dyDescent="0.3">
      <c r="A187" s="172" t="s">
        <v>98</v>
      </c>
      <c r="B187" s="95" t="s">
        <v>97</v>
      </c>
      <c r="C187" s="94">
        <v>5</v>
      </c>
      <c r="D187" s="93"/>
      <c r="E187" s="88"/>
      <c r="F187" s="86">
        <v>1.2849999999999999</v>
      </c>
      <c r="G187" s="85"/>
      <c r="H187" s="90">
        <v>0.55200000000000005</v>
      </c>
      <c r="I187" s="86">
        <f>H187*0.2907</f>
        <v>0.16046640000000001</v>
      </c>
      <c r="J187" s="92"/>
      <c r="K187" s="92">
        <f>(I187-$I$147)/(($AA$147-AA187)+($AI$147-AI187))*1000*0.05</f>
        <v>1.0485860086592982</v>
      </c>
      <c r="L187" s="91"/>
      <c r="M187" s="89">
        <v>16.121599465044088</v>
      </c>
      <c r="O187" s="88">
        <v>0</v>
      </c>
      <c r="Q187" s="88">
        <v>0.15186661357150305</v>
      </c>
      <c r="S187" s="88">
        <v>71.235633848698342</v>
      </c>
      <c r="U187" s="88">
        <v>12.490900072686067</v>
      </c>
      <c r="W187" s="88">
        <v>0</v>
      </c>
      <c r="X187" s="88"/>
      <c r="Y187" s="89">
        <v>0.9325536439613612</v>
      </c>
      <c r="AA187" s="21">
        <v>0</v>
      </c>
      <c r="AB187" s="88"/>
      <c r="AC187" s="88">
        <v>8.7847216517973302E-3</v>
      </c>
      <c r="AE187" s="21">
        <v>4.1206240155972784</v>
      </c>
      <c r="AF187" s="88"/>
      <c r="AG187" s="88">
        <v>0.72253590001398582</v>
      </c>
      <c r="AI187" s="21">
        <v>0</v>
      </c>
      <c r="AJ187" s="87"/>
      <c r="AK187" s="89">
        <f>8*(AG187-$AG$147)/(2*($AA$147-AA187)+2*($AI$147-AI187))</f>
        <v>0.16847504175692124</v>
      </c>
      <c r="AL187" s="89"/>
      <c r="AM187" s="89">
        <f>(AG187-$AG$147)/(($AA$147-AA187)+($AI$147-AI187))</f>
        <v>4.211876043923031E-2</v>
      </c>
      <c r="AN187" s="89"/>
      <c r="AO187" s="37">
        <f>8*(BW187-$BW$147)/(2*($AA$147-AA187)+2*($AI$147-AI187))</f>
        <v>0.25805592112647835</v>
      </c>
      <c r="AQ187" s="37">
        <f>(BW187-$BW$147)/(($AA$147-AA187)+($AI$147-AI187))</f>
        <v>6.4513980281619587E-2</v>
      </c>
      <c r="AS187" s="37">
        <f>14*(BX187-$BX$147)/(2*($AA$147-AA187)+2*($AI$147-AI187))</f>
        <v>1.3201359339219329E-2</v>
      </c>
      <c r="AU187" s="37">
        <f>(BX187-$BX$147)/(($AA$147-AA187)+($AI$147-AI187))</f>
        <v>1.8859084770313326E-3</v>
      </c>
      <c r="AY187" s="90"/>
      <c r="AZ187" s="90"/>
      <c r="BA187" s="90"/>
      <c r="BB187" s="90"/>
      <c r="BC187" s="90"/>
      <c r="BD187" s="90"/>
      <c r="BE187" s="90"/>
      <c r="BF187" s="90"/>
      <c r="BG187" s="90">
        <v>432.87</v>
      </c>
      <c r="BH187" s="87"/>
      <c r="BI187" s="87">
        <v>15.57</v>
      </c>
      <c r="BJ187" s="87"/>
      <c r="BK187" s="87">
        <v>0.94</v>
      </c>
      <c r="BL187" s="87"/>
      <c r="BM187" s="87">
        <v>0.53</v>
      </c>
      <c r="BN187" s="87"/>
      <c r="BO187" s="89">
        <f>(BG187/1000)/60.2*1000</f>
        <v>7.1905315614617935</v>
      </c>
      <c r="BP187" s="88"/>
      <c r="BQ187" s="87">
        <f>BI187/74.08</f>
        <v>0.21017818574514041</v>
      </c>
      <c r="BR187" s="87"/>
      <c r="BS187" s="87">
        <f>(BK187/1000)/88.12*1000</f>
        <v>1.0667271901951884E-2</v>
      </c>
      <c r="BT187" s="87"/>
      <c r="BU187" s="87">
        <f>BM187/88.12</f>
        <v>6.0145256468452108E-3</v>
      </c>
      <c r="BV187" s="87"/>
      <c r="BW187" s="86">
        <f>BO187*0.05</f>
        <v>0.35952657807308969</v>
      </c>
      <c r="BX187" s="85">
        <f t="shared" si="9"/>
        <v>1.0508909287257021E-2</v>
      </c>
      <c r="BY187" s="85">
        <f t="shared" si="10"/>
        <v>5.3336359509759416E-4</v>
      </c>
      <c r="BZ187" s="84">
        <f t="shared" si="11"/>
        <v>3.0072628234226054E-4</v>
      </c>
    </row>
    <row r="188" spans="1:78" x14ac:dyDescent="0.3">
      <c r="A188" s="173"/>
      <c r="B188" s="70" t="s">
        <v>96</v>
      </c>
      <c r="C188" s="20">
        <v>5</v>
      </c>
      <c r="D188" s="69"/>
      <c r="E188" s="21"/>
      <c r="F188" s="52">
        <v>1.2949999999999999</v>
      </c>
      <c r="H188" s="37">
        <v>0.55500000000000005</v>
      </c>
      <c r="I188" s="52">
        <f>H188*0.2907</f>
        <v>0.16133850000000002</v>
      </c>
      <c r="K188" s="53">
        <f>(I188-$I$147)/(($AA$147-AA188)+($AI$147-AI188))*1000*0.05</f>
        <v>1.0564112773806362</v>
      </c>
      <c r="L188" s="68"/>
      <c r="M188" s="22">
        <v>16.555362258449087</v>
      </c>
      <c r="O188" s="21">
        <v>0</v>
      </c>
      <c r="Q188" s="21">
        <v>0.37268065377122295</v>
      </c>
      <c r="S188" s="21">
        <v>70.070119542597126</v>
      </c>
      <c r="U188" s="21">
        <v>13.001837545182561</v>
      </c>
      <c r="W188" s="21">
        <v>0</v>
      </c>
      <c r="Y188" s="22">
        <v>0.96509713280245235</v>
      </c>
      <c r="AA188" s="21">
        <v>0</v>
      </c>
      <c r="AC188" s="21">
        <v>2.1725470260971803E-2</v>
      </c>
      <c r="AE188" s="21">
        <v>4.0847473108704211</v>
      </c>
      <c r="AG188" s="21">
        <v>0.75794391811722683</v>
      </c>
      <c r="AI188" s="21">
        <v>0</v>
      </c>
      <c r="AK188" s="22">
        <f>8*(AG188-$AG$148)/(2*($AA$148-AA188)+2*($AI$148-AI188))</f>
        <v>0.18450123503343263</v>
      </c>
      <c r="AL188" s="22"/>
      <c r="AM188" s="22">
        <f>(AG188-$AG$148)/(($AA$148-AA188)+($AI$148-AI188))</f>
        <v>4.6125308758358158E-2</v>
      </c>
      <c r="AN188" s="22"/>
      <c r="AO188" s="37">
        <f>8*(BW188-$BW$148)/(2*($AA$148-AA188)+2*($AI$148-AI188))</f>
        <v>0.28591333111007977</v>
      </c>
      <c r="AQ188" s="37">
        <f>(BW188-$BW$148)/(($AA$148-AA188)+($AI$148-AI188))</f>
        <v>7.1478332777519943E-2</v>
      </c>
      <c r="AS188" s="37">
        <f>14*(BX188-$BX$148)/(2*($AA$148-AA188)+2*($AI$148-AI188))</f>
        <v>1.1769949912852646E-2</v>
      </c>
      <c r="AU188" s="37">
        <f>(BX188-$BX$148)/(($AA$148-AA188)+($AI$148-AI188))</f>
        <v>1.6814214161218067E-3</v>
      </c>
      <c r="BG188" s="37">
        <v>484.42</v>
      </c>
      <c r="BI188" s="2">
        <v>14.02</v>
      </c>
      <c r="BK188" s="2">
        <v>0.45</v>
      </c>
      <c r="BM188" s="2">
        <v>0.33</v>
      </c>
      <c r="BO188" s="22">
        <f>(BG188/1000)/60.2*1000</f>
        <v>8.0468438538205973</v>
      </c>
      <c r="BQ188" s="2">
        <f>BI188/74.08</f>
        <v>0.18925485961123109</v>
      </c>
      <c r="BS188" s="2">
        <f>(BK188/1000)/88.12*1000</f>
        <v>5.1066727190195189E-3</v>
      </c>
      <c r="BU188" s="2">
        <f>BM188/88.12</f>
        <v>3.7448933272809805E-3</v>
      </c>
      <c r="BW188" s="52">
        <f>BO188*0.05</f>
        <v>0.40234219269102989</v>
      </c>
      <c r="BX188" s="51">
        <f t="shared" si="9"/>
        <v>9.4627429805615552E-3</v>
      </c>
      <c r="BY188" s="51">
        <f t="shared" si="10"/>
        <v>2.5533363595097597E-4</v>
      </c>
      <c r="BZ188" s="67">
        <f t="shared" si="11"/>
        <v>1.8724466636404905E-4</v>
      </c>
    </row>
    <row r="189" spans="1:78" x14ac:dyDescent="0.3">
      <c r="A189" s="173"/>
      <c r="B189" s="70" t="s">
        <v>95</v>
      </c>
      <c r="C189" s="20">
        <v>5</v>
      </c>
      <c r="D189" s="69"/>
      <c r="E189" s="21"/>
      <c r="F189" s="52">
        <v>1.28</v>
      </c>
      <c r="H189" s="37">
        <v>0.55800000000000005</v>
      </c>
      <c r="I189" s="52">
        <f>H189*0.2907</f>
        <v>0.16221060000000001</v>
      </c>
      <c r="K189" s="53">
        <f>(I189-$I$147)/(($AA$147-AA189)+($AI$147-AI189))*1000*0.05</f>
        <v>1.0642365461019743</v>
      </c>
      <c r="L189" s="68"/>
      <c r="M189" s="22">
        <v>16.217359247678186</v>
      </c>
      <c r="O189" s="21">
        <v>0</v>
      </c>
      <c r="Q189" s="21">
        <v>0.10216324377801353</v>
      </c>
      <c r="S189" s="21">
        <v>70.426909070856311</v>
      </c>
      <c r="U189" s="21">
        <v>13.253568437687477</v>
      </c>
      <c r="W189" s="21">
        <v>0</v>
      </c>
      <c r="Y189" s="22">
        <v>0.93444270014449538</v>
      </c>
      <c r="AA189" s="21">
        <v>0</v>
      </c>
      <c r="AC189" s="21">
        <v>5.8866364069177874E-3</v>
      </c>
      <c r="AE189" s="21">
        <v>4.0579918141989557</v>
      </c>
      <c r="AG189" s="21">
        <v>0.76366935506072875</v>
      </c>
      <c r="AI189" s="21">
        <v>0</v>
      </c>
      <c r="AK189" s="22">
        <f>8*(AG189-$AG$149)/(2*($AA$149-AA189)+2*($AI$149-AI189))</f>
        <v>0.18459185092900793</v>
      </c>
      <c r="AL189" s="22"/>
      <c r="AM189" s="22">
        <f>(AG189-$AG$149)/(($AA$149-AA189)+($AI$149-AI189))</f>
        <v>4.6147962732251982E-2</v>
      </c>
      <c r="AN189" s="22"/>
      <c r="AO189" s="37">
        <f>8*(BW189-$BW$149)/(2*($AA$149-AA189)+2*($AI$149-AI189))</f>
        <v>0.23770597306842906</v>
      </c>
      <c r="AQ189" s="37">
        <f>(BW189-$BW$148)/(($AA$148-AA189)+($AI$148-AI189))</f>
        <v>5.9087357987602798E-2</v>
      </c>
      <c r="AS189" s="37">
        <f>14*(BX189-$BX$149)/(2*($AA$149-AA189)+2*($AI$149-AI189))</f>
        <v>8.4458297064466323E-3</v>
      </c>
      <c r="AU189" s="37">
        <f>(BX189-$BX$149)/(($AA$149-AA189)+($AI$149-AI189))</f>
        <v>1.2065471009209475E-3</v>
      </c>
      <c r="BG189" s="37">
        <v>400.46</v>
      </c>
      <c r="BI189" s="2">
        <v>10.039999999999999</v>
      </c>
      <c r="BK189" s="2">
        <v>0.28000000000000003</v>
      </c>
      <c r="BM189" s="2">
        <v>0.25</v>
      </c>
      <c r="BO189" s="22">
        <f>(BG189/1000)/60.2*1000</f>
        <v>6.6521594684385379</v>
      </c>
      <c r="BQ189" s="2">
        <f>BI189/74.08</f>
        <v>0.1355291576673866</v>
      </c>
      <c r="BS189" s="2">
        <f>(BK189/1000)/88.12*1000</f>
        <v>3.1774852473899231E-3</v>
      </c>
      <c r="BU189" s="2">
        <f>BM189/88.12</f>
        <v>2.8370403994552882E-3</v>
      </c>
      <c r="BW189" s="52">
        <f>BO189*0.05</f>
        <v>0.33260797342192694</v>
      </c>
      <c r="BX189" s="51">
        <f t="shared" si="9"/>
        <v>6.7764578833693304E-3</v>
      </c>
      <c r="BY189" s="51">
        <f t="shared" si="10"/>
        <v>1.5887426236949618E-4</v>
      </c>
      <c r="BZ189" s="67">
        <f t="shared" si="11"/>
        <v>1.4185201997276442E-4</v>
      </c>
    </row>
    <row r="190" spans="1:78" x14ac:dyDescent="0.3">
      <c r="A190" s="173"/>
      <c r="B190" s="83" t="s">
        <v>63</v>
      </c>
      <c r="C190" s="80">
        <v>5</v>
      </c>
      <c r="D190" s="79" t="e">
        <f>AVERAGE(D187:D189)</f>
        <v>#DIV/0!</v>
      </c>
      <c r="E190" s="76"/>
      <c r="F190" s="74">
        <f>AVERAGE(F187:F189)</f>
        <v>1.2866666666666668</v>
      </c>
      <c r="G190" s="73">
        <f>_xlfn.STDEV.S(F187:F189)</f>
        <v>7.6376261582596916E-3</v>
      </c>
      <c r="H190" s="77">
        <f>AVERAGE(H187:H189)</f>
        <v>0.55500000000000005</v>
      </c>
      <c r="I190" s="74">
        <f>AVERAGE(I187:I189)</f>
        <v>0.16133850000000002</v>
      </c>
      <c r="J190" s="82">
        <f>_xlfn.STDEV.S(I187:I189)</f>
        <v>8.7210000000000065E-4</v>
      </c>
      <c r="K190" s="82">
        <f>(I190-$I$147)/(($AA$147-AA190)+($AI$147-AI190))*1000*0.05</f>
        <v>1.0564112773806362</v>
      </c>
      <c r="L190" s="81">
        <f>_xlfn.STDEV.S(K187:K189)</f>
        <v>7.8252687213380412E-3</v>
      </c>
      <c r="M190" s="77">
        <f>AVERAGE(M187:M189)</f>
        <v>16.298106990390455</v>
      </c>
      <c r="N190" s="76">
        <f>_xlfn.STDEV.S(M187:M189)</f>
        <v>0.22787647684759343</v>
      </c>
      <c r="O190" s="76">
        <f>AVERAGE(O187:O189)</f>
        <v>0</v>
      </c>
      <c r="P190" s="76">
        <f>_xlfn.STDEV.S(O187:O189)</f>
        <v>0</v>
      </c>
      <c r="Q190" s="76">
        <f>AVERAGE(Q187:Q189)</f>
        <v>0.20890350370691321</v>
      </c>
      <c r="R190" s="76">
        <f>_xlfn.STDEV.S(Q187:Q189)</f>
        <v>0.1439959110690219</v>
      </c>
      <c r="S190" s="76">
        <f>AVERAGE(S187:S189)</f>
        <v>70.577554154050588</v>
      </c>
      <c r="T190" s="76">
        <f>_xlfn.STDEV.S(S187:S189)</f>
        <v>0.59718201182688724</v>
      </c>
      <c r="U190" s="76">
        <f>AVERAGE(U187:U189)</f>
        <v>12.915435351852034</v>
      </c>
      <c r="V190" s="76">
        <f>_xlfn.STDEV.S(U187:U189)</f>
        <v>0.38860617983084778</v>
      </c>
      <c r="W190" s="76">
        <f>AVERAGE(W187:W189)</f>
        <v>0</v>
      </c>
      <c r="X190" s="76">
        <f>_xlfn.STDEV.S(W187:W189)</f>
        <v>0</v>
      </c>
      <c r="Y190" s="77">
        <f>AVERAGE(Y187:Y189)</f>
        <v>0.94403115896943623</v>
      </c>
      <c r="Z190" s="76">
        <f>_xlfn.STDEV.S(Y187:Y189)</f>
        <v>1.8268102623582638E-2</v>
      </c>
      <c r="AA190" s="76">
        <f>AVERAGE(AA187:AA189)</f>
        <v>0</v>
      </c>
      <c r="AB190" s="76">
        <f>_xlfn.STDEV.S(AA187:AA189)</f>
        <v>0</v>
      </c>
      <c r="AC190" s="76">
        <f>AVERAGE(AC187:AC189)</f>
        <v>1.2132276106562307E-2</v>
      </c>
      <c r="AD190" s="76">
        <f>_xlfn.STDEV.S(AC187:AC189)</f>
        <v>8.4333715135048171E-3</v>
      </c>
      <c r="AE190" s="76">
        <f>AVERAGE(AE187:AE189)</f>
        <v>4.087787713555552</v>
      </c>
      <c r="AF190" s="76">
        <f>_xlfn.STDEV.S(AE187:AE189)</f>
        <v>3.1426600187831749E-2</v>
      </c>
      <c r="AG190" s="76">
        <f>AVERAGE(AG187:AG189)</f>
        <v>0.74804972439731376</v>
      </c>
      <c r="AH190" s="76">
        <f>_xlfn.STDEV.S(AG187:AG189)</f>
        <v>2.2280295847362085E-2</v>
      </c>
      <c r="AI190" s="76">
        <f>AVERAGE(AI187:AI189)</f>
        <v>0</v>
      </c>
      <c r="AJ190" s="76">
        <f>_xlfn.STDEV.S(AI187:AI189)</f>
        <v>0</v>
      </c>
      <c r="AK190" s="77">
        <f>AVERAGE(AK187:AK189)</f>
        <v>0.17918937590645392</v>
      </c>
      <c r="AL190" s="77">
        <f>_xlfn.STDEV.S(AK187:AK189)</f>
        <v>9.2789961747494296E-3</v>
      </c>
      <c r="AM190" s="77">
        <f>AVERAGE(AM187:AM189)</f>
        <v>4.4797343976613481E-2</v>
      </c>
      <c r="AN190" s="77">
        <f>_xlfn.STDEV.S(AM187:AM189)</f>
        <v>2.3197490436873574E-3</v>
      </c>
      <c r="AO190" s="78">
        <f>AVERAGE(AO187:AO189)</f>
        <v>0.26055840843499573</v>
      </c>
      <c r="AP190" s="78">
        <f>_xlfn.STDEV.S(AO187:AO189)</f>
        <v>2.4200912676714165E-2</v>
      </c>
      <c r="AQ190" s="78">
        <f>AVERAGE(AQ187:AQ189)</f>
        <v>6.5026557015580785E-2</v>
      </c>
      <c r="AR190" s="78">
        <f>_xlfn.STDEV.S(AQ187:AQ189)</f>
        <v>6.2113698362148183E-3</v>
      </c>
      <c r="AS190" s="78">
        <f>AVERAGE(AS187:AS189)</f>
        <v>1.1139046319506204E-2</v>
      </c>
      <c r="AT190" s="78">
        <f>_xlfn.STDEV.S(AS187:AS189)</f>
        <v>2.4397325734838021E-3</v>
      </c>
      <c r="AU190" s="78">
        <f>AVERAGE(AU187:AU189)</f>
        <v>1.5912923313580289E-3</v>
      </c>
      <c r="AV190" s="80">
        <f>_xlfn.STDEV.S(AU187:AU189)</f>
        <v>3.4853322478340027E-4</v>
      </c>
      <c r="AW190" s="80"/>
      <c r="AX190" s="80"/>
      <c r="AY190" s="79">
        <f>SUM(AK190,AO190,AS190)</f>
        <v>0.45088683066095586</v>
      </c>
      <c r="AZ190" s="77">
        <f>SUM(AL190,AP190,AT190)</f>
        <v>3.5919641424947399E-2</v>
      </c>
      <c r="BA190" s="78"/>
      <c r="BB190" s="78"/>
      <c r="BC190" s="78"/>
      <c r="BD190" s="78"/>
      <c r="BE190" s="78"/>
      <c r="BF190" s="78"/>
      <c r="BG190" s="78"/>
      <c r="BH190" s="75"/>
      <c r="BI190" s="75"/>
      <c r="BJ190" s="75"/>
      <c r="BK190" s="75"/>
      <c r="BL190" s="75"/>
      <c r="BM190" s="75"/>
      <c r="BN190" s="75"/>
      <c r="BO190" s="77">
        <f>AVERAGE(BO187:BO189)</f>
        <v>7.2965116279069759</v>
      </c>
      <c r="BP190" s="76">
        <f>_xlfn.STDEV.S(BO187:BO189)</f>
        <v>0.7033562145669342</v>
      </c>
      <c r="BQ190" s="75">
        <f>AVERAGE(BQ187:BQ189)</f>
        <v>0.1783207343412527</v>
      </c>
      <c r="BR190" s="75">
        <f>_xlfn.STDEV.S(BQ187:BQ189)</f>
        <v>3.8506956122277593E-2</v>
      </c>
      <c r="BS190" s="75">
        <f>AVERAGE(BS187:BS189)</f>
        <v>6.3171432894537751E-3</v>
      </c>
      <c r="BT190" s="75">
        <f>_xlfn.STDEV.S(BS187:BS189)</f>
        <v>3.8888501236392712E-3</v>
      </c>
      <c r="BU190" s="75">
        <f>AVERAGE(BU187:BU189)</f>
        <v>4.1988197911938261E-3</v>
      </c>
      <c r="BV190" s="75">
        <f>_xlfn.STDEV.S(BU187:BU189)</f>
        <v>1.6366551409278207E-3</v>
      </c>
      <c r="BW190" s="74">
        <f>AVERAGE(BW187:BW189)</f>
        <v>0.36482558139534887</v>
      </c>
      <c r="BX190" s="73">
        <f t="shared" si="9"/>
        <v>8.9160367170626354E-3</v>
      </c>
      <c r="BY190" s="73">
        <f t="shared" si="10"/>
        <v>3.1585716447268879E-4</v>
      </c>
      <c r="BZ190" s="72">
        <f t="shared" si="11"/>
        <v>2.0994098955969131E-4</v>
      </c>
    </row>
    <row r="191" spans="1:78" x14ac:dyDescent="0.3">
      <c r="A191" s="174" t="s">
        <v>61</v>
      </c>
      <c r="B191" s="70" t="s">
        <v>94</v>
      </c>
      <c r="C191" s="20">
        <v>5</v>
      </c>
      <c r="D191" s="69"/>
      <c r="E191" s="21"/>
      <c r="F191" s="52">
        <v>1.27</v>
      </c>
      <c r="H191" s="37">
        <v>0.21099999999999999</v>
      </c>
      <c r="I191" s="52">
        <f>H191*0.2907</f>
        <v>6.1337700000000002E-2</v>
      </c>
      <c r="K191" s="53">
        <f>(I191-$I$151)/($BW$151-BW191)*1000*0.05</f>
        <v>45.95996363636317</v>
      </c>
      <c r="L191" s="68"/>
      <c r="M191" s="22">
        <v>2.3732362889625551</v>
      </c>
      <c r="O191" s="21">
        <v>0</v>
      </c>
      <c r="Q191" s="21">
        <v>0.21589290210347983</v>
      </c>
      <c r="S191" s="21">
        <v>97.410870808933964</v>
      </c>
      <c r="U191" s="21">
        <v>0</v>
      </c>
      <c r="W191" s="21">
        <v>0</v>
      </c>
      <c r="Y191" s="22">
        <v>0.13567732426259163</v>
      </c>
      <c r="AA191" s="21">
        <v>0</v>
      </c>
      <c r="AC191" s="21">
        <v>1.2342543142845039E-2</v>
      </c>
      <c r="AE191" s="21">
        <v>5.5689550875790124</v>
      </c>
      <c r="AG191" s="21">
        <v>0</v>
      </c>
      <c r="AI191" s="21">
        <v>0</v>
      </c>
      <c r="AK191" s="22">
        <f>8*(AG191-$AG$151)/(8*($BW$151-BW191))</f>
        <v>0</v>
      </c>
      <c r="AL191" s="22"/>
      <c r="AM191" s="22">
        <f>(AG191-$AG$151)/($BW$151-BW191)</f>
        <v>0</v>
      </c>
      <c r="AN191" s="22"/>
      <c r="BG191" s="37">
        <v>1532.52</v>
      </c>
      <c r="BI191" s="2">
        <v>0</v>
      </c>
      <c r="BK191" s="2">
        <v>0</v>
      </c>
      <c r="BM191" s="2">
        <v>0</v>
      </c>
      <c r="BO191" s="22">
        <f>(BG191/1000)/60.2*1000</f>
        <v>25.457142857142856</v>
      </c>
      <c r="BQ191" s="2">
        <f>BI191/74.08</f>
        <v>0</v>
      </c>
      <c r="BS191" s="2">
        <f>(BK191/1000)/88.12*1000</f>
        <v>0</v>
      </c>
      <c r="BU191" s="2">
        <f>BM191/88.12</f>
        <v>0</v>
      </c>
      <c r="BW191" s="52">
        <f>BO191*0.05</f>
        <v>1.2728571428571429</v>
      </c>
      <c r="BX191" s="51">
        <f t="shared" si="9"/>
        <v>0</v>
      </c>
      <c r="BY191" s="51">
        <f t="shared" si="10"/>
        <v>0</v>
      </c>
      <c r="BZ191" s="67">
        <f t="shared" si="11"/>
        <v>0</v>
      </c>
    </row>
    <row r="192" spans="1:78" x14ac:dyDescent="0.3">
      <c r="A192" s="173"/>
      <c r="B192" s="70" t="s">
        <v>93</v>
      </c>
      <c r="C192" s="20">
        <v>5</v>
      </c>
      <c r="D192" s="69"/>
      <c r="E192" s="21"/>
      <c r="F192" s="52">
        <v>1.28</v>
      </c>
      <c r="H192" s="37">
        <v>0.20300000000000001</v>
      </c>
      <c r="I192" s="52">
        <f>H192*0.2907</f>
        <v>5.9012100000000005E-2</v>
      </c>
      <c r="K192" s="53">
        <f>(I192-$I$152)/($BW$152-BW192)*1000*0.05</f>
        <v>-162.17802155171916</v>
      </c>
      <c r="L192" s="68"/>
      <c r="M192" s="22">
        <v>2.3528909530369648</v>
      </c>
      <c r="O192" s="21">
        <v>0</v>
      </c>
      <c r="Q192" s="21">
        <v>0.2630152693795732</v>
      </c>
      <c r="S192" s="21">
        <v>97.384093777583473</v>
      </c>
      <c r="U192" s="21">
        <v>0</v>
      </c>
      <c r="W192" s="21">
        <v>0</v>
      </c>
      <c r="Y192" s="22">
        <v>0.1355733533260782</v>
      </c>
      <c r="AA192" s="21">
        <v>0</v>
      </c>
      <c r="AC192" s="21">
        <v>1.5154914850484494E-2</v>
      </c>
      <c r="AE192" s="21">
        <v>5.6112622376345378</v>
      </c>
      <c r="AG192" s="21">
        <v>0</v>
      </c>
      <c r="AI192" s="21">
        <v>0</v>
      </c>
      <c r="AK192" s="22">
        <f>8*(AG192-$AG$152)/(8*($BW$152-BW192))</f>
        <v>0</v>
      </c>
      <c r="AL192" s="22"/>
      <c r="AM192" s="22">
        <f>(AG192-$AG$152)/($BW$152-BW192)</f>
        <v>0</v>
      </c>
      <c r="AN192" s="22"/>
      <c r="BG192" s="37">
        <v>1598.16</v>
      </c>
      <c r="BI192" s="2">
        <v>0</v>
      </c>
      <c r="BK192" s="2">
        <v>0</v>
      </c>
      <c r="BM192" s="2">
        <v>0</v>
      </c>
      <c r="BO192" s="22">
        <f>(BG192/1000)/60.2*1000</f>
        <v>26.547508305647842</v>
      </c>
      <c r="BQ192" s="2">
        <f>BI192/74.08</f>
        <v>0</v>
      </c>
      <c r="BS192" s="2">
        <f>(BK192/1000)/88.12*1000</f>
        <v>0</v>
      </c>
      <c r="BU192" s="2">
        <f>BM192/88.12</f>
        <v>0</v>
      </c>
      <c r="BW192" s="52">
        <f>BO192*0.05</f>
        <v>1.3273754152823922</v>
      </c>
      <c r="BX192" s="51">
        <f t="shared" si="9"/>
        <v>0</v>
      </c>
      <c r="BY192" s="51">
        <f t="shared" si="10"/>
        <v>0</v>
      </c>
      <c r="BZ192" s="67">
        <f t="shared" si="11"/>
        <v>0</v>
      </c>
    </row>
    <row r="193" spans="1:78" x14ac:dyDescent="0.3">
      <c r="A193" s="173"/>
      <c r="B193" s="70" t="s">
        <v>92</v>
      </c>
      <c r="C193" s="20">
        <v>5</v>
      </c>
      <c r="D193" s="69"/>
      <c r="E193" s="21"/>
      <c r="F193" s="52">
        <v>1.3</v>
      </c>
      <c r="G193" s="67"/>
      <c r="H193" s="37">
        <v>0.18</v>
      </c>
      <c r="I193" s="52">
        <f>H193*0.2907</f>
        <v>5.2325999999999998E-2</v>
      </c>
      <c r="K193" s="53">
        <f>(I193-$I$153)/($BW$153-BW193)*1000*0.05</f>
        <v>-56.911024390252322</v>
      </c>
      <c r="L193" s="68"/>
      <c r="M193" s="22">
        <v>1.893884765571817</v>
      </c>
      <c r="O193" s="21">
        <v>0</v>
      </c>
      <c r="Q193" s="21">
        <v>0.13978491151383265</v>
      </c>
      <c r="S193" s="21">
        <v>97.863737207000298</v>
      </c>
      <c r="U193" s="21">
        <v>0.10259311591405383</v>
      </c>
      <c r="W193" s="21">
        <v>0</v>
      </c>
      <c r="Y193" s="22">
        <v>0.11083054570173917</v>
      </c>
      <c r="AA193" s="21">
        <v>0</v>
      </c>
      <c r="AC193" s="21">
        <v>8.1802432257644751E-3</v>
      </c>
      <c r="AE193" s="21">
        <v>5.7270070472258316</v>
      </c>
      <c r="AG193" s="21">
        <v>6.0037713110614246E-3</v>
      </c>
      <c r="AI193" s="21">
        <v>0</v>
      </c>
      <c r="AK193" s="22">
        <f>8*(AG193-$AG$153)/(8*($BW$153-BW193))</f>
        <v>-2.9384311619996071</v>
      </c>
      <c r="AL193" s="22"/>
      <c r="AM193" s="22">
        <f>(AG193-$AG$153)/($BW$153-BW193)</f>
        <v>-2.9384311619996071</v>
      </c>
      <c r="AN193" s="22"/>
      <c r="BG193" s="37">
        <v>1506.34</v>
      </c>
      <c r="BI193" s="2">
        <v>0</v>
      </c>
      <c r="BK193" s="2">
        <v>0</v>
      </c>
      <c r="BM193" s="2">
        <v>0</v>
      </c>
      <c r="BO193" s="22">
        <f>(BG193/1000)/60.2*1000</f>
        <v>25.022259136212622</v>
      </c>
      <c r="BQ193" s="2">
        <f>BI193/74.08</f>
        <v>0</v>
      </c>
      <c r="BS193" s="2">
        <f>(BK193/1000)/88.12*1000</f>
        <v>0</v>
      </c>
      <c r="BU193" s="2">
        <f>BM193/88.12</f>
        <v>0</v>
      </c>
      <c r="BW193" s="52">
        <f>BO193*0.05</f>
        <v>1.2511129568106312</v>
      </c>
      <c r="BX193" s="51">
        <f t="shared" si="9"/>
        <v>0</v>
      </c>
      <c r="BY193" s="51">
        <f t="shared" si="10"/>
        <v>0</v>
      </c>
      <c r="BZ193" s="67">
        <f t="shared" si="11"/>
        <v>0</v>
      </c>
    </row>
    <row r="194" spans="1:78" ht="15" thickBot="1" x14ac:dyDescent="0.35">
      <c r="A194" s="175"/>
      <c r="B194" s="66" t="s">
        <v>63</v>
      </c>
      <c r="C194" s="65">
        <v>5</v>
      </c>
      <c r="D194" s="64" t="e">
        <f>AVERAGE(D191:D193)</f>
        <v>#DIV/0!</v>
      </c>
      <c r="E194" s="58"/>
      <c r="F194" s="56">
        <f>AVERAGE(F191:F193)</f>
        <v>1.2833333333333332</v>
      </c>
      <c r="G194" s="55">
        <f>_xlfn.STDEV.S(F191:F193)</f>
        <v>1.527525231651948E-2</v>
      </c>
      <c r="H194" s="60">
        <f>AVERAGE(H191:H193)</f>
        <v>0.19800000000000004</v>
      </c>
      <c r="I194" s="56">
        <f>AVERAGE(I191:I193)</f>
        <v>5.7558599999999994E-2</v>
      </c>
      <c r="J194" s="63">
        <f>_xlfn.STDEV.S(I191:I193)</f>
        <v>4.6783737462926184E-3</v>
      </c>
      <c r="K194" s="56">
        <f>AVERAGE(K191:K193)</f>
        <v>-57.709694101869438</v>
      </c>
      <c r="L194" s="62">
        <f>_xlfn.STDEV.S(K191:K193)</f>
        <v>104.07129106780499</v>
      </c>
      <c r="M194" s="59">
        <f>AVERAGE(M191:M193)</f>
        <v>2.2066706691904456</v>
      </c>
      <c r="N194" s="58">
        <f>_xlfn.STDEV.S(M191:M193)</f>
        <v>0.27107148374621193</v>
      </c>
      <c r="O194" s="58">
        <f>AVERAGE(O191:O193)</f>
        <v>0</v>
      </c>
      <c r="P194" s="58">
        <f>_xlfn.STDEV.S(O191:O193)</f>
        <v>0</v>
      </c>
      <c r="Q194" s="58">
        <f>AVERAGE(Q191:Q193)</f>
        <v>0.20623102766562859</v>
      </c>
      <c r="R194" s="58">
        <f>_xlfn.STDEV.S(Q191:Q193)</f>
        <v>6.2180737677911338E-2</v>
      </c>
      <c r="S194" s="58">
        <f>AVERAGE(S191:S193)</f>
        <v>97.552900597839241</v>
      </c>
      <c r="T194" s="58">
        <f>_xlfn.STDEV.S(S191:S193)</f>
        <v>0.26952513899085961</v>
      </c>
      <c r="U194" s="58">
        <f>AVERAGE(U191:U193)</f>
        <v>3.4197705304684613E-2</v>
      </c>
      <c r="V194" s="58">
        <f>_xlfn.STDEV.S(U191:U193)</f>
        <v>5.9232163089981457E-2</v>
      </c>
      <c r="W194" s="58">
        <f>AVERAGE(W191:W193)</f>
        <v>0</v>
      </c>
      <c r="X194" s="58">
        <f>_xlfn.STDEV.S(W191:W193)</f>
        <v>0</v>
      </c>
      <c r="Y194" s="59">
        <f>AVERAGE(Y191:Y193)</f>
        <v>0.12736040776346966</v>
      </c>
      <c r="Z194" s="58">
        <f>_xlfn.STDEV.S(Y191:Y193)</f>
        <v>1.4315374857955617E-2</v>
      </c>
      <c r="AA194" s="58">
        <f>AVERAGE(AA191:AA193)</f>
        <v>0</v>
      </c>
      <c r="AB194" s="58">
        <f>_xlfn.STDEV.S(AA191:AA193)</f>
        <v>0</v>
      </c>
      <c r="AC194" s="58">
        <f>AVERAGE(AC191:AC193)</f>
        <v>1.1892567073031336E-2</v>
      </c>
      <c r="AD194" s="58">
        <f>_xlfn.STDEV.S(AC191:AC193)</f>
        <v>3.5090411675730514E-3</v>
      </c>
      <c r="AE194" s="58">
        <f>AVERAGE(AE191:AE193)</f>
        <v>5.6357414574797948</v>
      </c>
      <c r="AF194" s="58">
        <f>_xlfn.STDEV.S(AE191:AE193)</f>
        <v>8.1820105354516837E-2</v>
      </c>
      <c r="AG194" s="58">
        <f>AVERAGE(AG191:AG193)</f>
        <v>2.0012571036871415E-3</v>
      </c>
      <c r="AH194" s="58">
        <f>_xlfn.STDEV.S(AG191:AG193)</f>
        <v>3.4662789825942661E-3</v>
      </c>
      <c r="AI194" s="58">
        <f>AVERAGE(AI191:AI193)</f>
        <v>0</v>
      </c>
      <c r="AJ194" s="57">
        <f>_xlfn.STDEV.S(AI191:AI193)</f>
        <v>0</v>
      </c>
      <c r="AK194" s="77">
        <f>AVERAGE(AK191:AK193)</f>
        <v>-0.97947705399986906</v>
      </c>
      <c r="AL194" s="77">
        <f>_xlfn.STDEV.S(AK191:AK193)</f>
        <v>1.696504022375658</v>
      </c>
      <c r="AM194" s="77">
        <f>AVERAGE(AM191:AM193)</f>
        <v>-0.97947705399986906</v>
      </c>
      <c r="AN194" s="77">
        <f>_xlfn.STDEV.S(AM191:AM193)</f>
        <v>1.696504022375658</v>
      </c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59">
        <f>SUM(AK194,AO194,AS194)</f>
        <v>-0.97947705399986906</v>
      </c>
      <c r="AZ194" s="59">
        <f>SUM(AL194,AP194,AT194)</f>
        <v>1.696504022375658</v>
      </c>
      <c r="BA194" s="60"/>
      <c r="BB194" s="60"/>
      <c r="BC194" s="60"/>
      <c r="BD194" s="60"/>
      <c r="BE194" s="60"/>
      <c r="BF194" s="60"/>
      <c r="BG194" s="60">
        <f>AVERAGE(BG191:BG193)</f>
        <v>1545.6733333333334</v>
      </c>
      <c r="BH194" s="57">
        <f>_xlfn.STDEV.S(BG191:BG193)</f>
        <v>47.302069017468369</v>
      </c>
      <c r="BI194" s="57">
        <f>AVERAGE(BI191:BI193)</f>
        <v>0</v>
      </c>
      <c r="BJ194" s="57" t="e">
        <f>_xlfn.STDEV.S(BH191:BH193)</f>
        <v>#DIV/0!</v>
      </c>
      <c r="BK194" s="57">
        <f>AVERAGE(BK191:BK193)</f>
        <v>0</v>
      </c>
      <c r="BL194" s="57">
        <f>_xlfn.STDEV.S(BK191:BK193)</f>
        <v>0</v>
      </c>
      <c r="BM194" s="57">
        <f>AVERAGE(BM191:BM193)</f>
        <v>0</v>
      </c>
      <c r="BN194" s="57" t="e">
        <f>_xlfn.STDEV.S(BL191:BL193)</f>
        <v>#DIV/0!</v>
      </c>
      <c r="BO194" s="59">
        <f>AVERAGE(BO191:BO193)</f>
        <v>25.675636766334438</v>
      </c>
      <c r="BP194" s="58">
        <f>_xlfn.STDEV.S(BO191:BO193)</f>
        <v>0.78574865477522293</v>
      </c>
      <c r="BQ194" s="57">
        <f>AVERAGE(BQ191:BQ193)</f>
        <v>0</v>
      </c>
      <c r="BR194" s="57">
        <f>_xlfn.STDEV.S(BQ191:BQ193)</f>
        <v>0</v>
      </c>
      <c r="BS194" s="57">
        <f>AVERAGE(BS191:BS193)</f>
        <v>0</v>
      </c>
      <c r="BT194" s="57">
        <f>_xlfn.STDEV.S(BS191:BS193)</f>
        <v>0</v>
      </c>
      <c r="BU194" s="57">
        <f>AVERAGE(BU191:BU193)</f>
        <v>0</v>
      </c>
      <c r="BV194" s="57">
        <f>_xlfn.STDEV.S(BU191:BU193)</f>
        <v>0</v>
      </c>
      <c r="BW194" s="56">
        <f>AVERAGE(BW191:BW193)</f>
        <v>1.2837818383167221</v>
      </c>
      <c r="BX194" s="55">
        <f t="shared" si="9"/>
        <v>0</v>
      </c>
      <c r="BY194" s="55">
        <f t="shared" si="10"/>
        <v>0</v>
      </c>
      <c r="BZ194" s="54">
        <f t="shared" si="11"/>
        <v>0</v>
      </c>
    </row>
    <row r="195" spans="1:78" x14ac:dyDescent="0.3">
      <c r="A195" s="172" t="s">
        <v>98</v>
      </c>
      <c r="B195" s="95" t="s">
        <v>97</v>
      </c>
      <c r="C195" s="94">
        <v>6</v>
      </c>
      <c r="D195" s="93"/>
      <c r="E195" s="88"/>
      <c r="F195" s="86">
        <v>1.26</v>
      </c>
      <c r="G195" s="85"/>
      <c r="H195" s="90">
        <v>0.54500000000000004</v>
      </c>
      <c r="I195" s="86">
        <f>H195*0.2907</f>
        <v>0.15843150000000003</v>
      </c>
      <c r="J195" s="92"/>
      <c r="K195" s="92">
        <f>(I195-$I$147)/(($AA$147-AA195)+($AI$147-AI195))*1000*0.05</f>
        <v>1.0303270483095097</v>
      </c>
      <c r="L195" s="91"/>
      <c r="M195" s="89">
        <v>16.026140312402067</v>
      </c>
      <c r="O195" s="88">
        <v>0</v>
      </c>
      <c r="Q195" s="88">
        <v>0.37440615964426271</v>
      </c>
      <c r="S195" s="88">
        <v>71.059815091787158</v>
      </c>
      <c r="U195" s="88">
        <v>12.539638436166495</v>
      </c>
      <c r="W195" s="88">
        <v>0</v>
      </c>
      <c r="X195" s="88"/>
      <c r="Y195" s="89">
        <v>0.9089961725728134</v>
      </c>
      <c r="AA195" s="21">
        <v>0</v>
      </c>
      <c r="AB195" s="88"/>
      <c r="AC195" s="88">
        <v>2.1236165381688828E-2</v>
      </c>
      <c r="AE195" s="21">
        <v>4.0304838646757659</v>
      </c>
      <c r="AF195" s="88"/>
      <c r="AG195" s="88">
        <v>0.71124320152753173</v>
      </c>
      <c r="AI195" s="21">
        <v>0</v>
      </c>
      <c r="AJ195" s="87"/>
      <c r="AK195" s="89">
        <f>8*(AG195-$AG$147)/(2*($AA$147-AA195)+2*($AI$147-AI195))</f>
        <v>0.16036877869116725</v>
      </c>
      <c r="AL195" s="89"/>
      <c r="AM195" s="89">
        <f>(AG195-$AG$147)/(($AA$147-AA195)+($AI$147-AI195))</f>
        <v>4.0092194672791813E-2</v>
      </c>
      <c r="AN195" s="89"/>
      <c r="AO195" s="37">
        <f>8*(BW195-$BW$147)/(2*($AA$147-AA195)+2*($AI$147-AI195))</f>
        <v>0.27270470698253629</v>
      </c>
      <c r="AQ195" s="37">
        <f>(BW195-$BW$147)/(($AA$147-AA195)+($AI$147-AI195))</f>
        <v>6.8176176745634073E-2</v>
      </c>
      <c r="AS195" s="37">
        <f>14*(BX195-$BX$147)/(2*($AA$147-AA195)+2*($AI$147-AI195))</f>
        <v>1.2921561742434334E-2</v>
      </c>
      <c r="AU195" s="37">
        <f>(BX195-$BX$147)/(($AA$147-AA195)+($AI$147-AI195))</f>
        <v>1.8459373917763333E-3</v>
      </c>
      <c r="AY195" s="90"/>
      <c r="AZ195" s="90"/>
      <c r="BA195" s="90"/>
      <c r="BB195" s="90"/>
      <c r="BC195" s="90"/>
      <c r="BD195" s="90"/>
      <c r="BE195" s="90"/>
      <c r="BF195" s="90"/>
      <c r="BG195" s="90">
        <v>457.44</v>
      </c>
      <c r="BH195" s="87"/>
      <c r="BI195" s="87">
        <v>15.24</v>
      </c>
      <c r="BJ195" s="87"/>
      <c r="BK195" s="87">
        <v>0.84</v>
      </c>
      <c r="BL195" s="87"/>
      <c r="BM195" s="87">
        <v>0.57999999999999996</v>
      </c>
      <c r="BN195" s="87"/>
      <c r="BO195" s="89">
        <f>(BG195/1000)/60.2*1000</f>
        <v>7.5986710963455142</v>
      </c>
      <c r="BP195" s="88"/>
      <c r="BQ195" s="87">
        <f>BI195/74.08</f>
        <v>0.20572354211663069</v>
      </c>
      <c r="BR195" s="87"/>
      <c r="BS195" s="87">
        <f>(BK195/1000)/88.12*1000</f>
        <v>9.5324557421697671E-3</v>
      </c>
      <c r="BT195" s="87"/>
      <c r="BU195" s="87">
        <f>BM195/88.12</f>
        <v>6.5819337267362683E-3</v>
      </c>
      <c r="BV195" s="87"/>
      <c r="BW195" s="86">
        <f>BO195*0.05</f>
        <v>0.37993355481727575</v>
      </c>
      <c r="BX195" s="85">
        <f t="shared" si="9"/>
        <v>1.0286177105831535E-2</v>
      </c>
      <c r="BY195" s="85">
        <f t="shared" si="10"/>
        <v>4.7662278710848836E-4</v>
      </c>
      <c r="BZ195" s="84">
        <f t="shared" si="11"/>
        <v>3.2909668633681341E-4</v>
      </c>
    </row>
    <row r="196" spans="1:78" x14ac:dyDescent="0.3">
      <c r="A196" s="173"/>
      <c r="B196" s="70" t="s">
        <v>96</v>
      </c>
      <c r="C196" s="20">
        <v>6</v>
      </c>
      <c r="D196" s="69"/>
      <c r="E196" s="21"/>
      <c r="F196" s="52">
        <v>1.24</v>
      </c>
      <c r="H196" s="37">
        <v>0.55200000000000005</v>
      </c>
      <c r="I196" s="52">
        <f>H196*0.2907</f>
        <v>0.16046640000000001</v>
      </c>
      <c r="K196" s="53">
        <f>(I196-$I$147)/(($AA$147-AA196)+($AI$147-AI196))*1000*0.05</f>
        <v>1.0485860086592982</v>
      </c>
      <c r="L196" s="68"/>
      <c r="M196" s="22">
        <v>16.687811771112202</v>
      </c>
      <c r="O196" s="21">
        <v>0</v>
      </c>
      <c r="Q196" s="21">
        <v>0.39503308065408427</v>
      </c>
      <c r="S196" s="21">
        <v>69.726283729444106</v>
      </c>
      <c r="U196" s="21">
        <v>13.190871418789607</v>
      </c>
      <c r="W196" s="21">
        <v>0</v>
      </c>
      <c r="Y196" s="22">
        <v>0.93150168832038971</v>
      </c>
      <c r="AA196" s="21">
        <v>0</v>
      </c>
      <c r="AC196" s="21">
        <v>2.2050463333285763E-2</v>
      </c>
      <c r="AE196" s="21">
        <v>3.8920711657784324</v>
      </c>
      <c r="AG196" s="21">
        <v>0.73630498507239417</v>
      </c>
      <c r="AI196" s="21">
        <v>0</v>
      </c>
      <c r="AK196" s="22">
        <f>8*(AG196-$AG$148)/(2*($AA$148-AA196)+2*($AI$148-AI196))</f>
        <v>0.16912126940682809</v>
      </c>
      <c r="AL196" s="22"/>
      <c r="AM196" s="22">
        <f>(AG196-$AG$148)/(($AA$148-AA196)+($AI$148-AI196))</f>
        <v>4.2280317351707022E-2</v>
      </c>
      <c r="AN196" s="22"/>
      <c r="AO196" s="37">
        <f>8*(BW196-$BW$148)/(2*($AA$148-AA196)+2*($AI$148-AI196))</f>
        <v>0.29395359202664351</v>
      </c>
      <c r="AQ196" s="37">
        <f>(BW196-$BW$148)/(($AA$148-AA196)+($AI$148-AI196))</f>
        <v>7.3488398006660877E-2</v>
      </c>
      <c r="AS196" s="37">
        <f>14*(BX196-$BX$148)/(2*($AA$148-AA196)+2*($AI$148-AI196))</f>
        <v>4.4662006801980091E-3</v>
      </c>
      <c r="AU196" s="37">
        <f>(BX196-$BX$148)/(($AA$148-AA196)+($AI$148-AI196))</f>
        <v>6.3802866859971553E-4</v>
      </c>
      <c r="BG196" s="37">
        <v>498.04</v>
      </c>
      <c r="BI196" s="2">
        <v>5.32</v>
      </c>
      <c r="BK196" s="2">
        <v>0.42</v>
      </c>
      <c r="BM196" s="2">
        <v>0.35</v>
      </c>
      <c r="BO196" s="22">
        <f>(BG196/1000)/60.2*1000</f>
        <v>8.2730897009966782</v>
      </c>
      <c r="BQ196" s="2">
        <f>BI196/74.08</f>
        <v>7.1814254859611237E-2</v>
      </c>
      <c r="BS196" s="2">
        <f>(BK196/1000)/88.12*1000</f>
        <v>4.7662278710848835E-3</v>
      </c>
      <c r="BU196" s="2">
        <f>BM196/88.12</f>
        <v>3.9718565592374031E-3</v>
      </c>
      <c r="BW196" s="52">
        <f>BO196*0.05</f>
        <v>0.41365448504983393</v>
      </c>
      <c r="BX196" s="51">
        <f t="shared" si="9"/>
        <v>3.5907127429805619E-3</v>
      </c>
      <c r="BY196" s="51">
        <f t="shared" si="10"/>
        <v>2.3831139355424418E-4</v>
      </c>
      <c r="BZ196" s="67">
        <f t="shared" si="11"/>
        <v>1.9859282796187017E-4</v>
      </c>
    </row>
    <row r="197" spans="1:78" x14ac:dyDescent="0.3">
      <c r="A197" s="173"/>
      <c r="B197" s="70" t="s">
        <v>95</v>
      </c>
      <c r="C197" s="20">
        <v>6</v>
      </c>
      <c r="D197" s="69"/>
      <c r="E197" s="21"/>
      <c r="F197" s="52">
        <v>1.26</v>
      </c>
      <c r="H197" s="37">
        <v>0.54900000000000004</v>
      </c>
      <c r="I197" s="52">
        <f>H197*0.2907</f>
        <v>0.15959430000000002</v>
      </c>
      <c r="K197" s="53">
        <f>(I197-$I$147)/(($AA$147-AA197)+($AI$147-AI197))*1000*0.05</f>
        <v>1.0407607399379604</v>
      </c>
      <c r="L197" s="68"/>
      <c r="M197" s="22">
        <v>16.060847455356843</v>
      </c>
      <c r="O197" s="21">
        <v>0</v>
      </c>
      <c r="Q197" s="21">
        <v>0.10779070689247805</v>
      </c>
      <c r="S197" s="21">
        <v>70.683896971489744</v>
      </c>
      <c r="U197" s="21">
        <v>13.147464866260924</v>
      </c>
      <c r="W197" s="21">
        <v>0</v>
      </c>
      <c r="Y197" s="22">
        <v>0.91096474763155122</v>
      </c>
      <c r="AA197" s="21">
        <v>0</v>
      </c>
      <c r="AC197" s="21">
        <v>6.113845136396079E-3</v>
      </c>
      <c r="AE197" s="21">
        <v>4.0091619414996229</v>
      </c>
      <c r="AG197" s="21">
        <v>0.74571886989022917</v>
      </c>
      <c r="AI197" s="21">
        <v>0</v>
      </c>
      <c r="AK197" s="22">
        <f>8*(AG197-$AG$149)/(2*($AA$149-AA197)+2*($AI$149-AI197))</f>
        <v>0.17175639108245497</v>
      </c>
      <c r="AL197" s="22"/>
      <c r="AM197" s="22">
        <f>(AG197-$AG$149)/(($AA$149-AA197)+($AI$149-AI197))</f>
        <v>4.2939097770613742E-2</v>
      </c>
      <c r="AN197" s="22"/>
      <c r="AO197" s="37">
        <f>8*(BW197-$BW$149)/(2*($AA$149-AA197)+2*($AI$149-AI197))</f>
        <v>0.24353207074688321</v>
      </c>
      <c r="AQ197" s="37">
        <f>(BW197-$BW$148)/(($AA$148-AA197)+($AI$148-AI197))</f>
        <v>6.0535136247358477E-2</v>
      </c>
      <c r="AS197" s="37">
        <f>14*(BX197-$BX$149)/(2*($AA$149-AA197)+2*($AI$149-AI197))</f>
        <v>9.9660790536070247E-4</v>
      </c>
      <c r="AU197" s="37">
        <f>(BX197-$BX$149)/(($AA$149-AA197)+($AI$149-AI197))</f>
        <v>1.423725579086718E-4</v>
      </c>
      <c r="BG197" s="37">
        <v>410.27</v>
      </c>
      <c r="BI197" s="2">
        <v>1.22</v>
      </c>
      <c r="BK197" s="2">
        <v>0.55000000000000004</v>
      </c>
      <c r="BM197" s="2">
        <v>0.22</v>
      </c>
      <c r="BO197" s="22">
        <f>(BG197/1000)/60.2*1000</f>
        <v>6.815116279069767</v>
      </c>
      <c r="BQ197" s="2">
        <f>BI197/74.08</f>
        <v>1.6468682505399568E-2</v>
      </c>
      <c r="BS197" s="2">
        <f>(BK197/1000)/88.12*1000</f>
        <v>6.2414888788016347E-3</v>
      </c>
      <c r="BU197" s="2">
        <f>BM197/88.12</f>
        <v>2.4965955515206537E-3</v>
      </c>
      <c r="BW197" s="52">
        <f>BO197*0.05</f>
        <v>0.34075581395348836</v>
      </c>
      <c r="BX197" s="51">
        <f t="shared" si="9"/>
        <v>8.2343412526997848E-4</v>
      </c>
      <c r="BY197" s="51">
        <f t="shared" si="10"/>
        <v>3.1207444394008177E-4</v>
      </c>
      <c r="BZ197" s="67">
        <f t="shared" si="11"/>
        <v>1.2482977757603269E-4</v>
      </c>
    </row>
    <row r="198" spans="1:78" x14ac:dyDescent="0.3">
      <c r="A198" s="173"/>
      <c r="B198" s="83" t="s">
        <v>63</v>
      </c>
      <c r="C198" s="80">
        <v>6</v>
      </c>
      <c r="D198" s="79" t="e">
        <f>AVERAGE(D195:D197)</f>
        <v>#DIV/0!</v>
      </c>
      <c r="E198" s="76"/>
      <c r="F198" s="74">
        <f>AVERAGE(F195:F197)</f>
        <v>1.2533333333333332</v>
      </c>
      <c r="G198" s="73">
        <f>_xlfn.STDEV.S(F195:F197)</f>
        <v>1.1547005383792526E-2</v>
      </c>
      <c r="H198" s="77">
        <f>AVERAGE(H195:H197)</f>
        <v>0.54866666666666664</v>
      </c>
      <c r="I198" s="74">
        <f>AVERAGE(I195:I197)</f>
        <v>0.15949740000000004</v>
      </c>
      <c r="J198" s="82">
        <f>_xlfn.STDEV.S(I195:I197)</f>
        <v>1.0209048486514197E-3</v>
      </c>
      <c r="K198" s="82">
        <f>(I198-$I$147)/(($AA$147-AA198)+($AI$147-AI198))*1000*0.05</f>
        <v>1.0398912656355896</v>
      </c>
      <c r="L198" s="81">
        <f>_xlfn.STDEV.S(K195:K197)</f>
        <v>9.1604801967827762E-3</v>
      </c>
      <c r="M198" s="77">
        <f>AVERAGE(M195:M197)</f>
        <v>16.258266512957039</v>
      </c>
      <c r="N198" s="76">
        <f>_xlfn.STDEV.S(M195:M197)</f>
        <v>0.37240165553567434</v>
      </c>
      <c r="O198" s="76">
        <f>AVERAGE(O195:O197)</f>
        <v>0</v>
      </c>
      <c r="P198" s="76">
        <f>_xlfn.STDEV.S(O195:O197)</f>
        <v>0</v>
      </c>
      <c r="Q198" s="76">
        <f>AVERAGE(Q195:Q197)</f>
        <v>0.29240998239694166</v>
      </c>
      <c r="R198" s="76">
        <f>_xlfn.STDEV.S(Q195:Q197)</f>
        <v>0.16021727476596009</v>
      </c>
      <c r="S198" s="76">
        <f>AVERAGE(S195:S197)</f>
        <v>70.489998597573674</v>
      </c>
      <c r="T198" s="76">
        <f>_xlfn.STDEV.S(S195:S197)</f>
        <v>0.68758556423444706</v>
      </c>
      <c r="U198" s="76">
        <f>AVERAGE(U195:U197)</f>
        <v>12.959324907072343</v>
      </c>
      <c r="V198" s="76">
        <f>_xlfn.STDEV.S(U195:U197)</f>
        <v>0.36410655390511654</v>
      </c>
      <c r="W198" s="76">
        <f>AVERAGE(W195:W197)</f>
        <v>0</v>
      </c>
      <c r="X198" s="76">
        <f>_xlfn.STDEV.S(W195:W197)</f>
        <v>0</v>
      </c>
      <c r="Y198" s="77">
        <f>AVERAGE(Y195:Y197)</f>
        <v>0.91715420284158478</v>
      </c>
      <c r="Z198" s="76">
        <f>_xlfn.STDEV.S(Y195:Y197)</f>
        <v>1.2464211832838046E-2</v>
      </c>
      <c r="AA198" s="76">
        <f>AVERAGE(AA195:AA197)</f>
        <v>0</v>
      </c>
      <c r="AB198" s="76">
        <f>_xlfn.STDEV.S(AA195:AA197)</f>
        <v>0</v>
      </c>
      <c r="AC198" s="76">
        <f>AVERAGE(AC195:AC197)</f>
        <v>1.6466824617123555E-2</v>
      </c>
      <c r="AD198" s="76">
        <f>_xlfn.STDEV.S(AC195:AC197)</f>
        <v>8.9751829165074341E-3</v>
      </c>
      <c r="AE198" s="76">
        <f>AVERAGE(AE195:AE197)</f>
        <v>3.9772389906512742</v>
      </c>
      <c r="AF198" s="76">
        <f>_xlfn.STDEV.S(AE195:AE197)</f>
        <v>7.4523988736249006E-2</v>
      </c>
      <c r="AG198" s="76">
        <f>AVERAGE(AG195:AG197)</f>
        <v>0.73108901883005173</v>
      </c>
      <c r="AH198" s="76">
        <f>_xlfn.STDEV.S(AG195:AG197)</f>
        <v>1.7819866866635579E-2</v>
      </c>
      <c r="AI198" s="76">
        <f>AVERAGE(AI195:AI197)</f>
        <v>0</v>
      </c>
      <c r="AJ198" s="76">
        <f>_xlfn.STDEV.S(AI195:AI197)</f>
        <v>0</v>
      </c>
      <c r="AK198" s="77">
        <f>AVERAGE(AK195:AK197)</f>
        <v>0.16708214639348343</v>
      </c>
      <c r="AL198" s="77">
        <f>_xlfn.STDEV.S(AK195:AK197)</f>
        <v>5.9613711502653662E-3</v>
      </c>
      <c r="AM198" s="77">
        <f>AVERAGE(AM195:AM197)</f>
        <v>4.1770536598370857E-2</v>
      </c>
      <c r="AN198" s="77">
        <f>_xlfn.STDEV.S(AM195:AM197)</f>
        <v>1.4903427875663415E-3</v>
      </c>
      <c r="AO198" s="78">
        <f>AVERAGE(AO195:AO197)</f>
        <v>0.2700634565853543</v>
      </c>
      <c r="AP198" s="78">
        <f>_xlfn.STDEV.S(AO195:AO197)</f>
        <v>2.5314316202236047E-2</v>
      </c>
      <c r="AQ198" s="78">
        <f>AVERAGE(AQ195:AQ197)</f>
        <v>6.7399903666551145E-2</v>
      </c>
      <c r="AR198" s="78">
        <f>_xlfn.STDEV.S(AQ195:AQ197)</f>
        <v>6.5114282205391118E-3</v>
      </c>
      <c r="AS198" s="78">
        <f>AVERAGE(AS195:AS197)</f>
        <v>6.1281234426643488E-3</v>
      </c>
      <c r="AT198" s="78">
        <f>_xlfn.STDEV.S(AS195:AS197)</f>
        <v>6.1337281856459116E-3</v>
      </c>
      <c r="AU198" s="78">
        <f>AVERAGE(AU195:AU197)</f>
        <v>8.7544620609490698E-4</v>
      </c>
      <c r="AV198" s="80">
        <f>_xlfn.STDEV.S(AU195:AU197)</f>
        <v>8.7624688366370169E-4</v>
      </c>
      <c r="AW198" s="80"/>
      <c r="AX198" s="80"/>
      <c r="AY198" s="79">
        <f>SUM(AK198,AO198,AS198)</f>
        <v>0.44327372642150209</v>
      </c>
      <c r="AZ198" s="77">
        <f>SUM(AL198,AP198,AT198)</f>
        <v>3.7409415538147327E-2</v>
      </c>
      <c r="BA198" s="78"/>
      <c r="BB198" s="78"/>
      <c r="BC198" s="78"/>
      <c r="BD198" s="78"/>
      <c r="BE198" s="78"/>
      <c r="BF198" s="78"/>
      <c r="BG198" s="78"/>
      <c r="BH198" s="75"/>
      <c r="BI198" s="75"/>
      <c r="BJ198" s="75"/>
      <c r="BK198" s="75"/>
      <c r="BL198" s="75"/>
      <c r="BM198" s="75"/>
      <c r="BN198" s="75"/>
      <c r="BO198" s="77">
        <f>AVERAGE(BO195:BO197)</f>
        <v>7.5622923588039868</v>
      </c>
      <c r="BP198" s="76">
        <f>_xlfn.STDEV.S(BO195:BO197)</f>
        <v>0.72966717355939292</v>
      </c>
      <c r="BQ198" s="75">
        <f>AVERAGE(BQ195:BQ197)</f>
        <v>9.8002159827213831E-2</v>
      </c>
      <c r="BR198" s="75">
        <f>_xlfn.STDEV.S(BQ195:BQ197)</f>
        <v>9.7307272321038973E-2</v>
      </c>
      <c r="BS198" s="75">
        <f>AVERAGE(BS195:BS197)</f>
        <v>6.8467241640187623E-3</v>
      </c>
      <c r="BT198" s="75">
        <f>_xlfn.STDEV.S(BS195:BS197)</f>
        <v>2.4400746592328848E-3</v>
      </c>
      <c r="BU198" s="75">
        <f>AVERAGE(BU195:BU197)</f>
        <v>4.3501286124981086E-3</v>
      </c>
      <c r="BV198" s="75">
        <f>_xlfn.STDEV.S(BU195:BU197)</f>
        <v>2.0687712080307637E-3</v>
      </c>
      <c r="BW198" s="74">
        <f>AVERAGE(BW195:BW197)</f>
        <v>0.37811461794019935</v>
      </c>
      <c r="BX198" s="73">
        <f t="shared" si="9"/>
        <v>4.9001079913606922E-3</v>
      </c>
      <c r="BY198" s="73">
        <f t="shared" si="10"/>
        <v>3.4233620820093815E-4</v>
      </c>
      <c r="BZ198" s="72">
        <f t="shared" si="11"/>
        <v>2.1750643062490543E-4</v>
      </c>
    </row>
    <row r="199" spans="1:78" x14ac:dyDescent="0.3">
      <c r="A199" s="174" t="s">
        <v>61</v>
      </c>
      <c r="B199" s="70" t="s">
        <v>94</v>
      </c>
      <c r="C199" s="20">
        <v>6</v>
      </c>
      <c r="D199" s="69"/>
      <c r="E199" s="21"/>
      <c r="F199" s="52">
        <v>1.24</v>
      </c>
      <c r="H199" s="37">
        <v>0.21</v>
      </c>
      <c r="I199" s="52">
        <f>H199*0.2907</f>
        <v>6.1047000000000004E-2</v>
      </c>
      <c r="K199" s="53">
        <f>(I199-$I$151)/($BW$151-BW199)*1000*0.05</f>
        <v>33.994055944055326</v>
      </c>
      <c r="L199" s="68"/>
      <c r="M199" s="22">
        <v>2.3294111234780432</v>
      </c>
      <c r="O199" s="21">
        <v>0</v>
      </c>
      <c r="Q199" s="21">
        <v>0.23640243264228672</v>
      </c>
      <c r="S199" s="21">
        <v>97.434186443879668</v>
      </c>
      <c r="U199" s="21">
        <v>0</v>
      </c>
      <c r="W199" s="21">
        <v>0</v>
      </c>
      <c r="Y199" s="22">
        <v>0.13002605878310899</v>
      </c>
      <c r="AA199" s="21">
        <v>0</v>
      </c>
      <c r="AC199" s="21">
        <v>1.3195814295468943E-2</v>
      </c>
      <c r="AE199" s="21">
        <v>5.4387064294259231</v>
      </c>
      <c r="AG199" s="21">
        <v>0</v>
      </c>
      <c r="AI199" s="21">
        <v>0</v>
      </c>
      <c r="AK199" s="22">
        <f>8*(AG199-$AG$151)/(8*($BW$151-BW199))</f>
        <v>0</v>
      </c>
      <c r="AL199" s="22"/>
      <c r="AM199" s="22">
        <f>(AG199-$AG$151)/($BW$151-BW199)</f>
        <v>0</v>
      </c>
      <c r="AN199" s="22"/>
      <c r="BG199" s="37">
        <v>1529.55</v>
      </c>
      <c r="BI199" s="2">
        <v>0</v>
      </c>
      <c r="BK199" s="2">
        <v>0</v>
      </c>
      <c r="BM199" s="2">
        <v>0</v>
      </c>
      <c r="BO199" s="22">
        <f>(BG199/1000)/60.2*1000</f>
        <v>25.407807308970096</v>
      </c>
      <c r="BQ199" s="2">
        <f>BI199/74.08</f>
        <v>0</v>
      </c>
      <c r="BS199" s="2">
        <f>(BK199/1000)/88.12*1000</f>
        <v>0</v>
      </c>
      <c r="BU199" s="2">
        <f>BM199/88.12</f>
        <v>0</v>
      </c>
      <c r="BW199" s="52">
        <f>BO199*0.05</f>
        <v>1.2703903654485049</v>
      </c>
      <c r="BX199" s="51">
        <f t="shared" si="9"/>
        <v>0</v>
      </c>
      <c r="BY199" s="51">
        <f t="shared" si="10"/>
        <v>0</v>
      </c>
      <c r="BZ199" s="67">
        <f t="shared" si="11"/>
        <v>0</v>
      </c>
    </row>
    <row r="200" spans="1:78" x14ac:dyDescent="0.3">
      <c r="A200" s="173"/>
      <c r="B200" s="70" t="s">
        <v>93</v>
      </c>
      <c r="C200" s="20">
        <v>6</v>
      </c>
      <c r="D200" s="69"/>
      <c r="E200" s="21"/>
      <c r="F200" s="52">
        <v>1.2350000000000001</v>
      </c>
      <c r="H200" s="37">
        <v>0.21299999999999999</v>
      </c>
      <c r="I200" s="52">
        <f>H200*0.2907</f>
        <v>6.1919100000000005E-2</v>
      </c>
      <c r="K200" s="53">
        <f>(I200-$I$152)/($BW$152-BW200)*1000*0.05</f>
        <v>-311.24410067114582</v>
      </c>
      <c r="L200" s="68"/>
      <c r="M200" s="22">
        <v>2.3056458396517114</v>
      </c>
      <c r="O200" s="21">
        <v>0</v>
      </c>
      <c r="Q200" s="21">
        <v>7.7350808630773024E-2</v>
      </c>
      <c r="S200" s="21">
        <v>97.617003351717528</v>
      </c>
      <c r="U200" s="21">
        <v>0</v>
      </c>
      <c r="W200" s="21">
        <v>0</v>
      </c>
      <c r="Y200" s="22">
        <v>0.12818054809162099</v>
      </c>
      <c r="AA200" s="21">
        <v>0</v>
      </c>
      <c r="AC200" s="21">
        <v>4.30025673289021E-3</v>
      </c>
      <c r="AE200" s="21">
        <v>5.4269397222666669</v>
      </c>
      <c r="AG200" s="21">
        <v>0</v>
      </c>
      <c r="AI200" s="21">
        <v>0</v>
      </c>
      <c r="AK200" s="22">
        <f>8*(AG200-$AG$152)/(8*($BW$152-BW200))</f>
        <v>0</v>
      </c>
      <c r="AL200" s="22"/>
      <c r="AM200" s="22">
        <f>(AG200-$AG$152)/($BW$152-BW200)</f>
        <v>0</v>
      </c>
      <c r="AN200" s="22"/>
      <c r="BG200" s="37">
        <v>1596.5</v>
      </c>
      <c r="BI200" s="2">
        <v>0</v>
      </c>
      <c r="BK200" s="2">
        <v>0</v>
      </c>
      <c r="BM200" s="2">
        <v>0</v>
      </c>
      <c r="BO200" s="22">
        <f>(BG200/1000)/60.2*1000</f>
        <v>26.519933554817275</v>
      </c>
      <c r="BQ200" s="2">
        <f>BI200/74.08</f>
        <v>0</v>
      </c>
      <c r="BS200" s="2">
        <f>(BK200/1000)/88.12*1000</f>
        <v>0</v>
      </c>
      <c r="BU200" s="2">
        <f>BM200/88.12</f>
        <v>0</v>
      </c>
      <c r="BW200" s="52">
        <f>BO200*0.05</f>
        <v>1.3259966777408638</v>
      </c>
      <c r="BX200" s="51">
        <f t="shared" si="9"/>
        <v>0</v>
      </c>
      <c r="BY200" s="51">
        <f t="shared" si="10"/>
        <v>0</v>
      </c>
      <c r="BZ200" s="67">
        <f t="shared" si="11"/>
        <v>0</v>
      </c>
    </row>
    <row r="201" spans="1:78" x14ac:dyDescent="0.3">
      <c r="A201" s="173"/>
      <c r="B201" s="70" t="s">
        <v>92</v>
      </c>
      <c r="C201" s="20">
        <v>6</v>
      </c>
      <c r="D201" s="69"/>
      <c r="E201" s="21"/>
      <c r="F201" s="52">
        <v>1.2549999999999999</v>
      </c>
      <c r="G201" s="67"/>
      <c r="H201" s="37">
        <v>0.21</v>
      </c>
      <c r="I201" s="52">
        <f>H201*0.2907</f>
        <v>6.1047000000000004E-2</v>
      </c>
      <c r="K201" s="53">
        <f>(I201-$I$153)/($BW$153-BW201)*1000*0.05</f>
        <v>-8.0999429963459662</v>
      </c>
      <c r="L201" s="68"/>
      <c r="M201" s="22">
        <v>1.8910614330562292</v>
      </c>
      <c r="O201" s="21">
        <v>0</v>
      </c>
      <c r="Q201" s="21">
        <v>0.36705640834199638</v>
      </c>
      <c r="S201" s="21">
        <v>97.613937852005833</v>
      </c>
      <c r="U201" s="21">
        <v>0.12794430659595235</v>
      </c>
      <c r="W201" s="21">
        <v>0</v>
      </c>
      <c r="Y201" s="22">
        <v>0.10683460093035374</v>
      </c>
      <c r="AA201" s="21">
        <v>0</v>
      </c>
      <c r="AC201" s="21">
        <v>2.0736674239487884E-2</v>
      </c>
      <c r="AE201" s="21">
        <v>5.5146522018617636</v>
      </c>
      <c r="AG201" s="21">
        <v>7.2281517128708556E-3</v>
      </c>
      <c r="AI201" s="21">
        <v>0</v>
      </c>
      <c r="AK201" s="22">
        <f>8*(AG201-$AG$153)/(8*($BW$153-BW201))</f>
        <v>-0.10600115301213832</v>
      </c>
      <c r="AL201" s="22"/>
      <c r="AM201" s="22">
        <f>(AG201-$AG$153)/($BW$153-BW201)</f>
        <v>-0.10600115301213832</v>
      </c>
      <c r="AN201" s="22"/>
      <c r="BG201" s="37">
        <v>1585.98</v>
      </c>
      <c r="BI201" s="2">
        <v>0</v>
      </c>
      <c r="BK201" s="2">
        <v>0</v>
      </c>
      <c r="BM201" s="2">
        <v>0</v>
      </c>
      <c r="BO201" s="22">
        <f>(BG201/1000)/60.2*1000</f>
        <v>26.345182724252489</v>
      </c>
      <c r="BQ201" s="2">
        <f>BI201/74.08</f>
        <v>0</v>
      </c>
      <c r="BS201" s="2">
        <f>(BK201/1000)/88.12*1000</f>
        <v>0</v>
      </c>
      <c r="BU201" s="2">
        <f>BM201/88.12</f>
        <v>0</v>
      </c>
      <c r="BW201" s="52">
        <f>BO201*0.05</f>
        <v>1.3172591362126245</v>
      </c>
      <c r="BX201" s="51">
        <f t="shared" si="9"/>
        <v>0</v>
      </c>
      <c r="BY201" s="51">
        <f t="shared" si="10"/>
        <v>0</v>
      </c>
      <c r="BZ201" s="67">
        <f t="shared" si="11"/>
        <v>0</v>
      </c>
    </row>
    <row r="202" spans="1:78" ht="15" thickBot="1" x14ac:dyDescent="0.35">
      <c r="A202" s="175"/>
      <c r="B202" s="66" t="s">
        <v>63</v>
      </c>
      <c r="C202" s="65">
        <v>6</v>
      </c>
      <c r="D202" s="64" t="e">
        <f>AVERAGE(D199:D201)</f>
        <v>#DIV/0!</v>
      </c>
      <c r="E202" s="58"/>
      <c r="F202" s="56">
        <f>AVERAGE(F199:F201)</f>
        <v>1.2433333333333334</v>
      </c>
      <c r="G202" s="55">
        <f>_xlfn.STDEV.S(F199:F201)</f>
        <v>1.0408329997330566E-2</v>
      </c>
      <c r="H202" s="60">
        <f>AVERAGE(H199:H201)</f>
        <v>0.21099999999999999</v>
      </c>
      <c r="I202" s="56">
        <f>AVERAGE(I199:I201)</f>
        <v>6.1337700000000002E-2</v>
      </c>
      <c r="J202" s="63">
        <f>_xlfn.STDEV.S(I199:I201)</f>
        <v>5.0350716976027294E-4</v>
      </c>
      <c r="K202" s="56">
        <f>AVERAGE(K199:K201)</f>
        <v>-95.116662574478823</v>
      </c>
      <c r="L202" s="62">
        <f>_xlfn.STDEV.S(K199:K201)</f>
        <v>188.35147546640059</v>
      </c>
      <c r="M202" s="59">
        <f>AVERAGE(M199:M201)</f>
        <v>2.1753727987286613</v>
      </c>
      <c r="N202" s="58">
        <f>_xlfn.STDEV.S(M199:M201)</f>
        <v>0.24650742720398727</v>
      </c>
      <c r="O202" s="58">
        <f>AVERAGE(O199:O201)</f>
        <v>0</v>
      </c>
      <c r="P202" s="58">
        <f>_xlfn.STDEV.S(O199:O201)</f>
        <v>0</v>
      </c>
      <c r="Q202" s="58">
        <f>AVERAGE(Q199:Q201)</f>
        <v>0.22693654987168541</v>
      </c>
      <c r="R202" s="58">
        <f>_xlfn.STDEV.S(Q199:Q201)</f>
        <v>0.1450845816359545</v>
      </c>
      <c r="S202" s="58">
        <f>AVERAGE(S199:S201)</f>
        <v>97.555042549201005</v>
      </c>
      <c r="T202" s="58">
        <f>_xlfn.STDEV.S(S199:S201)</f>
        <v>0.10467567992233481</v>
      </c>
      <c r="U202" s="58">
        <f>AVERAGE(U199:U201)</f>
        <v>4.2648102198650784E-2</v>
      </c>
      <c r="V202" s="58">
        <f>_xlfn.STDEV.S(U199:U201)</f>
        <v>7.3868679854453098E-2</v>
      </c>
      <c r="W202" s="58">
        <f>AVERAGE(W199:W201)</f>
        <v>0</v>
      </c>
      <c r="X202" s="58">
        <f>_xlfn.STDEV.S(W199:W201)</f>
        <v>0</v>
      </c>
      <c r="Y202" s="59">
        <f>AVERAGE(Y199:Y201)</f>
        <v>0.12168040260169456</v>
      </c>
      <c r="Z202" s="58">
        <f>_xlfn.STDEV.S(Y199:Y201)</f>
        <v>1.2889912640382358E-2</v>
      </c>
      <c r="AA202" s="58">
        <f>AVERAGE(AA199:AA201)</f>
        <v>0</v>
      </c>
      <c r="AB202" s="58">
        <f>_xlfn.STDEV.S(AA199:AA201)</f>
        <v>0</v>
      </c>
      <c r="AC202" s="58">
        <f>AVERAGE(AC199:AC201)</f>
        <v>1.2744248422615678E-2</v>
      </c>
      <c r="AD202" s="58">
        <f>_xlfn.STDEV.S(AC199:AC201)</f>
        <v>8.2275080623443915E-3</v>
      </c>
      <c r="AE202" s="58">
        <f>AVERAGE(AE199:AE201)</f>
        <v>5.4600994511847851</v>
      </c>
      <c r="AF202" s="58">
        <f>_xlfn.STDEV.S(AE199:AE201)</f>
        <v>4.760898869080718E-2</v>
      </c>
      <c r="AG202" s="58">
        <f>AVERAGE(AG199:AG201)</f>
        <v>2.4093839042902852E-3</v>
      </c>
      <c r="AH202" s="58">
        <f>_xlfn.STDEV.S(AG199:AG201)</f>
        <v>4.1731753371694429E-3</v>
      </c>
      <c r="AI202" s="58">
        <f>AVERAGE(AI199:AI201)</f>
        <v>0</v>
      </c>
      <c r="AJ202" s="57">
        <f>_xlfn.STDEV.S(AI199:AI201)</f>
        <v>0</v>
      </c>
      <c r="AK202" s="77">
        <f>AVERAGE(AK199:AK201)</f>
        <v>-3.5333717670712771E-2</v>
      </c>
      <c r="AL202" s="77">
        <f>_xlfn.STDEV.S(AK199:AK201)</f>
        <v>6.1199794225968773E-2</v>
      </c>
      <c r="AM202" s="77">
        <f>AVERAGE(AM199:AM201)</f>
        <v>-3.5333717670712771E-2</v>
      </c>
      <c r="AN202" s="77">
        <f>_xlfn.STDEV.S(AM199:AM201)</f>
        <v>6.1199794225968773E-2</v>
      </c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59">
        <f>SUM(AK202,AO202,AS202)</f>
        <v>-3.5333717670712771E-2</v>
      </c>
      <c r="AZ202" s="59">
        <f>SUM(AL202,AP202,AT202)</f>
        <v>6.1199794225968773E-2</v>
      </c>
      <c r="BA202" s="60"/>
      <c r="BB202" s="60"/>
      <c r="BC202" s="60"/>
      <c r="BD202" s="60"/>
      <c r="BE202" s="60"/>
      <c r="BF202" s="60"/>
      <c r="BG202" s="60">
        <f>AVERAGE(BG199:BG201)</f>
        <v>1570.676666666667</v>
      </c>
      <c r="BH202" s="57">
        <f>_xlfn.STDEV.S(BG199:BG201)</f>
        <v>36.003050333733327</v>
      </c>
      <c r="BI202" s="57">
        <f>AVERAGE(BI199:BI201)</f>
        <v>0</v>
      </c>
      <c r="BJ202" s="57" t="e">
        <f>_xlfn.STDEV.S(BH199:BH201)</f>
        <v>#DIV/0!</v>
      </c>
      <c r="BK202" s="57">
        <f>AVERAGE(BK199:BK201)</f>
        <v>0</v>
      </c>
      <c r="BL202" s="57">
        <f>_xlfn.STDEV.S(BK199:BK201)</f>
        <v>0</v>
      </c>
      <c r="BM202" s="57">
        <f>AVERAGE(BM199:BM201)</f>
        <v>0</v>
      </c>
      <c r="BN202" s="57" t="e">
        <f>_xlfn.STDEV.S(BL199:BL201)</f>
        <v>#DIV/0!</v>
      </c>
      <c r="BO202" s="59">
        <f>AVERAGE(BO199:BO201)</f>
        <v>26.090974529346621</v>
      </c>
      <c r="BP202" s="58">
        <f>_xlfn.STDEV.S(BO199:BO201)</f>
        <v>0.59805731451384336</v>
      </c>
      <c r="BQ202" s="57">
        <f>AVERAGE(BQ199:BQ201)</f>
        <v>0</v>
      </c>
      <c r="BR202" s="57">
        <f>_xlfn.STDEV.S(BQ199:BQ201)</f>
        <v>0</v>
      </c>
      <c r="BS202" s="57">
        <f>AVERAGE(BS199:BS201)</f>
        <v>0</v>
      </c>
      <c r="BT202" s="57">
        <f>_xlfn.STDEV.S(BS199:BS201)</f>
        <v>0</v>
      </c>
      <c r="BU202" s="57">
        <f>AVERAGE(BU199:BU201)</f>
        <v>0</v>
      </c>
      <c r="BV202" s="57">
        <f>_xlfn.STDEV.S(BU199:BU201)</f>
        <v>0</v>
      </c>
      <c r="BW202" s="56">
        <f>AVERAGE(BW199:BW201)</f>
        <v>1.304548726467331</v>
      </c>
      <c r="BX202" s="55">
        <f t="shared" si="9"/>
        <v>0</v>
      </c>
      <c r="BY202" s="55">
        <f t="shared" si="10"/>
        <v>0</v>
      </c>
      <c r="BZ202" s="54">
        <f t="shared" si="11"/>
        <v>0</v>
      </c>
    </row>
    <row r="203" spans="1:78" x14ac:dyDescent="0.3">
      <c r="A203" s="172" t="s">
        <v>98</v>
      </c>
      <c r="B203" s="95" t="s">
        <v>97</v>
      </c>
      <c r="C203" s="94">
        <v>7</v>
      </c>
      <c r="D203" s="93"/>
      <c r="E203" s="88"/>
      <c r="F203" s="86">
        <v>1.2</v>
      </c>
      <c r="G203" s="85"/>
      <c r="H203" s="90">
        <v>0.52300000000000002</v>
      </c>
      <c r="I203" s="86">
        <f>H203*0.2907</f>
        <v>0.15203610000000001</v>
      </c>
      <c r="J203" s="92"/>
      <c r="K203" s="92">
        <f>(I203-$I$147)/(($AA$147-AA203)+($AI$147-AI203))*1000*0.05</f>
        <v>0.97294174435303038</v>
      </c>
      <c r="L203" s="91"/>
      <c r="M203" s="89">
        <v>16.092150856738332</v>
      </c>
      <c r="O203" s="88">
        <v>0</v>
      </c>
      <c r="Q203" s="88">
        <v>9.0278495915752516E-2</v>
      </c>
      <c r="S203" s="88">
        <v>71.230854061483214</v>
      </c>
      <c r="U203" s="88">
        <v>12.586716585862707</v>
      </c>
      <c r="W203" s="88">
        <v>0</v>
      </c>
      <c r="X203" s="88"/>
      <c r="Y203" s="89">
        <v>0.86927644176193319</v>
      </c>
      <c r="AA203" s="21">
        <v>0</v>
      </c>
      <c r="AB203" s="88"/>
      <c r="AC203" s="88">
        <v>4.8767234657388003E-3</v>
      </c>
      <c r="AE203" s="21">
        <v>3.8477953577163957</v>
      </c>
      <c r="AF203" s="88"/>
      <c r="AG203" s="88">
        <v>0.67991757625383742</v>
      </c>
      <c r="AI203" s="21">
        <v>0</v>
      </c>
      <c r="AJ203" s="87"/>
      <c r="AK203" s="89">
        <f>8*(AG203-$AG$147)/(2*($AA$147-AA203)+2*($AI$147-AI203))</f>
        <v>0.13788223488833762</v>
      </c>
      <c r="AL203" s="89"/>
      <c r="AM203" s="89">
        <f>(AG203-$AG$147)/(($AA$147-AA203)+($AI$147-AI203))</f>
        <v>3.4470558722084405E-2</v>
      </c>
      <c r="AN203" s="89"/>
      <c r="AO203" s="37">
        <f>8*(BW203-$BW$147)/(2*($AA$147-AA203)+2*($AI$147-AI203))</f>
        <v>0.28453939966640901</v>
      </c>
      <c r="AQ203" s="37">
        <f>(BW203-$BW$147)/(($AA$147-AA203)+($AI$147-AI203))</f>
        <v>7.1134849916602252E-2</v>
      </c>
      <c r="AS203" s="37">
        <f>14*(BX203-$BX$147)/(2*($AA$147-AA203)+2*($AI$147-AI203))</f>
        <v>0</v>
      </c>
      <c r="AU203" s="37">
        <f>(BX203-$BX$147)/(($AA$147-AA203)+($AI$147-AI203))</f>
        <v>0</v>
      </c>
      <c r="AY203" s="90"/>
      <c r="AZ203" s="90"/>
      <c r="BA203" s="90"/>
      <c r="BB203" s="90"/>
      <c r="BC203" s="90"/>
      <c r="BD203" s="90"/>
      <c r="BE203" s="90"/>
      <c r="BF203" s="90"/>
      <c r="BG203" s="90">
        <v>477.29</v>
      </c>
      <c r="BH203" s="87"/>
      <c r="BI203" s="87">
        <v>0</v>
      </c>
      <c r="BJ203" s="87"/>
      <c r="BK203" s="87">
        <v>0.92</v>
      </c>
      <c r="BL203" s="87"/>
      <c r="BM203" s="87">
        <v>0.55000000000000004</v>
      </c>
      <c r="BN203" s="87"/>
      <c r="BO203" s="89">
        <f>(BG203/1000)/60.2*1000</f>
        <v>7.9284053156146186</v>
      </c>
      <c r="BP203" s="88"/>
      <c r="BQ203" s="87">
        <f>BI203/74.08</f>
        <v>0</v>
      </c>
      <c r="BR203" s="87"/>
      <c r="BS203" s="87">
        <f>(BK203/1000)/88.12*1000</f>
        <v>1.0440308669995461E-2</v>
      </c>
      <c r="BT203" s="87"/>
      <c r="BU203" s="87">
        <f>BM203/88.12</f>
        <v>6.2414888788016347E-3</v>
      </c>
      <c r="BV203" s="87"/>
      <c r="BW203" s="86">
        <f>BO203*0.05</f>
        <v>0.39642026578073097</v>
      </c>
      <c r="BX203" s="85">
        <f t="shared" si="9"/>
        <v>0</v>
      </c>
      <c r="BY203" s="85">
        <f t="shared" si="10"/>
        <v>5.220154334997731E-4</v>
      </c>
      <c r="BZ203" s="84">
        <f t="shared" si="11"/>
        <v>3.1207444394008177E-4</v>
      </c>
    </row>
    <row r="204" spans="1:78" x14ac:dyDescent="0.3">
      <c r="A204" s="173"/>
      <c r="B204" s="70" t="s">
        <v>96</v>
      </c>
      <c r="C204" s="20">
        <v>7</v>
      </c>
      <c r="D204" s="69"/>
      <c r="E204" s="21"/>
      <c r="F204" s="52">
        <v>1.2350000000000001</v>
      </c>
      <c r="H204" s="37">
        <v>0.53200000000000003</v>
      </c>
      <c r="I204" s="52">
        <f>H204*0.2907</f>
        <v>0.15465240000000002</v>
      </c>
      <c r="K204" s="53">
        <f>(I204-$I$147)/(($AA$147-AA204)+($AI$147-AI204))*1000*0.05</f>
        <v>0.99641755051704473</v>
      </c>
      <c r="L204" s="68"/>
      <c r="M204" s="22">
        <v>12.931592772105066</v>
      </c>
      <c r="O204" s="21">
        <v>0</v>
      </c>
      <c r="Q204" s="21">
        <v>0.3275110782488046</v>
      </c>
      <c r="S204" s="21">
        <v>73.434454426497979</v>
      </c>
      <c r="U204" s="21">
        <v>13.30644172314814</v>
      </c>
      <c r="W204" s="21">
        <v>0</v>
      </c>
      <c r="Y204" s="22">
        <v>0.71892162305224816</v>
      </c>
      <c r="AA204" s="21">
        <v>0</v>
      </c>
      <c r="AC204" s="21">
        <v>1.8207718112661687E-2</v>
      </c>
      <c r="AE204" s="21">
        <v>4.0825301333441439</v>
      </c>
      <c r="AG204" s="21">
        <v>0.73976105258212266</v>
      </c>
      <c r="AI204" s="21">
        <v>0</v>
      </c>
      <c r="AK204" s="22">
        <f>8*(AG204-$AG$148)/(2*($AA$148-AA204)+2*($AI$148-AI204))</f>
        <v>0.17157768439700904</v>
      </c>
      <c r="AL204" s="22"/>
      <c r="AM204" s="22">
        <f>(AG204-$AG$148)/(($AA$148-AA204)+($AI$148-AI204))</f>
        <v>4.2894421099252261E-2</v>
      </c>
      <c r="AN204" s="22"/>
      <c r="AO204" s="37">
        <f>8*(BW204-$BW$148)/(2*($AA$148-AA204)+2*($AI$148-AI204))</f>
        <v>0.28594875076169463</v>
      </c>
      <c r="AQ204" s="37">
        <f>(BW204-$BW$148)/(($AA$148-AA204)+($AI$148-AI204))</f>
        <v>7.1487187690423656E-2</v>
      </c>
      <c r="AS204" s="37">
        <f>14*(BX204-$BX$148)/(2*($AA$148-AA204)+2*($AI$148-AI204))</f>
        <v>0</v>
      </c>
      <c r="AU204" s="37">
        <f>(BX204-$BX$148)/(($AA$148-AA204)+($AI$148-AI204))</f>
        <v>0</v>
      </c>
      <c r="BG204" s="37">
        <v>484.48</v>
      </c>
      <c r="BI204" s="2">
        <v>0</v>
      </c>
      <c r="BK204" s="2">
        <v>0.73</v>
      </c>
      <c r="BM204" s="2">
        <v>0.5</v>
      </c>
      <c r="BO204" s="22">
        <f>(BG204/1000)/60.2*1000</f>
        <v>8.0478405315614623</v>
      </c>
      <c r="BQ204" s="2">
        <f>BI204/74.08</f>
        <v>0</v>
      </c>
      <c r="BS204" s="2">
        <f>(BK204/1000)/88.12*1000</f>
        <v>8.2841579664094406E-3</v>
      </c>
      <c r="BU204" s="2">
        <f>BM204/88.12</f>
        <v>5.6740807989105763E-3</v>
      </c>
      <c r="BW204" s="52">
        <f>BO204*0.05</f>
        <v>0.40239202657807316</v>
      </c>
      <c r="BX204" s="51">
        <f t="shared" si="9"/>
        <v>0</v>
      </c>
      <c r="BY204" s="51">
        <f t="shared" si="10"/>
        <v>4.1420789832047203E-4</v>
      </c>
      <c r="BZ204" s="67">
        <f t="shared" si="11"/>
        <v>2.8370403994552884E-4</v>
      </c>
    </row>
    <row r="205" spans="1:78" x14ac:dyDescent="0.3">
      <c r="A205" s="173"/>
      <c r="B205" s="70" t="s">
        <v>95</v>
      </c>
      <c r="C205" s="20">
        <v>7</v>
      </c>
      <c r="D205" s="69"/>
      <c r="E205" s="21"/>
      <c r="F205" s="52">
        <v>1.24</v>
      </c>
      <c r="H205" s="37">
        <v>0.53500000000000003</v>
      </c>
      <c r="I205" s="52">
        <f>H205*0.2907</f>
        <v>0.15552450000000001</v>
      </c>
      <c r="K205" s="53">
        <f>(I205-$I$147)/(($AA$147-AA205)+($AI$147-AI205))*1000*0.05</f>
        <v>1.0042428192383828</v>
      </c>
      <c r="L205" s="68"/>
      <c r="M205" s="22">
        <v>15.905437841259076</v>
      </c>
      <c r="O205" s="21">
        <v>0</v>
      </c>
      <c r="Q205" s="21">
        <v>0.11341698081060668</v>
      </c>
      <c r="S205" s="21">
        <v>70.490265758414438</v>
      </c>
      <c r="U205" s="21">
        <v>13.490879419515894</v>
      </c>
      <c r="W205" s="21">
        <v>0</v>
      </c>
      <c r="Y205" s="22">
        <v>0.8878301364985014</v>
      </c>
      <c r="AA205" s="21">
        <v>0</v>
      </c>
      <c r="AC205" s="21">
        <v>6.3308545517133542E-3</v>
      </c>
      <c r="AE205" s="21">
        <v>3.9347160948795752</v>
      </c>
      <c r="AG205" s="21">
        <v>0.75305121657471275</v>
      </c>
      <c r="AI205" s="21">
        <v>0</v>
      </c>
      <c r="AK205" s="22">
        <f>8*(AG205-$AG$149)/(2*($AA$149-AA205)+2*($AI$149-AI205))</f>
        <v>0.17699937145628714</v>
      </c>
      <c r="AL205" s="22"/>
      <c r="AM205" s="22">
        <f>(AG205-$AG$149)/(($AA$149-AA205)+($AI$149-AI205))</f>
        <v>4.4249842864071784E-2</v>
      </c>
      <c r="AN205" s="22"/>
      <c r="AO205" s="37">
        <f>8*(BW205-$BW$149)/(2*($AA$149-AA205)+2*($AI$149-AI205))</f>
        <v>0.25729258891301815</v>
      </c>
      <c r="AQ205" s="37">
        <f>(BW205-$BW$148)/(($AA$148-AA205)+($AI$148-AI205))</f>
        <v>6.3954608447005706E-2</v>
      </c>
      <c r="AS205" s="37">
        <f>14*(BX205-$BX$149)/(2*($AA$149-AA205)+2*($AI$149-AI205))</f>
        <v>-3.378331882578653E-5</v>
      </c>
      <c r="AU205" s="37">
        <f>(BX205-$BX$149)/(($AA$149-AA205)+($AI$149-AI205))</f>
        <v>-4.8261884036837902E-6</v>
      </c>
      <c r="BG205" s="37">
        <v>433.44</v>
      </c>
      <c r="BI205" s="2">
        <v>0</v>
      </c>
      <c r="BK205" s="2">
        <v>0.74</v>
      </c>
      <c r="BM205" s="2">
        <v>0.3</v>
      </c>
      <c r="BO205" s="22">
        <f>(BG205/1000)/60.2*1000</f>
        <v>7.2</v>
      </c>
      <c r="BQ205" s="2">
        <f>BI205/74.08</f>
        <v>0</v>
      </c>
      <c r="BS205" s="2">
        <f>(BK205/1000)/88.12*1000</f>
        <v>8.3976395823876521E-3</v>
      </c>
      <c r="BU205" s="2">
        <f>BM205/88.12</f>
        <v>3.4044484793463456E-3</v>
      </c>
      <c r="BW205" s="52">
        <f>BO205*0.05</f>
        <v>0.36000000000000004</v>
      </c>
      <c r="BX205" s="51">
        <f t="shared" si="9"/>
        <v>0</v>
      </c>
      <c r="BY205" s="51">
        <f t="shared" si="10"/>
        <v>4.1988197911938262E-4</v>
      </c>
      <c r="BZ205" s="67">
        <f t="shared" si="11"/>
        <v>1.7022242396731729E-4</v>
      </c>
    </row>
    <row r="206" spans="1:78" x14ac:dyDescent="0.3">
      <c r="A206" s="173"/>
      <c r="B206" s="83" t="s">
        <v>63</v>
      </c>
      <c r="C206" s="80">
        <v>7</v>
      </c>
      <c r="D206" s="79" t="e">
        <f>AVERAGE(D203:D205)</f>
        <v>#DIV/0!</v>
      </c>
      <c r="E206" s="76"/>
      <c r="F206" s="74">
        <f>AVERAGE(F203:F205)</f>
        <v>1.2249999999999999</v>
      </c>
      <c r="G206" s="73">
        <f>_xlfn.STDEV.S(F203:F205)</f>
        <v>2.1794494717703412E-2</v>
      </c>
      <c r="H206" s="77">
        <f>AVERAGE(H203:H205)</f>
        <v>0.53000000000000014</v>
      </c>
      <c r="I206" s="74">
        <f>AVERAGE(I203:I205)</f>
        <v>0.15407100000000001</v>
      </c>
      <c r="J206" s="82">
        <f>_xlfn.STDEV.S(I203:I205)</f>
        <v>1.815420918134418E-3</v>
      </c>
      <c r="K206" s="82">
        <f>(I206-$I$147)/(($AA$147-AA206)+($AI$147-AI206))*1000*0.05</f>
        <v>0.99120070470281929</v>
      </c>
      <c r="L206" s="81">
        <f>_xlfn.STDEV.S(K203:K205)</f>
        <v>1.6289595833895346E-2</v>
      </c>
      <c r="M206" s="77">
        <f>AVERAGE(M203:M205)</f>
        <v>14.976393823367493</v>
      </c>
      <c r="N206" s="76">
        <f>_xlfn.STDEV.S(M203:M205)</f>
        <v>1.7733087553977389</v>
      </c>
      <c r="O206" s="76">
        <f>AVERAGE(O203:O205)</f>
        <v>0</v>
      </c>
      <c r="P206" s="76">
        <f>_xlfn.STDEV.S(O203:O205)</f>
        <v>0</v>
      </c>
      <c r="Q206" s="76">
        <f>AVERAGE(Q203:Q205)</f>
        <v>0.17706885165838793</v>
      </c>
      <c r="R206" s="76">
        <f>_xlfn.STDEV.S(Q203:Q205)</f>
        <v>0.13079944582038203</v>
      </c>
      <c r="S206" s="76">
        <f>AVERAGE(S203:S205)</f>
        <v>71.718524748798544</v>
      </c>
      <c r="T206" s="76">
        <f>_xlfn.STDEV.S(S203:S205)</f>
        <v>1.531479269454157</v>
      </c>
      <c r="U206" s="76">
        <f>AVERAGE(U203:U205)</f>
        <v>13.12801257617558</v>
      </c>
      <c r="V206" s="76">
        <f>_xlfn.STDEV.S(U203:U205)</f>
        <v>0.47776074326691664</v>
      </c>
      <c r="W206" s="76">
        <f>AVERAGE(W203:W205)</f>
        <v>0</v>
      </c>
      <c r="X206" s="76">
        <f>_xlfn.STDEV.S(W203:W205)</f>
        <v>0</v>
      </c>
      <c r="Y206" s="77">
        <f>AVERAGE(Y203:Y205)</f>
        <v>0.82534273377089429</v>
      </c>
      <c r="Z206" s="76">
        <f>_xlfn.STDEV.S(Y203:Y205)</f>
        <v>9.2629096411641562E-2</v>
      </c>
      <c r="AA206" s="76">
        <f>AVERAGE(AA203:AA205)</f>
        <v>0</v>
      </c>
      <c r="AB206" s="76">
        <f>_xlfn.STDEV.S(AA203:AA205)</f>
        <v>0</v>
      </c>
      <c r="AC206" s="76">
        <f>AVERAGE(AC203:AC205)</f>
        <v>9.8050987100379485E-3</v>
      </c>
      <c r="AD206" s="76">
        <f>_xlfn.STDEV.S(AC203:AC205)</f>
        <v>7.3131138322065688E-3</v>
      </c>
      <c r="AE206" s="76">
        <f>AVERAGE(AE203:AE205)</f>
        <v>3.9550138619800386</v>
      </c>
      <c r="AF206" s="76">
        <f>_xlfn.STDEV.S(AE203:AE205)</f>
        <v>0.11867646453362524</v>
      </c>
      <c r="AG206" s="76">
        <f>AVERAGE(AG203:AG205)</f>
        <v>0.72424328180355746</v>
      </c>
      <c r="AH206" s="76">
        <f>_xlfn.STDEV.S(AG203:AG205)</f>
        <v>3.8958096001959028E-2</v>
      </c>
      <c r="AI206" s="76">
        <f>AVERAGE(AI203:AI205)</f>
        <v>0</v>
      </c>
      <c r="AJ206" s="76">
        <f>_xlfn.STDEV.S(AI203:AI205)</f>
        <v>0</v>
      </c>
      <c r="AK206" s="77">
        <f>AVERAGE(AK203:AK205)</f>
        <v>0.16215309691387794</v>
      </c>
      <c r="AL206" s="77">
        <f>_xlfn.STDEV.S(AK203:AK205)</f>
        <v>2.1193270871654044E-2</v>
      </c>
      <c r="AM206" s="77">
        <f>AVERAGE(AM203:AM205)</f>
        <v>4.0538274228469486E-2</v>
      </c>
      <c r="AN206" s="77">
        <f>_xlfn.STDEV.S(AM203:AM205)</f>
        <v>5.2983177179134954E-3</v>
      </c>
      <c r="AO206" s="78">
        <f>AVERAGE(AO203:AO205)</f>
        <v>0.27592691311370726</v>
      </c>
      <c r="AP206" s="78">
        <f>_xlfn.STDEV.S(AO203:AO205)</f>
        <v>1.6153176048063631E-2</v>
      </c>
      <c r="AQ206" s="78">
        <f>AVERAGE(AQ203:AQ205)</f>
        <v>6.8858882018010534E-2</v>
      </c>
      <c r="AR206" s="78">
        <f>_xlfn.STDEV.S(AQ203:AQ205)</f>
        <v>4.2508775471845487E-3</v>
      </c>
      <c r="AS206" s="78">
        <f>AVERAGE(AS203:AS205)</f>
        <v>-1.1261106275262177E-5</v>
      </c>
      <c r="AT206" s="78">
        <f>_xlfn.STDEV.S(AS203:AS205)</f>
        <v>1.9504808218186805E-5</v>
      </c>
      <c r="AU206" s="78">
        <f>AVERAGE(AU203:AU205)</f>
        <v>-1.6087294678945968E-6</v>
      </c>
      <c r="AV206" s="80">
        <f>_xlfn.STDEV.S(AU203:AU205)</f>
        <v>2.7864011740266866E-6</v>
      </c>
      <c r="AW206" s="80"/>
      <c r="AX206" s="80"/>
      <c r="AY206" s="79">
        <f>SUM(AK206,AO206,AS206)</f>
        <v>0.43806874892130998</v>
      </c>
      <c r="AZ206" s="77">
        <f>SUM(AL206,AP206,AT206)</f>
        <v>3.7365951727935859E-2</v>
      </c>
      <c r="BA206" s="78"/>
      <c r="BB206" s="78"/>
      <c r="BC206" s="78"/>
      <c r="BD206" s="78"/>
      <c r="BE206" s="78"/>
      <c r="BF206" s="78"/>
      <c r="BG206" s="78"/>
      <c r="BH206" s="75"/>
      <c r="BI206" s="75"/>
      <c r="BJ206" s="75"/>
      <c r="BK206" s="75"/>
      <c r="BL206" s="75"/>
      <c r="BM206" s="75"/>
      <c r="BN206" s="75"/>
      <c r="BO206" s="77">
        <f>AVERAGE(BO203:BO205)</f>
        <v>7.725415282392027</v>
      </c>
      <c r="BP206" s="76">
        <f>_xlfn.STDEV.S(BO203:BO205)</f>
        <v>0.45892494694708774</v>
      </c>
      <c r="BQ206" s="75">
        <f>AVERAGE(BQ203:BQ205)</f>
        <v>0</v>
      </c>
      <c r="BR206" s="75">
        <f>_xlfn.STDEV.S(BQ203:BQ205)</f>
        <v>0</v>
      </c>
      <c r="BS206" s="75">
        <f>AVERAGE(BS203:BS205)</f>
        <v>9.0407020729308517E-3</v>
      </c>
      <c r="BT206" s="75">
        <f>_xlfn.STDEV.S(BS203:BS205)</f>
        <v>1.2134222221474845E-3</v>
      </c>
      <c r="BU206" s="75">
        <f>AVERAGE(BU203:BU205)</f>
        <v>5.106672719019518E-3</v>
      </c>
      <c r="BV206" s="75">
        <f>_xlfn.STDEV.S(BU203:BU205)</f>
        <v>1.5012206712804079E-3</v>
      </c>
      <c r="BW206" s="74">
        <f>AVERAGE(BW203:BW205)</f>
        <v>0.38627076411960143</v>
      </c>
      <c r="BX206" s="73">
        <f t="shared" si="9"/>
        <v>0</v>
      </c>
      <c r="BY206" s="73">
        <f t="shared" si="10"/>
        <v>4.5203510364654262E-4</v>
      </c>
      <c r="BZ206" s="72">
        <f t="shared" si="11"/>
        <v>2.5533363595097591E-4</v>
      </c>
    </row>
    <row r="207" spans="1:78" x14ac:dyDescent="0.3">
      <c r="A207" s="174" t="s">
        <v>61</v>
      </c>
      <c r="B207" s="70" t="s">
        <v>94</v>
      </c>
      <c r="C207" s="20">
        <v>7</v>
      </c>
      <c r="D207" s="69"/>
      <c r="E207" s="21"/>
      <c r="F207" s="52">
        <v>1.2250000000000001</v>
      </c>
      <c r="H207" s="37">
        <v>0.19</v>
      </c>
      <c r="I207" s="52">
        <f>H207*0.2907</f>
        <v>5.5233000000000004E-2</v>
      </c>
      <c r="K207" s="53">
        <f>(I207-$I$151)/($BW$151-BW207)*1000*0.05</f>
        <v>4.3750349999999525</v>
      </c>
      <c r="L207" s="68"/>
      <c r="M207" s="22">
        <v>2.353370953623958</v>
      </c>
      <c r="O207" s="21">
        <v>0</v>
      </c>
      <c r="Q207" s="21">
        <v>0.30972829022780141</v>
      </c>
      <c r="S207" s="21">
        <v>97.336900756148253</v>
      </c>
      <c r="U207" s="21">
        <v>0</v>
      </c>
      <c r="W207" s="21">
        <v>0</v>
      </c>
      <c r="Y207" s="22">
        <v>0.12977440497660353</v>
      </c>
      <c r="AA207" s="21">
        <v>0</v>
      </c>
      <c r="AC207" s="21">
        <v>1.7079672249220922E-2</v>
      </c>
      <c r="AE207" s="21">
        <v>5.3675508990387044</v>
      </c>
      <c r="AG207" s="21">
        <v>0</v>
      </c>
      <c r="AI207" s="21">
        <v>0</v>
      </c>
      <c r="AK207" s="22">
        <f>8*(AG207-$AG$151)/(8*($BW$151-BW207))</f>
        <v>0</v>
      </c>
      <c r="AL207" s="22"/>
      <c r="AM207" s="22">
        <f>(AG207-$AG$151)/($BW$151-BW207)</f>
        <v>0</v>
      </c>
      <c r="AN207" s="22"/>
      <c r="BG207" s="37">
        <v>1522.42</v>
      </c>
      <c r="BI207" s="2">
        <v>0</v>
      </c>
      <c r="BK207" s="2">
        <v>0</v>
      </c>
      <c r="BM207" s="2">
        <v>0</v>
      </c>
      <c r="BO207" s="22">
        <f>(BG207/1000)/60.2*1000</f>
        <v>25.289368770764117</v>
      </c>
      <c r="BQ207" s="2">
        <f>BI207/74.08</f>
        <v>0</v>
      </c>
      <c r="BS207" s="2">
        <f>(BK207/1000)/88.12*1000</f>
        <v>0</v>
      </c>
      <c r="BU207" s="2">
        <f>BM207/88.12</f>
        <v>0</v>
      </c>
      <c r="BW207" s="52">
        <f>BO207*0.05</f>
        <v>1.2644684385382059</v>
      </c>
      <c r="BX207" s="51">
        <f t="shared" si="9"/>
        <v>0</v>
      </c>
      <c r="BY207" s="51">
        <f t="shared" si="10"/>
        <v>0</v>
      </c>
      <c r="BZ207" s="67">
        <f t="shared" si="11"/>
        <v>0</v>
      </c>
    </row>
    <row r="208" spans="1:78" x14ac:dyDescent="0.3">
      <c r="A208" s="173"/>
      <c r="B208" s="70" t="s">
        <v>93</v>
      </c>
      <c r="C208" s="20">
        <v>7</v>
      </c>
      <c r="D208" s="69"/>
      <c r="E208" s="21"/>
      <c r="F208" s="52">
        <v>1.22</v>
      </c>
      <c r="H208" s="37">
        <v>0.19500000000000001</v>
      </c>
      <c r="I208" s="52">
        <f>H208*0.2907</f>
        <v>5.6686500000000008E-2</v>
      </c>
      <c r="K208" s="53">
        <f>(I208-$I$152)/($BW$152-BW208)*1000*0.05</f>
        <v>-805.92750000009266</v>
      </c>
      <c r="L208" s="68"/>
      <c r="M208" s="22">
        <v>2.3691003403150201</v>
      </c>
      <c r="O208" s="21">
        <v>0</v>
      </c>
      <c r="Q208" s="21">
        <v>0.29576566617787975</v>
      </c>
      <c r="S208" s="21">
        <v>97.3351339935071</v>
      </c>
      <c r="U208" s="21">
        <v>0</v>
      </c>
      <c r="W208" s="21">
        <v>0</v>
      </c>
      <c r="Y208" s="22">
        <v>0.13010855527511692</v>
      </c>
      <c r="AA208" s="21">
        <v>0</v>
      </c>
      <c r="AC208" s="21">
        <v>1.6243146341901892E-2</v>
      </c>
      <c r="AE208" s="21">
        <v>5.3455454992341842</v>
      </c>
      <c r="AG208" s="21">
        <v>0</v>
      </c>
      <c r="AI208" s="21">
        <v>0</v>
      </c>
      <c r="AK208" s="22">
        <f>8*(AG208-$AG$152)/(8*($BW$152-BW208))</f>
        <v>0</v>
      </c>
      <c r="AL208" s="22"/>
      <c r="AM208" s="22">
        <f>(AG208-$AG$152)/($BW$152-BW208)</f>
        <v>0</v>
      </c>
      <c r="AN208" s="22"/>
      <c r="BG208" s="37">
        <v>1594.28</v>
      </c>
      <c r="BI208" s="2">
        <v>0</v>
      </c>
      <c r="BK208" s="2">
        <v>0</v>
      </c>
      <c r="BM208" s="2">
        <v>0</v>
      </c>
      <c r="BO208" s="22">
        <f>(BG208/1000)/60.2*1000</f>
        <v>26.483056478405313</v>
      </c>
      <c r="BQ208" s="2">
        <f>BI208/74.08</f>
        <v>0</v>
      </c>
      <c r="BS208" s="2">
        <f>(BK208/1000)/88.12*1000</f>
        <v>0</v>
      </c>
      <c r="BU208" s="2">
        <f>BM208/88.12</f>
        <v>0</v>
      </c>
      <c r="BW208" s="52">
        <f>BO208*0.05</f>
        <v>1.3241528239202658</v>
      </c>
      <c r="BX208" s="51">
        <f t="shared" si="9"/>
        <v>0</v>
      </c>
      <c r="BY208" s="51">
        <f t="shared" si="10"/>
        <v>0</v>
      </c>
      <c r="BZ208" s="67">
        <f t="shared" si="11"/>
        <v>0</v>
      </c>
    </row>
    <row r="209" spans="1:78" x14ac:dyDescent="0.3">
      <c r="A209" s="173"/>
      <c r="B209" s="70" t="s">
        <v>92</v>
      </c>
      <c r="C209" s="20">
        <v>7</v>
      </c>
      <c r="D209" s="69"/>
      <c r="E209" s="21"/>
      <c r="F209" s="52">
        <v>1.2350000000000001</v>
      </c>
      <c r="G209" s="67"/>
      <c r="H209" s="37">
        <v>0.18</v>
      </c>
      <c r="I209" s="52">
        <f>H209*0.2907</f>
        <v>5.2325999999999998E-2</v>
      </c>
      <c r="K209" s="53">
        <f>(I209-$I$153)/($BW$153-BW209)*1000*0.05</f>
        <v>-170.73307317075697</v>
      </c>
      <c r="L209" s="68"/>
      <c r="M209" s="22">
        <v>1.85444559500673</v>
      </c>
      <c r="O209" s="21">
        <v>0</v>
      </c>
      <c r="Q209" s="21">
        <v>0.64898592631900931</v>
      </c>
      <c r="S209" s="21">
        <v>97.470120716474369</v>
      </c>
      <c r="U209" s="21">
        <v>2.6447762199891239E-2</v>
      </c>
      <c r="W209" s="21">
        <v>0</v>
      </c>
      <c r="Y209" s="22">
        <v>0.10309642907254227</v>
      </c>
      <c r="AA209" s="21">
        <v>0</v>
      </c>
      <c r="AC209" s="21">
        <v>3.6079856805711831E-2</v>
      </c>
      <c r="AE209" s="21">
        <v>5.4187738988922263</v>
      </c>
      <c r="AG209" s="21">
        <v>1.4703423206970147E-3</v>
      </c>
      <c r="AI209" s="21">
        <v>0</v>
      </c>
      <c r="AK209" s="22">
        <f>8*(AG209-$AG$153)/(8*($BW$153-BW209))</f>
        <v>-2.158892870877402</v>
      </c>
      <c r="AL209" s="22"/>
      <c r="AM209" s="22">
        <f>(AG209-$AG$153)/($BW$153-BW209)</f>
        <v>-2.158892870877402</v>
      </c>
      <c r="AN209" s="22"/>
      <c r="BG209" s="37">
        <v>1504.7</v>
      </c>
      <c r="BI209" s="2">
        <v>0</v>
      </c>
      <c r="BK209" s="2">
        <v>0</v>
      </c>
      <c r="BM209" s="2">
        <v>0</v>
      </c>
      <c r="BO209" s="22">
        <f>(BG209/1000)/60.2*1000</f>
        <v>24.995016611295682</v>
      </c>
      <c r="BQ209" s="2">
        <f>BI209/74.08</f>
        <v>0</v>
      </c>
      <c r="BS209" s="2">
        <f>(BK209/1000)/88.12*1000</f>
        <v>0</v>
      </c>
      <c r="BU209" s="2">
        <f>BM209/88.12</f>
        <v>0</v>
      </c>
      <c r="BW209" s="52">
        <f>BO209*0.05</f>
        <v>1.2497508305647842</v>
      </c>
      <c r="BX209" s="51">
        <f t="shared" si="9"/>
        <v>0</v>
      </c>
      <c r="BY209" s="51">
        <f t="shared" si="10"/>
        <v>0</v>
      </c>
      <c r="BZ209" s="67">
        <f t="shared" si="11"/>
        <v>0</v>
      </c>
    </row>
    <row r="210" spans="1:78" ht="15" thickBot="1" x14ac:dyDescent="0.35">
      <c r="A210" s="175"/>
      <c r="B210" s="66" t="s">
        <v>63</v>
      </c>
      <c r="C210" s="65">
        <v>7</v>
      </c>
      <c r="D210" s="64" t="e">
        <f>AVERAGE(D207:D209)</f>
        <v>#DIV/0!</v>
      </c>
      <c r="E210" s="58"/>
      <c r="F210" s="56">
        <f>AVERAGE(F207:F209)</f>
        <v>1.2266666666666668</v>
      </c>
      <c r="G210" s="55">
        <f>_xlfn.STDEV.S(F207:F209)</f>
        <v>7.6376261582597887E-3</v>
      </c>
      <c r="H210" s="60">
        <f>AVERAGE(H207:H209)</f>
        <v>0.18833333333333332</v>
      </c>
      <c r="I210" s="56">
        <f>AVERAGE(I207:I209)</f>
        <v>5.4748499999999999E-2</v>
      </c>
      <c r="J210" s="63">
        <f>_xlfn.STDEV.S(I207:I209)</f>
        <v>2.2202579242061099E-3</v>
      </c>
      <c r="K210" s="56">
        <f>AVERAGE(K207:K209)</f>
        <v>-324.09517939028325</v>
      </c>
      <c r="L210" s="62">
        <f>_xlfn.STDEV.S(K207:K209)</f>
        <v>426.36545506755238</v>
      </c>
      <c r="M210" s="59">
        <f>AVERAGE(M207:M209)</f>
        <v>2.1923056296485695</v>
      </c>
      <c r="N210" s="58">
        <f>_xlfn.STDEV.S(M207:M209)</f>
        <v>0.29270105168508848</v>
      </c>
      <c r="O210" s="58">
        <f>AVERAGE(O207:O209)</f>
        <v>0</v>
      </c>
      <c r="P210" s="58">
        <f>_xlfn.STDEV.S(O207:O209)</f>
        <v>0</v>
      </c>
      <c r="Q210" s="58">
        <f>AVERAGE(Q207:Q209)</f>
        <v>0.41815996090823021</v>
      </c>
      <c r="R210" s="58">
        <f>_xlfn.STDEV.S(Q207:Q209)</f>
        <v>0.20002301979635609</v>
      </c>
      <c r="S210" s="58">
        <f>AVERAGE(S207:S209)</f>
        <v>97.380718488709917</v>
      </c>
      <c r="T210" s="58">
        <f>_xlfn.STDEV.S(S207:S209)</f>
        <v>7.7429639735014141E-2</v>
      </c>
      <c r="U210" s="58">
        <f>AVERAGE(U207:U209)</f>
        <v>8.815920733297079E-3</v>
      </c>
      <c r="V210" s="58">
        <f>_xlfn.STDEV.S(U207:U209)</f>
        <v>1.5269622625570415E-2</v>
      </c>
      <c r="W210" s="58">
        <f>AVERAGE(W207:W209)</f>
        <v>0</v>
      </c>
      <c r="X210" s="58">
        <f>_xlfn.STDEV.S(W207:W209)</f>
        <v>0</v>
      </c>
      <c r="Y210" s="59">
        <f>AVERAGE(Y207:Y209)</f>
        <v>0.12099312977475422</v>
      </c>
      <c r="Z210" s="58">
        <f>_xlfn.STDEV.S(Y207:Y209)</f>
        <v>1.5499897939145264E-2</v>
      </c>
      <c r="AA210" s="58">
        <f>AVERAGE(AA207:AA209)</f>
        <v>0</v>
      </c>
      <c r="AB210" s="58">
        <f>_xlfn.STDEV.S(AA207:AA209)</f>
        <v>0</v>
      </c>
      <c r="AC210" s="58">
        <f>AVERAGE(AC207:AC209)</f>
        <v>2.3134225132278214E-2</v>
      </c>
      <c r="AD210" s="58">
        <f>_xlfn.STDEV.S(AC207:AC209)</f>
        <v>1.1219045345596916E-2</v>
      </c>
      <c r="AE210" s="58">
        <f>AVERAGE(AE207:AE209)</f>
        <v>5.3772900990550383</v>
      </c>
      <c r="AF210" s="58">
        <f>_xlfn.STDEV.S(AE207:AE209)</f>
        <v>3.7573110622333393E-2</v>
      </c>
      <c r="AG210" s="58">
        <f>AVERAGE(AG207:AG209)</f>
        <v>4.9011410689900488E-4</v>
      </c>
      <c r="AH210" s="58">
        <f>_xlfn.STDEV.S(AG207:AG209)</f>
        <v>8.4890253465532046E-4</v>
      </c>
      <c r="AI210" s="58">
        <f>AVERAGE(AI207:AI209)</f>
        <v>0</v>
      </c>
      <c r="AJ210" s="57">
        <f>_xlfn.STDEV.S(AI207:AI209)</f>
        <v>0</v>
      </c>
      <c r="AK210" s="77">
        <f>AVERAGE(AK207:AK209)</f>
        <v>-0.71963095695913404</v>
      </c>
      <c r="AL210" s="77">
        <f>_xlfn.STDEV.S(AK207:AK209)</f>
        <v>1.2464373801526321</v>
      </c>
      <c r="AM210" s="77">
        <f>AVERAGE(AM207:AM209)</f>
        <v>-0.71963095695913404</v>
      </c>
      <c r="AN210" s="77">
        <f>_xlfn.STDEV.S(AM207:AM209)</f>
        <v>1.2464373801526321</v>
      </c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59">
        <f>SUM(AK210,AO210,AS210)</f>
        <v>-0.71963095695913404</v>
      </c>
      <c r="AZ210" s="59">
        <f>SUM(AL210,AP210,AT210)</f>
        <v>1.2464373801526321</v>
      </c>
      <c r="BA210" s="60"/>
      <c r="BB210" s="60"/>
      <c r="BC210" s="60"/>
      <c r="BD210" s="60"/>
      <c r="BE210" s="60"/>
      <c r="BF210" s="60"/>
      <c r="BG210" s="60">
        <f>AVERAGE(BG207:BG209)</f>
        <v>1540.4666666666665</v>
      </c>
      <c r="BH210" s="57">
        <f>_xlfn.STDEV.S(BG207:BG209)</f>
        <v>47.438441514591609</v>
      </c>
      <c r="BI210" s="57">
        <f>AVERAGE(BI207:BI209)</f>
        <v>0</v>
      </c>
      <c r="BJ210" s="57" t="e">
        <f>_xlfn.STDEV.S(BH207:BH209)</f>
        <v>#DIV/0!</v>
      </c>
      <c r="BK210" s="57">
        <f>AVERAGE(BK207:BK209)</f>
        <v>0</v>
      </c>
      <c r="BL210" s="57">
        <f>_xlfn.STDEV.S(BK207:BK209)</f>
        <v>0</v>
      </c>
      <c r="BM210" s="57">
        <f>AVERAGE(BM207:BM209)</f>
        <v>0</v>
      </c>
      <c r="BN210" s="57" t="e">
        <f>_xlfn.STDEV.S(BL207:BL209)</f>
        <v>#DIV/0!</v>
      </c>
      <c r="BO210" s="59">
        <f>AVERAGE(BO207:BO209)</f>
        <v>25.589147286821703</v>
      </c>
      <c r="BP210" s="58">
        <f>_xlfn.STDEV.S(BO207:BO209)</f>
        <v>0.78801397864770062</v>
      </c>
      <c r="BQ210" s="57">
        <f>AVERAGE(BQ207:BQ209)</f>
        <v>0</v>
      </c>
      <c r="BR210" s="57">
        <f>_xlfn.STDEV.S(BQ207:BQ209)</f>
        <v>0</v>
      </c>
      <c r="BS210" s="57">
        <f>AVERAGE(BS207:BS209)</f>
        <v>0</v>
      </c>
      <c r="BT210" s="57">
        <f>_xlfn.STDEV.S(BS207:BS209)</f>
        <v>0</v>
      </c>
      <c r="BU210" s="57">
        <f>AVERAGE(BU207:BU209)</f>
        <v>0</v>
      </c>
      <c r="BV210" s="57">
        <f>_xlfn.STDEV.S(BU207:BU209)</f>
        <v>0</v>
      </c>
      <c r="BW210" s="56">
        <f>AVERAGE(BW207:BW209)</f>
        <v>1.2794573643410854</v>
      </c>
      <c r="BX210" s="55">
        <f t="shared" si="9"/>
        <v>0</v>
      </c>
      <c r="BY210" s="55">
        <f t="shared" si="10"/>
        <v>0</v>
      </c>
      <c r="BZ210" s="54">
        <f t="shared" si="11"/>
        <v>0</v>
      </c>
    </row>
    <row r="211" spans="1:78" x14ac:dyDescent="0.3">
      <c r="A211" s="172" t="s">
        <v>98</v>
      </c>
      <c r="B211" s="95" t="s">
        <v>97</v>
      </c>
      <c r="C211" s="94">
        <v>8</v>
      </c>
      <c r="D211" s="93"/>
      <c r="E211" s="88"/>
      <c r="F211" s="86">
        <v>1.1950000000000001</v>
      </c>
      <c r="G211" s="85"/>
      <c r="H211" s="90">
        <v>0.52700000000000002</v>
      </c>
      <c r="I211" s="86">
        <f>H211*0.2907</f>
        <v>0.15319890000000003</v>
      </c>
      <c r="J211" s="92"/>
      <c r="K211" s="92">
        <f>(I211-$I$147)/(($AA$147-AA211)+($AI$147-AI211))*1000*0.05</f>
        <v>0.98337543598148136</v>
      </c>
      <c r="L211" s="91"/>
      <c r="M211" s="89">
        <v>15.718071724677779</v>
      </c>
      <c r="O211" s="21">
        <v>0</v>
      </c>
      <c r="P211" s="88"/>
      <c r="Q211" s="88">
        <v>0.14733016404427324</v>
      </c>
      <c r="S211" s="21">
        <v>71.956161519555479</v>
      </c>
      <c r="T211" s="88"/>
      <c r="U211" s="88">
        <v>12.178436591722479</v>
      </c>
      <c r="W211" s="21">
        <v>0</v>
      </c>
      <c r="X211" s="88"/>
      <c r="Y211" s="89">
        <v>0.84553139965988477</v>
      </c>
      <c r="AA211" s="21">
        <v>0</v>
      </c>
      <c r="AB211" s="88"/>
      <c r="AC211" s="88">
        <v>7.9254174429610885E-3</v>
      </c>
      <c r="AE211" s="21">
        <v>3.870779764178085</v>
      </c>
      <c r="AF211" s="88"/>
      <c r="AG211" s="88">
        <v>0.6551217425036503</v>
      </c>
      <c r="AI211" s="21">
        <v>0</v>
      </c>
      <c r="AJ211" s="87"/>
      <c r="AK211" s="89">
        <f>8*(AG211-$AG$147)/(2*($AA$147-AA211)+2*($AI$147-AI211))</f>
        <v>0.12008298597056785</v>
      </c>
      <c r="AL211" s="89"/>
      <c r="AM211" s="89">
        <f>(AG211-$AG$147)/(($AA$147-AA211)+($AI$147-AI211))</f>
        <v>3.0020746492641963E-2</v>
      </c>
      <c r="AN211" s="89"/>
      <c r="AO211" s="37">
        <f>8*(BW211-$BW$147)/(2*($AA$147-AA211)+2*($AI$147-AI211))</f>
        <v>0.28348411472683949</v>
      </c>
      <c r="AQ211" s="37">
        <f>(BW211-$BW$147)/(($AA$147-AA211)+($AI$147-AI211))</f>
        <v>7.0871028681709872E-2</v>
      </c>
      <c r="AS211" s="37">
        <f>14*(BX211-$BX$147)/(2*($AA$147-AA211)+2*($AI$147-AI211))</f>
        <v>0</v>
      </c>
      <c r="AU211" s="37">
        <f>(BX211-$BX$147)/(($AA$147-AA211)+($AI$147-AI211))</f>
        <v>0</v>
      </c>
      <c r="AY211" s="90"/>
      <c r="AZ211" s="90"/>
      <c r="BA211" s="90"/>
      <c r="BB211" s="90"/>
      <c r="BC211" s="90"/>
      <c r="BD211" s="90"/>
      <c r="BE211" s="90"/>
      <c r="BF211" s="90"/>
      <c r="BG211" s="90">
        <v>475.52</v>
      </c>
      <c r="BH211" s="87"/>
      <c r="BI211" s="87">
        <v>0</v>
      </c>
      <c r="BJ211" s="87"/>
      <c r="BK211" s="87">
        <v>0.99</v>
      </c>
      <c r="BL211" s="87"/>
      <c r="BM211" s="87">
        <v>0.56999999999999995</v>
      </c>
      <c r="BN211" s="87"/>
      <c r="BO211" s="89">
        <f>(BG211/1000)/60.2*1000</f>
        <v>7.8990033222591363</v>
      </c>
      <c r="BP211" s="88"/>
      <c r="BQ211" s="87">
        <f>BI211/74.08</f>
        <v>0</v>
      </c>
      <c r="BR211" s="87"/>
      <c r="BS211" s="87">
        <f>(BK211/1000)/88.12*1000</f>
        <v>1.1234679981842941E-2</v>
      </c>
      <c r="BT211" s="87"/>
      <c r="BU211" s="87">
        <f>BM211/88.12</f>
        <v>6.4684521107580559E-3</v>
      </c>
      <c r="BV211" s="87"/>
      <c r="BW211" s="86">
        <f>BO211*0.05</f>
        <v>0.39495016611295686</v>
      </c>
      <c r="BX211" s="85">
        <f t="shared" ref="BX211:BX242" si="12">BQ211*0.05</f>
        <v>0</v>
      </c>
      <c r="BY211" s="85">
        <f t="shared" ref="BY211:BY242" si="13">BS211*0.05</f>
        <v>5.6173399909214704E-4</v>
      </c>
      <c r="BZ211" s="84">
        <f t="shared" ref="BZ211:BZ242" si="14">BU211*0.05</f>
        <v>3.2342260553790283E-4</v>
      </c>
    </row>
    <row r="212" spans="1:78" x14ac:dyDescent="0.3">
      <c r="A212" s="173"/>
      <c r="B212" s="70" t="s">
        <v>96</v>
      </c>
      <c r="C212" s="20">
        <v>8</v>
      </c>
      <c r="D212" s="69"/>
      <c r="E212" s="21"/>
      <c r="F212" s="52">
        <v>1.2350000000000001</v>
      </c>
      <c r="H212" s="37">
        <v>0.51200000000000001</v>
      </c>
      <c r="I212" s="52">
        <f>H212*0.2907</f>
        <v>0.14883840000000001</v>
      </c>
      <c r="K212" s="53">
        <f>(I212-$I$147)/(($AA$147-AA212)+($AI$147-AI212))*1000*0.05</f>
        <v>0.94424909237479104</v>
      </c>
      <c r="L212" s="68"/>
      <c r="M212" s="22">
        <v>11.219969208324796</v>
      </c>
      <c r="O212" s="21">
        <v>0</v>
      </c>
      <c r="Q212" s="21">
        <v>0.15779723315748881</v>
      </c>
      <c r="S212" s="21">
        <v>75.78855656481511</v>
      </c>
      <c r="U212" s="21">
        <v>12.8336769937026</v>
      </c>
      <c r="W212" s="21">
        <v>0</v>
      </c>
      <c r="Y212" s="22">
        <v>0.62376527130091819</v>
      </c>
      <c r="AA212" s="21">
        <v>0</v>
      </c>
      <c r="AC212" s="21">
        <v>8.77261177133936E-3</v>
      </c>
      <c r="AE212" s="21">
        <v>4.2134045708504395</v>
      </c>
      <c r="AG212" s="21">
        <v>0.71347807316848022</v>
      </c>
      <c r="AI212" s="21">
        <v>0</v>
      </c>
      <c r="AK212" s="22">
        <f>8*(AG212-$AG$148)/(2*($AA$148-AA212)+2*($AI$148-AI212))</f>
        <v>0.15289694264744738</v>
      </c>
      <c r="AL212" s="22"/>
      <c r="AM212" s="22">
        <f>(AG212-$AG$148)/(($AA$148-AA212)+($AI$148-AI212))</f>
        <v>3.8224235661861845E-2</v>
      </c>
      <c r="AN212" s="22"/>
      <c r="AO212" s="37">
        <f>8*(BW212-$BW$148)/(2*($AA$148-AA212)+2*($AI$148-AI212))</f>
        <v>0.29051788582000621</v>
      </c>
      <c r="AQ212" s="37">
        <f>(BW212-$BW$148)/(($AA$148-AA212)+($AI$148-AI212))</f>
        <v>7.2629471455001551E-2</v>
      </c>
      <c r="AS212" s="37">
        <f>14*(BX212-$BX$148)/(2*($AA$148-AA212)+2*($AI$148-AI212))</f>
        <v>0</v>
      </c>
      <c r="AU212" s="37">
        <f>(BX212-$BX$148)/(($AA$148-AA212)+($AI$148-AI212))</f>
        <v>0</v>
      </c>
      <c r="BG212" s="37">
        <v>492.22</v>
      </c>
      <c r="BI212" s="2">
        <v>0</v>
      </c>
      <c r="BK212" s="2">
        <v>0.73</v>
      </c>
      <c r="BM212" s="2">
        <v>0.62</v>
      </c>
      <c r="BO212" s="22">
        <f>(BG212/1000)/60.2*1000</f>
        <v>8.1764119601328922</v>
      </c>
      <c r="BQ212" s="2">
        <f>BI212/74.08</f>
        <v>0</v>
      </c>
      <c r="BS212" s="2">
        <f>(BK212/1000)/88.12*1000</f>
        <v>8.2841579664094406E-3</v>
      </c>
      <c r="BU212" s="2">
        <f>BM212/88.12</f>
        <v>7.0358601906491142E-3</v>
      </c>
      <c r="BW212" s="52">
        <f>BO212*0.05</f>
        <v>0.40882059800664461</v>
      </c>
      <c r="BX212" s="51">
        <f t="shared" si="12"/>
        <v>0</v>
      </c>
      <c r="BY212" s="51">
        <f t="shared" si="13"/>
        <v>4.1420789832047203E-4</v>
      </c>
      <c r="BZ212" s="67">
        <f t="shared" si="14"/>
        <v>3.5179300953245576E-4</v>
      </c>
    </row>
    <row r="213" spans="1:78" x14ac:dyDescent="0.3">
      <c r="A213" s="173"/>
      <c r="B213" s="70" t="s">
        <v>95</v>
      </c>
      <c r="C213" s="20">
        <v>8</v>
      </c>
      <c r="D213" s="69"/>
      <c r="E213" s="21"/>
      <c r="F213" s="52">
        <v>1.22</v>
      </c>
      <c r="H213" s="37">
        <v>0.55600000000000005</v>
      </c>
      <c r="I213" s="52">
        <f>H213*0.2907</f>
        <v>0.16162920000000003</v>
      </c>
      <c r="K213" s="53">
        <f>(I213-$I$147)/(($AA$147-AA213)+($AI$147-AI213))*1000*0.05</f>
        <v>1.0590197002877491</v>
      </c>
      <c r="L213" s="68"/>
      <c r="M213" s="22">
        <v>15.662325727274245</v>
      </c>
      <c r="O213" s="21">
        <v>0</v>
      </c>
      <c r="Q213" s="21">
        <v>7.3262505532149177E-2</v>
      </c>
      <c r="S213" s="21">
        <v>71.096855679614606</v>
      </c>
      <c r="U213" s="21">
        <v>13.167556087578996</v>
      </c>
      <c r="W213" s="21">
        <v>0</v>
      </c>
      <c r="Y213" s="22">
        <v>0.86015882820437217</v>
      </c>
      <c r="AA213" s="21">
        <v>0</v>
      </c>
      <c r="AC213" s="21">
        <v>4.0235014905935593E-3</v>
      </c>
      <c r="AE213" s="21">
        <v>3.904566226961975</v>
      </c>
      <c r="AG213" s="21">
        <v>0.72314864419426306</v>
      </c>
      <c r="AI213" s="21">
        <v>0</v>
      </c>
      <c r="AK213" s="22">
        <f>8*(AG213-$AG$149)/(2*($AA$149-AA213)+2*($AI$149-AI213))</f>
        <v>0.15561759467129654</v>
      </c>
      <c r="AL213" s="22"/>
      <c r="AM213" s="22">
        <f>(AG213-$AG$149)/(($AA$149-AA213)+($AI$149-AI213))</f>
        <v>3.8904398667824136E-2</v>
      </c>
      <c r="AN213" s="22"/>
      <c r="AO213" s="37">
        <f>8*(BW213-$BW$149)/(2*($AA$149-AA213)+2*($AI$149-AI213))</f>
        <v>0.25852788791110015</v>
      </c>
      <c r="AQ213" s="37">
        <f>(BW213-$BW$148)/(($AA$148-AA213)+($AI$148-AI213))</f>
        <v>6.4261578761000776E-2</v>
      </c>
      <c r="AS213" s="37">
        <f>14*(BX213-$BX$149)/(2*($AA$149-AA213)+2*($AI$149-AI213))</f>
        <v>-3.378331882578653E-5</v>
      </c>
      <c r="AU213" s="37">
        <f>(BX213-$BX$149)/(($AA$149-AA213)+($AI$149-AI213))</f>
        <v>-4.8261884036837902E-6</v>
      </c>
      <c r="BG213" s="37">
        <v>435.52</v>
      </c>
      <c r="BI213" s="2">
        <v>0</v>
      </c>
      <c r="BK213" s="2">
        <v>0.83</v>
      </c>
      <c r="BM213" s="2">
        <v>0.42</v>
      </c>
      <c r="BO213" s="22">
        <f>(BG213/1000)/60.2*1000</f>
        <v>7.2345514950166105</v>
      </c>
      <c r="BQ213" s="2">
        <f>BI213/74.08</f>
        <v>0</v>
      </c>
      <c r="BS213" s="2">
        <f>(BK213/1000)/88.12*1000</f>
        <v>9.4189741261915556E-3</v>
      </c>
      <c r="BU213" s="2">
        <f>BM213/88.12</f>
        <v>4.7662278710848835E-3</v>
      </c>
      <c r="BW213" s="52">
        <f>BO213*0.05</f>
        <v>0.36172757475083056</v>
      </c>
      <c r="BX213" s="51">
        <f t="shared" si="12"/>
        <v>0</v>
      </c>
      <c r="BY213" s="51">
        <f t="shared" si="13"/>
        <v>4.7094870630957778E-4</v>
      </c>
      <c r="BZ213" s="67">
        <f t="shared" si="14"/>
        <v>2.3831139355424418E-4</v>
      </c>
    </row>
    <row r="214" spans="1:78" x14ac:dyDescent="0.3">
      <c r="A214" s="173"/>
      <c r="B214" s="83" t="s">
        <v>63</v>
      </c>
      <c r="C214" s="80">
        <v>8</v>
      </c>
      <c r="D214" s="79" t="e">
        <f>AVERAGE(D211:D213)</f>
        <v>#DIV/0!</v>
      </c>
      <c r="E214" s="76"/>
      <c r="F214" s="74">
        <f>AVERAGE(F211:F213)</f>
        <v>1.2166666666666668</v>
      </c>
      <c r="G214" s="73">
        <f>_xlfn.STDEV.S(F211:F213)</f>
        <v>2.0207259421636911E-2</v>
      </c>
      <c r="H214" s="77">
        <f>AVERAGE(H211:H213)</f>
        <v>0.53166666666666673</v>
      </c>
      <c r="I214" s="74">
        <f>AVERAGE(I211:I213)</f>
        <v>0.15455550000000004</v>
      </c>
      <c r="J214" s="82">
        <f>_xlfn.STDEV.S(I211:I213)</f>
        <v>6.5024159994574405E-3</v>
      </c>
      <c r="K214" s="82">
        <f>(I214-$I$147)/(($AA$147-AA214)+($AI$147-AI214))*1000*0.05</f>
        <v>0.99554807621467389</v>
      </c>
      <c r="L214" s="81">
        <f>_xlfn.STDEV.S(K211:K213)</f>
        <v>5.8345548140903918E-2</v>
      </c>
      <c r="M214" s="77">
        <f>AVERAGE(M211:M213)</f>
        <v>14.200122220092274</v>
      </c>
      <c r="N214" s="76">
        <f>_xlfn.STDEV.S(M211:M213)</f>
        <v>2.581038721952206</v>
      </c>
      <c r="O214" s="76">
        <f>AVERAGE(O211:O213)</f>
        <v>0</v>
      </c>
      <c r="P214" s="76">
        <f>_xlfn.STDEV.S(O211:O213)</f>
        <v>0</v>
      </c>
      <c r="Q214" s="76">
        <f>AVERAGE(Q211:Q213)</f>
        <v>0.12612996757797043</v>
      </c>
      <c r="R214" s="76">
        <f>_xlfn.STDEV.S(Q211:Q213)</f>
        <v>4.6082711414693923E-2</v>
      </c>
      <c r="S214" s="76">
        <f>AVERAGE(S211:S213)</f>
        <v>72.947191254661732</v>
      </c>
      <c r="T214" s="76">
        <f>_xlfn.STDEV.S(S211:S213)</f>
        <v>2.4979229873930011</v>
      </c>
      <c r="U214" s="76">
        <f>AVERAGE(U211:U213)</f>
        <v>12.726556557668024</v>
      </c>
      <c r="V214" s="76">
        <f>_xlfn.STDEV.S(U211:U213)</f>
        <v>0.50318528906660298</v>
      </c>
      <c r="W214" s="76">
        <f>AVERAGE(W211:W213)</f>
        <v>0</v>
      </c>
      <c r="X214" s="76">
        <f>_xlfn.STDEV.S(W211:W213)</f>
        <v>0</v>
      </c>
      <c r="Y214" s="77">
        <f>AVERAGE(Y211:Y213)</f>
        <v>0.77648516638839171</v>
      </c>
      <c r="Z214" s="76">
        <f>_xlfn.STDEV.S(Y211:Y213)</f>
        <v>0.13246137241891545</v>
      </c>
      <c r="AA214" s="76">
        <f>AVERAGE(AA211:AA213)</f>
        <v>0</v>
      </c>
      <c r="AB214" s="76">
        <f>_xlfn.STDEV.S(AA211:AA213)</f>
        <v>0</v>
      </c>
      <c r="AC214" s="76">
        <f>AVERAGE(AC211:AC213)</f>
        <v>6.9071769016313357E-3</v>
      </c>
      <c r="AD214" s="76">
        <f>_xlfn.STDEV.S(AC211:AC213)</f>
        <v>2.5330066057310226E-3</v>
      </c>
      <c r="AE214" s="76">
        <f>AVERAGE(AE211:AE213)</f>
        <v>3.9962501873301668</v>
      </c>
      <c r="AF214" s="76">
        <f>_xlfn.STDEV.S(AE211:AE213)</f>
        <v>0.1888184338946125</v>
      </c>
      <c r="AG214" s="76">
        <f>AVERAGE(AG211:AG213)</f>
        <v>0.69724948662213115</v>
      </c>
      <c r="AH214" s="76">
        <f>_xlfn.STDEV.S(AG211:AG213)</f>
        <v>3.6802718709021062E-2</v>
      </c>
      <c r="AI214" s="76">
        <f>AVERAGE(AI211:AI213)</f>
        <v>0</v>
      </c>
      <c r="AJ214" s="75">
        <f>_xlfn.STDEV.S(AI211:AI213)</f>
        <v>0</v>
      </c>
      <c r="AK214" s="77">
        <f>AVERAGE(AK211:AK213)</f>
        <v>0.14286584109643727</v>
      </c>
      <c r="AL214" s="77">
        <f>_xlfn.STDEV.S(AK211:AK213)</f>
        <v>1.977736970943007E-2</v>
      </c>
      <c r="AM214" s="77">
        <f>AVERAGE(AM211:AM213)</f>
        <v>3.5716460274109317E-2</v>
      </c>
      <c r="AN214" s="77">
        <f>_xlfn.STDEV.S(AM211:AM213)</f>
        <v>4.9443424273575304E-3</v>
      </c>
      <c r="AO214" s="78">
        <f>AVERAGE(AO211:AO213)</f>
        <v>0.27750996281931528</v>
      </c>
      <c r="AP214" s="78">
        <f>_xlfn.STDEV.S(AO211:AO213)</f>
        <v>1.681094464370116E-2</v>
      </c>
      <c r="AQ214" s="78">
        <f>AVERAGE(AQ211:AQ213)</f>
        <v>6.9254026299237395E-2</v>
      </c>
      <c r="AR214" s="78">
        <f>_xlfn.STDEV.S(AQ211:AQ213)</f>
        <v>4.412077692342818E-3</v>
      </c>
      <c r="AS214" s="78">
        <f>AVERAGE(AS211:AS213)</f>
        <v>-1.1261106275262177E-5</v>
      </c>
      <c r="AT214" s="78">
        <f>_xlfn.STDEV.S(AS211:AS213)</f>
        <v>1.9504808218186805E-5</v>
      </c>
      <c r="AU214" s="78">
        <f>AVERAGE(AU211:AU213)</f>
        <v>-1.6087294678945968E-6</v>
      </c>
      <c r="AV214" s="80">
        <f>_xlfn.STDEV.S(AU211:AU213)</f>
        <v>2.7864011740266866E-6</v>
      </c>
      <c r="AW214" s="80"/>
      <c r="AX214" s="80"/>
      <c r="AY214" s="79">
        <f>SUM(AK214,AO214,AS214)</f>
        <v>0.42036454280947733</v>
      </c>
      <c r="AZ214" s="77">
        <f>SUM(AL214,AP214,AT214)</f>
        <v>3.6607819161349413E-2</v>
      </c>
      <c r="BA214" s="78"/>
      <c r="BB214" s="78"/>
      <c r="BC214" s="78"/>
      <c r="BD214" s="78"/>
      <c r="BE214" s="78"/>
      <c r="BF214" s="78"/>
      <c r="BG214" s="78"/>
      <c r="BH214" s="75"/>
      <c r="BI214" s="75"/>
      <c r="BJ214" s="75"/>
      <c r="BK214" s="75"/>
      <c r="BL214" s="75"/>
      <c r="BM214" s="75"/>
      <c r="BN214" s="75"/>
      <c r="BO214" s="77">
        <f>AVERAGE(BO211:BO213)</f>
        <v>7.7699889258028803</v>
      </c>
      <c r="BP214" s="76">
        <f>_xlfn.STDEV.S(BO211:BO213)</f>
        <v>0.48400291301498766</v>
      </c>
      <c r="BQ214" s="75">
        <f>AVERAGE(BQ211:BQ213)</f>
        <v>0</v>
      </c>
      <c r="BR214" s="75">
        <f>_xlfn.STDEV.S(BQ211:BQ213)</f>
        <v>0</v>
      </c>
      <c r="BS214" s="75">
        <f>AVERAGE(BS211:BS213)</f>
        <v>9.6459373581479785E-3</v>
      </c>
      <c r="BT214" s="75">
        <f>_xlfn.STDEV.S(BS211:BS213)</f>
        <v>1.48829744083114E-3</v>
      </c>
      <c r="BU214" s="75">
        <f>AVERAGE(BU211:BU213)</f>
        <v>6.0901800574973512E-3</v>
      </c>
      <c r="BV214" s="75">
        <f>_xlfn.STDEV.S(BU211:BU213)</f>
        <v>1.1811541077315778E-3</v>
      </c>
      <c r="BW214" s="74">
        <f>AVERAGE(BW211:BW213)</f>
        <v>0.38849944629014405</v>
      </c>
      <c r="BX214" s="73">
        <f t="shared" si="12"/>
        <v>0</v>
      </c>
      <c r="BY214" s="73">
        <f t="shared" si="13"/>
        <v>4.8229686790739895E-4</v>
      </c>
      <c r="BZ214" s="72">
        <f t="shared" si="14"/>
        <v>3.0450900287486756E-4</v>
      </c>
    </row>
    <row r="215" spans="1:78" x14ac:dyDescent="0.3">
      <c r="A215" s="174" t="s">
        <v>61</v>
      </c>
      <c r="B215" s="70" t="s">
        <v>94</v>
      </c>
      <c r="C215" s="20">
        <v>8</v>
      </c>
      <c r="D215" s="69"/>
      <c r="E215" s="21"/>
      <c r="F215" s="52">
        <v>1.19</v>
      </c>
      <c r="H215" s="37">
        <v>0.187</v>
      </c>
      <c r="I215" s="52">
        <f>H215*0.2907</f>
        <v>5.4360900000000004E-2</v>
      </c>
      <c r="K215" s="53">
        <f>(I215-$I$151)/($BW$151-BW215)*1000*0.05</f>
        <v>1.5297325174825123</v>
      </c>
      <c r="L215" s="68"/>
      <c r="M215" s="22">
        <v>2.368705166957533</v>
      </c>
      <c r="O215" s="21">
        <v>0</v>
      </c>
      <c r="Q215" s="21">
        <v>0.53335241038239856</v>
      </c>
      <c r="S215" s="21">
        <v>96.644446443385419</v>
      </c>
      <c r="U215" s="21">
        <v>0.45349597927464985</v>
      </c>
      <c r="W215" s="21">
        <v>0</v>
      </c>
      <c r="Y215" s="22">
        <v>0.12688799572546286</v>
      </c>
      <c r="AA215" s="21">
        <v>0</v>
      </c>
      <c r="AC215" s="21">
        <v>2.8570891520320826E-2</v>
      </c>
      <c r="AE215" s="21">
        <v>5.1770985592728556</v>
      </c>
      <c r="AG215" s="21">
        <v>2.4293101852615677E-2</v>
      </c>
      <c r="AI215" s="21">
        <v>0</v>
      </c>
      <c r="AK215" s="22">
        <f>8*(AG215-$AG$151)/(8*($BW$151-BW215))</f>
        <v>1.2783607793072131</v>
      </c>
      <c r="AL215" s="22"/>
      <c r="AM215" s="22">
        <f>(AG215-$AG$151)/($BW$151-BW215)</f>
        <v>1.2783607793072131</v>
      </c>
      <c r="AN215" s="22"/>
      <c r="BG215" s="37">
        <v>1519.54</v>
      </c>
      <c r="BI215" s="2">
        <v>0</v>
      </c>
      <c r="BK215" s="2">
        <v>0</v>
      </c>
      <c r="BM215" s="2">
        <v>0</v>
      </c>
      <c r="BO215" s="22">
        <f>(BG215/1000)/60.2*1000</f>
        <v>25.241528239202655</v>
      </c>
      <c r="BQ215" s="2">
        <f>BI215/74.08</f>
        <v>0</v>
      </c>
      <c r="BS215" s="2">
        <f>(BK215/1000)/88.12*1000</f>
        <v>0</v>
      </c>
      <c r="BU215" s="2">
        <f>BM215/88.12</f>
        <v>0</v>
      </c>
      <c r="BW215" s="52">
        <f>BO215*0.05</f>
        <v>1.2620764119601329</v>
      </c>
      <c r="BX215" s="51">
        <f t="shared" si="12"/>
        <v>0</v>
      </c>
      <c r="BY215" s="51">
        <f t="shared" si="13"/>
        <v>0</v>
      </c>
      <c r="BZ215" s="67">
        <f t="shared" si="14"/>
        <v>0</v>
      </c>
    </row>
    <row r="216" spans="1:78" x14ac:dyDescent="0.3">
      <c r="A216" s="173"/>
      <c r="B216" s="70" t="s">
        <v>93</v>
      </c>
      <c r="C216" s="20">
        <v>8</v>
      </c>
      <c r="D216" s="69"/>
      <c r="E216" s="21"/>
      <c r="F216" s="52">
        <v>1.175</v>
      </c>
      <c r="H216" s="37">
        <v>0.20300000000000001</v>
      </c>
      <c r="I216" s="52">
        <f>H216*0.2907</f>
        <v>5.9012100000000005E-2</v>
      </c>
      <c r="K216" s="53">
        <f>(I216-$I$152)/($BW$152-BW216)*1000*0.05</f>
        <v>119.63529729729258</v>
      </c>
      <c r="L216" s="68"/>
      <c r="M216" s="22">
        <v>2.3358118204592273</v>
      </c>
      <c r="O216" s="21">
        <v>0</v>
      </c>
      <c r="Q216" s="21">
        <v>0.44623346467692149</v>
      </c>
      <c r="S216" s="21">
        <v>96.999695985384122</v>
      </c>
      <c r="U216" s="21">
        <v>0.21825872947973798</v>
      </c>
      <c r="W216" s="21">
        <v>0</v>
      </c>
      <c r="Y216" s="22">
        <v>0.12354873047731017</v>
      </c>
      <c r="AA216" s="21">
        <v>0</v>
      </c>
      <c r="AC216" s="21">
        <v>2.3602748121415988E-2</v>
      </c>
      <c r="AE216" s="21">
        <v>5.1306313251395066</v>
      </c>
      <c r="AG216" s="21">
        <v>1.1544418393049654E-2</v>
      </c>
      <c r="AI216" s="21">
        <v>0</v>
      </c>
      <c r="AK216" s="22">
        <f>8*(AG216-$AG$152)/(8*($BW$152-BW216))</f>
        <v>2.2097742043292898</v>
      </c>
      <c r="AL216" s="22"/>
      <c r="AM216" s="22">
        <f>(AG216-$AG$152)/($BW$152-BW216)</f>
        <v>2.2097742043292898</v>
      </c>
      <c r="AN216" s="22"/>
      <c r="BG216" s="37">
        <v>1587.23</v>
      </c>
      <c r="BI216" s="2">
        <v>0</v>
      </c>
      <c r="BK216" s="2">
        <v>0</v>
      </c>
      <c r="BM216" s="2">
        <v>0</v>
      </c>
      <c r="BO216" s="22">
        <f>(BG216/1000)/60.2*1000</f>
        <v>26.365946843853816</v>
      </c>
      <c r="BQ216" s="2">
        <f>BI216/74.08</f>
        <v>0</v>
      </c>
      <c r="BS216" s="2">
        <f>(BK216/1000)/88.12*1000</f>
        <v>0</v>
      </c>
      <c r="BU216" s="2">
        <f>BM216/88.12</f>
        <v>0</v>
      </c>
      <c r="BW216" s="52">
        <f>BO216*0.05</f>
        <v>1.3182973421926909</v>
      </c>
      <c r="BX216" s="51">
        <f t="shared" si="12"/>
        <v>0</v>
      </c>
      <c r="BY216" s="51">
        <f t="shared" si="13"/>
        <v>0</v>
      </c>
      <c r="BZ216" s="67">
        <f t="shared" si="14"/>
        <v>0</v>
      </c>
    </row>
    <row r="217" spans="1:78" x14ac:dyDescent="0.3">
      <c r="A217" s="173"/>
      <c r="B217" s="70" t="s">
        <v>92</v>
      </c>
      <c r="C217" s="20">
        <v>8</v>
      </c>
      <c r="D217" s="69"/>
      <c r="E217" s="21"/>
      <c r="F217" s="52">
        <v>1.2</v>
      </c>
      <c r="G217" s="67"/>
      <c r="H217" s="37">
        <v>0.184</v>
      </c>
      <c r="I217" s="52">
        <f>H217*0.2907</f>
        <v>5.3488800000000003E-2</v>
      </c>
      <c r="K217" s="53">
        <f>(I217-$I$153)/($BW$153-BW217)*1000*0.05</f>
        <v>28.532836956520455</v>
      </c>
      <c r="L217" s="68"/>
      <c r="M217" s="22">
        <v>1.9377209094067012</v>
      </c>
      <c r="O217" s="21">
        <v>0</v>
      </c>
      <c r="Q217" s="21">
        <v>0.17740478835966916</v>
      </c>
      <c r="S217" s="21">
        <v>97.203369390906133</v>
      </c>
      <c r="U217" s="21">
        <v>0.68150491132748703</v>
      </c>
      <c r="W217" s="21">
        <v>0</v>
      </c>
      <c r="Y217" s="22">
        <v>0.10467308890230993</v>
      </c>
      <c r="AA217" s="21">
        <v>0</v>
      </c>
      <c r="AC217" s="21">
        <v>9.5831691207547576E-3</v>
      </c>
      <c r="AE217" s="21">
        <v>5.2507958584054704</v>
      </c>
      <c r="AG217" s="21">
        <v>3.6813982769368259E-2</v>
      </c>
      <c r="AI217" s="21">
        <v>0</v>
      </c>
      <c r="AK217" s="22">
        <f>8*(AG217-$AG$153)/(8*($BW$153-BW217))</f>
        <v>6.0222873986844228</v>
      </c>
      <c r="AL217" s="22"/>
      <c r="AM217" s="22">
        <f>(AG217-$AG$153)/($BW$153-BW217)</f>
        <v>6.0222873986844228</v>
      </c>
      <c r="AN217" s="22"/>
      <c r="BG217" s="37">
        <v>1496.52</v>
      </c>
      <c r="BI217" s="2">
        <v>0</v>
      </c>
      <c r="BK217" s="2">
        <v>0</v>
      </c>
      <c r="BM217" s="2">
        <v>0</v>
      </c>
      <c r="BO217" s="22">
        <f>(BG217/1000)/60.2*1000</f>
        <v>24.859136212624584</v>
      </c>
      <c r="BQ217" s="2">
        <f>BI217/74.08</f>
        <v>0</v>
      </c>
      <c r="BS217" s="2">
        <f>(BK217/1000)/88.12*1000</f>
        <v>0</v>
      </c>
      <c r="BU217" s="2">
        <f>BM217/88.12</f>
        <v>0</v>
      </c>
      <c r="BW217" s="52">
        <f>BO217*0.05</f>
        <v>1.2429568106312292</v>
      </c>
      <c r="BX217" s="51">
        <f t="shared" si="12"/>
        <v>0</v>
      </c>
      <c r="BY217" s="51">
        <f t="shared" si="13"/>
        <v>0</v>
      </c>
      <c r="BZ217" s="67">
        <f t="shared" si="14"/>
        <v>0</v>
      </c>
    </row>
    <row r="218" spans="1:78" ht="15" thickBot="1" x14ac:dyDescent="0.35">
      <c r="A218" s="175"/>
      <c r="B218" s="66" t="s">
        <v>63</v>
      </c>
      <c r="C218" s="65">
        <v>8</v>
      </c>
      <c r="D218" s="64" t="e">
        <f>AVERAGE(D215:D217)</f>
        <v>#DIV/0!</v>
      </c>
      <c r="E218" s="58"/>
      <c r="F218" s="56">
        <f>AVERAGE(F215:F217)</f>
        <v>1.1883333333333335</v>
      </c>
      <c r="G218" s="55">
        <f>_xlfn.STDEV.S(F215:F217)</f>
        <v>1.2583057392117868E-2</v>
      </c>
      <c r="H218" s="60">
        <f>AVERAGE(H215:H217)</f>
        <v>0.19133333333333336</v>
      </c>
      <c r="I218" s="56">
        <f>AVERAGE(I215:I217)</f>
        <v>5.5620599999999999E-2</v>
      </c>
      <c r="J218" s="63">
        <f>_xlfn.STDEV.S(I215:I217)</f>
        <v>2.969317057843437E-3</v>
      </c>
      <c r="K218" s="56">
        <f>AVERAGE(K215:K217)</f>
        <v>49.899288923765177</v>
      </c>
      <c r="L218" s="62">
        <f>_xlfn.STDEV.S(K215:K217)</f>
        <v>61.883964483870223</v>
      </c>
      <c r="M218" s="59">
        <f>AVERAGE(M215:M217)</f>
        <v>2.214079298941154</v>
      </c>
      <c r="N218" s="58">
        <f>_xlfn.STDEV.S(M215:M217)</f>
        <v>0.23989781712329439</v>
      </c>
      <c r="O218" s="58">
        <f>AVERAGE(O215:O217)</f>
        <v>0</v>
      </c>
      <c r="P218" s="58">
        <f>_xlfn.STDEV.S(O215:O217)</f>
        <v>0</v>
      </c>
      <c r="Q218" s="58">
        <f>AVERAGE(Q215:Q217)</f>
        <v>0.38566355447299644</v>
      </c>
      <c r="R218" s="58">
        <f>_xlfn.STDEV.S(Q215:Q217)</f>
        <v>0.18554302175639109</v>
      </c>
      <c r="S218" s="58">
        <f>AVERAGE(S215:S217)</f>
        <v>96.949170606558553</v>
      </c>
      <c r="T218" s="58">
        <f>_xlfn.STDEV.S(S215:S217)</f>
        <v>0.28286626830608591</v>
      </c>
      <c r="U218" s="58">
        <f>AVERAGE(U215:U217)</f>
        <v>0.45108654002729159</v>
      </c>
      <c r="V218" s="58">
        <f>_xlfn.STDEV.S(U215:U217)</f>
        <v>0.2316324897272499</v>
      </c>
      <c r="W218" s="58">
        <f>AVERAGE(W215:W217)</f>
        <v>0</v>
      </c>
      <c r="X218" s="58">
        <f>_xlfn.STDEV.S(W215:W217)</f>
        <v>0</v>
      </c>
      <c r="Y218" s="59">
        <f>AVERAGE(Y215:Y217)</f>
        <v>0.11836993836836097</v>
      </c>
      <c r="Z218" s="58">
        <f>_xlfn.STDEV.S(Y215:Y217)</f>
        <v>1.1978749395121653E-2</v>
      </c>
      <c r="AA218" s="58">
        <f>AVERAGE(AA215:AA217)</f>
        <v>0</v>
      </c>
      <c r="AB218" s="58">
        <f>_xlfn.STDEV.S(AA215:AA217)</f>
        <v>0</v>
      </c>
      <c r="AC218" s="58">
        <f>AVERAGE(AC215:AC217)</f>
        <v>2.0585602920830521E-2</v>
      </c>
      <c r="AD218" s="58">
        <f>_xlfn.STDEV.S(AC215:AC217)</f>
        <v>9.8468662198593782E-3</v>
      </c>
      <c r="AE218" s="58">
        <f>AVERAGE(AE215:AE217)</f>
        <v>5.1861752476059442</v>
      </c>
      <c r="AF218" s="58">
        <f>_xlfn.STDEV.S(AE215:AE217)</f>
        <v>6.0594294014195339E-2</v>
      </c>
      <c r="AG218" s="58">
        <f>AVERAGE(AG215:AG217)</f>
        <v>2.4217167671677864E-2</v>
      </c>
      <c r="AH218" s="58">
        <f>_xlfn.STDEV.S(AG215:AG217)</f>
        <v>1.263495332172238E-2</v>
      </c>
      <c r="AI218" s="58">
        <f>AVERAGE(AI215:AI217)</f>
        <v>0</v>
      </c>
      <c r="AJ218" s="57">
        <f>_xlfn.STDEV.S(AI215:AI217)</f>
        <v>0</v>
      </c>
      <c r="AK218" s="77">
        <f>AVERAGE(AK215:AK217)</f>
        <v>3.1701407941069752</v>
      </c>
      <c r="AL218" s="77">
        <f>_xlfn.STDEV.S(AK215:AK217)</f>
        <v>2.5135508613473165</v>
      </c>
      <c r="AM218" s="77">
        <f>AVERAGE(AM215:AM217)</f>
        <v>3.1701407941069752</v>
      </c>
      <c r="AN218" s="77">
        <f>_xlfn.STDEV.S(AM215:AM217)</f>
        <v>2.5135508613473165</v>
      </c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59">
        <f>SUM(AK218,AO218,AS218)</f>
        <v>3.1701407941069752</v>
      </c>
      <c r="AZ218" s="59">
        <f>SUM(AL218,AP218,AT218)</f>
        <v>2.5135508613473165</v>
      </c>
      <c r="BA218" s="60"/>
      <c r="BB218" s="60"/>
      <c r="BC218" s="60"/>
      <c r="BD218" s="60"/>
      <c r="BE218" s="60"/>
      <c r="BF218" s="60"/>
      <c r="BG218" s="60">
        <f>AVERAGE(BG215:BG217)</f>
        <v>1534.43</v>
      </c>
      <c r="BH218" s="57">
        <f>_xlfn.STDEV.S(BG215:BG217)</f>
        <v>47.152519550921156</v>
      </c>
      <c r="BI218" s="57">
        <f>AVERAGE(BI215:BI217)</f>
        <v>0</v>
      </c>
      <c r="BJ218" s="57" t="e">
        <f>_xlfn.STDEV.S(BH215:BH217)</f>
        <v>#DIV/0!</v>
      </c>
      <c r="BK218" s="57">
        <f>AVERAGE(BK215:BK217)</f>
        <v>0</v>
      </c>
      <c r="BL218" s="57">
        <f>_xlfn.STDEV.S(BK215:BK217)</f>
        <v>0</v>
      </c>
      <c r="BM218" s="57">
        <f>AVERAGE(BM215:BM217)</f>
        <v>0</v>
      </c>
      <c r="BN218" s="57" t="e">
        <f>_xlfn.STDEV.S(BL215:BL217)</f>
        <v>#DIV/0!</v>
      </c>
      <c r="BO218" s="59">
        <f>AVERAGE(BO215:BO217)</f>
        <v>25.488870431893684</v>
      </c>
      <c r="BP218" s="58">
        <f>_xlfn.STDEV.S(BO215:BO217)</f>
        <v>0.78326444436745901</v>
      </c>
      <c r="BQ218" s="57">
        <f>AVERAGE(BQ215:BQ217)</f>
        <v>0</v>
      </c>
      <c r="BR218" s="57">
        <f>_xlfn.STDEV.S(BQ215:BQ217)</f>
        <v>0</v>
      </c>
      <c r="BS218" s="57">
        <f>AVERAGE(BS215:BS217)</f>
        <v>0</v>
      </c>
      <c r="BT218" s="57">
        <f>_xlfn.STDEV.S(BS215:BS217)</f>
        <v>0</v>
      </c>
      <c r="BU218" s="57">
        <f>AVERAGE(BU215:BU217)</f>
        <v>0</v>
      </c>
      <c r="BV218" s="57">
        <f>_xlfn.STDEV.S(BU215:BU217)</f>
        <v>0</v>
      </c>
      <c r="BW218" s="56">
        <f>AVERAGE(BW215:BW217)</f>
        <v>1.2744435215946843</v>
      </c>
      <c r="BX218" s="55">
        <f t="shared" si="12"/>
        <v>0</v>
      </c>
      <c r="BY218" s="55">
        <f t="shared" si="13"/>
        <v>0</v>
      </c>
      <c r="BZ218" s="54">
        <f t="shared" si="14"/>
        <v>0</v>
      </c>
    </row>
    <row r="219" spans="1:78" x14ac:dyDescent="0.3">
      <c r="A219" s="172" t="s">
        <v>98</v>
      </c>
      <c r="B219" s="95" t="s">
        <v>97</v>
      </c>
      <c r="C219" s="94">
        <v>9</v>
      </c>
      <c r="D219" s="93"/>
      <c r="E219" s="88"/>
      <c r="F219" s="86">
        <v>1.18</v>
      </c>
      <c r="G219" s="85"/>
      <c r="H219" s="90">
        <v>0.52900000000000003</v>
      </c>
      <c r="I219" s="86">
        <f>H219*0.2907</f>
        <v>0.15378030000000001</v>
      </c>
      <c r="J219" s="92"/>
      <c r="K219" s="92">
        <f>(I219-$I$147)/(($AA$147-AA219)+($AI$147-AI219))*1000*0.05</f>
        <v>0.98859228179570646</v>
      </c>
      <c r="L219" s="91"/>
      <c r="M219" s="89">
        <v>15.497249993728463</v>
      </c>
      <c r="O219" s="21">
        <v>0</v>
      </c>
      <c r="P219" s="88"/>
      <c r="Q219" s="88">
        <v>0.17036086769289291</v>
      </c>
      <c r="S219" s="21">
        <v>71.533004409917197</v>
      </c>
      <c r="T219" s="88"/>
      <c r="U219" s="88">
        <v>12.799384728661447</v>
      </c>
      <c r="W219" s="21">
        <v>0</v>
      </c>
      <c r="X219" s="88"/>
      <c r="Y219" s="89">
        <v>0.82318834882384773</v>
      </c>
      <c r="AA219" s="21">
        <v>0</v>
      </c>
      <c r="AC219" s="21">
        <v>9.0492881922317452E-3</v>
      </c>
      <c r="AD219" s="88"/>
      <c r="AE219" s="88">
        <v>3.7997151630411081</v>
      </c>
      <c r="AF219" s="88"/>
      <c r="AG219" s="88">
        <v>0.67988219748741852</v>
      </c>
      <c r="AI219" s="21">
        <v>0</v>
      </c>
      <c r="AJ219" s="88"/>
      <c r="AK219" s="89">
        <f>8*(AG219-$AG$147)/(2*($AA$147-AA219)+2*($AI$147-AI219))</f>
        <v>0.13785683886914188</v>
      </c>
      <c r="AL219" s="89"/>
      <c r="AM219" s="89">
        <f>(AG219-$AG$147)/(($AA$147-AA219)+($AI$147-AI219))</f>
        <v>3.446420971728547E-2</v>
      </c>
      <c r="AN219" s="89"/>
      <c r="AO219" s="37">
        <f>8*(BW219-$BW$147)/(2*($AA$147-AA219)+2*($AI$147-AI219))</f>
        <v>0.24175564415030312</v>
      </c>
      <c r="AQ219" s="37">
        <f>(BW219-$BW$147)/(($AA$147-AA219)+($AI$147-AI219))</f>
        <v>6.0438911037575781E-2</v>
      </c>
      <c r="AS219" s="37">
        <f>14*(BX219-$BX$147)/(2*($AA$147-AA219)+2*($AI$147-AI219))</f>
        <v>0</v>
      </c>
      <c r="AU219" s="37">
        <f>(BX219-$BX$147)/(($AA$147-AA219)+($AI$147-AI219))</f>
        <v>0</v>
      </c>
      <c r="AY219" s="90"/>
      <c r="AZ219" s="90"/>
      <c r="BA219" s="90"/>
      <c r="BB219" s="90"/>
      <c r="BC219" s="90"/>
      <c r="BD219" s="90"/>
      <c r="BE219" s="90"/>
      <c r="BF219" s="90"/>
      <c r="BG219" s="90">
        <v>405.53</v>
      </c>
      <c r="BH219" s="87"/>
      <c r="BI219" s="87">
        <v>0</v>
      </c>
      <c r="BJ219" s="87"/>
      <c r="BK219" s="87">
        <v>1.9</v>
      </c>
      <c r="BL219" s="87"/>
      <c r="BM219" s="87">
        <v>1.52</v>
      </c>
      <c r="BN219" s="87"/>
      <c r="BO219" s="89">
        <f>(BG219/1000)/60.2*1000</f>
        <v>6.7363787375415276</v>
      </c>
      <c r="BP219" s="88"/>
      <c r="BQ219" s="87">
        <f>BI219/74.08</f>
        <v>0</v>
      </c>
      <c r="BR219" s="87"/>
      <c r="BS219" s="87">
        <f>(BK219/1000)/88.12*1000</f>
        <v>2.156150703586019E-2</v>
      </c>
      <c r="BT219" s="87"/>
      <c r="BU219" s="87">
        <f>BM219/88.12</f>
        <v>1.724920562868815E-2</v>
      </c>
      <c r="BV219" s="87"/>
      <c r="BW219" s="86">
        <f>BO219*0.05</f>
        <v>0.33681893687707642</v>
      </c>
      <c r="BX219" s="85">
        <f t="shared" si="12"/>
        <v>0</v>
      </c>
      <c r="BY219" s="85">
        <f t="shared" si="13"/>
        <v>1.0780753517930096E-3</v>
      </c>
      <c r="BZ219" s="84">
        <f t="shared" si="14"/>
        <v>8.6246028143440758E-4</v>
      </c>
    </row>
    <row r="220" spans="1:78" x14ac:dyDescent="0.3">
      <c r="A220" s="173"/>
      <c r="B220" s="70" t="s">
        <v>96</v>
      </c>
      <c r="C220" s="20">
        <v>9</v>
      </c>
      <c r="D220" s="69"/>
      <c r="E220" s="21"/>
      <c r="F220" s="52">
        <v>1.2150000000000001</v>
      </c>
      <c r="H220" s="37">
        <v>0.502</v>
      </c>
      <c r="I220" s="52">
        <f>H220*0.2907</f>
        <v>0.14593140000000002</v>
      </c>
      <c r="K220" s="53">
        <f>(I220-$I$147)/(($AA$147-AA220)+($AI$147-AI220))*1000*0.05</f>
        <v>0.91816486330366409</v>
      </c>
      <c r="L220" s="68"/>
      <c r="M220" s="22">
        <v>14.504342476459312</v>
      </c>
      <c r="O220" s="21">
        <v>0</v>
      </c>
      <c r="Q220" s="21">
        <v>0.15445573003276206</v>
      </c>
      <c r="S220" s="21">
        <v>72.781628002331828</v>
      </c>
      <c r="U220" s="21">
        <v>12.55957379117609</v>
      </c>
      <c r="W220" s="21">
        <v>0</v>
      </c>
      <c r="Y220" s="22">
        <v>0.79329897363676016</v>
      </c>
      <c r="AA220" s="21">
        <v>0</v>
      </c>
      <c r="AC220" s="21">
        <v>8.4477853653947658E-3</v>
      </c>
      <c r="AE220" s="21">
        <v>3.9807106656210713</v>
      </c>
      <c r="AG220" s="21">
        <v>0.68693200081465244</v>
      </c>
      <c r="AI220" s="21">
        <v>0</v>
      </c>
      <c r="AJ220" s="21"/>
      <c r="AK220" s="22">
        <f>8*(AG220-$AG$148)/(2*($AA$148-AA220)+2*($AI$148-AI220))</f>
        <v>0.13402920644819316</v>
      </c>
      <c r="AL220" s="22"/>
      <c r="AM220" s="22">
        <f>(AG220-$AG$148)/(($AA$148-AA220)+($AI$148-AI220))</f>
        <v>3.350730161204829E-2</v>
      </c>
      <c r="AN220" s="22"/>
      <c r="AO220" s="37">
        <f>8*(BW220-$BW$148)/(2*($AA$148-AA220)+2*($AI$148-AI220))</f>
        <v>0.26828024788116955</v>
      </c>
      <c r="AQ220" s="37">
        <f>(BW220-$BW$148)/(($AA$148-AA220)+($AI$148-AI220))</f>
        <v>6.7070061970292388E-2</v>
      </c>
      <c r="AS220" s="37">
        <f>14*(BX220-$BX$148)/(2*($AA$148-AA220)+2*($AI$148-AI220))</f>
        <v>0</v>
      </c>
      <c r="AU220" s="37">
        <f>(BX220-$BX$148)/(($AA$148-AA220)+($AI$148-AI220))</f>
        <v>0</v>
      </c>
      <c r="BG220" s="37">
        <v>454.55</v>
      </c>
      <c r="BI220" s="2">
        <v>0</v>
      </c>
      <c r="BK220" s="2">
        <v>0.58199999999999996</v>
      </c>
      <c r="BM220" s="2">
        <v>0.84</v>
      </c>
      <c r="BO220" s="22">
        <f>(BG220/1000)/60.2*1000</f>
        <v>7.5506644518272426</v>
      </c>
      <c r="BQ220" s="2">
        <f>BI220/74.08</f>
        <v>0</v>
      </c>
      <c r="BS220" s="2">
        <f>(BK220/1000)/88.12*1000</f>
        <v>6.6046300499319104E-3</v>
      </c>
      <c r="BU220" s="2">
        <f>BM220/88.12</f>
        <v>9.5324557421697671E-3</v>
      </c>
      <c r="BW220" s="52">
        <f>BO220*0.05</f>
        <v>0.37753322259136213</v>
      </c>
      <c r="BX220" s="51">
        <f t="shared" si="12"/>
        <v>0</v>
      </c>
      <c r="BY220" s="51">
        <f t="shared" si="13"/>
        <v>3.3023150249659555E-4</v>
      </c>
      <c r="BZ220" s="67">
        <f t="shared" si="14"/>
        <v>4.7662278710848836E-4</v>
      </c>
    </row>
    <row r="221" spans="1:78" x14ac:dyDescent="0.3">
      <c r="A221" s="173"/>
      <c r="B221" s="70" t="s">
        <v>95</v>
      </c>
      <c r="C221" s="20">
        <v>9</v>
      </c>
      <c r="D221" s="69"/>
      <c r="E221" s="21"/>
      <c r="F221" s="52">
        <v>1.2250000000000001</v>
      </c>
      <c r="H221" s="37">
        <v>0.56000000000000005</v>
      </c>
      <c r="I221" s="52">
        <f>H221*0.2907</f>
        <v>0.16279200000000002</v>
      </c>
      <c r="K221" s="53">
        <f>(I221-$I$147)/(($AA$147-AA221)+($AI$147-AI221))*1000*0.05</f>
        <v>1.0694533919161999</v>
      </c>
      <c r="L221" s="68"/>
      <c r="M221" s="22">
        <v>15.760415768461975</v>
      </c>
      <c r="O221" s="21">
        <v>0</v>
      </c>
      <c r="Q221" s="21">
        <v>0.11895059540000469</v>
      </c>
      <c r="S221" s="21">
        <v>70.668290847880115</v>
      </c>
      <c r="U221" s="21">
        <v>13.452342788257909</v>
      </c>
      <c r="W221" s="21">
        <v>0</v>
      </c>
      <c r="Y221" s="22">
        <v>0.86909315141604648</v>
      </c>
      <c r="AA221" s="21">
        <v>0</v>
      </c>
      <c r="AC221" s="21">
        <v>6.5594175520341438E-3</v>
      </c>
      <c r="AE221" s="21">
        <v>3.8969357471565917</v>
      </c>
      <c r="AG221" s="21">
        <v>0.74181666013985648</v>
      </c>
      <c r="AI221" s="21">
        <v>0</v>
      </c>
      <c r="AJ221" s="21"/>
      <c r="AK221" s="22">
        <f>8*(AG221-$AG$149)/(2*($AA$149-AA221)+2*($AI$149-AI221))</f>
        <v>0.168966123516537</v>
      </c>
      <c r="AL221" s="22"/>
      <c r="AM221" s="22">
        <f>(AG221-$AG$149)/(($AA$149-AA221)+($AI$149-AI221))</f>
        <v>4.2241530879134251E-2</v>
      </c>
      <c r="AN221" s="22"/>
      <c r="AO221" s="37">
        <f>8*(BW221-$BW$149)/(2*($AA$149-AA221)+2*($AI$149-AI221))</f>
        <v>0.24391810168378383</v>
      </c>
      <c r="AQ221" s="37">
        <f>(BW221-$BW$148)/(($AA$148-AA221)+($AI$148-AI221))</f>
        <v>6.0631064470481937E-2</v>
      </c>
      <c r="AS221" s="37">
        <f>14*(BX221-$BX$149)/(2*($AA$149-AA221)+2*($AI$149-AI221))</f>
        <v>-3.378331882578653E-5</v>
      </c>
      <c r="AU221" s="37">
        <f>(BX221-$BX$149)/(($AA$149-AA221)+($AI$149-AI221))</f>
        <v>-4.8261884036837902E-6</v>
      </c>
      <c r="BG221" s="37">
        <v>410.92</v>
      </c>
      <c r="BI221" s="2">
        <v>0</v>
      </c>
      <c r="BK221" s="2">
        <v>0.84</v>
      </c>
      <c r="BM221" s="2">
        <v>0.59</v>
      </c>
      <c r="BO221" s="22">
        <f>(BG221/1000)/60.2*1000</f>
        <v>6.8259136212624583</v>
      </c>
      <c r="BQ221" s="2">
        <f>BI221/74.08</f>
        <v>0</v>
      </c>
      <c r="BS221" s="2">
        <f>(BK221/1000)/88.12*1000</f>
        <v>9.5324557421697671E-3</v>
      </c>
      <c r="BU221" s="2">
        <f>BM221/88.12</f>
        <v>6.6954153427144798E-3</v>
      </c>
      <c r="BW221" s="52">
        <f>BO221*0.05</f>
        <v>0.34129568106312291</v>
      </c>
      <c r="BX221" s="51">
        <f t="shared" si="12"/>
        <v>0</v>
      </c>
      <c r="BY221" s="51">
        <f t="shared" si="13"/>
        <v>4.7662278710848836E-4</v>
      </c>
      <c r="BZ221" s="67">
        <f t="shared" si="14"/>
        <v>3.34770767135724E-4</v>
      </c>
    </row>
    <row r="222" spans="1:78" x14ac:dyDescent="0.3">
      <c r="A222" s="173"/>
      <c r="B222" s="83" t="s">
        <v>63</v>
      </c>
      <c r="C222" s="80">
        <v>9</v>
      </c>
      <c r="D222" s="79" t="e">
        <f>AVERAGE(D219:D221)</f>
        <v>#DIV/0!</v>
      </c>
      <c r="E222" s="76"/>
      <c r="F222" s="74">
        <f>AVERAGE(F219:F221)</f>
        <v>1.2066666666666668</v>
      </c>
      <c r="G222" s="73">
        <f>_xlfn.STDEV.S(F219:F221)</f>
        <v>2.3629078131263123E-2</v>
      </c>
      <c r="H222" s="77">
        <f>AVERAGE(H219:H221)</f>
        <v>0.53033333333333343</v>
      </c>
      <c r="I222" s="74">
        <f>AVERAGE(I219:I221)</f>
        <v>0.15416790000000002</v>
      </c>
      <c r="J222" s="82">
        <f>_xlfn.STDEV.S(I219:I221)</f>
        <v>8.4369801119831989E-3</v>
      </c>
      <c r="K222" s="82">
        <f>(I222-$I$147)/(($AA$147-AA222)+($AI$147-AI222))*1000*0.05</f>
        <v>0.99207017900519023</v>
      </c>
      <c r="L222" s="81">
        <f>_xlfn.STDEV.S(K219:K221)</f>
        <v>7.5704204303237474E-2</v>
      </c>
      <c r="M222" s="77">
        <f>AVERAGE(M219:M221)</f>
        <v>15.254002746216583</v>
      </c>
      <c r="N222" s="76">
        <f>_xlfn.STDEV.S(M219:M221)</f>
        <v>0.66242504956197179</v>
      </c>
      <c r="O222" s="76">
        <f>AVERAGE(O219:O221)</f>
        <v>0</v>
      </c>
      <c r="P222" s="76">
        <f>_xlfn.STDEV.S(O219:O221)</f>
        <v>0</v>
      </c>
      <c r="Q222" s="76">
        <f>AVERAGE(Q219:Q221)</f>
        <v>0.14792239770855323</v>
      </c>
      <c r="R222" s="76">
        <f>_xlfn.STDEV.S(Q219:Q221)</f>
        <v>2.6320473927175861E-2</v>
      </c>
      <c r="S222" s="76">
        <f>AVERAGE(S219:S221)</f>
        <v>71.660974420043047</v>
      </c>
      <c r="T222" s="76">
        <f>_xlfn.STDEV.S(S219:S221)</f>
        <v>1.0624644580950573</v>
      </c>
      <c r="U222" s="76">
        <f>AVERAGE(U219:U221)</f>
        <v>12.937100436031814</v>
      </c>
      <c r="V222" s="76">
        <f>_xlfn.STDEV.S(U219:U221)</f>
        <v>0.46204256576641239</v>
      </c>
      <c r="W222" s="76">
        <f>AVERAGE(W219:W221)</f>
        <v>0</v>
      </c>
      <c r="X222" s="76">
        <f>_xlfn.STDEV.S(W219:W221)</f>
        <v>0</v>
      </c>
      <c r="Y222" s="77">
        <f>AVERAGE(Y219:Y221)</f>
        <v>0.82852682462555138</v>
      </c>
      <c r="Z222" s="76">
        <f>_xlfn.STDEV.S(Y219:Y221)</f>
        <v>3.8178054419044816E-2</v>
      </c>
      <c r="AA222" s="76">
        <f>AVERAGE(AA219:AA221)</f>
        <v>0</v>
      </c>
      <c r="AB222" s="76">
        <f>_xlfn.STDEV.S(AA219:AA221)</f>
        <v>0</v>
      </c>
      <c r="AC222" s="76">
        <f>AVERAGE(AC219:AC221)</f>
        <v>8.0188303698868844E-3</v>
      </c>
      <c r="AD222" s="76">
        <f>_xlfn.STDEV.S(AC219:AC221)</f>
        <v>1.2991788723489457E-3</v>
      </c>
      <c r="AE222" s="76">
        <f>AVERAGE(AE219:AE221)</f>
        <v>3.8924538586062574</v>
      </c>
      <c r="AF222" s="76">
        <f>_xlfn.STDEV.S(AE219:AE221)</f>
        <v>9.0580949886146497E-2</v>
      </c>
      <c r="AG222" s="76">
        <f>AVERAGE(AG219:AG221)</f>
        <v>0.70287695281397589</v>
      </c>
      <c r="AH222" s="76">
        <f>_xlfn.STDEV.S(AG219:AG221)</f>
        <v>3.3906496968974881E-2</v>
      </c>
      <c r="AI222" s="76">
        <f>AVERAGE(AI219:AI221)</f>
        <v>0</v>
      </c>
      <c r="AJ222" s="75">
        <f>_xlfn.STDEV.S(AI219:AI221)</f>
        <v>0</v>
      </c>
      <c r="AK222" s="77">
        <f>AVERAGE(AK219:AK221)</f>
        <v>0.14695072294462402</v>
      </c>
      <c r="AL222" s="77">
        <f>_xlfn.STDEV.S(AK219:AK221)</f>
        <v>1.9161708933281844E-2</v>
      </c>
      <c r="AM222" s="77">
        <f>AVERAGE(AM219:AM221)</f>
        <v>3.6737680736156006E-2</v>
      </c>
      <c r="AN222" s="77">
        <f>_xlfn.STDEV.S(AM219:AM221)</f>
        <v>4.7904272333204696E-3</v>
      </c>
      <c r="AO222" s="78">
        <f>AVERAGE(AO219:AO221)</f>
        <v>0.25131799790508552</v>
      </c>
      <c r="AP222" s="78">
        <f>_xlfn.STDEV.S(AO219:AO221)</f>
        <v>1.472947720845514E-2</v>
      </c>
      <c r="AQ222" s="78">
        <f>AVERAGE(AQ219:AQ221)</f>
        <v>6.2713345826116706E-2</v>
      </c>
      <c r="AR222" s="78">
        <f>_xlfn.STDEV.S(AQ219:AQ221)</f>
        <v>3.7742499130469886E-3</v>
      </c>
      <c r="AS222" s="78">
        <f>AVERAGE(AS219:AS221)</f>
        <v>-1.1261106275262177E-5</v>
      </c>
      <c r="AT222" s="78">
        <f>_xlfn.STDEV.S(AS219:AS221)</f>
        <v>1.9504808218186805E-5</v>
      </c>
      <c r="AU222" s="78">
        <f>AVERAGE(AU219:AU221)</f>
        <v>-1.6087294678945968E-6</v>
      </c>
      <c r="AV222" s="80">
        <f>_xlfn.STDEV.S(AU219:AU221)</f>
        <v>2.7864011740266866E-6</v>
      </c>
      <c r="AW222" s="80"/>
      <c r="AX222" s="80"/>
      <c r="AY222" s="79">
        <f>SUM(AK222,AO222,AS222)</f>
        <v>0.39825745974343429</v>
      </c>
      <c r="AZ222" s="77">
        <f>SUM(AL222,AP222,AT222)</f>
        <v>3.391069094995517E-2</v>
      </c>
      <c r="BA222" s="78"/>
      <c r="BB222" s="78"/>
      <c r="BC222" s="78"/>
      <c r="BD222" s="78"/>
      <c r="BE222" s="78"/>
      <c r="BF222" s="78"/>
      <c r="BG222" s="78"/>
      <c r="BH222" s="75"/>
      <c r="BI222" s="75"/>
      <c r="BJ222" s="75"/>
      <c r="BK222" s="75"/>
      <c r="BL222" s="75"/>
      <c r="BM222" s="75"/>
      <c r="BN222" s="75"/>
      <c r="BO222" s="77">
        <f>AVERAGE(BO219:BO221)</f>
        <v>7.0376522702104092</v>
      </c>
      <c r="BP222" s="76">
        <f>_xlfn.STDEV.S(BO219:BO221)</f>
        <v>0.44653135132505206</v>
      </c>
      <c r="BQ222" s="75">
        <f>AVERAGE(BQ219:BQ221)</f>
        <v>0</v>
      </c>
      <c r="BR222" s="75">
        <f>_xlfn.STDEV.S(BQ219:BQ221)</f>
        <v>0</v>
      </c>
      <c r="BS222" s="75">
        <f>AVERAGE(BS219:BS221)</f>
        <v>1.2566197609320623E-2</v>
      </c>
      <c r="BT222" s="75">
        <f>_xlfn.STDEV.S(BS219:BS221)</f>
        <v>7.9265209632237606E-3</v>
      </c>
      <c r="BU222" s="75">
        <f>AVERAGE(BU219:BU221)</f>
        <v>1.1159025571190799E-2</v>
      </c>
      <c r="BV222" s="75">
        <f>_xlfn.STDEV.S(BU219:BU221)</f>
        <v>5.4616773436911466E-3</v>
      </c>
      <c r="BW222" s="74">
        <f>AVERAGE(BW219:BW221)</f>
        <v>0.35188261351052047</v>
      </c>
      <c r="BX222" s="73">
        <f t="shared" si="12"/>
        <v>0</v>
      </c>
      <c r="BY222" s="73">
        <f t="shared" si="13"/>
        <v>6.2830988046603121E-4</v>
      </c>
      <c r="BZ222" s="72">
        <f t="shared" si="14"/>
        <v>5.5795127855954002E-4</v>
      </c>
    </row>
    <row r="223" spans="1:78" x14ac:dyDescent="0.3">
      <c r="A223" s="174" t="s">
        <v>61</v>
      </c>
      <c r="B223" s="70" t="s">
        <v>94</v>
      </c>
      <c r="C223" s="20">
        <v>9</v>
      </c>
      <c r="D223" s="69"/>
      <c r="E223" s="21"/>
      <c r="F223" s="52">
        <v>1.165</v>
      </c>
      <c r="H223" s="37">
        <v>0.20799999999999999</v>
      </c>
      <c r="I223" s="52">
        <f>H223*0.2907</f>
        <v>6.0465600000000001E-2</v>
      </c>
      <c r="K223" s="53">
        <f>(I223-$I$151)/($BW$151-BW223)*1000*0.05</f>
        <v>7.0738702987697595</v>
      </c>
      <c r="L223" s="68"/>
      <c r="M223" s="22">
        <v>2.4278267962843891</v>
      </c>
      <c r="O223" s="21">
        <v>0</v>
      </c>
      <c r="Q223" s="21">
        <v>9.8744440270446376E-2</v>
      </c>
      <c r="S223" s="21">
        <v>97.012955514313447</v>
      </c>
      <c r="U223" s="21">
        <v>0.46047324913171306</v>
      </c>
      <c r="W223" s="21">
        <v>0</v>
      </c>
      <c r="Y223" s="22">
        <v>0.12732280403660357</v>
      </c>
      <c r="AA223" s="21">
        <v>0</v>
      </c>
      <c r="AC223" s="21">
        <v>5.1784662058674512E-3</v>
      </c>
      <c r="AE223" s="21">
        <v>5.0876617487147113</v>
      </c>
      <c r="AG223" s="21">
        <v>2.4148652347450086E-2</v>
      </c>
      <c r="AI223" s="21">
        <v>0</v>
      </c>
      <c r="AK223" s="22">
        <f>8*(AG223-$AG$151)/(8*($BW$151-BW223))</f>
        <v>0.5109837860514912</v>
      </c>
      <c r="AL223" s="22"/>
      <c r="AM223" s="22">
        <f>(AG223-$AG$151)/($BW$151-BW223)</f>
        <v>0.5109837860514912</v>
      </c>
      <c r="AN223" s="22"/>
      <c r="BG223" s="37">
        <v>1485.52</v>
      </c>
      <c r="BI223" s="2">
        <v>0</v>
      </c>
      <c r="BK223" s="2">
        <v>0</v>
      </c>
      <c r="BM223" s="2">
        <v>0</v>
      </c>
      <c r="BO223" s="22">
        <f>(BG223/1000)/60.2*1000</f>
        <v>24.676411960132889</v>
      </c>
      <c r="BQ223" s="2">
        <f>BI223/74.08</f>
        <v>0</v>
      </c>
      <c r="BS223" s="2">
        <f>(BK223/1000)/88.12*1000</f>
        <v>0</v>
      </c>
      <c r="BU223" s="2">
        <f>BM223/88.12</f>
        <v>0</v>
      </c>
      <c r="BW223" s="52">
        <f>BO223*0.05</f>
        <v>1.2338205980066446</v>
      </c>
      <c r="BX223" s="51">
        <f t="shared" si="12"/>
        <v>0</v>
      </c>
      <c r="BY223" s="51">
        <f t="shared" si="13"/>
        <v>0</v>
      </c>
      <c r="BZ223" s="67">
        <f t="shared" si="14"/>
        <v>0</v>
      </c>
    </row>
    <row r="224" spans="1:78" x14ac:dyDescent="0.3">
      <c r="A224" s="173"/>
      <c r="B224" s="70" t="s">
        <v>93</v>
      </c>
      <c r="C224" s="20">
        <v>9</v>
      </c>
      <c r="D224" s="69"/>
      <c r="E224" s="21"/>
      <c r="F224" s="52">
        <v>1.18</v>
      </c>
      <c r="H224" s="37">
        <v>0.183</v>
      </c>
      <c r="I224" s="52">
        <f>H224*0.2907</f>
        <v>5.3198099999999998E-2</v>
      </c>
      <c r="K224" s="53">
        <f>(I224-$I$152)/($BW$152-BW224)*1000*0.05</f>
        <v>2.4004247375954169</v>
      </c>
      <c r="L224" s="68"/>
      <c r="M224" s="22">
        <v>2.2961503069206404</v>
      </c>
      <c r="O224" s="21">
        <v>0</v>
      </c>
      <c r="Q224" s="21">
        <v>0.26639068601831845</v>
      </c>
      <c r="S224" s="21">
        <v>97.222140317326975</v>
      </c>
      <c r="U224" s="21">
        <v>0.21531868973406393</v>
      </c>
      <c r="W224" s="21">
        <v>0</v>
      </c>
      <c r="Y224" s="22">
        <v>0.12196771559923848</v>
      </c>
      <c r="AA224" s="21">
        <v>0</v>
      </c>
      <c r="AC224" s="21">
        <v>1.4150233690120204E-2</v>
      </c>
      <c r="AE224" s="21">
        <v>5.1642796747376991</v>
      </c>
      <c r="AG224" s="21">
        <v>1.1437373517548493E-2</v>
      </c>
      <c r="AI224" s="21">
        <v>0</v>
      </c>
      <c r="AK224" s="22">
        <f>8*(AG224-$AG$152)/(8*($BW$152-BW224))</f>
        <v>8.2124270724763734E-2</v>
      </c>
      <c r="AL224" s="22"/>
      <c r="AM224" s="22">
        <f>(AG224-$AG$152)/($BW$152-BW224)</f>
        <v>8.2124270724763734E-2</v>
      </c>
      <c r="AN224" s="22"/>
      <c r="BG224" s="37">
        <v>1425.84</v>
      </c>
      <c r="BI224" s="2">
        <v>0</v>
      </c>
      <c r="BK224" s="2">
        <v>0</v>
      </c>
      <c r="BM224" s="2">
        <v>0</v>
      </c>
      <c r="BO224" s="22">
        <f>(BG224/1000)/60.2*1000</f>
        <v>23.685049833887042</v>
      </c>
      <c r="BQ224" s="2">
        <f>BI224/74.08</f>
        <v>0</v>
      </c>
      <c r="BS224" s="2">
        <f>(BK224/1000)/88.12*1000</f>
        <v>0</v>
      </c>
      <c r="BU224" s="2">
        <f>BM224/88.12</f>
        <v>0</v>
      </c>
      <c r="BW224" s="52">
        <f>BO224*0.05</f>
        <v>1.1842524916943522</v>
      </c>
      <c r="BX224" s="51">
        <f t="shared" si="12"/>
        <v>0</v>
      </c>
      <c r="BY224" s="51">
        <f t="shared" si="13"/>
        <v>0</v>
      </c>
      <c r="BZ224" s="67">
        <f t="shared" si="14"/>
        <v>0</v>
      </c>
    </row>
    <row r="225" spans="1:78" x14ac:dyDescent="0.3">
      <c r="A225" s="173"/>
      <c r="B225" s="70" t="s">
        <v>92</v>
      </c>
      <c r="C225" s="20">
        <v>9</v>
      </c>
      <c r="D225" s="69"/>
      <c r="E225" s="21"/>
      <c r="F225" s="52">
        <v>1.1950000000000001</v>
      </c>
      <c r="G225" s="67"/>
      <c r="H225" s="37">
        <v>0.19600000000000001</v>
      </c>
      <c r="I225" s="52">
        <f>H225*0.2907</f>
        <v>5.6977200000000006E-2</v>
      </c>
      <c r="K225" s="53">
        <f>(I225-$I$153)/($BW$153-BW225)*1000*0.05</f>
        <v>19.663078651685076</v>
      </c>
      <c r="L225" s="68"/>
      <c r="M225" s="22">
        <v>0.77115229257362328</v>
      </c>
      <c r="O225" s="21">
        <v>0</v>
      </c>
      <c r="Q225" s="21">
        <v>0.38311807944602677</v>
      </c>
      <c r="S225" s="21">
        <v>98.592084632857123</v>
      </c>
      <c r="U225" s="21">
        <v>0.2536449951232298</v>
      </c>
      <c r="W225" s="21">
        <v>0</v>
      </c>
      <c r="Y225" s="22">
        <v>4.1483045039614821E-2</v>
      </c>
      <c r="AA225" s="21">
        <v>0</v>
      </c>
      <c r="AC225" s="21">
        <v>2.0609294296603464E-2</v>
      </c>
      <c r="AE225" s="21">
        <v>5.3036215112903378</v>
      </c>
      <c r="AG225" s="21">
        <v>1.3644473158024455E-2</v>
      </c>
      <c r="AI225" s="21">
        <v>0</v>
      </c>
      <c r="AK225" s="22">
        <f>8*(AG225-$AG$153)/(8*($BW$153-BW225))</f>
        <v>0.76909858063020442</v>
      </c>
      <c r="AL225" s="22"/>
      <c r="AM225" s="22">
        <f>(AG225-$AG$153)/($BW$153-BW225)</f>
        <v>0.76909858063020442</v>
      </c>
      <c r="AN225" s="22"/>
      <c r="BG225" s="37">
        <v>1482.52</v>
      </c>
      <c r="BI225" s="2">
        <v>0</v>
      </c>
      <c r="BK225" s="2">
        <v>0</v>
      </c>
      <c r="BM225" s="2">
        <v>0</v>
      </c>
      <c r="BO225" s="22">
        <f>(BG225/1000)/60.2*1000</f>
        <v>24.6265780730897</v>
      </c>
      <c r="BQ225" s="2">
        <f>BI225/74.08</f>
        <v>0</v>
      </c>
      <c r="BS225" s="2">
        <f>(BK225/1000)/88.12*1000</f>
        <v>0</v>
      </c>
      <c r="BU225" s="2">
        <f>BM225/88.12</f>
        <v>0</v>
      </c>
      <c r="BW225" s="52">
        <f>BO225*0.05</f>
        <v>1.231328903654485</v>
      </c>
      <c r="BX225" s="51">
        <f t="shared" si="12"/>
        <v>0</v>
      </c>
      <c r="BY225" s="51">
        <f t="shared" si="13"/>
        <v>0</v>
      </c>
      <c r="BZ225" s="67">
        <f t="shared" si="14"/>
        <v>0</v>
      </c>
    </row>
    <row r="226" spans="1:78" ht="15" thickBot="1" x14ac:dyDescent="0.35">
      <c r="A226" s="175"/>
      <c r="B226" s="66" t="s">
        <v>63</v>
      </c>
      <c r="C226" s="65">
        <v>9</v>
      </c>
      <c r="D226" s="64" t="e">
        <f>AVERAGE(D223:D225)</f>
        <v>#DIV/0!</v>
      </c>
      <c r="E226" s="58"/>
      <c r="F226" s="56">
        <f>AVERAGE(F223:F225)</f>
        <v>1.18</v>
      </c>
      <c r="G226" s="55">
        <f>_xlfn.STDEV.S(F223:F225)</f>
        <v>1.5000000000000013E-2</v>
      </c>
      <c r="H226" s="60">
        <f>AVERAGE(H223:H225)</f>
        <v>0.19566666666666666</v>
      </c>
      <c r="I226" s="56">
        <f>AVERAGE(I223:I225)</f>
        <v>5.6880300000000002E-2</v>
      </c>
      <c r="J226" s="63">
        <f>_xlfn.STDEV.S(I223:I225)</f>
        <v>3.6347188708344435E-3</v>
      </c>
      <c r="K226" s="56">
        <f>AVERAGE(K223:K225)</f>
        <v>9.7124578960167511</v>
      </c>
      <c r="L226" s="62">
        <f>_xlfn.STDEV.S(K223:K225)</f>
        <v>8.9286848651225217</v>
      </c>
      <c r="M226" s="59">
        <f>AVERAGE(M223:M225)</f>
        <v>1.8317097985928843</v>
      </c>
      <c r="N226" s="58">
        <f>_xlfn.STDEV.S(M223:M225)</f>
        <v>0.92082644518016332</v>
      </c>
      <c r="O226" s="58">
        <f>AVERAGE(O223:O225)</f>
        <v>0</v>
      </c>
      <c r="P226" s="58">
        <f>_xlfn.STDEV.S(O223:O225)</f>
        <v>0</v>
      </c>
      <c r="Q226" s="58">
        <f>AVERAGE(Q223:Q225)</f>
        <v>0.24941773524493052</v>
      </c>
      <c r="R226" s="58">
        <f>_xlfn.STDEV.S(Q223:Q225)</f>
        <v>0.14294457827409082</v>
      </c>
      <c r="S226" s="58">
        <f>AVERAGE(S223:S225)</f>
        <v>97.609060154832505</v>
      </c>
      <c r="T226" s="58">
        <f>_xlfn.STDEV.S(S223:S225)</f>
        <v>0.85772513881173906</v>
      </c>
      <c r="U226" s="58">
        <f>AVERAGE(U223:U225)</f>
        <v>0.30981231132966891</v>
      </c>
      <c r="V226" s="58">
        <f>_xlfn.STDEV.S(U223:U225)</f>
        <v>0.13187594570557393</v>
      </c>
      <c r="W226" s="58">
        <f>AVERAGE(W223:W225)</f>
        <v>0</v>
      </c>
      <c r="X226" s="58">
        <f>_xlfn.STDEV.S(W223:W225)</f>
        <v>0</v>
      </c>
      <c r="Y226" s="59">
        <f>AVERAGE(Y223:Y225)</f>
        <v>9.6924521558485618E-2</v>
      </c>
      <c r="Z226" s="58">
        <f>_xlfn.STDEV.S(Y223:Y225)</f>
        <v>4.8088327398521369E-2</v>
      </c>
      <c r="AA226" s="58">
        <f>AVERAGE(AA223:AA225)</f>
        <v>0</v>
      </c>
      <c r="AB226" s="58">
        <f>_xlfn.STDEV.S(AA223:AA225)</f>
        <v>0</v>
      </c>
      <c r="AC226" s="58">
        <f>AVERAGE(AC223:AC225)</f>
        <v>1.3312664730863706E-2</v>
      </c>
      <c r="AD226" s="58">
        <f>_xlfn.STDEV.S(AC223:AC225)</f>
        <v>7.749435799630471E-3</v>
      </c>
      <c r="AE226" s="58">
        <f>AVERAGE(AE223:AE225)</f>
        <v>5.18518764491425</v>
      </c>
      <c r="AF226" s="58">
        <f>_xlfn.STDEV.S(AE223:AE225)</f>
        <v>0.1094874978050365</v>
      </c>
      <c r="AG226" s="58">
        <f>AVERAGE(AG223:AG225)</f>
        <v>1.6410166341007681E-2</v>
      </c>
      <c r="AH226" s="58">
        <f>_xlfn.STDEV.S(AG223:AG225)</f>
        <v>6.7919766239052937E-3</v>
      </c>
      <c r="AI226" s="58">
        <f>AVERAGE(AI223:AI225)</f>
        <v>0</v>
      </c>
      <c r="AJ226" s="57">
        <f>_xlfn.STDEV.S(AI223:AI225)</f>
        <v>0</v>
      </c>
      <c r="AK226" s="77">
        <f>AVERAGE(AK223:AK225)</f>
        <v>0.45406887913548638</v>
      </c>
      <c r="AL226" s="77">
        <f>_xlfn.STDEV.S(AK223:AK225)</f>
        <v>0.34700562760488091</v>
      </c>
      <c r="AM226" s="77">
        <f>AVERAGE(AM223:AM225)</f>
        <v>0.45406887913548638</v>
      </c>
      <c r="AN226" s="77">
        <f>_xlfn.STDEV.S(AM223:AM225)</f>
        <v>0.34700562760488091</v>
      </c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59">
        <f>SUM(AK226,AO226,AS226)</f>
        <v>0.45406887913548638</v>
      </c>
      <c r="AZ226" s="59">
        <f>SUM(AL226,AP226,AT226)</f>
        <v>0.34700562760488091</v>
      </c>
      <c r="BA226" s="60"/>
      <c r="BB226" s="60"/>
      <c r="BC226" s="60"/>
      <c r="BD226" s="60"/>
      <c r="BE226" s="60"/>
      <c r="BF226" s="60"/>
      <c r="BG226" s="60">
        <f>AVERAGE(BG223:BG225)</f>
        <v>1464.6266666666663</v>
      </c>
      <c r="BH226" s="57">
        <f>_xlfn.STDEV.S(BG223:BG225)</f>
        <v>33.623713853965263</v>
      </c>
      <c r="BI226" s="57">
        <f>AVERAGE(BI223:BI225)</f>
        <v>0</v>
      </c>
      <c r="BJ226" s="57" t="e">
        <f>_xlfn.STDEV.S(BH223:BH225)</f>
        <v>#DIV/0!</v>
      </c>
      <c r="BK226" s="57">
        <f>AVERAGE(BK223:BK225)</f>
        <v>0</v>
      </c>
      <c r="BL226" s="57">
        <f>_xlfn.STDEV.S(BK223:BK225)</f>
        <v>0</v>
      </c>
      <c r="BM226" s="57">
        <f>AVERAGE(BM223:BM225)</f>
        <v>0</v>
      </c>
      <c r="BN226" s="57" t="e">
        <f>_xlfn.STDEV.S(BL223:BL225)</f>
        <v>#DIV/0!</v>
      </c>
      <c r="BO226" s="59">
        <f>AVERAGE(BO223:BO225)</f>
        <v>24.329346622369879</v>
      </c>
      <c r="BP226" s="58">
        <f>_xlfn.STDEV.S(BO223:BO225)</f>
        <v>0.55853345272367461</v>
      </c>
      <c r="BQ226" s="57">
        <f>AVERAGE(BQ223:BQ225)</f>
        <v>0</v>
      </c>
      <c r="BR226" s="57">
        <f>_xlfn.STDEV.S(BQ223:BQ225)</f>
        <v>0</v>
      </c>
      <c r="BS226" s="57">
        <f>AVERAGE(BS223:BS225)</f>
        <v>0</v>
      </c>
      <c r="BT226" s="57">
        <f>_xlfn.STDEV.S(BS223:BS225)</f>
        <v>0</v>
      </c>
      <c r="BU226" s="57">
        <f>AVERAGE(BU223:BU225)</f>
        <v>0</v>
      </c>
      <c r="BV226" s="57">
        <f>_xlfn.STDEV.S(BU223:BU225)</f>
        <v>0</v>
      </c>
      <c r="BW226" s="56">
        <f>AVERAGE(BW223:BW225)</f>
        <v>1.2164673311184939</v>
      </c>
      <c r="BX226" s="55">
        <f t="shared" si="12"/>
        <v>0</v>
      </c>
      <c r="BY226" s="55">
        <f t="shared" si="13"/>
        <v>0</v>
      </c>
      <c r="BZ226" s="54">
        <f t="shared" si="14"/>
        <v>0</v>
      </c>
    </row>
    <row r="227" spans="1:78" x14ac:dyDescent="0.3">
      <c r="A227" s="172" t="s">
        <v>98</v>
      </c>
      <c r="B227" s="95" t="s">
        <v>97</v>
      </c>
      <c r="C227" s="94">
        <v>10</v>
      </c>
      <c r="D227" s="93"/>
      <c r="E227" s="88"/>
      <c r="F227" s="86">
        <v>1.1850000000000001</v>
      </c>
      <c r="G227" s="85"/>
      <c r="H227" s="90">
        <v>0.52100000000000002</v>
      </c>
      <c r="I227" s="86">
        <f>H227*0.2907</f>
        <v>0.15145470000000003</v>
      </c>
      <c r="J227" s="92"/>
      <c r="K227" s="92">
        <f>(I227-$I$147)/(($AA$147-AA227)+($AI$147-AI227))*1000*0.05</f>
        <v>0.96772489853880528</v>
      </c>
      <c r="L227" s="91"/>
      <c r="M227" s="89">
        <v>15.495181527333177</v>
      </c>
      <c r="O227" s="21">
        <v>0</v>
      </c>
      <c r="P227" s="88"/>
      <c r="Q227" s="88">
        <v>0.15875566979683653</v>
      </c>
      <c r="S227" s="21">
        <v>71.001025711538219</v>
      </c>
      <c r="T227" s="88"/>
      <c r="U227" s="88">
        <v>13.345037091331784</v>
      </c>
      <c r="W227" s="21">
        <v>0</v>
      </c>
      <c r="X227" s="88"/>
      <c r="Y227" s="89">
        <v>0.82656609596000963</v>
      </c>
      <c r="AA227" s="21">
        <v>0</v>
      </c>
      <c r="AB227" s="88"/>
      <c r="AC227" s="88">
        <v>8.4685715984685085E-3</v>
      </c>
      <c r="AE227" s="21">
        <v>3.7874380837694419</v>
      </c>
      <c r="AF227" s="88"/>
      <c r="AG227" s="88">
        <v>0.71187002163001234</v>
      </c>
      <c r="AI227" s="21">
        <v>0</v>
      </c>
      <c r="AJ227" s="87"/>
      <c r="AK227" s="89">
        <f>8*(AG227-$AG$147)/(2*($AA$147-AA227)+2*($AI$147-AI227))</f>
        <v>0.16081873037027264</v>
      </c>
      <c r="AL227" s="89"/>
      <c r="AM227" s="89">
        <f>(AG227-$AG$147)/(($AA$147-AA227)+($AI$147-AI227))</f>
        <v>4.020468259256816E-2</v>
      </c>
      <c r="AN227" s="89"/>
      <c r="AO227" s="37">
        <f>8*(BW227-$BW$147)/(2*($AA$147-AA227)+2*($AI$147-AI227))</f>
        <v>0.19526348619119033</v>
      </c>
      <c r="AQ227" s="37">
        <f>(BW227-$BW$147)/(($AA$147-AA227)+($AI$147-AI227))</f>
        <v>4.8815871547797582E-2</v>
      </c>
      <c r="AS227" s="37">
        <f>14*(BX227-$BX$147)/(2*($AA$147-AA227)+2*($AI$147-AI227))</f>
        <v>0</v>
      </c>
      <c r="AU227" s="37">
        <f>(BX227-$BX$147)/(($AA$147-AA227)+($AI$147-AI227))</f>
        <v>0</v>
      </c>
      <c r="AY227" s="90"/>
      <c r="AZ227" s="90"/>
      <c r="BA227" s="90"/>
      <c r="BB227" s="90"/>
      <c r="BC227" s="90"/>
      <c r="BD227" s="90"/>
      <c r="BE227" s="90"/>
      <c r="BF227" s="90"/>
      <c r="BG227" s="37">
        <v>327.55</v>
      </c>
      <c r="BH227" s="87"/>
      <c r="BI227" s="87">
        <v>0</v>
      </c>
      <c r="BJ227" s="87"/>
      <c r="BK227" s="87">
        <v>1.1299999999999999</v>
      </c>
      <c r="BL227" s="87"/>
      <c r="BM227" s="87">
        <v>1.94</v>
      </c>
      <c r="BN227" s="87"/>
      <c r="BO227" s="89">
        <f>(BG227/1000)/60.2*1000</f>
        <v>5.4410299003322251</v>
      </c>
      <c r="BP227" s="88"/>
      <c r="BQ227" s="87">
        <f>BI227/74.08</f>
        <v>0</v>
      </c>
      <c r="BR227" s="87"/>
      <c r="BS227" s="87">
        <f>(BK227/1000)/88.12*1000</f>
        <v>1.28234226055379E-2</v>
      </c>
      <c r="BT227" s="87"/>
      <c r="BU227" s="87">
        <f>BM227/88.12</f>
        <v>2.2015433499773036E-2</v>
      </c>
      <c r="BV227" s="87"/>
      <c r="BW227" s="86">
        <f>BO227*0.05</f>
        <v>0.27205149501661124</v>
      </c>
      <c r="BX227" s="85">
        <f t="shared" si="12"/>
        <v>0</v>
      </c>
      <c r="BY227" s="85">
        <f t="shared" si="13"/>
        <v>6.4117113027689502E-4</v>
      </c>
      <c r="BZ227" s="84">
        <f t="shared" si="14"/>
        <v>1.1007716749886519E-3</v>
      </c>
    </row>
    <row r="228" spans="1:78" x14ac:dyDescent="0.3">
      <c r="A228" s="173"/>
      <c r="B228" s="70" t="s">
        <v>96</v>
      </c>
      <c r="C228" s="20">
        <v>10</v>
      </c>
      <c r="D228" s="69"/>
      <c r="E228" s="21"/>
      <c r="F228" s="52">
        <v>1.24</v>
      </c>
      <c r="H228" s="37">
        <v>0.51200000000000001</v>
      </c>
      <c r="I228" s="52">
        <f>H228*0.2907</f>
        <v>0.14883840000000001</v>
      </c>
      <c r="K228" s="53">
        <f>(I228-$I$147)/(($AA$147-AA228)+($AI$147-AI228))*1000*0.05</f>
        <v>0.94424909237479104</v>
      </c>
      <c r="L228" s="68"/>
      <c r="M228" s="22">
        <v>13.602027893341884</v>
      </c>
      <c r="O228" s="21">
        <v>0</v>
      </c>
      <c r="Q228" s="21">
        <v>9.0845184008905067E-2</v>
      </c>
      <c r="S228" s="21">
        <v>74.110178336265662</v>
      </c>
      <c r="U228" s="21">
        <v>12.196948586383535</v>
      </c>
      <c r="W228" s="21">
        <v>0</v>
      </c>
      <c r="Y228" s="22">
        <v>0.75925544469300743</v>
      </c>
      <c r="AA228" s="21">
        <v>0</v>
      </c>
      <c r="AC228" s="21">
        <v>5.0709130376553656E-3</v>
      </c>
      <c r="AE228" s="21">
        <v>4.136777019588572</v>
      </c>
      <c r="AG228" s="21">
        <v>0.68082492518526527</v>
      </c>
      <c r="AI228" s="21">
        <v>0</v>
      </c>
      <c r="AK228" s="22">
        <f>8*(AG228-$AG$148)/(2*($AA$148-AA228)+2*($AI$148-AI228))</f>
        <v>0.12968857592521649</v>
      </c>
      <c r="AL228" s="22"/>
      <c r="AM228" s="22">
        <f>(AG228-$AG$148)/(($AA$148-AA228)+($AI$148-AI228))</f>
        <v>3.2422143981304122E-2</v>
      </c>
      <c r="AN228" s="22"/>
      <c r="AO228" s="37">
        <f>8*(BW228-$BW$148)/(2*($AA$148-AA228)+2*($AI$148-AI228))</f>
        <v>0.21556399972778217</v>
      </c>
      <c r="AQ228" s="37">
        <f>(BW228-$BW$148)/(($AA$148-AA228)+($AI$148-AI228))</f>
        <v>5.3890999931945543E-2</v>
      </c>
      <c r="AS228" s="37">
        <f>14*(BX228-$BX$148)/(2*($AA$148-AA228)+2*($AI$148-AI228))</f>
        <v>0</v>
      </c>
      <c r="AU228" s="37">
        <f>(BX228-$BX$148)/(($AA$148-AA228)+($AI$148-AI228))</f>
        <v>0</v>
      </c>
      <c r="BG228" s="37">
        <v>365.25</v>
      </c>
      <c r="BI228" s="2">
        <v>0</v>
      </c>
      <c r="BK228" s="2">
        <v>0.49</v>
      </c>
      <c r="BM228" s="2">
        <v>1.48</v>
      </c>
      <c r="BO228" s="22">
        <f>(BG228/1000)/60.2*1000</f>
        <v>6.0672757475083055</v>
      </c>
      <c r="BQ228" s="2">
        <f>BI228/74.08</f>
        <v>0</v>
      </c>
      <c r="BS228" s="2">
        <f>(BK228/1000)/88.12*1000</f>
        <v>5.560599182932364E-3</v>
      </c>
      <c r="BU228" s="2">
        <f>BM228/88.12</f>
        <v>1.6795279164775304E-2</v>
      </c>
      <c r="BW228" s="52">
        <f>BO228*0.05</f>
        <v>0.30336378737541531</v>
      </c>
      <c r="BX228" s="51">
        <f t="shared" si="12"/>
        <v>0</v>
      </c>
      <c r="BY228" s="51">
        <f t="shared" si="13"/>
        <v>2.780299591466182E-4</v>
      </c>
      <c r="BZ228" s="67">
        <f t="shared" si="14"/>
        <v>8.3976395823876524E-4</v>
      </c>
    </row>
    <row r="229" spans="1:78" x14ac:dyDescent="0.3">
      <c r="A229" s="173"/>
      <c r="B229" s="70" t="s">
        <v>95</v>
      </c>
      <c r="C229" s="20">
        <v>10</v>
      </c>
      <c r="D229" s="69"/>
      <c r="E229" s="21"/>
      <c r="F229" s="52">
        <v>1.25</v>
      </c>
      <c r="H229" s="37">
        <v>0.56499999999999995</v>
      </c>
      <c r="I229" s="52">
        <f>H229*0.2907</f>
        <v>0.16424549999999999</v>
      </c>
      <c r="K229" s="53">
        <f>(I229-$I$147)/(($AA$147-AA229)+($AI$147-AI229))*1000*0.05</f>
        <v>1.0824955064517627</v>
      </c>
      <c r="L229" s="68"/>
      <c r="M229" s="22">
        <v>14.744192002775508</v>
      </c>
      <c r="O229" s="21">
        <v>0</v>
      </c>
      <c r="Q229" s="21">
        <v>0.44193189076522893</v>
      </c>
      <c r="S229" s="21">
        <v>72.074463288959151</v>
      </c>
      <c r="U229" s="21">
        <v>12.739412817500103</v>
      </c>
      <c r="W229" s="21">
        <v>0</v>
      </c>
      <c r="Y229" s="22">
        <v>0.82964740562351946</v>
      </c>
      <c r="AA229" s="21">
        <v>0</v>
      </c>
      <c r="AC229" s="21">
        <v>2.4867259363324182E-2</v>
      </c>
      <c r="AE229" s="21">
        <v>4.055589581859504</v>
      </c>
      <c r="AG229" s="21">
        <v>0.71683960648480283</v>
      </c>
      <c r="AI229" s="21">
        <v>0</v>
      </c>
      <c r="AK229" s="22">
        <f>8*(AG229-$AG$149)/(2*($AA$149-AA229)+2*($AI$149-AI229))</f>
        <v>0.15110632940904895</v>
      </c>
      <c r="AL229" s="22"/>
      <c r="AM229" s="22">
        <f>(AG229-$AG$149)/(($AA$149-AA229)+($AI$149-AI229))</f>
        <v>3.7776582352262236E-2</v>
      </c>
      <c r="AN229" s="22"/>
      <c r="AO229" s="37">
        <f>8*(BW229-$BW$149)/(2*($AA$149-AA229)+2*($AI$149-AI229))</f>
        <v>0.18156519696809523</v>
      </c>
      <c r="AQ229" s="37">
        <f>(BW229-$BW$148)/(($AA$148-AA229)+($AI$148-AI229))</f>
        <v>4.5136442707816353E-2</v>
      </c>
      <c r="AS229" s="37">
        <f>14*(BX229-$BX$149)/(2*($AA$149-AA229)+2*($AI$149-AI229))</f>
        <v>-3.378331882578653E-5</v>
      </c>
      <c r="AU229" s="37">
        <f>(BX229-$BX$149)/(($AA$149-AA229)+($AI$149-AI229))</f>
        <v>-4.8261884036837902E-6</v>
      </c>
      <c r="BG229" s="37">
        <v>305.93</v>
      </c>
      <c r="BI229" s="2">
        <v>0</v>
      </c>
      <c r="BK229" s="2">
        <v>0.57999999999999996</v>
      </c>
      <c r="BM229" s="2">
        <v>1.44</v>
      </c>
      <c r="BO229" s="22">
        <f>(BG229/1000)/60.2*1000</f>
        <v>5.0818936877076402</v>
      </c>
      <c r="BQ229" s="2">
        <f>BI229/74.08</f>
        <v>0</v>
      </c>
      <c r="BS229" s="2">
        <f>(BK229/1000)/88.12*1000</f>
        <v>6.5819337267362683E-3</v>
      </c>
      <c r="BU229" s="2">
        <f>BM229/88.12</f>
        <v>1.6341352700862458E-2</v>
      </c>
      <c r="BW229" s="52">
        <f>BO229*0.05</f>
        <v>0.25409468438538202</v>
      </c>
      <c r="BX229" s="51">
        <f t="shared" si="12"/>
        <v>0</v>
      </c>
      <c r="BY229" s="51">
        <f t="shared" si="13"/>
        <v>3.2909668633681341E-4</v>
      </c>
      <c r="BZ229" s="67">
        <f t="shared" si="14"/>
        <v>8.17067635043123E-4</v>
      </c>
    </row>
    <row r="230" spans="1:78" x14ac:dyDescent="0.3">
      <c r="A230" s="173"/>
      <c r="B230" s="83" t="s">
        <v>63</v>
      </c>
      <c r="C230" s="80">
        <v>10</v>
      </c>
      <c r="D230" s="79" t="e">
        <f>AVERAGE(D227:D229)</f>
        <v>#DIV/0!</v>
      </c>
      <c r="E230" s="76"/>
      <c r="F230" s="74">
        <f>AVERAGE(F227:F229)</f>
        <v>1.2249999999999999</v>
      </c>
      <c r="G230" s="73">
        <f>_xlfn.STDEV.S(F227:F229)</f>
        <v>3.4999999999999969E-2</v>
      </c>
      <c r="H230" s="77">
        <f>AVERAGE(H227:H229)</f>
        <v>0.53266666666666662</v>
      </c>
      <c r="I230" s="74">
        <f>AVERAGE(I227:I229)</f>
        <v>0.15484620000000002</v>
      </c>
      <c r="J230" s="82">
        <f>_xlfn.STDEV.S(I227:I229)</f>
        <v>8.244476137996868E-3</v>
      </c>
      <c r="K230" s="82">
        <f>(I230-$I$147)/(($AA$147-AA230)+($AI$147-AI230))*1000*0.05</f>
        <v>0.99815649912178661</v>
      </c>
      <c r="L230" s="81">
        <f>_xlfn.STDEV.S(K227:K229)</f>
        <v>7.3976884814223889E-2</v>
      </c>
      <c r="M230" s="77">
        <f>AVERAGE(M227:M229)</f>
        <v>14.613800474483524</v>
      </c>
      <c r="N230" s="76">
        <f>_xlfn.STDEV.S(M227:M229)</f>
        <v>0.95328858876069067</v>
      </c>
      <c r="O230" s="76">
        <f>AVERAGE(O227:O229)</f>
        <v>0</v>
      </c>
      <c r="P230" s="76">
        <f>_xlfn.STDEV.S(O227:O229)</f>
        <v>0</v>
      </c>
      <c r="Q230" s="76">
        <f>AVERAGE(Q227:Q229)</f>
        <v>0.23051091485699016</v>
      </c>
      <c r="R230" s="76">
        <f>_xlfn.STDEV.S(Q227:Q229)</f>
        <v>0.18621783027004229</v>
      </c>
      <c r="S230" s="76">
        <f>AVERAGE(S227:S229)</f>
        <v>72.395222445587677</v>
      </c>
      <c r="T230" s="76">
        <f>_xlfn.STDEV.S(S227:S229)</f>
        <v>1.5791999045032803</v>
      </c>
      <c r="U230" s="76">
        <f>AVERAGE(U227:U229)</f>
        <v>12.760466165071806</v>
      </c>
      <c r="V230" s="76">
        <f>_xlfn.STDEV.S(U227:U229)</f>
        <v>0.57433373258198761</v>
      </c>
      <c r="W230" s="76">
        <f>AVERAGE(W227:W229)</f>
        <v>0</v>
      </c>
      <c r="X230" s="76">
        <f>_xlfn.STDEV.S(W227:W229)</f>
        <v>0</v>
      </c>
      <c r="Y230" s="77">
        <f>AVERAGE(Y227:Y229)</f>
        <v>0.80515631542551225</v>
      </c>
      <c r="Z230" s="76">
        <f>_xlfn.STDEV.S(Y227:Y229)</f>
        <v>3.9781164736746873E-2</v>
      </c>
      <c r="AA230" s="76">
        <f>AVERAGE(AA227:AA229)</f>
        <v>0</v>
      </c>
      <c r="AB230" s="76">
        <f>_xlfn.STDEV.S(AA227:AA229)</f>
        <v>0</v>
      </c>
      <c r="AC230" s="76">
        <f>AVERAGE(AC227:AC229)</f>
        <v>1.2802247999816019E-2</v>
      </c>
      <c r="AD230" s="76">
        <f>_xlfn.STDEV.S(AC227:AC229)</f>
        <v>1.0585811037665113E-2</v>
      </c>
      <c r="AE230" s="76">
        <f>AVERAGE(AE227:AE229)</f>
        <v>3.9932682284058392</v>
      </c>
      <c r="AF230" s="76">
        <f>_xlfn.STDEV.S(AE227:AE229)</f>
        <v>0.18281790487267113</v>
      </c>
      <c r="AG230" s="76">
        <f>AVERAGE(AG227:AG229)</f>
        <v>0.70317818443336011</v>
      </c>
      <c r="AH230" s="76">
        <f>_xlfn.STDEV.S(AG227:AG229)</f>
        <v>1.9517308796723101E-2</v>
      </c>
      <c r="AI230" s="76">
        <f>AVERAGE(AI227:AI229)</f>
        <v>0</v>
      </c>
      <c r="AJ230" s="75">
        <f>_xlfn.STDEV.S(AI227:AI229)</f>
        <v>0</v>
      </c>
      <c r="AK230" s="77">
        <f>AVERAGE(AK227:AK229)</f>
        <v>0.14720454523484602</v>
      </c>
      <c r="AL230" s="77">
        <f>_xlfn.STDEV.S(AK227:AK229)</f>
        <v>1.5927635378479996E-2</v>
      </c>
      <c r="AM230" s="77">
        <f>AVERAGE(AM227:AM229)</f>
        <v>3.6801136308711506E-2</v>
      </c>
      <c r="AN230" s="77">
        <f>_xlfn.STDEV.S(AM227:AM229)</f>
        <v>3.9819088446199991E-3</v>
      </c>
      <c r="AO230" s="78">
        <f>AVERAGE(AO227:AO229)</f>
        <v>0.19746422762902258</v>
      </c>
      <c r="AP230" s="78">
        <f>_xlfn.STDEV.S(AO227:AO229)</f>
        <v>1.7105908173206359E-2</v>
      </c>
      <c r="AQ230" s="78">
        <f>AVERAGE(AQ227:AQ229)</f>
        <v>4.9281104729186488E-2</v>
      </c>
      <c r="AR230" s="78">
        <f>_xlfn.STDEV.S(AQ227:AQ229)</f>
        <v>4.3957820103409451E-3</v>
      </c>
      <c r="AS230" s="78">
        <f>AVERAGE(AS227:AS229)</f>
        <v>-1.1261106275262177E-5</v>
      </c>
      <c r="AT230" s="78">
        <f>_xlfn.STDEV.S(AS227:AS229)</f>
        <v>1.9504808218186805E-5</v>
      </c>
      <c r="AU230" s="78">
        <f>AVERAGE(AU227:AU229)</f>
        <v>-1.6087294678945968E-6</v>
      </c>
      <c r="AV230" s="80">
        <f>_xlfn.STDEV.S(AU227:AU229)</f>
        <v>2.7864011740266866E-6</v>
      </c>
      <c r="AW230" s="80"/>
      <c r="AX230" s="80"/>
      <c r="AY230" s="79">
        <f>SUM(AK230,AO230,AS230)</f>
        <v>0.34465751175759335</v>
      </c>
      <c r="AZ230" s="77">
        <f>SUM(AL230,AP230,AT230)</f>
        <v>3.3053048359904538E-2</v>
      </c>
      <c r="BA230" s="78"/>
      <c r="BB230" s="78"/>
      <c r="BC230" s="78"/>
      <c r="BD230" s="78"/>
      <c r="BE230" s="78"/>
      <c r="BF230" s="78"/>
      <c r="BG230" s="78"/>
      <c r="BH230" s="75"/>
      <c r="BI230" s="75"/>
      <c r="BJ230" s="75"/>
      <c r="BK230" s="75"/>
      <c r="BL230" s="75"/>
      <c r="BM230" s="75"/>
      <c r="BN230" s="75"/>
      <c r="BO230" s="77">
        <f>AVERAGE(BO227:BO229)</f>
        <v>5.5300664451827233</v>
      </c>
      <c r="BP230" s="76">
        <f>_xlfn.STDEV.S(BO227:BO229)</f>
        <v>0.49868836028469382</v>
      </c>
      <c r="BQ230" s="75">
        <f>AVERAGE(BQ227:BQ229)</f>
        <v>0</v>
      </c>
      <c r="BR230" s="75">
        <f>_xlfn.STDEV.S(BQ227:BQ229)</f>
        <v>0</v>
      </c>
      <c r="BS230" s="75">
        <f>AVERAGE(BS227:BS229)</f>
        <v>8.3219851717355117E-3</v>
      </c>
      <c r="BT230" s="75">
        <f>_xlfn.STDEV.S(BS227:BS229)</f>
        <v>3.9316644427544742E-3</v>
      </c>
      <c r="BU230" s="75">
        <f>AVERAGE(BU227:BU229)</f>
        <v>1.8384021788470265E-2</v>
      </c>
      <c r="BV230" s="75">
        <f>_xlfn.STDEV.S(BU227:BU229)</f>
        <v>3.1530739876191125E-3</v>
      </c>
      <c r="BW230" s="74">
        <f>AVERAGE(BW227:BW229)</f>
        <v>0.27650332225913621</v>
      </c>
      <c r="BX230" s="73">
        <f t="shared" si="12"/>
        <v>0</v>
      </c>
      <c r="BY230" s="73">
        <f t="shared" si="13"/>
        <v>4.160992585867756E-4</v>
      </c>
      <c r="BZ230" s="72">
        <f t="shared" si="14"/>
        <v>9.1920108942351332E-4</v>
      </c>
    </row>
    <row r="231" spans="1:78" x14ac:dyDescent="0.3">
      <c r="A231" s="174" t="s">
        <v>61</v>
      </c>
      <c r="B231" s="70" t="s">
        <v>94</v>
      </c>
      <c r="C231" s="20">
        <v>10</v>
      </c>
      <c r="D231" s="69"/>
      <c r="E231" s="21"/>
      <c r="F231" s="52">
        <v>1.19</v>
      </c>
      <c r="H231" s="37">
        <v>0.187</v>
      </c>
      <c r="I231" s="52">
        <f>H231*0.2907</f>
        <v>5.4360900000000004E-2</v>
      </c>
      <c r="K231" s="53">
        <f>(I231-$I$151)/($BW$151-BW231)*1000*0.05</f>
        <v>0.24159784634499984</v>
      </c>
      <c r="L231" s="68"/>
      <c r="M231" s="22">
        <v>2.368705166957533</v>
      </c>
      <c r="O231" s="21">
        <v>0</v>
      </c>
      <c r="Q231" s="21">
        <v>0.53335241038239856</v>
      </c>
      <c r="S231" s="21">
        <v>96.644446443385419</v>
      </c>
      <c r="U231" s="21">
        <v>0.45349597927464985</v>
      </c>
      <c r="W231" s="21">
        <v>0</v>
      </c>
      <c r="Y231" s="22">
        <v>0.12688799572546286</v>
      </c>
      <c r="AA231" s="21">
        <v>0</v>
      </c>
      <c r="AC231" s="21">
        <v>2.8570891520320826E-2</v>
      </c>
      <c r="AE231" s="21">
        <v>5.1770985592728556</v>
      </c>
      <c r="AG231" s="21">
        <v>2.4293101852615677E-2</v>
      </c>
      <c r="AI231" s="21">
        <v>0</v>
      </c>
      <c r="AK231" s="22">
        <f>8*(AG231-$AG$151)/(8*($BW$151-BW231))</f>
        <v>0.20189752626871846</v>
      </c>
      <c r="AL231" s="22"/>
      <c r="AM231" s="22">
        <f>(AG231-$AG$151)/($BW$151-BW231)</f>
        <v>0.20189752626871846</v>
      </c>
      <c r="AN231" s="22"/>
      <c r="BG231" s="37">
        <v>1397.55</v>
      </c>
      <c r="BI231" s="2">
        <v>0</v>
      </c>
      <c r="BK231" s="2">
        <v>0</v>
      </c>
      <c r="BM231" s="2">
        <v>0</v>
      </c>
      <c r="BO231" s="22">
        <f>(BG231/1000)/60.2*1000</f>
        <v>23.215116279069765</v>
      </c>
      <c r="BQ231" s="2">
        <f>BI231/74.08</f>
        <v>0</v>
      </c>
      <c r="BS231" s="2">
        <f>(BK231/1000)/88.12*1000</f>
        <v>0</v>
      </c>
      <c r="BU231" s="2">
        <f>BM231/88.12</f>
        <v>0</v>
      </c>
      <c r="BW231" s="52">
        <f>BO231*0.05</f>
        <v>1.1607558139534884</v>
      </c>
      <c r="BX231" s="51">
        <f t="shared" si="12"/>
        <v>0</v>
      </c>
      <c r="BY231" s="51">
        <f t="shared" si="13"/>
        <v>0</v>
      </c>
      <c r="BZ231" s="67">
        <f t="shared" si="14"/>
        <v>0</v>
      </c>
    </row>
    <row r="232" spans="1:78" x14ac:dyDescent="0.3">
      <c r="A232" s="173"/>
      <c r="B232" s="70" t="s">
        <v>93</v>
      </c>
      <c r="C232" s="20">
        <v>10</v>
      </c>
      <c r="D232" s="69"/>
      <c r="E232" s="21"/>
      <c r="F232" s="52">
        <v>1.2749999999999999</v>
      </c>
      <c r="H232" s="37">
        <v>0.20300000000000001</v>
      </c>
      <c r="I232" s="52">
        <f>H232*0.2907</f>
        <v>5.9012100000000005E-2</v>
      </c>
      <c r="K232" s="53">
        <f>(I232-$I$152)/($BW$152-BW232)*1000*0.05</f>
        <v>2.6009471173786807</v>
      </c>
      <c r="L232" s="68"/>
      <c r="M232" s="22">
        <v>2.3358118204592273</v>
      </c>
      <c r="O232" s="21">
        <v>0</v>
      </c>
      <c r="Q232" s="21">
        <v>0.44623346467692149</v>
      </c>
      <c r="S232" s="21">
        <v>96.999695985384122</v>
      </c>
      <c r="U232" s="21">
        <v>0.21825872947973798</v>
      </c>
      <c r="W232" s="21">
        <v>0</v>
      </c>
      <c r="Y232" s="22">
        <v>0.13406351604984718</v>
      </c>
      <c r="AA232" s="21">
        <v>0</v>
      </c>
      <c r="AC232" s="21">
        <v>2.5611492642387556E-2</v>
      </c>
      <c r="AE232" s="21">
        <v>5.5672807996194633</v>
      </c>
      <c r="AG232" s="21">
        <v>1.2526922086075157E-2</v>
      </c>
      <c r="AI232" s="21">
        <v>0</v>
      </c>
      <c r="AK232" s="22">
        <f>8*(AG232-$AG$152)/(8*($BW$152-BW232))</f>
        <v>5.2130561978551385E-2</v>
      </c>
      <c r="AL232" s="22"/>
      <c r="AM232" s="22">
        <f>(AG232-$AG$152)/($BW$152-BW232)</f>
        <v>5.2130561978551385E-2</v>
      </c>
      <c r="AN232" s="22"/>
      <c r="BG232" s="37">
        <v>1304.2</v>
      </c>
      <c r="BI232" s="2">
        <v>0</v>
      </c>
      <c r="BK232" s="2">
        <v>0</v>
      </c>
      <c r="BM232" s="2">
        <v>0</v>
      </c>
      <c r="BO232" s="22">
        <f>(BG232/1000)/60.2*1000</f>
        <v>21.664451827242527</v>
      </c>
      <c r="BQ232" s="2">
        <f>BI232/74.08</f>
        <v>0</v>
      </c>
      <c r="BS232" s="2">
        <f>(BK232/1000)/88.12*1000</f>
        <v>0</v>
      </c>
      <c r="BU232" s="2">
        <f>BM232/88.12</f>
        <v>0</v>
      </c>
      <c r="BW232" s="52">
        <f>BO232*0.05</f>
        <v>1.0832225913621263</v>
      </c>
      <c r="BX232" s="51">
        <f t="shared" si="12"/>
        <v>0</v>
      </c>
      <c r="BY232" s="51">
        <f t="shared" si="13"/>
        <v>0</v>
      </c>
      <c r="BZ232" s="67">
        <f t="shared" si="14"/>
        <v>0</v>
      </c>
    </row>
    <row r="233" spans="1:78" x14ac:dyDescent="0.3">
      <c r="A233" s="173"/>
      <c r="B233" s="70" t="s">
        <v>92</v>
      </c>
      <c r="C233" s="20">
        <v>10</v>
      </c>
      <c r="D233" s="69"/>
      <c r="E233" s="21"/>
      <c r="F233" s="52">
        <v>1.22</v>
      </c>
      <c r="G233" s="67"/>
      <c r="H233" s="37">
        <v>0.184</v>
      </c>
      <c r="I233" s="52">
        <f>H233*0.2907</f>
        <v>5.3488800000000003E-2</v>
      </c>
      <c r="K233" s="53">
        <f>(I233-$I$153)/($BW$153-BW233)*1000*0.05</f>
        <v>1.2503076923076915</v>
      </c>
      <c r="L233" s="68"/>
      <c r="M233" s="22">
        <v>1.9377209094067012</v>
      </c>
      <c r="O233" s="21">
        <v>0</v>
      </c>
      <c r="Q233" s="21">
        <v>0.17740478835966916</v>
      </c>
      <c r="S233" s="21">
        <v>97.203369390906133</v>
      </c>
      <c r="U233" s="21">
        <v>0.68150491132748703</v>
      </c>
      <c r="W233" s="21">
        <v>0</v>
      </c>
      <c r="Y233" s="22">
        <v>0.10641764038401508</v>
      </c>
      <c r="AA233" s="21">
        <v>0</v>
      </c>
      <c r="AC233" s="21">
        <v>9.7428886061006713E-3</v>
      </c>
      <c r="AE233" s="21">
        <v>5.3383091227122295</v>
      </c>
      <c r="AG233" s="21">
        <v>3.7427549148857736E-2</v>
      </c>
      <c r="AI233" s="21">
        <v>0</v>
      </c>
      <c r="AK233" s="22">
        <f>8*(AG233-$AG$153)/(8*($BW$153-BW233))</f>
        <v>0.2682946485783797</v>
      </c>
      <c r="AL233" s="22"/>
      <c r="AM233" s="22">
        <f>(AG233-$AG$153)/($BW$153-BW233)</f>
        <v>0.2682946485783797</v>
      </c>
      <c r="AN233" s="22"/>
      <c r="BG233" s="37">
        <v>1335.92</v>
      </c>
      <c r="BI233" s="2">
        <v>0</v>
      </c>
      <c r="BK233" s="2">
        <v>0</v>
      </c>
      <c r="BM233" s="2">
        <v>0</v>
      </c>
      <c r="BO233" s="22">
        <f>(BG233/1000)/60.2*1000</f>
        <v>22.191362126245846</v>
      </c>
      <c r="BQ233" s="2">
        <f>BI233/74.08</f>
        <v>0</v>
      </c>
      <c r="BS233" s="2">
        <f>(BK233/1000)/88.12*1000</f>
        <v>0</v>
      </c>
      <c r="BU233" s="2">
        <f>BM233/88.12</f>
        <v>0</v>
      </c>
      <c r="BW233" s="52">
        <f>BO233*0.05</f>
        <v>1.1095681063122924</v>
      </c>
      <c r="BX233" s="51">
        <f t="shared" si="12"/>
        <v>0</v>
      </c>
      <c r="BY233" s="51">
        <f t="shared" si="13"/>
        <v>0</v>
      </c>
      <c r="BZ233" s="67">
        <f t="shared" si="14"/>
        <v>0</v>
      </c>
    </row>
    <row r="234" spans="1:78" ht="15" thickBot="1" x14ac:dyDescent="0.35">
      <c r="A234" s="175"/>
      <c r="B234" s="66" t="s">
        <v>63</v>
      </c>
      <c r="C234" s="65">
        <v>10</v>
      </c>
      <c r="D234" s="64" t="e">
        <f>AVERAGE(D231:D233)</f>
        <v>#DIV/0!</v>
      </c>
      <c r="E234" s="58"/>
      <c r="F234" s="56">
        <f>AVERAGE(F231:F233)</f>
        <v>1.2283333333333333</v>
      </c>
      <c r="G234" s="55">
        <f>_xlfn.STDEV.S(F231:F233)</f>
        <v>4.3108390521258519E-2</v>
      </c>
      <c r="H234" s="60">
        <f>AVERAGE(H231:H233)</f>
        <v>0.19133333333333336</v>
      </c>
      <c r="I234" s="56">
        <f>AVERAGE(I231:I233)</f>
        <v>5.5620599999999999E-2</v>
      </c>
      <c r="J234" s="63">
        <f>_xlfn.STDEV.S(I231:I233)</f>
        <v>2.969317057843437E-3</v>
      </c>
      <c r="K234" s="56">
        <f>AVERAGE(K231:K233)</f>
        <v>1.364284218677124</v>
      </c>
      <c r="L234" s="62">
        <f>_xlfn.STDEV.S(K231:K233)</f>
        <v>1.1837969556069237</v>
      </c>
      <c r="M234" s="59">
        <f>AVERAGE(M231:M233)</f>
        <v>2.214079298941154</v>
      </c>
      <c r="N234" s="58">
        <f>_xlfn.STDEV.S(M231:M233)</f>
        <v>0.23989781712329439</v>
      </c>
      <c r="O234" s="58">
        <f>AVERAGE(O231:O233)</f>
        <v>0</v>
      </c>
      <c r="P234" s="58">
        <f>_xlfn.STDEV.S(O231:O233)</f>
        <v>0</v>
      </c>
      <c r="Q234" s="58">
        <f>AVERAGE(Q231:Q233)</f>
        <v>0.38566355447299644</v>
      </c>
      <c r="R234" s="58">
        <f>_xlfn.STDEV.S(Q231:Q233)</f>
        <v>0.18554302175639109</v>
      </c>
      <c r="S234" s="58">
        <f>AVERAGE(S231:S233)</f>
        <v>96.949170606558553</v>
      </c>
      <c r="T234" s="58">
        <f>_xlfn.STDEV.S(S231:S233)</f>
        <v>0.28286626830608591</v>
      </c>
      <c r="U234" s="58">
        <f>AVERAGE(U231:U233)</f>
        <v>0.45108654002729159</v>
      </c>
      <c r="V234" s="58">
        <f>_xlfn.STDEV.S(U231:U233)</f>
        <v>0.2316324897272499</v>
      </c>
      <c r="W234" s="58">
        <f>AVERAGE(W231:W233)</f>
        <v>0</v>
      </c>
      <c r="X234" s="58">
        <f>_xlfn.STDEV.S(W231:W233)</f>
        <v>0</v>
      </c>
      <c r="Y234" s="59">
        <f>AVERAGE(Y231:Y233)</f>
        <v>0.12245638405310838</v>
      </c>
      <c r="Z234" s="58">
        <f>_xlfn.STDEV.S(Y231:Y233)</f>
        <v>1.4345835522672538E-2</v>
      </c>
      <c r="AA234" s="58">
        <f>AVERAGE(AA231:AA233)</f>
        <v>0</v>
      </c>
      <c r="AB234" s="58">
        <f>_xlfn.STDEV.S(AA231:AA233)</f>
        <v>0</v>
      </c>
      <c r="AC234" s="58">
        <f>AVERAGE(AC231:AC233)</f>
        <v>2.1308424256269682E-2</v>
      </c>
      <c r="AD234" s="58">
        <f>_xlfn.STDEV.S(AC231:AC233)</f>
        <v>1.0124757853211904E-2</v>
      </c>
      <c r="AE234" s="58">
        <f>AVERAGE(AE231:AE233)</f>
        <v>5.3608961605348497</v>
      </c>
      <c r="AF234" s="58">
        <f>_xlfn.STDEV.S(AE231:AE233)</f>
        <v>0.19606931396492119</v>
      </c>
      <c r="AG234" s="58">
        <f>AVERAGE(AG231:AG233)</f>
        <v>2.4749191029182854E-2</v>
      </c>
      <c r="AH234" s="58">
        <f>_xlfn.STDEV.S(AG231:AG233)</f>
        <v>1.2456577380351367E-2</v>
      </c>
      <c r="AI234" s="58">
        <f>AVERAGE(AI231:AI233)</f>
        <v>0</v>
      </c>
      <c r="AJ234" s="57">
        <f>_xlfn.STDEV.S(AI231:AI233)</f>
        <v>0</v>
      </c>
      <c r="AK234" s="77">
        <f>AVERAGE(AK231:AK233)</f>
        <v>0.1741075789418832</v>
      </c>
      <c r="AL234" s="77">
        <f>_xlfn.STDEV.S(AK231:AK233)</f>
        <v>0.1107291242772457</v>
      </c>
      <c r="AM234" s="77">
        <f>AVERAGE(AM231:AM233)</f>
        <v>0.1741075789418832</v>
      </c>
      <c r="AN234" s="77">
        <f>_xlfn.STDEV.S(AM231:AM233)</f>
        <v>0.1107291242772457</v>
      </c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59">
        <f>SUM(AK234,AO234,AS234)</f>
        <v>0.1741075789418832</v>
      </c>
      <c r="AZ234" s="59">
        <f>SUM(AL234,AP234,AT234)</f>
        <v>0.1107291242772457</v>
      </c>
      <c r="BA234" s="60"/>
      <c r="BB234" s="60"/>
      <c r="BC234" s="60"/>
      <c r="BD234" s="60"/>
      <c r="BE234" s="60"/>
      <c r="BF234" s="60"/>
      <c r="BG234" s="60">
        <f>AVERAGE(BG231:BG233)</f>
        <v>1345.89</v>
      </c>
      <c r="BH234" s="57">
        <f>_xlfn.STDEV.S(BG231:BG233)</f>
        <v>47.466896886145769</v>
      </c>
      <c r="BI234" s="57">
        <f>AVERAGE(BI231:BI233)</f>
        <v>0</v>
      </c>
      <c r="BJ234" s="57" t="e">
        <f>_xlfn.STDEV.S(BH231:BH233)</f>
        <v>#DIV/0!</v>
      </c>
      <c r="BK234" s="57">
        <f>AVERAGE(BK231:BK233)</f>
        <v>0</v>
      </c>
      <c r="BL234" s="57">
        <f>_xlfn.STDEV.S(BK231:BK233)</f>
        <v>0</v>
      </c>
      <c r="BM234" s="57">
        <f>AVERAGE(BM231:BM233)</f>
        <v>0</v>
      </c>
      <c r="BN234" s="57" t="e">
        <f>_xlfn.STDEV.S(BL231:BL233)</f>
        <v>#DIV/0!</v>
      </c>
      <c r="BO234" s="59">
        <f>AVERAGE(BO231:BO233)</f>
        <v>22.356976744186046</v>
      </c>
      <c r="BP234" s="58">
        <f>_xlfn.STDEV.S(BO231:BO233)</f>
        <v>0.78848665923830064</v>
      </c>
      <c r="BQ234" s="57">
        <f>AVERAGE(BQ231:BQ233)</f>
        <v>0</v>
      </c>
      <c r="BR234" s="57">
        <f>_xlfn.STDEV.S(BQ231:BQ233)</f>
        <v>0</v>
      </c>
      <c r="BS234" s="57">
        <f>AVERAGE(BS231:BS233)</f>
        <v>0</v>
      </c>
      <c r="BT234" s="57">
        <f>_xlfn.STDEV.S(BS231:BS233)</f>
        <v>0</v>
      </c>
      <c r="BU234" s="57">
        <f>AVERAGE(BU231:BU233)</f>
        <v>0</v>
      </c>
      <c r="BV234" s="57">
        <f>_xlfn.STDEV.S(BU231:BU233)</f>
        <v>0</v>
      </c>
      <c r="BW234" s="56">
        <f>AVERAGE(BW231:BW233)</f>
        <v>1.1178488372093023</v>
      </c>
      <c r="BX234" s="55">
        <f t="shared" si="12"/>
        <v>0</v>
      </c>
      <c r="BY234" s="55">
        <f t="shared" si="13"/>
        <v>0</v>
      </c>
      <c r="BZ234" s="54">
        <f t="shared" si="14"/>
        <v>0</v>
      </c>
    </row>
    <row r="235" spans="1:78" x14ac:dyDescent="0.3">
      <c r="A235" s="172" t="s">
        <v>98</v>
      </c>
      <c r="B235" s="95" t="s">
        <v>97</v>
      </c>
      <c r="C235" s="94">
        <v>11</v>
      </c>
      <c r="D235" s="93"/>
      <c r="E235" s="88"/>
      <c r="F235" s="86">
        <v>1.2450000000000001</v>
      </c>
      <c r="G235" s="85"/>
      <c r="H235" s="90">
        <v>0.51900000000000002</v>
      </c>
      <c r="I235" s="86">
        <f>H235*0.2907</f>
        <v>0.15087330000000002</v>
      </c>
      <c r="J235" s="92"/>
      <c r="K235" s="92">
        <f>(I235-$I$147)/(($AA$147-AA235)+($AI$147-AI235))*1000*0.05</f>
        <v>0.96250805272457962</v>
      </c>
      <c r="L235" s="91"/>
      <c r="M235" s="89">
        <v>14.953141332491594</v>
      </c>
      <c r="O235" s="21">
        <v>0</v>
      </c>
      <c r="P235" s="88"/>
      <c r="Q235" s="88">
        <v>0.16159968692097573</v>
      </c>
      <c r="S235" s="21">
        <v>70.692936086508539</v>
      </c>
      <c r="T235" s="88"/>
      <c r="U235" s="88">
        <v>14.192322894078899</v>
      </c>
      <c r="W235" s="21">
        <v>0</v>
      </c>
      <c r="X235" s="88"/>
      <c r="Y235" s="89">
        <v>0.83803924762020132</v>
      </c>
      <c r="AA235" s="21">
        <v>0</v>
      </c>
      <c r="AC235" s="21">
        <v>9.0567511556014189E-3</v>
      </c>
      <c r="AD235" s="88"/>
      <c r="AE235" s="88">
        <v>3.9619404145716755</v>
      </c>
      <c r="AF235" s="88"/>
      <c r="AG235" s="88">
        <v>0.79539966457034916</v>
      </c>
      <c r="AI235" s="21">
        <v>0</v>
      </c>
      <c r="AJ235" s="88"/>
      <c r="AK235" s="89">
        <f>8*(AG235-$AG$147)/(2*($AA$147-AA235)+2*($AI$147-AI235))</f>
        <v>0.2207790011837622</v>
      </c>
      <c r="AL235" s="89"/>
      <c r="AM235" s="89">
        <f>(AG235-$AG$147)/(($AA$147-AA235)+($AI$147-AI235))</f>
        <v>5.5194750295940551E-2</v>
      </c>
      <c r="AN235" s="89"/>
      <c r="AO235" s="37">
        <f>8*(BW235-$BW$147)/(2*($AA$147-AA235)+2*($AI$147-AI235))</f>
        <v>0.1702168645463798</v>
      </c>
      <c r="AQ235" s="37">
        <f>(BW235-$BW$147)/(($AA$147-AA235)+($AI$147-AI235))</f>
        <v>4.255421613659495E-2</v>
      </c>
      <c r="AS235" s="37">
        <f>14*(BX235-$BX$147)/(2*($AA$147-AA235)+2*($AI$147-AI235))</f>
        <v>0</v>
      </c>
      <c r="AU235" s="37">
        <f>(BX235-$BX$147)/(($AA$147-AA235)+($AI$147-AI235))</f>
        <v>0</v>
      </c>
      <c r="AY235" s="90"/>
      <c r="AZ235" s="90"/>
      <c r="BA235" s="90"/>
      <c r="BB235" s="90"/>
      <c r="BC235" s="90"/>
      <c r="BD235" s="90"/>
      <c r="BE235" s="90"/>
      <c r="BF235" s="90"/>
      <c r="BG235" s="90">
        <v>285.54000000000002</v>
      </c>
      <c r="BH235" s="87"/>
      <c r="BI235" s="87">
        <v>0</v>
      </c>
      <c r="BJ235" s="87"/>
      <c r="BK235" s="87">
        <v>0.87</v>
      </c>
      <c r="BL235" s="87"/>
      <c r="BM235" s="87">
        <v>0.89</v>
      </c>
      <c r="BN235" s="87"/>
      <c r="BO235" s="89">
        <f>(BG235/1000)/60.2*1000</f>
        <v>4.7431893687707642</v>
      </c>
      <c r="BP235" s="88"/>
      <c r="BQ235" s="87">
        <f>BI235/74.08</f>
        <v>0</v>
      </c>
      <c r="BR235" s="87"/>
      <c r="BS235" s="87">
        <f>(BK235/1000)/88.12*1000</f>
        <v>9.8729005901044033E-3</v>
      </c>
      <c r="BT235" s="87"/>
      <c r="BU235" s="87">
        <f>BM235/88.12</f>
        <v>1.0099863822060826E-2</v>
      </c>
      <c r="BV235" s="87"/>
      <c r="BW235" s="86">
        <f>BO235*0.05</f>
        <v>0.23715946843853822</v>
      </c>
      <c r="BX235" s="85">
        <f t="shared" si="12"/>
        <v>0</v>
      </c>
      <c r="BY235" s="85">
        <f t="shared" si="13"/>
        <v>4.9364502950522023E-4</v>
      </c>
      <c r="BZ235" s="84">
        <f t="shared" si="14"/>
        <v>5.0499319110304129E-4</v>
      </c>
    </row>
    <row r="236" spans="1:78" x14ac:dyDescent="0.3">
      <c r="A236" s="173"/>
      <c r="B236" s="70" t="s">
        <v>96</v>
      </c>
      <c r="C236" s="20">
        <v>11</v>
      </c>
      <c r="D236" s="69"/>
      <c r="E236" s="21"/>
      <c r="F236" s="52">
        <v>1.3</v>
      </c>
      <c r="H236" s="37">
        <v>0.51200000000000001</v>
      </c>
      <c r="I236" s="52">
        <f>H236*0.2907</f>
        <v>0.14883840000000001</v>
      </c>
      <c r="K236" s="53">
        <f>(I236-$I$147)/(($AA$147-AA236)+($AI$147-AI236))*1000*0.05</f>
        <v>0.94424909237479104</v>
      </c>
      <c r="L236" s="68"/>
      <c r="M236" s="22">
        <v>13.130308664667043</v>
      </c>
      <c r="O236" s="21">
        <v>0</v>
      </c>
      <c r="Q236" s="21">
        <v>0.33378013359579067</v>
      </c>
      <c r="S236" s="21">
        <v>73.416447941859701</v>
      </c>
      <c r="U236" s="21">
        <v>13.119463259877467</v>
      </c>
      <c r="W236" s="21">
        <v>0</v>
      </c>
      <c r="Y236" s="22">
        <v>0.76838850018308524</v>
      </c>
      <c r="AA236" s="21">
        <v>0</v>
      </c>
      <c r="AC236" s="21">
        <v>1.95328855394492E-2</v>
      </c>
      <c r="AE236" s="21">
        <v>4.2963463969904803</v>
      </c>
      <c r="AG236" s="21">
        <v>0.76775382475138232</v>
      </c>
      <c r="AI236" s="21">
        <v>0</v>
      </c>
      <c r="AJ236" s="21"/>
      <c r="AK236" s="22">
        <f>8*(AG236-$AG$148)/(2*($AA$148-AA236)+2*($AI$148-AI236))</f>
        <v>0.19147366877223659</v>
      </c>
      <c r="AL236" s="22"/>
      <c r="AM236" s="22">
        <f>(AG236-$AG$148)/(($AA$148-AA236)+($AI$148-AI236))</f>
        <v>4.7868417193059148E-2</v>
      </c>
      <c r="AN236" s="22"/>
      <c r="AO236" s="37">
        <f>8*(BW236-$BW$148)/(2*($AA$148-AA236)+2*($AI$148-AI236))</f>
        <v>0.1844478357841646</v>
      </c>
      <c r="AQ236" s="37">
        <f>(BW236-$BW$148)/(($AA$148-AA236)+($AI$148-AI236))</f>
        <v>4.611195894604115E-2</v>
      </c>
      <c r="AS236" s="37">
        <f>14*(BX236-$BX$148)/(2*($AA$148-AA236)+2*($AI$148-AI236))</f>
        <v>0</v>
      </c>
      <c r="AU236" s="37">
        <f>(BX236-$BX$148)/(($AA$148-AA236)+($AI$148-AI236))</f>
        <v>0</v>
      </c>
      <c r="BG236" s="37">
        <v>312.54000000000002</v>
      </c>
      <c r="BI236" s="2">
        <v>0</v>
      </c>
      <c r="BK236" s="2">
        <v>0.57999999999999996</v>
      </c>
      <c r="BM236" s="2">
        <v>0.84</v>
      </c>
      <c r="BO236" s="22">
        <f>(BG236/1000)/60.2*1000</f>
        <v>5.1916943521594696</v>
      </c>
      <c r="BQ236" s="2">
        <f>BI236/74.08</f>
        <v>0</v>
      </c>
      <c r="BS236" s="2">
        <f>(BK236/1000)/88.12*1000</f>
        <v>6.5819337267362683E-3</v>
      </c>
      <c r="BU236" s="2">
        <f>BM236/88.12</f>
        <v>9.5324557421697671E-3</v>
      </c>
      <c r="BW236" s="52">
        <f>BO236*0.05</f>
        <v>0.25958471760797347</v>
      </c>
      <c r="BX236" s="51">
        <f t="shared" si="12"/>
        <v>0</v>
      </c>
      <c r="BY236" s="51">
        <f t="shared" si="13"/>
        <v>3.2909668633681341E-4</v>
      </c>
      <c r="BZ236" s="67">
        <f t="shared" si="14"/>
        <v>4.7662278710848836E-4</v>
      </c>
    </row>
    <row r="237" spans="1:78" x14ac:dyDescent="0.3">
      <c r="A237" s="173"/>
      <c r="B237" s="70" t="s">
        <v>95</v>
      </c>
      <c r="C237" s="20">
        <v>11</v>
      </c>
      <c r="D237" s="69"/>
      <c r="E237" s="21"/>
      <c r="F237" s="52">
        <v>1.2949999999999999</v>
      </c>
      <c r="H237" s="37">
        <v>0.55400000000000005</v>
      </c>
      <c r="I237" s="52">
        <f>H237*0.2907</f>
        <v>0.16104780000000002</v>
      </c>
      <c r="K237" s="53">
        <f>(I237-$I$147)/(($AA$147-AA237)+($AI$147-AI237))*1000*0.05</f>
        <v>1.0538028544735236</v>
      </c>
      <c r="L237" s="68"/>
      <c r="M237" s="22">
        <v>14.723557628110239</v>
      </c>
      <c r="O237" s="21">
        <v>0</v>
      </c>
      <c r="Q237" s="21">
        <v>0.15315080814558621</v>
      </c>
      <c r="S237" s="21">
        <v>70.849540857798402</v>
      </c>
      <c r="U237" s="21">
        <v>14.273750705945776</v>
      </c>
      <c r="W237" s="21">
        <v>0</v>
      </c>
      <c r="Y237" s="22">
        <v>0.8583118285006972</v>
      </c>
      <c r="AA237" s="21">
        <v>0</v>
      </c>
      <c r="AC237" s="21">
        <v>8.9279475447449474E-3</v>
      </c>
      <c r="AE237" s="21">
        <v>4.1301837842500335</v>
      </c>
      <c r="AG237" s="21">
        <v>0.83209027175559647</v>
      </c>
      <c r="AI237" s="21">
        <v>0</v>
      </c>
      <c r="AJ237" s="21"/>
      <c r="AK237" s="22">
        <f>8*(AG237-$AG$149)/(2*($AA$149-AA237)+2*($AI$149-AI237))</f>
        <v>0.2335160956254469</v>
      </c>
      <c r="AL237" s="22"/>
      <c r="AM237" s="22">
        <f>(AG237-$AG$149)/(($AA$149-AA237)+($AI$149-AI237))</f>
        <v>5.8379023906361724E-2</v>
      </c>
      <c r="AN237" s="22"/>
      <c r="AO237" s="37">
        <f>8*(BW237-$BW$149)/(2*($AA$149-AA237)+2*($AI$149-AI237))</f>
        <v>0.17771082653657969</v>
      </c>
      <c r="AQ237" s="37">
        <f>(BW237-$BW$148)/(($AA$148-AA237)+($AI$148-AI237))</f>
        <v>4.4178636295398997E-2</v>
      </c>
      <c r="AS237" s="37">
        <f>14*(BX237-$BX$149)/(2*($AA$149-AA237)+2*($AI$149-AI237))</f>
        <v>-3.378331882578653E-5</v>
      </c>
      <c r="AU237" s="37">
        <f>(BX237-$BX$149)/(($AA$149-AA237)+($AI$149-AI237))</f>
        <v>-4.8261884036837902E-6</v>
      </c>
      <c r="BG237" s="37">
        <v>299.44</v>
      </c>
      <c r="BI237" s="2">
        <v>0</v>
      </c>
      <c r="BK237" s="2">
        <v>0.65</v>
      </c>
      <c r="BM237" s="2">
        <v>0.56000000000000005</v>
      </c>
      <c r="BO237" s="22">
        <f>(BG237/1000)/60.2*1000</f>
        <v>4.9740863787375416</v>
      </c>
      <c r="BQ237" s="2">
        <f>BI237/74.08</f>
        <v>0</v>
      </c>
      <c r="BS237" s="2">
        <f>(BK237/1000)/88.12*1000</f>
        <v>7.3763050385837487E-3</v>
      </c>
      <c r="BU237" s="2">
        <f>BM237/88.12</f>
        <v>6.3549704947798462E-3</v>
      </c>
      <c r="BW237" s="52">
        <f>BO237*0.05</f>
        <v>0.24870431893687708</v>
      </c>
      <c r="BX237" s="51">
        <f t="shared" si="12"/>
        <v>0</v>
      </c>
      <c r="BY237" s="51">
        <f t="shared" si="13"/>
        <v>3.6881525192918746E-4</v>
      </c>
      <c r="BZ237" s="67">
        <f t="shared" si="14"/>
        <v>3.1774852473899235E-4</v>
      </c>
    </row>
    <row r="238" spans="1:78" x14ac:dyDescent="0.3">
      <c r="A238" s="173"/>
      <c r="B238" s="83" t="s">
        <v>63</v>
      </c>
      <c r="C238" s="80">
        <v>11</v>
      </c>
      <c r="D238" s="79" t="e">
        <f>AVERAGE(D235:D237)</f>
        <v>#DIV/0!</v>
      </c>
      <c r="E238" s="76"/>
      <c r="F238" s="74">
        <f>AVERAGE(F235:F237)</f>
        <v>1.28</v>
      </c>
      <c r="G238" s="73">
        <f>_xlfn.STDEV.S(F235:F237)</f>
        <v>3.0413812651491033E-2</v>
      </c>
      <c r="H238" s="77">
        <f>AVERAGE(H235:H237)</f>
        <v>0.52833333333333343</v>
      </c>
      <c r="I238" s="74">
        <f>AVERAGE(I235:I237)</f>
        <v>0.15358650000000001</v>
      </c>
      <c r="J238" s="82">
        <f>_xlfn.STDEV.S(I235:I237)</f>
        <v>6.5412883111815251E-3</v>
      </c>
      <c r="K238" s="82">
        <f>(I238-$I$147)/(($AA$147-AA238)+($AI$147-AI238))*1000*0.05</f>
        <v>0.9868533331909648</v>
      </c>
      <c r="L238" s="81">
        <f>_xlfn.STDEV.S(K235:K237)</f>
        <v>5.8694345624060236E-2</v>
      </c>
      <c r="M238" s="77">
        <f>AVERAGE(M235:M237)</f>
        <v>14.269002541756294</v>
      </c>
      <c r="N238" s="76">
        <f>_xlfn.STDEV.S(M235:M237)</f>
        <v>0.99279654442376863</v>
      </c>
      <c r="O238" s="76">
        <f>AVERAGE(O235:O237)</f>
        <v>0</v>
      </c>
      <c r="P238" s="76">
        <f>_xlfn.STDEV.S(O235:O237)</f>
        <v>0</v>
      </c>
      <c r="Q238" s="76">
        <f>AVERAGE(Q235:Q237)</f>
        <v>0.21617687622078421</v>
      </c>
      <c r="R238" s="76">
        <f>_xlfn.STDEV.S(Q235:Q237)</f>
        <v>0.1019349817140775</v>
      </c>
      <c r="S238" s="76">
        <f>AVERAGE(S235:S237)</f>
        <v>71.652974962055552</v>
      </c>
      <c r="T238" s="76">
        <f>_xlfn.STDEV.S(S235:S237)</f>
        <v>1.5292184201323868</v>
      </c>
      <c r="U238" s="76">
        <f>AVERAGE(U235:U237)</f>
        <v>13.861845619967381</v>
      </c>
      <c r="V238" s="76">
        <f>_xlfn.STDEV.S(U235:U237)</f>
        <v>0.64420982495291057</v>
      </c>
      <c r="W238" s="76">
        <f>AVERAGE(W235:W237)</f>
        <v>0</v>
      </c>
      <c r="X238" s="76">
        <f>_xlfn.STDEV.S(W235:W237)</f>
        <v>0</v>
      </c>
      <c r="Y238" s="77">
        <f>AVERAGE(Y235:Y237)</f>
        <v>0.82157985876799466</v>
      </c>
      <c r="Z238" s="76">
        <f>_xlfn.STDEV.S(Y235:Y237)</f>
        <v>4.7167095044854827E-2</v>
      </c>
      <c r="AA238" s="76">
        <f>AVERAGE(AA235:AA237)</f>
        <v>0</v>
      </c>
      <c r="AB238" s="76">
        <f>_xlfn.STDEV.S(AA235:AA237)</f>
        <v>0</v>
      </c>
      <c r="AC238" s="76">
        <f>AVERAGE(AC235:AC237)</f>
        <v>1.2505861413265188E-2</v>
      </c>
      <c r="AD238" s="76">
        <f>_xlfn.STDEV.S(AC235:AC237)</f>
        <v>6.0859221688271334E-3</v>
      </c>
      <c r="AE238" s="76">
        <f>AVERAGE(AE235:AE237)</f>
        <v>4.1294901986040635</v>
      </c>
      <c r="AF238" s="76">
        <f>_xlfn.STDEV.S(AE235:AE237)</f>
        <v>0.16720407012138705</v>
      </c>
      <c r="AG238" s="76">
        <f>AVERAGE(AG235:AG237)</f>
        <v>0.79841458702577606</v>
      </c>
      <c r="AH238" s="76">
        <f>_xlfn.STDEV.S(AG235:AG237)</f>
        <v>3.2274013096308486E-2</v>
      </c>
      <c r="AI238" s="76">
        <f>AVERAGE(AI235:AI237)</f>
        <v>0</v>
      </c>
      <c r="AJ238" s="75">
        <f>_xlfn.STDEV.S(AI235:AI237)</f>
        <v>0</v>
      </c>
      <c r="AK238" s="77">
        <f>AVERAGE(AK235:AK237)</f>
        <v>0.21525625519381522</v>
      </c>
      <c r="AL238" s="77">
        <f>_xlfn.STDEV.S(AK235:AK237)</f>
        <v>2.1558454406079095E-2</v>
      </c>
      <c r="AM238" s="77">
        <f>AVERAGE(AM235:AM237)</f>
        <v>5.3814063798453805E-2</v>
      </c>
      <c r="AN238" s="77">
        <f>_xlfn.STDEV.S(AM235:AM237)</f>
        <v>5.3896136015197738E-3</v>
      </c>
      <c r="AO238" s="78">
        <f>AVERAGE(AO235:AO237)</f>
        <v>0.17745850895570803</v>
      </c>
      <c r="AP238" s="78">
        <f>_xlfn.STDEV.S(AO235:AO237)</f>
        <v>7.1188400539608458E-3</v>
      </c>
      <c r="AQ238" s="78">
        <f>AVERAGE(AQ235:AQ237)</f>
        <v>4.428160379267837E-2</v>
      </c>
      <c r="AR238" s="78">
        <f>_xlfn.STDEV.S(AQ235:AQ237)</f>
        <v>1.7811050512711252E-3</v>
      </c>
      <c r="AS238" s="78">
        <f>AVERAGE(AS235:AS237)</f>
        <v>-1.1261106275262177E-5</v>
      </c>
      <c r="AT238" s="78">
        <f>_xlfn.STDEV.S(AS235:AS237)</f>
        <v>1.9504808218186805E-5</v>
      </c>
      <c r="AU238" s="78">
        <f>AVERAGE(AU235:AU237)</f>
        <v>-1.6087294678945968E-6</v>
      </c>
      <c r="AV238" s="80">
        <f>_xlfn.STDEV.S(AU235:AU237)</f>
        <v>2.7864011740266866E-6</v>
      </c>
      <c r="AW238" s="80"/>
      <c r="AX238" s="80"/>
      <c r="AY238" s="79">
        <f>SUM(AK238,AO238,AS238)</f>
        <v>0.39270350304324797</v>
      </c>
      <c r="AZ238" s="77">
        <f>SUM(AL238,AP238,AT238)</f>
        <v>2.869679926825813E-2</v>
      </c>
      <c r="BA238" s="78"/>
      <c r="BB238" s="78"/>
      <c r="BC238" s="78"/>
      <c r="BD238" s="78"/>
      <c r="BE238" s="78"/>
      <c r="BF238" s="78"/>
      <c r="BG238" s="78"/>
      <c r="BH238" s="75"/>
      <c r="BI238" s="75"/>
      <c r="BJ238" s="75"/>
      <c r="BK238" s="75"/>
      <c r="BL238" s="75"/>
      <c r="BM238" s="75"/>
      <c r="BN238" s="75"/>
      <c r="BO238" s="77">
        <f>AVERAGE(BO235:BO237)</f>
        <v>4.9696566998892591</v>
      </c>
      <c r="BP238" s="76">
        <f>_xlfn.STDEV.S(BO235:BO237)</f>
        <v>0.22428530173007308</v>
      </c>
      <c r="BQ238" s="75">
        <f>AVERAGE(BQ235:BQ237)</f>
        <v>0</v>
      </c>
      <c r="BR238" s="75">
        <f>_xlfn.STDEV.S(BQ235:BQ237)</f>
        <v>0</v>
      </c>
      <c r="BS238" s="75">
        <f>AVERAGE(BS235:BS237)</f>
        <v>7.9437131184748062E-3</v>
      </c>
      <c r="BT238" s="75">
        <f>_xlfn.STDEV.S(BS235:BS237)</f>
        <v>1.717288464641575E-3</v>
      </c>
      <c r="BU238" s="75">
        <f>AVERAGE(BU235:BU237)</f>
        <v>8.6624300196701479E-3</v>
      </c>
      <c r="BV238" s="75">
        <f>_xlfn.STDEV.S(BU235:BU237)</f>
        <v>2.018357024051157E-3</v>
      </c>
      <c r="BW238" s="74">
        <f>AVERAGE(BW235:BW237)</f>
        <v>0.24848283499446291</v>
      </c>
      <c r="BX238" s="73">
        <f t="shared" si="12"/>
        <v>0</v>
      </c>
      <c r="BY238" s="73">
        <f t="shared" si="13"/>
        <v>3.9718565592374033E-4</v>
      </c>
      <c r="BZ238" s="72">
        <f t="shared" si="14"/>
        <v>4.3312150098350741E-4</v>
      </c>
    </row>
    <row r="239" spans="1:78" x14ac:dyDescent="0.3">
      <c r="A239" s="174" t="s">
        <v>61</v>
      </c>
      <c r="B239" s="70" t="s">
        <v>94</v>
      </c>
      <c r="C239" s="20">
        <v>11</v>
      </c>
      <c r="D239" s="69"/>
      <c r="E239" s="21"/>
      <c r="F239" s="52">
        <v>1.165</v>
      </c>
      <c r="H239" s="37">
        <v>0.20799999999999999</v>
      </c>
      <c r="I239" s="52">
        <f>H239*0.2907</f>
        <v>6.0465600000000001E-2</v>
      </c>
      <c r="K239" s="53">
        <f>(I239-$I$151)/($BW$151-BW239)*1000*0.05</f>
        <v>0.98822298060397751</v>
      </c>
      <c r="L239" s="68"/>
      <c r="M239" s="22">
        <v>2.450471671608808</v>
      </c>
      <c r="O239" s="21">
        <v>0</v>
      </c>
      <c r="Q239" s="21">
        <v>0.22835980021408001</v>
      </c>
      <c r="S239" s="21">
        <v>96.593477799288792</v>
      </c>
      <c r="U239" s="21">
        <v>0.72769072888830144</v>
      </c>
      <c r="W239" s="21">
        <v>0</v>
      </c>
      <c r="Y239" s="22">
        <v>0.12851037187619443</v>
      </c>
      <c r="AA239" s="21">
        <v>0</v>
      </c>
      <c r="AC239" s="21">
        <v>1.1975899655194938E-2</v>
      </c>
      <c r="AE239" s="21">
        <v>5.0656630299471521</v>
      </c>
      <c r="AG239" s="21">
        <v>3.8162369826090947E-2</v>
      </c>
      <c r="AI239" s="21">
        <v>0</v>
      </c>
      <c r="AK239" s="22">
        <f>8*(AG239-$AG$151)/(8*($BW$151-BW239))</f>
        <v>0.11280995156055364</v>
      </c>
      <c r="AL239" s="22"/>
      <c r="AM239" s="22">
        <f>(AG239-$AG$151)/($BW$151-BW239)</f>
        <v>0.11280995156055364</v>
      </c>
      <c r="AN239" s="22"/>
      <c r="BG239" s="37">
        <v>1135.1199999999999</v>
      </c>
      <c r="BI239" s="2">
        <v>0</v>
      </c>
      <c r="BK239" s="2">
        <v>0</v>
      </c>
      <c r="BM239" s="2">
        <v>0</v>
      </c>
      <c r="BO239" s="22">
        <f>(BG239/1000)/60.2*1000</f>
        <v>18.855813953488372</v>
      </c>
      <c r="BQ239" s="2">
        <f>BI239/74.08</f>
        <v>0</v>
      </c>
      <c r="BS239" s="2">
        <f>(BK239/1000)/88.12*1000</f>
        <v>0</v>
      </c>
      <c r="BU239" s="2">
        <f>BM239/88.12</f>
        <v>0</v>
      </c>
      <c r="BW239" s="52">
        <f>BO239*0.05</f>
        <v>0.9427906976744187</v>
      </c>
      <c r="BX239" s="51">
        <f t="shared" si="12"/>
        <v>0</v>
      </c>
      <c r="BY239" s="51">
        <f t="shared" si="13"/>
        <v>0</v>
      </c>
      <c r="BZ239" s="67">
        <f t="shared" si="14"/>
        <v>0</v>
      </c>
    </row>
    <row r="240" spans="1:78" x14ac:dyDescent="0.3">
      <c r="A240" s="173"/>
      <c r="B240" s="70" t="s">
        <v>93</v>
      </c>
      <c r="C240" s="20">
        <v>11</v>
      </c>
      <c r="D240" s="69"/>
      <c r="E240" s="21"/>
      <c r="F240" s="52">
        <v>1.18</v>
      </c>
      <c r="H240" s="37">
        <v>0.183</v>
      </c>
      <c r="I240" s="52">
        <f>H240*0.2907</f>
        <v>5.3198099999999998E-2</v>
      </c>
      <c r="K240" s="53">
        <f>(I240-$I$152)/($BW$152-BW240)*1000*0.05</f>
        <v>0.81640343190945497</v>
      </c>
      <c r="L240" s="68"/>
      <c r="M240" s="22">
        <v>2.3146567090914507</v>
      </c>
      <c r="O240" s="21">
        <v>0</v>
      </c>
      <c r="Q240" s="21">
        <v>0.31462629184726648</v>
      </c>
      <c r="S240" s="21">
        <v>96.789269768606417</v>
      </c>
      <c r="U240" s="21">
        <v>0.58144723045485858</v>
      </c>
      <c r="W240" s="21">
        <v>0</v>
      </c>
      <c r="Y240" s="22">
        <v>0.12295074514653392</v>
      </c>
      <c r="AA240" s="21">
        <v>0</v>
      </c>
      <c r="AC240" s="21">
        <v>1.6712429481819936E-2</v>
      </c>
      <c r="AE240" s="21">
        <v>5.1412863054366982</v>
      </c>
      <c r="AG240" s="21">
        <v>3.0885517479555022E-2</v>
      </c>
      <c r="AI240" s="21">
        <v>0</v>
      </c>
      <c r="AK240" s="22">
        <f>8*(AG240-$AG$152)/(8*($BW$152-BW240))</f>
        <v>7.5425262758882464E-2</v>
      </c>
      <c r="AL240" s="22"/>
      <c r="AM240" s="22">
        <f>(AG240-$AG$152)/($BW$152-BW240)</f>
        <v>7.5425262758882464E-2</v>
      </c>
      <c r="AN240" s="22"/>
      <c r="BG240" s="37">
        <v>1100.5</v>
      </c>
      <c r="BI240" s="2">
        <v>0</v>
      </c>
      <c r="BK240" s="2">
        <v>0</v>
      </c>
      <c r="BM240" s="2">
        <v>0</v>
      </c>
      <c r="BO240" s="22">
        <f>(BG240/1000)/60.2*1000</f>
        <v>18.280730897009963</v>
      </c>
      <c r="BQ240" s="2">
        <f>BI240/74.08</f>
        <v>0</v>
      </c>
      <c r="BS240" s="2">
        <f>(BK240/1000)/88.12*1000</f>
        <v>0</v>
      </c>
      <c r="BU240" s="2">
        <f>BM240/88.12</f>
        <v>0</v>
      </c>
      <c r="BW240" s="52">
        <f>BO240*0.05</f>
        <v>0.91403654485049823</v>
      </c>
      <c r="BX240" s="51">
        <f t="shared" si="12"/>
        <v>0</v>
      </c>
      <c r="BY240" s="51">
        <f t="shared" si="13"/>
        <v>0</v>
      </c>
      <c r="BZ240" s="67">
        <f t="shared" si="14"/>
        <v>0</v>
      </c>
    </row>
    <row r="241" spans="1:78" x14ac:dyDescent="0.3">
      <c r="A241" s="173"/>
      <c r="B241" s="70" t="s">
        <v>92</v>
      </c>
      <c r="C241" s="20">
        <v>11</v>
      </c>
      <c r="D241" s="69"/>
      <c r="E241" s="21"/>
      <c r="F241" s="52">
        <v>1.1950000000000001</v>
      </c>
      <c r="G241" s="67"/>
      <c r="H241" s="37">
        <v>0.19600000000000001</v>
      </c>
      <c r="I241" s="52">
        <f>H241*0.2907</f>
        <v>5.6977200000000006E-2</v>
      </c>
      <c r="K241" s="53">
        <f>(I241-$I$153)/($BW$153-BW241)*1000*0.05</f>
        <v>1.1731609731571742</v>
      </c>
      <c r="L241" s="68"/>
      <c r="M241" s="22">
        <v>1.9764988326164774</v>
      </c>
      <c r="O241" s="21">
        <v>0</v>
      </c>
      <c r="Q241" s="21">
        <v>0.2439240690099167</v>
      </c>
      <c r="S241" s="21">
        <v>97.262022369838078</v>
      </c>
      <c r="U241" s="21">
        <v>0.51755472853551998</v>
      </c>
      <c r="W241" s="21">
        <v>0</v>
      </c>
      <c r="Y241" s="22">
        <v>0.10632295447185953</v>
      </c>
      <c r="AA241" s="21">
        <v>0</v>
      </c>
      <c r="AC241" s="21">
        <v>1.3121549709999E-2</v>
      </c>
      <c r="AE241" s="21">
        <v>5.2320726962331054</v>
      </c>
      <c r="AG241" s="21">
        <v>2.784112336961618E-2</v>
      </c>
      <c r="AI241" s="21">
        <v>0</v>
      </c>
      <c r="AK241" s="22">
        <f>8*(AG241-$AG$153)/(8*($BW$153-BW241))</f>
        <v>9.3630659861506232E-2</v>
      </c>
      <c r="AL241" s="22"/>
      <c r="AM241" s="22">
        <f>(AG241-$AG$153)/($BW$153-BW241)</f>
        <v>9.3630659861506232E-2</v>
      </c>
      <c r="AN241" s="22"/>
      <c r="BG241" s="37">
        <v>1145.8699999999999</v>
      </c>
      <c r="BI241" s="2">
        <v>0</v>
      </c>
      <c r="BK241" s="2">
        <v>0</v>
      </c>
      <c r="BM241" s="2">
        <v>0</v>
      </c>
      <c r="BO241" s="22">
        <f>(BG241/1000)/60.2*1000</f>
        <v>19.034385382059799</v>
      </c>
      <c r="BQ241" s="2">
        <f>BI241/74.08</f>
        <v>0</v>
      </c>
      <c r="BS241" s="2">
        <f>(BK241/1000)/88.12*1000</f>
        <v>0</v>
      </c>
      <c r="BU241" s="2">
        <f>BM241/88.12</f>
        <v>0</v>
      </c>
      <c r="BW241" s="52">
        <f>BO241*0.05</f>
        <v>0.95171926910298998</v>
      </c>
      <c r="BX241" s="51">
        <f t="shared" si="12"/>
        <v>0</v>
      </c>
      <c r="BY241" s="51">
        <f t="shared" si="13"/>
        <v>0</v>
      </c>
      <c r="BZ241" s="67">
        <f t="shared" si="14"/>
        <v>0</v>
      </c>
    </row>
    <row r="242" spans="1:78" ht="15" thickBot="1" x14ac:dyDescent="0.35">
      <c r="A242" s="175"/>
      <c r="B242" s="66" t="s">
        <v>63</v>
      </c>
      <c r="C242" s="65">
        <v>11</v>
      </c>
      <c r="D242" s="64" t="e">
        <f>AVERAGE(D239:D241)</f>
        <v>#DIV/0!</v>
      </c>
      <c r="E242" s="58"/>
      <c r="F242" s="56">
        <f>AVERAGE(F239:F241)</f>
        <v>1.18</v>
      </c>
      <c r="G242" s="55">
        <f>_xlfn.STDEV.S(F239:F241)</f>
        <v>1.5000000000000013E-2</v>
      </c>
      <c r="H242" s="60">
        <f>AVERAGE(H239:H241)</f>
        <v>0.19566666666666666</v>
      </c>
      <c r="I242" s="56">
        <f>AVERAGE(I239:I241)</f>
        <v>5.6880300000000002E-2</v>
      </c>
      <c r="J242" s="63">
        <f>_xlfn.STDEV.S(I239:I241)</f>
        <v>3.6347188708344435E-3</v>
      </c>
      <c r="K242" s="56">
        <f>AVERAGE(K239:K241)</f>
        <v>0.99259579522353558</v>
      </c>
      <c r="L242" s="62">
        <f>_xlfn.STDEV.S(K239:K241)</f>
        <v>0.17841896463115164</v>
      </c>
      <c r="M242" s="59">
        <f>AVERAGE(M239:M241)</f>
        <v>2.2472090711055785</v>
      </c>
      <c r="N242" s="58">
        <f>_xlfn.STDEV.S(M239:M241)</f>
        <v>0.24407878016742332</v>
      </c>
      <c r="O242" s="58">
        <f>AVERAGE(O239:O241)</f>
        <v>0</v>
      </c>
      <c r="P242" s="58">
        <f>_xlfn.STDEV.S(O239:O241)</f>
        <v>0</v>
      </c>
      <c r="Q242" s="58">
        <f>AVERAGE(Q239:Q241)</f>
        <v>0.26230338702375439</v>
      </c>
      <c r="R242" s="58">
        <f>_xlfn.STDEV.S(Q239:Q241)</f>
        <v>4.5976367762851633E-2</v>
      </c>
      <c r="S242" s="58">
        <f>AVERAGE(S239:S241)</f>
        <v>96.881589979244424</v>
      </c>
      <c r="T242" s="58">
        <f>_xlfn.STDEV.S(S239:S241)</f>
        <v>0.34370078072637217</v>
      </c>
      <c r="U242" s="58">
        <f>AVERAGE(U239:U241)</f>
        <v>0.60889756262622663</v>
      </c>
      <c r="V242" s="58">
        <f>_xlfn.STDEV.S(U239:U241)</f>
        <v>0.10772383772083577</v>
      </c>
      <c r="W242" s="58">
        <f>AVERAGE(W239:W241)</f>
        <v>0</v>
      </c>
      <c r="X242" s="58">
        <f>_xlfn.STDEV.S(W239:W241)</f>
        <v>0</v>
      </c>
      <c r="Y242" s="59">
        <f>AVERAGE(Y239:Y241)</f>
        <v>0.11926135716486262</v>
      </c>
      <c r="Z242" s="58">
        <f>_xlfn.STDEV.S(Y239:Y241)</f>
        <v>1.1544655063189253E-2</v>
      </c>
      <c r="AA242" s="58">
        <f>AVERAGE(AA239:AA241)</f>
        <v>0</v>
      </c>
      <c r="AB242" s="58">
        <f>_xlfn.STDEV.S(AA239:AA241)</f>
        <v>0</v>
      </c>
      <c r="AC242" s="58">
        <f>AVERAGE(AC239:AC241)</f>
        <v>1.3936626282337957E-2</v>
      </c>
      <c r="AD242" s="58">
        <f>_xlfn.STDEV.S(AC239:AC241)</f>
        <v>2.4712225848168607E-3</v>
      </c>
      <c r="AE242" s="58">
        <f>AVERAGE(AE239:AE241)</f>
        <v>5.1463406772056519</v>
      </c>
      <c r="AF242" s="58">
        <f>_xlfn.STDEV.S(AE239:AE241)</f>
        <v>8.3319891165523532E-2</v>
      </c>
      <c r="AG242" s="58">
        <f>AVERAGE(AG239:AG241)</f>
        <v>3.2296336891754047E-2</v>
      </c>
      <c r="AH242" s="58">
        <f>_xlfn.STDEV.S(AG239:AG241)</f>
        <v>5.3032858365546767E-3</v>
      </c>
      <c r="AI242" s="58">
        <f>AVERAGE(AI239:AI241)</f>
        <v>0</v>
      </c>
      <c r="AJ242" s="57">
        <f>_xlfn.STDEV.S(AI239:AI241)</f>
        <v>0</v>
      </c>
      <c r="AK242" s="77">
        <f>AVERAGE(AK239:AK241)</f>
        <v>9.3955291393647444E-2</v>
      </c>
      <c r="AL242" s="77">
        <f>_xlfn.STDEV.S(AK239:AK241)</f>
        <v>1.8694458495051251E-2</v>
      </c>
      <c r="AM242" s="77">
        <f>AVERAGE(AM239:AM241)</f>
        <v>9.3955291393647444E-2</v>
      </c>
      <c r="AN242" s="77">
        <f>_xlfn.STDEV.S(AM239:AM241)</f>
        <v>1.8694458495051251E-2</v>
      </c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59">
        <f>SUM(AK242,AO242,AS242)</f>
        <v>9.3955291393647444E-2</v>
      </c>
      <c r="AZ242" s="59">
        <f>SUM(AL242,AP242,AT242)</f>
        <v>1.8694458495051251E-2</v>
      </c>
      <c r="BA242" s="60"/>
      <c r="BB242" s="60"/>
      <c r="BC242" s="60"/>
      <c r="BD242" s="60"/>
      <c r="BE242" s="60"/>
      <c r="BF242" s="60"/>
      <c r="BG242" s="60">
        <f>AVERAGE(BG239:BG241)</f>
        <v>1127.1633333333332</v>
      </c>
      <c r="BH242" s="57">
        <f>_xlfn.STDEV.S(BG239:BG241)</f>
        <v>23.708450673406105</v>
      </c>
      <c r="BI242" s="57">
        <f>AVERAGE(BI239:BI241)</f>
        <v>0</v>
      </c>
      <c r="BJ242" s="57" t="e">
        <f>_xlfn.STDEV.S(BH239:BH241)</f>
        <v>#DIV/0!</v>
      </c>
      <c r="BK242" s="57">
        <f>AVERAGE(BK239:BK241)</f>
        <v>0</v>
      </c>
      <c r="BL242" s="57">
        <f>_xlfn.STDEV.S(BK239:BK241)</f>
        <v>0</v>
      </c>
      <c r="BM242" s="57">
        <f>AVERAGE(BM239:BM241)</f>
        <v>0</v>
      </c>
      <c r="BN242" s="57" t="e">
        <f>_xlfn.STDEV.S(BL239:BL241)</f>
        <v>#DIV/0!</v>
      </c>
      <c r="BO242" s="59">
        <f>AVERAGE(BO239:BO241)</f>
        <v>18.723643410852713</v>
      </c>
      <c r="BP242" s="58">
        <f>_xlfn.STDEV.S(BO239:BO241)</f>
        <v>0.39382808427585136</v>
      </c>
      <c r="BQ242" s="57">
        <f>AVERAGE(BQ239:BQ241)</f>
        <v>0</v>
      </c>
      <c r="BR242" s="57">
        <f>_xlfn.STDEV.S(BQ239:BQ241)</f>
        <v>0</v>
      </c>
      <c r="BS242" s="57">
        <f>AVERAGE(BS239:BS241)</f>
        <v>0</v>
      </c>
      <c r="BT242" s="57">
        <f>_xlfn.STDEV.S(BS239:BS241)</f>
        <v>0</v>
      </c>
      <c r="BU242" s="57">
        <f>AVERAGE(BU239:BU241)</f>
        <v>0</v>
      </c>
      <c r="BV242" s="57">
        <f>_xlfn.STDEV.S(BU239:BU241)</f>
        <v>0</v>
      </c>
      <c r="BW242" s="56">
        <f>AVERAGE(BW239:BW241)</f>
        <v>0.93618217054263564</v>
      </c>
      <c r="BX242" s="55">
        <f t="shared" si="12"/>
        <v>0</v>
      </c>
      <c r="BY242" s="55">
        <f t="shared" si="13"/>
        <v>0</v>
      </c>
      <c r="BZ242" s="54">
        <f t="shared" si="14"/>
        <v>0</v>
      </c>
    </row>
    <row r="243" spans="1:78" x14ac:dyDescent="0.3">
      <c r="A243" s="172" t="s">
        <v>98</v>
      </c>
      <c r="B243" s="95" t="s">
        <v>97</v>
      </c>
      <c r="C243" s="94">
        <v>12</v>
      </c>
      <c r="D243" s="93"/>
      <c r="E243" s="88"/>
      <c r="F243" s="86">
        <v>1.2949999999999999</v>
      </c>
      <c r="G243" s="85"/>
      <c r="H243" s="90">
        <v>0.48399999999999999</v>
      </c>
      <c r="I243" s="86">
        <f>H243*0.2907</f>
        <v>0.14069880000000001</v>
      </c>
      <c r="J243" s="92"/>
      <c r="K243" s="92">
        <f>(I243-$I$147)/(($AA$147-AA243)+($AI$147-AI243))*1000*0.05</f>
        <v>0.87121325097563584</v>
      </c>
      <c r="L243" s="91"/>
      <c r="M243" s="89">
        <v>15.083444015038078</v>
      </c>
      <c r="O243" s="88">
        <v>0</v>
      </c>
      <c r="Q243" s="88">
        <v>0.11823169459479242</v>
      </c>
      <c r="S243" s="88">
        <v>70.025527061041785</v>
      </c>
      <c r="U243" s="88">
        <v>14.772797229325342</v>
      </c>
      <c r="W243" s="88">
        <v>0</v>
      </c>
      <c r="X243" s="88"/>
      <c r="Y243" s="89">
        <v>0.87929145520632424</v>
      </c>
      <c r="AA243" s="21">
        <v>0</v>
      </c>
      <c r="AB243" s="88"/>
      <c r="AC243" s="88">
        <v>6.8923329902718039E-3</v>
      </c>
      <c r="AE243" s="21">
        <v>4.082147785990097</v>
      </c>
      <c r="AF243" s="88"/>
      <c r="AG243" s="88">
        <v>0.8611822578643783</v>
      </c>
      <c r="AI243" s="21">
        <v>0</v>
      </c>
      <c r="AJ243" s="87"/>
      <c r="AK243" s="89">
        <f>8*(AG243-$AG$147)/(2*($AA$147-AA243)+2*($AI$147-AI243))</f>
        <v>0.2679998675717698</v>
      </c>
      <c r="AL243" s="89"/>
      <c r="AM243" s="89">
        <f>(AG243-$AG$147)/(($AA$147-AA243)+($AI$147-AI243))</f>
        <v>6.699996689294245E-2</v>
      </c>
      <c r="AN243" s="89"/>
      <c r="AO243" s="37">
        <f>8*(BW243-$BW$147)/(2*($AA$147-AA243)+2*($AI$147-AI243))</f>
        <v>0.13583365411419163</v>
      </c>
      <c r="AQ243" s="37">
        <f>(BW243-$BW$147)/(($AA$147-AA243)+($AI$147-AI243))</f>
        <v>3.3958413528547907E-2</v>
      </c>
      <c r="AS243" s="37">
        <f>14*(BX243-$BX$147)/(2*($AA$147-AA243)+2*($AI$147-AI243))</f>
        <v>0</v>
      </c>
      <c r="AU243" s="37">
        <f>(BX243-$BX$147)/(($AA$147-AA243)+($AI$147-AI243))</f>
        <v>0</v>
      </c>
      <c r="AY243" s="90"/>
      <c r="AZ243" s="90"/>
      <c r="BA243" s="90"/>
      <c r="BB243" s="90"/>
      <c r="BC243" s="90"/>
      <c r="BD243" s="90"/>
      <c r="BE243" s="90"/>
      <c r="BF243" s="90"/>
      <c r="BG243" s="90">
        <v>227.87</v>
      </c>
      <c r="BH243" s="87"/>
      <c r="BI243" s="87">
        <v>0</v>
      </c>
      <c r="BJ243" s="87"/>
      <c r="BK243" s="87">
        <v>0.65</v>
      </c>
      <c r="BL243" s="87"/>
      <c r="BM243" s="87">
        <v>0.56999999999999995</v>
      </c>
      <c r="BN243" s="87"/>
      <c r="BO243" s="89">
        <f>(BG243/1000)/60.2*1000</f>
        <v>3.785215946843854</v>
      </c>
      <c r="BP243" s="88"/>
      <c r="BQ243" s="87">
        <f>BI243/74.08</f>
        <v>0</v>
      </c>
      <c r="BR243" s="87"/>
      <c r="BS243" s="87">
        <f>(BK243/1000)/88.12*1000</f>
        <v>7.3763050385837487E-3</v>
      </c>
      <c r="BT243" s="87"/>
      <c r="BU243" s="87">
        <f>BM243/88.12</f>
        <v>6.4684521107580559E-3</v>
      </c>
      <c r="BV243" s="87"/>
      <c r="BW243" s="86">
        <f>BO243*0.05</f>
        <v>0.1892607973421927</v>
      </c>
      <c r="BX243" s="85">
        <f t="shared" ref="BX243:BX274" si="15">BQ243*0.05</f>
        <v>0</v>
      </c>
      <c r="BY243" s="85">
        <f t="shared" ref="BY243:BY274" si="16">BS243*0.05</f>
        <v>3.6881525192918746E-4</v>
      </c>
      <c r="BZ243" s="84">
        <f t="shared" ref="BZ243:BZ274" si="17">BU243*0.05</f>
        <v>3.2342260553790283E-4</v>
      </c>
    </row>
    <row r="244" spans="1:78" x14ac:dyDescent="0.3">
      <c r="A244" s="173"/>
      <c r="B244" s="70" t="s">
        <v>96</v>
      </c>
      <c r="C244" s="20">
        <v>12</v>
      </c>
      <c r="D244" s="69"/>
      <c r="E244" s="21"/>
      <c r="F244" s="52">
        <v>1.3149999999999999</v>
      </c>
      <c r="H244" s="37">
        <v>0.502</v>
      </c>
      <c r="I244" s="52">
        <f>H244*0.2907</f>
        <v>0.14593140000000002</v>
      </c>
      <c r="K244" s="53">
        <f>(I244-$I$147)/(($AA$147-AA244)+($AI$147-AI244))*1000*0.05</f>
        <v>0.91816486330366409</v>
      </c>
      <c r="L244" s="68"/>
      <c r="M244" s="22">
        <v>13.303125790774594</v>
      </c>
      <c r="O244" s="21">
        <v>0</v>
      </c>
      <c r="Q244" s="21">
        <v>8.2082230770295611E-2</v>
      </c>
      <c r="S244" s="21">
        <v>72.276241062878157</v>
      </c>
      <c r="U244" s="21">
        <v>14.338550915576958</v>
      </c>
      <c r="W244" s="21">
        <v>0</v>
      </c>
      <c r="Y244" s="22">
        <v>0.78748450877211695</v>
      </c>
      <c r="AA244" s="21">
        <v>0</v>
      </c>
      <c r="AC244" s="21">
        <v>4.8588945330345634E-3</v>
      </c>
      <c r="AE244" s="21">
        <v>4.2784245661095612</v>
      </c>
      <c r="AG244" s="21">
        <v>0.84877696428965743</v>
      </c>
      <c r="AI244" s="21">
        <v>0</v>
      </c>
      <c r="AK244" s="22">
        <f>8*(AG244-$AG$148)/(2*($AA$148-AA244)+2*($AI$148-AI244))</f>
        <v>0.24906121703427198</v>
      </c>
      <c r="AL244" s="22"/>
      <c r="AM244" s="22">
        <f>(AG244-$AG$148)/(($AA$148-AA244)+($AI$148-AI244))</f>
        <v>6.2265304258567994E-2</v>
      </c>
      <c r="AN244" s="22"/>
      <c r="AO244" s="37">
        <f>8*(BW244-$BW$148)/(2*($AA$148-AA244)+2*($AI$148-AI244))</f>
        <v>0.15787129052251281</v>
      </c>
      <c r="AQ244" s="37">
        <f>(BW244-$BW$148)/(($AA$148-AA244)+($AI$148-AI244))</f>
        <v>3.9467822630628202E-2</v>
      </c>
      <c r="AS244" s="37">
        <f>14*(BX244-$BX$148)/(2*($AA$148-AA244)+2*($AI$148-AI244))</f>
        <v>0</v>
      </c>
      <c r="AU244" s="37">
        <f>(BX244-$BX$148)/(($AA$148-AA244)+($AI$148-AI244))</f>
        <v>0</v>
      </c>
      <c r="BG244" s="37">
        <v>267.52</v>
      </c>
      <c r="BI244" s="2">
        <v>0</v>
      </c>
      <c r="BK244" s="2">
        <v>0.69</v>
      </c>
      <c r="BM244" s="2">
        <v>0.85</v>
      </c>
      <c r="BO244" s="22">
        <f>(BG244/1000)/60.2*1000</f>
        <v>4.4438538205980063</v>
      </c>
      <c r="BQ244" s="2">
        <f>BI244/74.08</f>
        <v>0</v>
      </c>
      <c r="BS244" s="2">
        <f>(BK244/1000)/88.12*1000</f>
        <v>7.8302315024965947E-3</v>
      </c>
      <c r="BU244" s="2">
        <f>BM244/88.12</f>
        <v>9.6459373581479785E-3</v>
      </c>
      <c r="BW244" s="52">
        <f>BO244*0.05</f>
        <v>0.22219269102990033</v>
      </c>
      <c r="BX244" s="51">
        <f t="shared" si="15"/>
        <v>0</v>
      </c>
      <c r="BY244" s="51">
        <f t="shared" si="16"/>
        <v>3.9151157512482974E-4</v>
      </c>
      <c r="BZ244" s="67">
        <f t="shared" si="17"/>
        <v>4.8229686790739895E-4</v>
      </c>
    </row>
    <row r="245" spans="1:78" x14ac:dyDescent="0.3">
      <c r="A245" s="173"/>
      <c r="B245" s="70" t="s">
        <v>95</v>
      </c>
      <c r="C245" s="20">
        <v>12</v>
      </c>
      <c r="D245" s="69"/>
      <c r="E245" s="21"/>
      <c r="F245" s="52">
        <v>1.32</v>
      </c>
      <c r="H245" s="37">
        <v>0.54100000000000004</v>
      </c>
      <c r="I245" s="52">
        <f>H245*0.2907</f>
        <v>0.15726870000000001</v>
      </c>
      <c r="K245" s="53">
        <f>(I245-$I$147)/(($AA$147-AA245)+($AI$147-AI245))*1000*0.05</f>
        <v>1.0198933566810586</v>
      </c>
      <c r="L245" s="68"/>
      <c r="M245" s="22">
        <v>14.723064975514921</v>
      </c>
      <c r="O245" s="21">
        <v>0</v>
      </c>
      <c r="Q245" s="21">
        <v>0.2579978002289417</v>
      </c>
      <c r="S245" s="21">
        <v>70.308525321860131</v>
      </c>
      <c r="U245" s="21">
        <v>14.710411902396011</v>
      </c>
      <c r="W245" s="21">
        <v>0</v>
      </c>
      <c r="Y245" s="22">
        <v>0.87485228124274306</v>
      </c>
      <c r="AA245" s="21">
        <v>0</v>
      </c>
      <c r="AC245" s="21">
        <v>1.533036527796789E-2</v>
      </c>
      <c r="AE245" s="21">
        <v>4.1777696336282908</v>
      </c>
      <c r="AG245" s="21">
        <v>0.87410042896869411</v>
      </c>
      <c r="AI245" s="21">
        <v>0</v>
      </c>
      <c r="AK245" s="22">
        <f>8*(AG245-$AG$149)/(2*($AA$149-AA245)+2*($AI$149-AI245))</f>
        <v>0.26355537762447961</v>
      </c>
      <c r="AL245" s="22"/>
      <c r="AM245" s="22">
        <f>(AG245-$AG$149)/(($AA$149-AA245)+($AI$149-AI245))</f>
        <v>6.5888844406119904E-2</v>
      </c>
      <c r="AN245" s="22"/>
      <c r="AO245" s="37">
        <f>8*(BW245-$BW$149)/(2*($AA$149-AA245)+2*($AI$149-AI245))</f>
        <v>0.13005679211056906</v>
      </c>
      <c r="AQ245" s="37">
        <f>(BW245-$BW$148)/(($AA$148-AA245)+($AI$148-AI245))</f>
        <v>3.2336666105511516E-2</v>
      </c>
      <c r="AS245" s="37">
        <f>14*(BX245-$BX$149)/(2*($AA$149-AA245)+2*($AI$149-AI245))</f>
        <v>-3.378331882578653E-5</v>
      </c>
      <c r="AU245" s="37">
        <f>(BX245-$BX$149)/(($AA$149-AA245)+($AI$149-AI245))</f>
        <v>-4.8261884036837902E-6</v>
      </c>
      <c r="BG245" s="37">
        <v>219.2</v>
      </c>
      <c r="BI245" s="2">
        <v>0</v>
      </c>
      <c r="BK245" s="2">
        <v>0.82</v>
      </c>
      <c r="BM245" s="2">
        <v>0.66</v>
      </c>
      <c r="BO245" s="22">
        <f>(BG245/1000)/60.2*1000</f>
        <v>3.641196013289036</v>
      </c>
      <c r="BQ245" s="2">
        <f>BI245/74.08</f>
        <v>0</v>
      </c>
      <c r="BS245" s="2">
        <f>(BK245/1000)/88.12*1000</f>
        <v>9.3054925102133441E-3</v>
      </c>
      <c r="BU245" s="2">
        <f>BM245/88.12</f>
        <v>7.4897866545619611E-3</v>
      </c>
      <c r="BW245" s="52">
        <f>BO245*0.05</f>
        <v>0.18205980066445182</v>
      </c>
      <c r="BX245" s="51">
        <f t="shared" si="15"/>
        <v>0</v>
      </c>
      <c r="BY245" s="51">
        <f t="shared" si="16"/>
        <v>4.6527462551066725E-4</v>
      </c>
      <c r="BZ245" s="67">
        <f t="shared" si="17"/>
        <v>3.744893327280981E-4</v>
      </c>
    </row>
    <row r="246" spans="1:78" x14ac:dyDescent="0.3">
      <c r="A246" s="180"/>
      <c r="B246" s="83" t="s">
        <v>63</v>
      </c>
      <c r="C246" s="80">
        <v>12</v>
      </c>
      <c r="D246" s="79" t="e">
        <f>AVERAGE(D243:D245)</f>
        <v>#DIV/0!</v>
      </c>
      <c r="E246" s="76"/>
      <c r="F246" s="74">
        <f>AVERAGE(F243:F245)</f>
        <v>1.3099999999999998</v>
      </c>
      <c r="G246" s="73">
        <f>_xlfn.STDEV.S(F243:F245)</f>
        <v>1.3228756555323006E-2</v>
      </c>
      <c r="H246" s="77">
        <f>AVERAGE(H243:H245)</f>
        <v>0.50900000000000001</v>
      </c>
      <c r="I246" s="74">
        <f>AVERAGE(I243:I245)</f>
        <v>0.14796630000000002</v>
      </c>
      <c r="J246" s="82">
        <f>_xlfn.STDEV.S(I243:I245)</f>
        <v>8.4703016481114755E-3</v>
      </c>
      <c r="K246" s="82">
        <f>(I246-$I$147)/(($AA$147-AA246)+($AI$147-AI246))*1000*0.05</f>
        <v>0.93642382365345311</v>
      </c>
      <c r="L246" s="81">
        <f>_xlfn.STDEV.S(K243:K245)</f>
        <v>7.6003195215301911E-2</v>
      </c>
      <c r="M246" s="77">
        <f>AVERAGE(M243:M245)</f>
        <v>14.369878260442531</v>
      </c>
      <c r="N246" s="76">
        <f>_xlfn.STDEV.S(M243:M245)</f>
        <v>0.94124326647731738</v>
      </c>
      <c r="O246" s="76">
        <f>AVERAGE(O243:O245)</f>
        <v>0</v>
      </c>
      <c r="P246" s="76">
        <f>_xlfn.STDEV.S(O243:O245)</f>
        <v>0</v>
      </c>
      <c r="Q246" s="76">
        <f>AVERAGE(Q243:Q245)</f>
        <v>0.15277057519800991</v>
      </c>
      <c r="R246" s="76">
        <f>_xlfn.STDEV.S(Q243:Q245)</f>
        <v>9.2904642507693966E-2</v>
      </c>
      <c r="S246" s="76">
        <f>AVERAGE(S243:S245)</f>
        <v>70.870097815260024</v>
      </c>
      <c r="T246" s="76">
        <f>_xlfn.STDEV.S(S243:S245)</f>
        <v>1.2259490725650488</v>
      </c>
      <c r="U246" s="76">
        <f>AVERAGE(U243:U245)</f>
        <v>14.607253349099437</v>
      </c>
      <c r="V246" s="76">
        <f>_xlfn.STDEV.S(U243:U245)</f>
        <v>0.23478443430026724</v>
      </c>
      <c r="W246" s="76">
        <f>AVERAGE(W243:W245)</f>
        <v>0</v>
      </c>
      <c r="X246" s="76">
        <f>_xlfn.STDEV.S(W243:W245)</f>
        <v>0</v>
      </c>
      <c r="Y246" s="77">
        <f>AVERAGE(Y243:Y245)</f>
        <v>0.84720941507372804</v>
      </c>
      <c r="Z246" s="76">
        <f>_xlfn.STDEV.S(Y243:Y245)</f>
        <v>5.1770888450188936E-2</v>
      </c>
      <c r="AA246" s="76">
        <f>AVERAGE(AA243:AA245)</f>
        <v>0</v>
      </c>
      <c r="AB246" s="76">
        <f>_xlfn.STDEV.S(AA243:AA245)</f>
        <v>0</v>
      </c>
      <c r="AC246" s="76">
        <f>AVERAGE(AC243:AC245)</f>
        <v>9.0271976004247523E-3</v>
      </c>
      <c r="AD246" s="76">
        <f>_xlfn.STDEV.S(AC243:AC245)</f>
        <v>5.5525813878106517E-3</v>
      </c>
      <c r="AE246" s="76">
        <f>AVERAGE(AE243:AE245)</f>
        <v>4.179447328575983</v>
      </c>
      <c r="AF246" s="76">
        <f>_xlfn.STDEV.S(AE243:AE245)</f>
        <v>9.8149144666518945E-2</v>
      </c>
      <c r="AG246" s="76">
        <f>AVERAGE(AG243:AG245)</f>
        <v>0.86135321704090995</v>
      </c>
      <c r="AH246" s="76">
        <f>_xlfn.STDEV.S(AG243:AG245)</f>
        <v>1.2662597921344372E-2</v>
      </c>
      <c r="AI246" s="76">
        <f>AVERAGE(AI243:AI245)</f>
        <v>0</v>
      </c>
      <c r="AJ246" s="75">
        <f>_xlfn.STDEV.S(AI243:AI245)</f>
        <v>0</v>
      </c>
      <c r="AK246" s="77">
        <f>AVERAGE(AK243:AK245)</f>
        <v>0.2602054874101738</v>
      </c>
      <c r="AL246" s="77">
        <f>_xlfn.STDEV.S(AK243:AK245)</f>
        <v>9.9037591035572494E-3</v>
      </c>
      <c r="AM246" s="77">
        <f>AVERAGE(AM243:AM245)</f>
        <v>6.5051371852543449E-2</v>
      </c>
      <c r="AN246" s="77">
        <f>_xlfn.STDEV.S(AM243:AM245)</f>
        <v>2.4759397758893124E-3</v>
      </c>
      <c r="AO246" s="78">
        <f>AVERAGE(AO243:AO245)</f>
        <v>0.14125391224909115</v>
      </c>
      <c r="AP246" s="78">
        <f>_xlfn.STDEV.S(AO243:AO245)</f>
        <v>1.4678078183594533E-2</v>
      </c>
      <c r="AQ246" s="78">
        <f>AVERAGE(AQ243:AQ245)</f>
        <v>3.5254300754895877E-2</v>
      </c>
      <c r="AR246" s="78">
        <f>_xlfn.STDEV.S(AQ243:AQ245)</f>
        <v>3.7380263674815675E-3</v>
      </c>
      <c r="AS246" s="78">
        <f>AVERAGE(AS243:AS245)</f>
        <v>-1.1261106275262177E-5</v>
      </c>
      <c r="AT246" s="78">
        <f>_xlfn.STDEV.S(AS243:AS245)</f>
        <v>1.9504808218186805E-5</v>
      </c>
      <c r="AU246" s="78">
        <f>AVERAGE(AU243:AU245)</f>
        <v>-1.6087294678945968E-6</v>
      </c>
      <c r="AV246" s="80">
        <f>_xlfn.STDEV.S(AU243:AU245)</f>
        <v>2.7864011740266866E-6</v>
      </c>
      <c r="AW246" s="80"/>
      <c r="AX246" s="80"/>
      <c r="AY246" s="79">
        <f>SUM(AK246,AO246,AS246)</f>
        <v>0.40144813855298966</v>
      </c>
      <c r="AZ246" s="77">
        <f>SUM(AL246,AP246,AT246)</f>
        <v>2.4601342095369971E-2</v>
      </c>
      <c r="BA246" s="78"/>
      <c r="BB246" s="78"/>
      <c r="BC246" s="78"/>
      <c r="BD246" s="78"/>
      <c r="BE246" s="78"/>
      <c r="BF246" s="78"/>
      <c r="BG246" s="78"/>
      <c r="BH246" s="75"/>
      <c r="BI246" s="75"/>
      <c r="BJ246" s="75"/>
      <c r="BK246" s="75"/>
      <c r="BL246" s="75"/>
      <c r="BM246" s="75"/>
      <c r="BN246" s="75"/>
      <c r="BO246" s="77">
        <f>AVERAGE(BO243:BO245)</f>
        <v>3.9567552602436322</v>
      </c>
      <c r="BP246" s="76">
        <f>_xlfn.STDEV.S(BO243:BO245)</f>
        <v>0.42794180788953246</v>
      </c>
      <c r="BQ246" s="75">
        <f>AVERAGE(BQ243:BQ245)</f>
        <v>0</v>
      </c>
      <c r="BR246" s="75">
        <f>_xlfn.STDEV.S(BQ243:BQ245)</f>
        <v>0</v>
      </c>
      <c r="BS246" s="75">
        <f>AVERAGE(BS243:BS245)</f>
        <v>8.1706763504312292E-3</v>
      </c>
      <c r="BT246" s="75">
        <f>_xlfn.STDEV.S(BS243:BS245)</f>
        <v>1.0086466656054911E-3</v>
      </c>
      <c r="BU246" s="75">
        <f>AVERAGE(BU243:BU245)</f>
        <v>7.8680587078226658E-3</v>
      </c>
      <c r="BV246" s="75">
        <f>_xlfn.STDEV.S(BU243:BU245)</f>
        <v>1.6221653534870301E-3</v>
      </c>
      <c r="BW246" s="74">
        <f>AVERAGE(BW243:BW245)</f>
        <v>0.19783776301218162</v>
      </c>
      <c r="BX246" s="73">
        <f t="shared" si="15"/>
        <v>0</v>
      </c>
      <c r="BY246" s="73">
        <f t="shared" si="16"/>
        <v>4.085338175215615E-4</v>
      </c>
      <c r="BZ246" s="72">
        <f t="shared" si="17"/>
        <v>3.9340293539113331E-4</v>
      </c>
    </row>
    <row r="247" spans="1:78" x14ac:dyDescent="0.3">
      <c r="A247" s="174" t="s">
        <v>61</v>
      </c>
      <c r="B247" s="70" t="s">
        <v>94</v>
      </c>
      <c r="C247" s="20">
        <v>12</v>
      </c>
      <c r="D247" s="69"/>
      <c r="E247" s="21"/>
      <c r="F247" s="52">
        <v>1.135</v>
      </c>
      <c r="H247" s="37">
        <v>0.187</v>
      </c>
      <c r="I247" s="52">
        <f>H247*0.2907</f>
        <v>5.4360900000000004E-2</v>
      </c>
      <c r="K247" s="53">
        <f>(I247-$I$151)/($BW$151-BW247)*1000*0.05</f>
        <v>7.2183385579937615E-2</v>
      </c>
      <c r="L247" s="68"/>
      <c r="M247" s="22">
        <v>2.5821503698625365</v>
      </c>
      <c r="O247" s="21">
        <v>0</v>
      </c>
      <c r="Q247" s="21">
        <v>0.19679877727893344</v>
      </c>
      <c r="S247" s="21">
        <v>95.798572444119259</v>
      </c>
      <c r="U247" s="21">
        <v>1.4224784087392857</v>
      </c>
      <c r="W247" s="21">
        <v>0</v>
      </c>
      <c r="Y247" s="22">
        <v>0.13192890558083881</v>
      </c>
      <c r="AA247" s="21">
        <v>0</v>
      </c>
      <c r="AC247" s="21">
        <v>1.0054971084987247E-2</v>
      </c>
      <c r="AE247" s="21">
        <v>4.8946029504208095</v>
      </c>
      <c r="AG247" s="21">
        <v>7.2678191738050346E-2</v>
      </c>
      <c r="AI247" s="21">
        <v>0</v>
      </c>
      <c r="AK247" s="22">
        <f>8*(AG247-$AG$151)/(8*($BW$151-BW247))</f>
        <v>0.18046638931820777</v>
      </c>
      <c r="AL247" s="22"/>
      <c r="AM247" s="22">
        <f>(AG247-$AG$151)/($BW$151-BW247)</f>
        <v>0.18046638931820777</v>
      </c>
      <c r="AN247" s="22"/>
      <c r="BG247" s="37">
        <v>1057.54</v>
      </c>
      <c r="BI247" s="2">
        <v>0</v>
      </c>
      <c r="BK247" s="2">
        <v>0</v>
      </c>
      <c r="BM247" s="2">
        <v>0</v>
      </c>
      <c r="BO247" s="22">
        <f>(BG247/1000)/60.2*1000</f>
        <v>17.567109634551493</v>
      </c>
      <c r="BQ247" s="2">
        <f>BI247/74.08</f>
        <v>0</v>
      </c>
      <c r="BS247" s="2">
        <f>(BK247/1000)/88.12*1000</f>
        <v>0</v>
      </c>
      <c r="BU247" s="2">
        <f>BM247/88.12</f>
        <v>0</v>
      </c>
      <c r="BW247" s="52">
        <f>BO247*0.05</f>
        <v>0.87835548172757472</v>
      </c>
      <c r="BX247" s="51">
        <f t="shared" si="15"/>
        <v>0</v>
      </c>
      <c r="BY247" s="51">
        <f t="shared" si="16"/>
        <v>0</v>
      </c>
      <c r="BZ247" s="67">
        <f t="shared" si="17"/>
        <v>0</v>
      </c>
    </row>
    <row r="248" spans="1:78" x14ac:dyDescent="0.3">
      <c r="A248" s="173"/>
      <c r="B248" s="70" t="s">
        <v>93</v>
      </c>
      <c r="C248" s="20">
        <v>12</v>
      </c>
      <c r="D248" s="69"/>
      <c r="E248" s="21"/>
      <c r="F248" s="52">
        <v>1.155</v>
      </c>
      <c r="H248" s="37">
        <v>0.184</v>
      </c>
      <c r="I248" s="52">
        <f>H248*0.2907</f>
        <v>5.3488800000000003E-2</v>
      </c>
      <c r="K248" s="53">
        <f>(I248-$I$152)/($BW$152-BW248)*1000*0.05</f>
        <v>0.61400409332787531</v>
      </c>
      <c r="L248" s="68"/>
      <c r="M248" s="22">
        <v>2.4664046590668951</v>
      </c>
      <c r="O248" s="21">
        <v>0</v>
      </c>
      <c r="Q248" s="21">
        <v>0.31268499641449893</v>
      </c>
      <c r="S248" s="21">
        <v>95.90769709052654</v>
      </c>
      <c r="U248" s="21">
        <v>1.3132132539920425</v>
      </c>
      <c r="W248" s="21">
        <v>0</v>
      </c>
      <c r="Y248" s="22">
        <v>0.12823568175415334</v>
      </c>
      <c r="AA248" s="21">
        <v>0</v>
      </c>
      <c r="AC248" s="21">
        <v>1.6257418887895767E-2</v>
      </c>
      <c r="AE248" s="21">
        <v>4.9865251740675216</v>
      </c>
      <c r="AG248" s="21">
        <v>6.8277845768410964E-2</v>
      </c>
      <c r="AI248" s="21">
        <v>0</v>
      </c>
      <c r="AK248" s="22">
        <f>8*(AG248-$AG$152)/(8*($BW$152-BW248))</f>
        <v>0.12017795202790302</v>
      </c>
      <c r="AL248" s="22"/>
      <c r="AM248" s="22">
        <f>(AG248-$AG$152)/($BW$152-BW248)</f>
        <v>0.12017795202790302</v>
      </c>
      <c r="AN248" s="22"/>
      <c r="BG248" s="37">
        <v>909.48</v>
      </c>
      <c r="BI248" s="2">
        <v>0</v>
      </c>
      <c r="BK248" s="2">
        <v>0</v>
      </c>
      <c r="BM248" s="2">
        <v>0</v>
      </c>
      <c r="BO248" s="22">
        <f>(BG248/1000)/60.2*1000</f>
        <v>15.107641196013288</v>
      </c>
      <c r="BQ248" s="2">
        <f>BI248/74.08</f>
        <v>0</v>
      </c>
      <c r="BS248" s="2">
        <f>(BK248/1000)/88.12*1000</f>
        <v>0</v>
      </c>
      <c r="BU248" s="2">
        <f>BM248/88.12</f>
        <v>0</v>
      </c>
      <c r="BW248" s="52">
        <f>BO248*0.05</f>
        <v>0.75538205980066442</v>
      </c>
      <c r="BX248" s="51">
        <f t="shared" si="15"/>
        <v>0</v>
      </c>
      <c r="BY248" s="51">
        <f t="shared" si="16"/>
        <v>0</v>
      </c>
      <c r="BZ248" s="67">
        <f t="shared" si="17"/>
        <v>0</v>
      </c>
    </row>
    <row r="249" spans="1:78" x14ac:dyDescent="0.3">
      <c r="A249" s="173"/>
      <c r="B249" s="70" t="s">
        <v>92</v>
      </c>
      <c r="C249" s="20">
        <v>12</v>
      </c>
      <c r="D249" s="69"/>
      <c r="E249" s="21"/>
      <c r="F249" s="52">
        <v>1.25</v>
      </c>
      <c r="G249" s="67"/>
      <c r="H249" s="37">
        <v>0.189</v>
      </c>
      <c r="I249" s="52">
        <f>H249*0.2907</f>
        <v>5.4942300000000006E-2</v>
      </c>
      <c r="K249" s="53">
        <f>(I249-$I$153)/($BW$153-BW249)*1000*0.05</f>
        <v>0.70928471295060103</v>
      </c>
      <c r="L249" s="68"/>
      <c r="M249" s="22">
        <v>2.1450356084009905</v>
      </c>
      <c r="O249" s="21">
        <v>0</v>
      </c>
      <c r="Q249" s="21">
        <v>0.18420415989810263</v>
      </c>
      <c r="S249" s="21">
        <v>96.708380114869811</v>
      </c>
      <c r="U249" s="21">
        <v>0.96238011683109115</v>
      </c>
      <c r="W249" s="21">
        <v>0</v>
      </c>
      <c r="Y249" s="22">
        <v>0.12069994931868401</v>
      </c>
      <c r="AA249" s="21">
        <v>0</v>
      </c>
      <c r="AC249" s="21">
        <v>1.036506465296657E-2</v>
      </c>
      <c r="AE249" s="21">
        <v>5.4417262505297925</v>
      </c>
      <c r="AG249" s="21">
        <v>5.4152588829708234E-2</v>
      </c>
      <c r="AI249" s="21">
        <v>0</v>
      </c>
      <c r="AK249" s="22">
        <f>8*(AG249-$AG$153)/(8*($BW$153-BW249))</f>
        <v>0.15544468088634528</v>
      </c>
      <c r="AL249" s="22"/>
      <c r="AM249" s="22">
        <f>(AG249-$AG$153)/($BW$153-BW249)</f>
        <v>0.15544468088634528</v>
      </c>
      <c r="AN249" s="22"/>
      <c r="BG249" s="37">
        <v>1084.44</v>
      </c>
      <c r="BI249" s="2">
        <v>0</v>
      </c>
      <c r="BK249" s="2">
        <v>0</v>
      </c>
      <c r="BM249" s="2">
        <v>0</v>
      </c>
      <c r="BO249" s="22">
        <f>(BG249/1000)/60.2*1000</f>
        <v>18.013953488372092</v>
      </c>
      <c r="BQ249" s="2">
        <f>BI249/74.08</f>
        <v>0</v>
      </c>
      <c r="BS249" s="2">
        <f>(BK249/1000)/88.12*1000</f>
        <v>0</v>
      </c>
      <c r="BU249" s="2">
        <f>BM249/88.12</f>
        <v>0</v>
      </c>
      <c r="BW249" s="52">
        <f>BO249*0.05</f>
        <v>0.9006976744186046</v>
      </c>
      <c r="BX249" s="51">
        <f t="shared" si="15"/>
        <v>0</v>
      </c>
      <c r="BY249" s="51">
        <f t="shared" si="16"/>
        <v>0</v>
      </c>
      <c r="BZ249" s="67">
        <f t="shared" si="17"/>
        <v>0</v>
      </c>
    </row>
    <row r="250" spans="1:78" ht="15" thickBot="1" x14ac:dyDescent="0.35">
      <c r="A250" s="175"/>
      <c r="B250" s="66" t="s">
        <v>63</v>
      </c>
      <c r="C250" s="65">
        <v>12</v>
      </c>
      <c r="D250" s="64" t="e">
        <f>AVERAGE(D247:D249)</f>
        <v>#DIV/0!</v>
      </c>
      <c r="E250" s="58"/>
      <c r="F250" s="56">
        <f>AVERAGE(F247:F249)</f>
        <v>1.18</v>
      </c>
      <c r="G250" s="55">
        <f>_xlfn.STDEV.S(F247:F249)</f>
        <v>6.1441028637222526E-2</v>
      </c>
      <c r="H250" s="60">
        <f>AVERAGE(H247:H249)</f>
        <v>0.18666666666666668</v>
      </c>
      <c r="I250" s="56">
        <f>AVERAGE(I247:I249)</f>
        <v>5.4264000000000007E-2</v>
      </c>
      <c r="J250" s="63">
        <f>_xlfn.STDEV.S(I247:I249)</f>
        <v>7.3157895677773731E-4</v>
      </c>
      <c r="K250" s="56">
        <f>AVERAGE(K247:K249)</f>
        <v>0.46515739728613797</v>
      </c>
      <c r="L250" s="62">
        <f>_xlfn.STDEV.S(K247:K249)</f>
        <v>0.34364375380075124</v>
      </c>
      <c r="M250" s="59">
        <f>AVERAGE(M247:M249)</f>
        <v>2.3978635457768074</v>
      </c>
      <c r="N250" s="58">
        <f>_xlfn.STDEV.S(M247:M249)</f>
        <v>0.22647459422676874</v>
      </c>
      <c r="O250" s="58">
        <f>AVERAGE(O247:O249)</f>
        <v>0</v>
      </c>
      <c r="P250" s="58">
        <f>_xlfn.STDEV.S(O247:O249)</f>
        <v>0</v>
      </c>
      <c r="Q250" s="58">
        <f>AVERAGE(Q247:Q249)</f>
        <v>0.23122931119717829</v>
      </c>
      <c r="R250" s="58">
        <f>_xlfn.STDEV.S(Q247:Q249)</f>
        <v>7.0823213619616507E-2</v>
      </c>
      <c r="S250" s="58">
        <f>AVERAGE(S247:S249)</f>
        <v>96.138216549838532</v>
      </c>
      <c r="T250" s="58">
        <f>_xlfn.STDEV.S(S247:S249)</f>
        <v>0.49678155690429782</v>
      </c>
      <c r="U250" s="58">
        <f>AVERAGE(U247:U249)</f>
        <v>1.232690593187473</v>
      </c>
      <c r="V250" s="58">
        <f>_xlfn.STDEV.S(U247:U249)</f>
        <v>0.24038621784847694</v>
      </c>
      <c r="W250" s="58">
        <f>AVERAGE(W247:W249)</f>
        <v>0</v>
      </c>
      <c r="X250" s="58">
        <f>_xlfn.STDEV.S(W247:W249)</f>
        <v>0</v>
      </c>
      <c r="Y250" s="59">
        <f>AVERAGE(Y247:Y249)</f>
        <v>0.12695484555122538</v>
      </c>
      <c r="Z250" s="58">
        <f>_xlfn.STDEV.S(Y247:Y249)</f>
        <v>5.7230036448000388E-3</v>
      </c>
      <c r="AA250" s="58">
        <f>AVERAGE(AA247:AA249)</f>
        <v>0</v>
      </c>
      <c r="AB250" s="58">
        <f>_xlfn.STDEV.S(AA247:AA249)</f>
        <v>0</v>
      </c>
      <c r="AC250" s="58">
        <f>AVERAGE(AC247:AC249)</f>
        <v>1.2225818208616528E-2</v>
      </c>
      <c r="AD250" s="58">
        <f>_xlfn.STDEV.S(AC247:AC249)</f>
        <v>3.494909517154793E-3</v>
      </c>
      <c r="AE250" s="58">
        <f>AVERAGE(AE247:AE249)</f>
        <v>5.1076181250060415</v>
      </c>
      <c r="AF250" s="58">
        <f>_xlfn.STDEV.S(AE247:AE249)</f>
        <v>0.29297372485563467</v>
      </c>
      <c r="AG250" s="58">
        <f>AVERAGE(AG247:AG249)</f>
        <v>6.5036208778723181E-2</v>
      </c>
      <c r="AH250" s="58">
        <f>_xlfn.STDEV.S(AG247:AG249)</f>
        <v>9.6788764099495356E-3</v>
      </c>
      <c r="AI250" s="58">
        <f>AVERAGE(AI247:AI249)</f>
        <v>0</v>
      </c>
      <c r="AJ250" s="57">
        <f>_xlfn.STDEV.S(AI247:AI249)</f>
        <v>0</v>
      </c>
      <c r="AK250" s="77">
        <f>AVERAGE(AK247:AK249)</f>
        <v>0.15202967407748535</v>
      </c>
      <c r="AL250" s="77">
        <f>_xlfn.STDEV.S(AK247:AK249)</f>
        <v>3.02889521336604E-2</v>
      </c>
      <c r="AM250" s="77">
        <f>AVERAGE(AM247:AM249)</f>
        <v>0.15202967407748535</v>
      </c>
      <c r="AN250" s="77">
        <f>_xlfn.STDEV.S(AM247:AM249)</f>
        <v>3.02889521336604E-2</v>
      </c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59">
        <f>SUM(AK250,AO250,AS250)</f>
        <v>0.15202967407748535</v>
      </c>
      <c r="AZ250" s="59">
        <f>SUM(AL250,AP250,AT250)</f>
        <v>3.02889521336604E-2</v>
      </c>
      <c r="BA250" s="60"/>
      <c r="BB250" s="60"/>
      <c r="BC250" s="60"/>
      <c r="BD250" s="60"/>
      <c r="BE250" s="60"/>
      <c r="BF250" s="60"/>
      <c r="BG250" s="60">
        <f>AVERAGE(BG247:BG249)</f>
        <v>1017.1533333333333</v>
      </c>
      <c r="BH250" s="57">
        <f>_xlfn.STDEV.S(BG247:BG249)</f>
        <v>94.212857579702643</v>
      </c>
      <c r="BI250" s="57">
        <f>AVERAGE(BI247:BI249)</f>
        <v>0</v>
      </c>
      <c r="BJ250" s="57" t="e">
        <f>_xlfn.STDEV.S(BH247:BH249)</f>
        <v>#DIV/0!</v>
      </c>
      <c r="BK250" s="57">
        <f>AVERAGE(BK247:BK249)</f>
        <v>0</v>
      </c>
      <c r="BL250" s="57">
        <f>_xlfn.STDEV.S(BK247:BK249)</f>
        <v>0</v>
      </c>
      <c r="BM250" s="57">
        <f>AVERAGE(BM247:BM249)</f>
        <v>0</v>
      </c>
      <c r="BN250" s="57" t="e">
        <f>_xlfn.STDEV.S(BL247:BL249)</f>
        <v>#DIV/0!</v>
      </c>
      <c r="BO250" s="59">
        <f>AVERAGE(BO247:BO249)</f>
        <v>16.896234772978957</v>
      </c>
      <c r="BP250" s="58">
        <f>_xlfn.STDEV.S(BO247:BO249)</f>
        <v>1.564997634214329</v>
      </c>
      <c r="BQ250" s="57">
        <f>AVERAGE(BQ247:BQ249)</f>
        <v>0</v>
      </c>
      <c r="BR250" s="57">
        <f>_xlfn.STDEV.S(BQ247:BQ249)</f>
        <v>0</v>
      </c>
      <c r="BS250" s="57">
        <f>AVERAGE(BS247:BS249)</f>
        <v>0</v>
      </c>
      <c r="BT250" s="57">
        <f>_xlfn.STDEV.S(BS247:BS249)</f>
        <v>0</v>
      </c>
      <c r="BU250" s="57">
        <f>AVERAGE(BU247:BU249)</f>
        <v>0</v>
      </c>
      <c r="BV250" s="57">
        <f>_xlfn.STDEV.S(BU247:BU249)</f>
        <v>0</v>
      </c>
      <c r="BW250" s="56">
        <f>AVERAGE(BW247:BW249)</f>
        <v>0.84481173864894787</v>
      </c>
      <c r="BX250" s="55">
        <f t="shared" si="15"/>
        <v>0</v>
      </c>
      <c r="BY250" s="55">
        <f t="shared" si="16"/>
        <v>0</v>
      </c>
      <c r="BZ250" s="54">
        <f t="shared" si="17"/>
        <v>0</v>
      </c>
    </row>
    <row r="251" spans="1:78" x14ac:dyDescent="0.3">
      <c r="A251" s="172" t="s">
        <v>98</v>
      </c>
      <c r="B251" s="95" t="s">
        <v>97</v>
      </c>
      <c r="C251" s="94">
        <v>13</v>
      </c>
      <c r="D251" s="93"/>
      <c r="E251" s="88"/>
      <c r="F251" s="86">
        <v>1.3049999999999999</v>
      </c>
      <c r="G251" s="85"/>
      <c r="H251" s="90">
        <v>0.499</v>
      </c>
      <c r="I251" s="86">
        <f>H251*0.2907</f>
        <v>0.1450593</v>
      </c>
      <c r="J251" s="92"/>
      <c r="K251" s="92">
        <f>(I251-$I$147)/(($AA$147-AA251)+($AI$147-AI251))*1000*0.05</f>
        <v>0.91033959458232605</v>
      </c>
      <c r="L251" s="91"/>
      <c r="M251" s="89">
        <v>14.879578901240709</v>
      </c>
      <c r="O251" s="88">
        <v>0</v>
      </c>
      <c r="Q251" s="88">
        <v>0.16346637682318527</v>
      </c>
      <c r="S251" s="88">
        <v>68.704155173768015</v>
      </c>
      <c r="U251" s="88">
        <v>16.252799548168102</v>
      </c>
      <c r="W251" s="88">
        <v>0</v>
      </c>
      <c r="X251" s="88"/>
      <c r="Y251" s="89">
        <v>0.8741052346018594</v>
      </c>
      <c r="AA251" s="21">
        <v>0</v>
      </c>
      <c r="AB251" s="88"/>
      <c r="AC251" s="88">
        <v>9.6028803376036354E-3</v>
      </c>
      <c r="AE251" s="21">
        <v>4.0360457829409055</v>
      </c>
      <c r="AF251" s="88"/>
      <c r="AG251" s="88">
        <v>0.95477548499735276</v>
      </c>
      <c r="AI251" s="21">
        <v>0</v>
      </c>
      <c r="AJ251" s="87"/>
      <c r="AK251" s="89">
        <f>8*(AG251-$AG$147)/(2*($AA$147-AA251)+2*($AI$147-AI251))</f>
        <v>0.33518410358257156</v>
      </c>
      <c r="AL251" s="89"/>
      <c r="AM251" s="89">
        <f>(AG251-$AG$147)/(($AA$147-AA251)+($AI$147-AI251))</f>
        <v>8.3796025895642889E-2</v>
      </c>
      <c r="AN251" s="89"/>
      <c r="AO251" s="37">
        <f>8*(BW251-$BW$147)/(2*($AA$147-AA251)+2*($AI$147-AI251))</f>
        <v>8.0392441385057259E-2</v>
      </c>
      <c r="AQ251" s="37">
        <f>(BW251-$BW$147)/(($AA$147-AA251)+($AI$147-AI251))</f>
        <v>2.0098110346264315E-2</v>
      </c>
      <c r="AS251" s="37">
        <f>14*(BX251-$BX$147)/(2*($AA$147-AA251)+2*($AI$147-AI251))</f>
        <v>0</v>
      </c>
      <c r="AU251" s="37">
        <f>(BX251-$BX$147)/(($AA$147-AA251)+($AI$147-AI251))</f>
        <v>0</v>
      </c>
      <c r="AY251" s="90"/>
      <c r="AZ251" s="90"/>
      <c r="BA251" s="90"/>
      <c r="BB251" s="90"/>
      <c r="BC251" s="90"/>
      <c r="BD251" s="90"/>
      <c r="BE251" s="90"/>
      <c r="BF251" s="90"/>
      <c r="BG251" s="90">
        <v>134.88</v>
      </c>
      <c r="BH251" s="87"/>
      <c r="BI251" s="87">
        <v>0</v>
      </c>
      <c r="BJ251" s="87"/>
      <c r="BK251" s="87">
        <v>0.55200000000000005</v>
      </c>
      <c r="BL251" s="87"/>
      <c r="BM251" s="87">
        <v>0.47</v>
      </c>
      <c r="BN251" s="87"/>
      <c r="BO251" s="89">
        <f>(BG251/1000)/60.2*1000</f>
        <v>2.2405315614617938</v>
      </c>
      <c r="BP251" s="88"/>
      <c r="BQ251" s="87">
        <f>BI251/74.08</f>
        <v>0</v>
      </c>
      <c r="BR251" s="87"/>
      <c r="BS251" s="87">
        <f>(BK251/1000)/88.12*1000</f>
        <v>6.2641852019972768E-3</v>
      </c>
      <c r="BT251" s="87"/>
      <c r="BU251" s="87">
        <f>BM251/88.12</f>
        <v>5.333635950975941E-3</v>
      </c>
      <c r="BV251" s="87"/>
      <c r="BW251" s="86">
        <f>BO251*0.05</f>
        <v>0.11202657807308969</v>
      </c>
      <c r="BX251" s="85">
        <f t="shared" si="15"/>
        <v>0</v>
      </c>
      <c r="BY251" s="85">
        <f t="shared" si="16"/>
        <v>3.1320926009986385E-4</v>
      </c>
      <c r="BZ251" s="84">
        <f t="shared" si="17"/>
        <v>2.6668179754879708E-4</v>
      </c>
    </row>
    <row r="252" spans="1:78" x14ac:dyDescent="0.3">
      <c r="A252" s="173"/>
      <c r="B252" s="70" t="s">
        <v>96</v>
      </c>
      <c r="C252" s="20">
        <v>13</v>
      </c>
      <c r="D252" s="69"/>
      <c r="E252" s="21"/>
      <c r="F252" s="52">
        <v>1.3149999999999999</v>
      </c>
      <c r="H252" s="37">
        <v>0.505</v>
      </c>
      <c r="I252" s="52">
        <f>H252*0.2907</f>
        <v>0.1468035</v>
      </c>
      <c r="K252" s="53">
        <f>(I252-$I$147)/(($AA$147-AA252)+($AI$147-AI252))*1000*0.05</f>
        <v>0.92599013202500202</v>
      </c>
      <c r="L252" s="68"/>
      <c r="M252" s="22">
        <v>13.00895831425</v>
      </c>
      <c r="O252" s="21">
        <v>0</v>
      </c>
      <c r="Q252" s="21">
        <v>5.6542903244875972E-2</v>
      </c>
      <c r="S252" s="21">
        <v>70.238158118197873</v>
      </c>
      <c r="U252" s="21">
        <v>16.696340664307247</v>
      </c>
      <c r="W252" s="21">
        <v>0</v>
      </c>
      <c r="Y252" s="22">
        <v>0.77007113281889927</v>
      </c>
      <c r="AA252" s="21">
        <v>0</v>
      </c>
      <c r="AC252" s="21">
        <v>3.3470825644014196E-3</v>
      </c>
      <c r="AE252" s="21">
        <v>4.1577793304130477</v>
      </c>
      <c r="AG252" s="21">
        <v>0.98834738790802223</v>
      </c>
      <c r="AI252" s="21">
        <v>0</v>
      </c>
      <c r="AK252" s="22">
        <f>8*(AG252-$AG$148)/(2*($AA$148-AA252)+2*($AI$148-AI252))</f>
        <v>0.3482615016921925</v>
      </c>
      <c r="AL252" s="22"/>
      <c r="AM252" s="22">
        <f>(AG252-$AG$148)/(($AA$148-AA252)+($AI$148-AI252))</f>
        <v>8.7065375423048125E-2</v>
      </c>
      <c r="AN252" s="22"/>
      <c r="AO252" s="37">
        <f>8*(BW252-$BW$148)/(2*($AA$148-AA252)+2*($AI$148-AI252))</f>
        <v>8.873213057038816E-2</v>
      </c>
      <c r="AQ252" s="37">
        <f>(BW252-$BW$148)/(($AA$148-AA252)+($AI$148-AI252))</f>
        <v>2.218303264259704E-2</v>
      </c>
      <c r="AS252" s="37">
        <f>14*(BX252-$BX$148)/(2*($AA$148-AA252)+2*($AI$148-AI252))</f>
        <v>0</v>
      </c>
      <c r="AU252" s="37">
        <f>(BX252-$BX$148)/(($AA$148-AA252)+($AI$148-AI252))</f>
        <v>0</v>
      </c>
      <c r="BG252" s="37">
        <v>150.4</v>
      </c>
      <c r="BI252" s="2">
        <v>0</v>
      </c>
      <c r="BK252" s="2">
        <v>0.99</v>
      </c>
      <c r="BM252" s="2">
        <v>0.87</v>
      </c>
      <c r="BO252" s="22">
        <f>(BG252/1000)/60.2*1000</f>
        <v>2.4983388704318936</v>
      </c>
      <c r="BQ252" s="2">
        <f>BI252/74.08</f>
        <v>0</v>
      </c>
      <c r="BS252" s="2">
        <f>(BK252/1000)/88.12*1000</f>
        <v>1.1234679981842941E-2</v>
      </c>
      <c r="BU252" s="2">
        <f>BM252/88.12</f>
        <v>9.8729005901044033E-3</v>
      </c>
      <c r="BW252" s="52">
        <f>BO252*0.05</f>
        <v>0.12491694352159469</v>
      </c>
      <c r="BX252" s="51">
        <f t="shared" si="15"/>
        <v>0</v>
      </c>
      <c r="BY252" s="51">
        <f t="shared" si="16"/>
        <v>5.6173399909214704E-4</v>
      </c>
      <c r="BZ252" s="67">
        <f t="shared" si="17"/>
        <v>4.9364502950522023E-4</v>
      </c>
    </row>
    <row r="253" spans="1:78" x14ac:dyDescent="0.3">
      <c r="A253" s="173"/>
      <c r="B253" s="70" t="s">
        <v>95</v>
      </c>
      <c r="C253" s="20">
        <v>13</v>
      </c>
      <c r="D253" s="69"/>
      <c r="E253" s="21"/>
      <c r="F253" s="52">
        <v>1.355</v>
      </c>
      <c r="H253" s="37">
        <v>0.53600000000000003</v>
      </c>
      <c r="I253" s="52">
        <f>H253*0.2907</f>
        <v>0.15581520000000001</v>
      </c>
      <c r="K253" s="53">
        <f>(I253-$I$147)/(($AA$147-AA253)+($AI$147-AI253))*1000*0.05</f>
        <v>1.0068512421454954</v>
      </c>
      <c r="L253" s="68"/>
      <c r="M253" s="22">
        <v>14.752494702764658</v>
      </c>
      <c r="O253" s="21">
        <v>0</v>
      </c>
      <c r="Q253" s="21">
        <v>0.1023970228376066</v>
      </c>
      <c r="S253" s="21">
        <v>69.010853059834503</v>
      </c>
      <c r="U253" s="21">
        <v>16.134255214563225</v>
      </c>
      <c r="W253" s="21">
        <v>0</v>
      </c>
      <c r="Y253" s="22">
        <v>0.89984421977699791</v>
      </c>
      <c r="AA253" s="21">
        <v>0</v>
      </c>
      <c r="AC253" s="21">
        <v>6.2458161130894028E-3</v>
      </c>
      <c r="AE253" s="21">
        <v>4.2093909185498175</v>
      </c>
      <c r="AG253" s="21">
        <v>0.98412618257106277</v>
      </c>
      <c r="AI253" s="21">
        <v>0</v>
      </c>
      <c r="AK253" s="22">
        <f>8*(AG253-$AG$149)/(2*($AA$149-AA253)+2*($AI$149-AI253))</f>
        <v>0.34222908081612602</v>
      </c>
      <c r="AL253" s="22"/>
      <c r="AM253" s="22">
        <f>(AG253-$AG$149)/(($AA$149-AA253)+($AI$149-AI253))</f>
        <v>8.5557270204031505E-2</v>
      </c>
      <c r="AN253" s="22"/>
      <c r="AO253" s="37">
        <f>8*(BW253-$BW$149)/(2*($AA$149-AA253)+2*($AI$149-AI253))</f>
        <v>8.3020407183599501E-2</v>
      </c>
      <c r="AQ253" s="37">
        <f>(BW253-$BW$148)/(($AA$148-AA253)+($AI$148-AI253))</f>
        <v>2.0648181072621594E-2</v>
      </c>
      <c r="AS253" s="37">
        <f>14*(BX253-$BX$149)/(2*($AA$149-AA253)+2*($AI$149-AI253))</f>
        <v>-3.378331882578653E-5</v>
      </c>
      <c r="AU253" s="37">
        <f>(BX253-$BX$149)/(($AA$149-AA253)+($AI$149-AI253))</f>
        <v>-4.8261884036837902E-6</v>
      </c>
      <c r="BG253" s="37">
        <v>140</v>
      </c>
      <c r="BI253" s="2">
        <v>0</v>
      </c>
      <c r="BK253" s="2">
        <v>0.89</v>
      </c>
      <c r="BM253" s="2">
        <v>0.57999999999999996</v>
      </c>
      <c r="BO253" s="22">
        <f>(BG253/1000)/60.2*1000</f>
        <v>2.3255813953488373</v>
      </c>
      <c r="BQ253" s="2">
        <f>BI253/74.08</f>
        <v>0</v>
      </c>
      <c r="BS253" s="2">
        <f>(BK253/1000)/88.12*1000</f>
        <v>1.0099863822060826E-2</v>
      </c>
      <c r="BU253" s="2">
        <f>BM253/88.12</f>
        <v>6.5819337267362683E-3</v>
      </c>
      <c r="BW253" s="52">
        <f>BO253*0.05</f>
        <v>0.11627906976744187</v>
      </c>
      <c r="BX253" s="51">
        <f t="shared" si="15"/>
        <v>0</v>
      </c>
      <c r="BY253" s="51">
        <f t="shared" si="16"/>
        <v>5.0499319110304129E-4</v>
      </c>
      <c r="BZ253" s="67">
        <f t="shared" si="17"/>
        <v>3.2909668633681341E-4</v>
      </c>
    </row>
    <row r="254" spans="1:78" x14ac:dyDescent="0.3">
      <c r="A254" s="180"/>
      <c r="B254" s="83" t="s">
        <v>63</v>
      </c>
      <c r="C254" s="80">
        <v>13</v>
      </c>
      <c r="D254" s="79" t="e">
        <f>AVERAGE(D251:D253)</f>
        <v>#DIV/0!</v>
      </c>
      <c r="E254" s="76"/>
      <c r="F254" s="74">
        <f>AVERAGE(F251:F253)</f>
        <v>1.325</v>
      </c>
      <c r="G254" s="73">
        <f>_xlfn.STDEV.S(F251:F253)</f>
        <v>2.6457513110645928E-2</v>
      </c>
      <c r="H254" s="77">
        <f>AVERAGE(H251:H253)</f>
        <v>0.51333333333333331</v>
      </c>
      <c r="I254" s="74">
        <f>AVERAGE(I251:I253)</f>
        <v>0.149226</v>
      </c>
      <c r="J254" s="82">
        <f>_xlfn.STDEV.S(I251:I253)</f>
        <v>5.772670602935878E-3</v>
      </c>
      <c r="K254" s="82">
        <f>(I254-$I$147)/(($AA$147-AA254)+($AI$147-AI254))*1000*0.05</f>
        <v>0.94772698958427437</v>
      </c>
      <c r="L254" s="81">
        <f>_xlfn.STDEV.S(K251:K253)</f>
        <v>5.1797613470636147E-2</v>
      </c>
      <c r="M254" s="77">
        <f>AVERAGE(M251:M253)</f>
        <v>14.213677306085122</v>
      </c>
      <c r="N254" s="76">
        <f>_xlfn.STDEV.S(M251:M253)</f>
        <v>1.0452504414453745</v>
      </c>
      <c r="O254" s="76">
        <f>AVERAGE(O251:O253)</f>
        <v>0</v>
      </c>
      <c r="P254" s="76">
        <f>_xlfn.STDEV.S(O251:O253)</f>
        <v>0</v>
      </c>
      <c r="Q254" s="76">
        <f>AVERAGE(Q251:Q253)</f>
        <v>0.10746876763522262</v>
      </c>
      <c r="R254" s="76">
        <f>_xlfn.STDEV.S(Q251:Q253)</f>
        <v>5.3641860957483162E-2</v>
      </c>
      <c r="S254" s="76">
        <f>AVERAGE(S251:S253)</f>
        <v>69.317722117266797</v>
      </c>
      <c r="T254" s="76">
        <f>_xlfn.STDEV.S(S251:S253)</f>
        <v>0.81173747122262818</v>
      </c>
      <c r="U254" s="76">
        <f>AVERAGE(U251:U253)</f>
        <v>16.361131809012857</v>
      </c>
      <c r="V254" s="76">
        <f>_xlfn.STDEV.S(U251:U253)</f>
        <v>0.29628857935851466</v>
      </c>
      <c r="W254" s="76">
        <f>AVERAGE(W251:W253)</f>
        <v>0</v>
      </c>
      <c r="X254" s="76">
        <f>_xlfn.STDEV.S(W251:W253)</f>
        <v>0</v>
      </c>
      <c r="Y254" s="77">
        <f>AVERAGE(Y251:Y253)</f>
        <v>0.84800686239925216</v>
      </c>
      <c r="Z254" s="76">
        <f>_xlfn.STDEV.S(Y251:Y253)</f>
        <v>6.8710314352198418E-2</v>
      </c>
      <c r="AA254" s="76">
        <f>AVERAGE(AA251:AA253)</f>
        <v>0</v>
      </c>
      <c r="AB254" s="76">
        <f>_xlfn.STDEV.S(AA251:AA253)</f>
        <v>0</v>
      </c>
      <c r="AC254" s="76">
        <f>AVERAGE(AC251:AC253)</f>
        <v>6.3985930050314858E-3</v>
      </c>
      <c r="AD254" s="76">
        <f>_xlfn.STDEV.S(AC251:AC253)</f>
        <v>3.1306959336278688E-3</v>
      </c>
      <c r="AE254" s="76">
        <f>AVERAGE(AE251:AE253)</f>
        <v>4.1344053439679236</v>
      </c>
      <c r="AF254" s="76">
        <f>_xlfn.STDEV.S(AE251:AE253)</f>
        <v>8.9005007957814672E-2</v>
      </c>
      <c r="AG254" s="76">
        <f>AVERAGE(AG251:AG253)</f>
        <v>0.97574968515881244</v>
      </c>
      <c r="AH254" s="76">
        <f>_xlfn.STDEV.S(AG251:AG253)</f>
        <v>1.8286400628169826E-2</v>
      </c>
      <c r="AI254" s="76">
        <f>AVERAGE(AI251:AI253)</f>
        <v>0</v>
      </c>
      <c r="AJ254" s="75">
        <f>_xlfn.STDEV.S(AI251:AI253)</f>
        <v>0</v>
      </c>
      <c r="AK254" s="77">
        <f>AVERAGE(AK251:AK253)</f>
        <v>0.34189156203029669</v>
      </c>
      <c r="AL254" s="77">
        <f>_xlfn.STDEV.S(AK251:AK253)</f>
        <v>6.5452291424724102E-3</v>
      </c>
      <c r="AM254" s="77">
        <f>AVERAGE(AM251:AM253)</f>
        <v>8.5472890507574173E-2</v>
      </c>
      <c r="AN254" s="77">
        <f>_xlfn.STDEV.S(AM251:AM253)</f>
        <v>1.6363072856181026E-3</v>
      </c>
      <c r="AO254" s="78">
        <f>AVERAGE(AO251:AO253)</f>
        <v>8.404832637968164E-2</v>
      </c>
      <c r="AP254" s="78">
        <f>_xlfn.STDEV.S(AO251:AO253)</f>
        <v>4.2638090168576866E-3</v>
      </c>
      <c r="AQ254" s="78">
        <f>AVERAGE(AQ251:AQ253)</f>
        <v>2.097644135382765E-2</v>
      </c>
      <c r="AR254" s="78">
        <f>_xlfn.STDEV.S(AQ251:AQ253)</f>
        <v>1.080528275705657E-3</v>
      </c>
      <c r="AS254" s="78">
        <f>AVERAGE(AS251:AS253)</f>
        <v>-1.1261106275262177E-5</v>
      </c>
      <c r="AT254" s="78">
        <f>_xlfn.STDEV.S(AS251:AS253)</f>
        <v>1.9504808218186805E-5</v>
      </c>
      <c r="AU254" s="78">
        <f>AVERAGE(AU251:AU253)</f>
        <v>-1.6087294678945968E-6</v>
      </c>
      <c r="AV254" s="80">
        <f>_xlfn.STDEV.S(AU251:AU253)</f>
        <v>2.7864011740266866E-6</v>
      </c>
      <c r="AW254" s="80"/>
      <c r="AX254" s="80"/>
      <c r="AY254" s="79">
        <f>SUM(AK254,AO254,AS254)</f>
        <v>0.42592862730370307</v>
      </c>
      <c r="AZ254" s="77">
        <f>SUM(AL254,AP254,AT254)</f>
        <v>1.0828542967548285E-2</v>
      </c>
      <c r="BA254" s="78"/>
      <c r="BB254" s="78"/>
      <c r="BC254" s="78"/>
      <c r="BD254" s="78"/>
      <c r="BE254" s="78"/>
      <c r="BF254" s="78"/>
      <c r="BG254" s="78"/>
      <c r="BH254" s="75"/>
      <c r="BI254" s="75"/>
      <c r="BJ254" s="75"/>
      <c r="BK254" s="75"/>
      <c r="BL254" s="75"/>
      <c r="BM254" s="75"/>
      <c r="BN254" s="75"/>
      <c r="BO254" s="77">
        <f>AVERAGE(BO251:BO253)</f>
        <v>2.3548172757475085</v>
      </c>
      <c r="BP254" s="76">
        <f>_xlfn.STDEV.S(BO251:BO253)</f>
        <v>0.13136668019941422</v>
      </c>
      <c r="BQ254" s="75">
        <f>AVERAGE(BQ251:BQ253)</f>
        <v>0</v>
      </c>
      <c r="BR254" s="75">
        <f>_xlfn.STDEV.S(BQ251:BQ253)</f>
        <v>0</v>
      </c>
      <c r="BS254" s="75">
        <f>AVERAGE(BS251:BS253)</f>
        <v>9.1995763353003475E-3</v>
      </c>
      <c r="BT254" s="75">
        <f>_xlfn.STDEV.S(BS251:BS253)</f>
        <v>2.6046770928910504E-3</v>
      </c>
      <c r="BU254" s="75">
        <f>AVERAGE(BU251:BU253)</f>
        <v>7.2628234226055381E-3</v>
      </c>
      <c r="BV254" s="75">
        <f>_xlfn.STDEV.S(BU251:BU253)</f>
        <v>2.3449816522664356E-3</v>
      </c>
      <c r="BW254" s="74">
        <f>AVERAGE(BW251:BW253)</f>
        <v>0.11774086378737542</v>
      </c>
      <c r="BX254" s="73">
        <f t="shared" si="15"/>
        <v>0</v>
      </c>
      <c r="BY254" s="73">
        <f t="shared" si="16"/>
        <v>4.5997881676501737E-4</v>
      </c>
      <c r="BZ254" s="72">
        <f t="shared" si="17"/>
        <v>3.6314117113027693E-4</v>
      </c>
    </row>
    <row r="255" spans="1:78" x14ac:dyDescent="0.3">
      <c r="A255" s="174" t="s">
        <v>61</v>
      </c>
      <c r="B255" s="70" t="s">
        <v>94</v>
      </c>
      <c r="C255" s="20">
        <v>13</v>
      </c>
      <c r="D255" s="69"/>
      <c r="E255" s="21"/>
      <c r="F255" s="52">
        <v>1.135</v>
      </c>
      <c r="H255" s="37">
        <v>0.187</v>
      </c>
      <c r="I255" s="52">
        <f>H255*0.2907</f>
        <v>5.4360900000000004E-2</v>
      </c>
      <c r="K255" s="53">
        <f>(I255-$I$151)/($BW$151-BW255)*1000*0.05</f>
        <v>4.8947333090929655E-2</v>
      </c>
      <c r="L255" s="68"/>
      <c r="M255" s="22">
        <v>2.630304917169072</v>
      </c>
      <c r="O255" s="21">
        <v>0</v>
      </c>
      <c r="Q255" s="21">
        <v>0.22453081104727812</v>
      </c>
      <c r="S255" s="21">
        <v>93.946876090452918</v>
      </c>
      <c r="U255" s="21">
        <v>3.1982881813307205</v>
      </c>
      <c r="W255" s="21">
        <v>0</v>
      </c>
      <c r="Y255" s="22">
        <v>0.134389249021345</v>
      </c>
      <c r="AA255" s="21">
        <v>0</v>
      </c>
      <c r="AC255" s="21">
        <v>1.1471874185321933E-2</v>
      </c>
      <c r="AE255" s="21">
        <v>4.7999948763680829</v>
      </c>
      <c r="AG255" s="21">
        <v>0.1634090192499347</v>
      </c>
      <c r="AI255" s="21">
        <v>0</v>
      </c>
      <c r="AK255" s="22">
        <f>8*(AG255-$AG$151)/(8*($BW$151-BW255))</f>
        <v>0.27514398676603546</v>
      </c>
      <c r="AL255" s="22"/>
      <c r="AM255" s="22">
        <f>(AG255-$AG$151)/($BW$151-BW255)</f>
        <v>0.27514398676603546</v>
      </c>
      <c r="AN255" s="22"/>
      <c r="BG255" s="37">
        <v>827.36</v>
      </c>
      <c r="BI255" s="2">
        <v>0</v>
      </c>
      <c r="BK255" s="2">
        <v>0</v>
      </c>
      <c r="BM255" s="2">
        <v>0</v>
      </c>
      <c r="BO255" s="22">
        <f>(BG255/1000)/60.2*1000</f>
        <v>13.743521594684385</v>
      </c>
      <c r="BQ255" s="2">
        <f>BI255/74.08</f>
        <v>0</v>
      </c>
      <c r="BS255" s="2">
        <f>(BK255/1000)/88.12*1000</f>
        <v>0</v>
      </c>
      <c r="BU255" s="2">
        <f>BM255/88.12</f>
        <v>0</v>
      </c>
      <c r="BW255" s="52">
        <f>BO255*0.05</f>
        <v>0.68717607973421924</v>
      </c>
      <c r="BX255" s="51">
        <f t="shared" si="15"/>
        <v>0</v>
      </c>
      <c r="BY255" s="51">
        <f t="shared" si="16"/>
        <v>0</v>
      </c>
      <c r="BZ255" s="67">
        <f t="shared" si="17"/>
        <v>0</v>
      </c>
    </row>
    <row r="256" spans="1:78" x14ac:dyDescent="0.3">
      <c r="A256" s="173"/>
      <c r="B256" s="70" t="s">
        <v>93</v>
      </c>
      <c r="C256" s="20">
        <v>13</v>
      </c>
      <c r="D256" s="69"/>
      <c r="E256" s="21"/>
      <c r="F256" s="52">
        <v>1.155</v>
      </c>
      <c r="H256" s="37">
        <v>0.184</v>
      </c>
      <c r="I256" s="52">
        <f>H256*0.2907</f>
        <v>5.3488800000000003E-2</v>
      </c>
      <c r="K256" s="53">
        <f>(I256-$I$152)/($BW$152-BW256)*1000*0.05</f>
        <v>0.5217433043478259</v>
      </c>
      <c r="L256" s="68"/>
      <c r="M256" s="22">
        <v>2.5887215092389368</v>
      </c>
      <c r="O256" s="21">
        <v>0</v>
      </c>
      <c r="Q256" s="21">
        <v>0.31871634957847189</v>
      </c>
      <c r="S256" s="21">
        <v>94.186070999308072</v>
      </c>
      <c r="U256" s="21">
        <v>2.9064911418745121</v>
      </c>
      <c r="W256" s="21">
        <v>0</v>
      </c>
      <c r="Y256" s="22">
        <v>0.13459529699983916</v>
      </c>
      <c r="AA256" s="21">
        <v>0</v>
      </c>
      <c r="AC256" s="21">
        <v>1.6571006798962541E-2</v>
      </c>
      <c r="AE256" s="21">
        <v>4.8970127354976638</v>
      </c>
      <c r="AG256" s="21">
        <v>0.15111708118151773</v>
      </c>
      <c r="AI256" s="21">
        <v>0</v>
      </c>
      <c r="AK256" s="22">
        <f>8*(AG256-$AG$152)/(8*($BW$152-BW256))</f>
        <v>0.22601859098453084</v>
      </c>
      <c r="AL256" s="22"/>
      <c r="AM256" s="22">
        <f>(AG256-$AG$152)/($BW$152-BW256)</f>
        <v>0.22601859098453084</v>
      </c>
      <c r="AN256" s="22"/>
      <c r="BG256" s="37">
        <v>788.52</v>
      </c>
      <c r="BI256" s="2">
        <v>0</v>
      </c>
      <c r="BK256" s="2">
        <v>0</v>
      </c>
      <c r="BM256" s="2">
        <v>0</v>
      </c>
      <c r="BO256" s="22">
        <f>(BG256/1000)/60.2*1000</f>
        <v>13.098338870431892</v>
      </c>
      <c r="BQ256" s="2">
        <f>BI256/74.08</f>
        <v>0</v>
      </c>
      <c r="BS256" s="2">
        <f>(BK256/1000)/88.12*1000</f>
        <v>0</v>
      </c>
      <c r="BU256" s="2">
        <f>BM256/88.12</f>
        <v>0</v>
      </c>
      <c r="BW256" s="52">
        <f>BO256*0.05</f>
        <v>0.65491694352159469</v>
      </c>
      <c r="BX256" s="51">
        <f t="shared" si="15"/>
        <v>0</v>
      </c>
      <c r="BY256" s="51">
        <f t="shared" si="16"/>
        <v>0</v>
      </c>
      <c r="BZ256" s="67">
        <f t="shared" si="17"/>
        <v>0</v>
      </c>
    </row>
    <row r="257" spans="1:78" x14ac:dyDescent="0.3">
      <c r="A257" s="173"/>
      <c r="B257" s="70" t="s">
        <v>92</v>
      </c>
      <c r="C257" s="20">
        <v>13</v>
      </c>
      <c r="D257" s="69"/>
      <c r="E257" s="21"/>
      <c r="F257" s="52">
        <v>1.25</v>
      </c>
      <c r="G257" s="67"/>
      <c r="H257" s="37">
        <v>0.189</v>
      </c>
      <c r="I257" s="52">
        <f>H257*0.2907</f>
        <v>5.4942300000000006E-2</v>
      </c>
      <c r="K257" s="53">
        <f>(I257-$I$153)/($BW$153-BW257)*1000*0.05</f>
        <v>0.42541057869675297</v>
      </c>
      <c r="L257" s="68"/>
      <c r="M257" s="22">
        <v>2.1986142536922149</v>
      </c>
      <c r="O257" s="21">
        <v>0</v>
      </c>
      <c r="Q257" s="21">
        <v>7.9390437368224084E-2</v>
      </c>
      <c r="S257" s="21">
        <v>94.992344243637575</v>
      </c>
      <c r="U257" s="21">
        <v>2.7296510653019936</v>
      </c>
      <c r="W257" s="21">
        <v>0</v>
      </c>
      <c r="Y257" s="22">
        <v>0.12371478960659664</v>
      </c>
      <c r="AA257" s="21">
        <v>0</v>
      </c>
      <c r="AC257" s="21">
        <v>4.4672553356240024E-3</v>
      </c>
      <c r="AE257" s="21">
        <v>5.3451658755525324</v>
      </c>
      <c r="AG257" s="21">
        <v>0.1535959328363988</v>
      </c>
      <c r="AI257" s="21">
        <v>0</v>
      </c>
      <c r="AK257" s="22">
        <f>8*(AG257-$AG$153)/(8*($BW$153-BW257))</f>
        <v>0.26443810952629532</v>
      </c>
      <c r="AL257" s="22"/>
      <c r="AM257" s="22">
        <f>(AG257-$AG$153)/($BW$153-BW257)</f>
        <v>0.26443810952629532</v>
      </c>
      <c r="AN257" s="22"/>
      <c r="BG257" s="37">
        <v>804.55</v>
      </c>
      <c r="BI257" s="2">
        <v>0</v>
      </c>
      <c r="BK257" s="2">
        <v>0</v>
      </c>
      <c r="BM257" s="2">
        <v>0</v>
      </c>
      <c r="BO257" s="22">
        <f>(BG257/1000)/60.2*1000</f>
        <v>13.364617940199336</v>
      </c>
      <c r="BQ257" s="2">
        <f>BI257/74.08</f>
        <v>0</v>
      </c>
      <c r="BS257" s="2">
        <f>(BK257/1000)/88.12*1000</f>
        <v>0</v>
      </c>
      <c r="BU257" s="2">
        <f>BM257/88.12</f>
        <v>0</v>
      </c>
      <c r="BW257" s="52">
        <f>BO257*0.05</f>
        <v>0.66823089700996685</v>
      </c>
      <c r="BX257" s="51">
        <f t="shared" si="15"/>
        <v>0</v>
      </c>
      <c r="BY257" s="51">
        <f t="shared" si="16"/>
        <v>0</v>
      </c>
      <c r="BZ257" s="67">
        <f t="shared" si="17"/>
        <v>0</v>
      </c>
    </row>
    <row r="258" spans="1:78" ht="15" thickBot="1" x14ac:dyDescent="0.35">
      <c r="A258" s="175"/>
      <c r="B258" s="66" t="s">
        <v>63</v>
      </c>
      <c r="C258" s="65">
        <v>13</v>
      </c>
      <c r="D258" s="64" t="e">
        <f>AVERAGE(D255:D257)</f>
        <v>#DIV/0!</v>
      </c>
      <c r="E258" s="58"/>
      <c r="F258" s="56">
        <f>AVERAGE(F255:F257)</f>
        <v>1.18</v>
      </c>
      <c r="G258" s="55">
        <f>_xlfn.STDEV.S(F255:F257)</f>
        <v>6.1441028637222526E-2</v>
      </c>
      <c r="H258" s="60">
        <f>AVERAGE(H255:H257)</f>
        <v>0.18666666666666668</v>
      </c>
      <c r="I258" s="56">
        <f>AVERAGE(I255:I257)</f>
        <v>5.4264000000000007E-2</v>
      </c>
      <c r="J258" s="63">
        <f>_xlfn.STDEV.S(I255:I257)</f>
        <v>7.3157895677773731E-4</v>
      </c>
      <c r="K258" s="56">
        <f>AVERAGE(K255:K257)</f>
        <v>0.33203373871183617</v>
      </c>
      <c r="L258" s="62">
        <f>_xlfn.STDEV.S(K255:K257)</f>
        <v>0.24984681965829494</v>
      </c>
      <c r="M258" s="59">
        <f>AVERAGE(M255:M257)</f>
        <v>2.4725468933667414</v>
      </c>
      <c r="N258" s="58">
        <f>_xlfn.STDEV.S(M255:M257)</f>
        <v>0.23814200230757579</v>
      </c>
      <c r="O258" s="58">
        <f>AVERAGE(O255:O257)</f>
        <v>0</v>
      </c>
      <c r="P258" s="58">
        <f>_xlfn.STDEV.S(O255:O257)</f>
        <v>0</v>
      </c>
      <c r="Q258" s="58">
        <f>AVERAGE(Q255:Q257)</f>
        <v>0.20754586599799138</v>
      </c>
      <c r="R258" s="58">
        <f>_xlfn.STDEV.S(Q255:Q257)</f>
        <v>0.12056363188193309</v>
      </c>
      <c r="S258" s="58">
        <f>AVERAGE(S255:S257)</f>
        <v>94.375097111132845</v>
      </c>
      <c r="T258" s="58">
        <f>_xlfn.STDEV.S(S255:S257)</f>
        <v>0.54776734846514097</v>
      </c>
      <c r="U258" s="58">
        <f>AVERAGE(U255:U257)</f>
        <v>2.9448101295024087</v>
      </c>
      <c r="V258" s="58">
        <f>_xlfn.STDEV.S(U255:U257)</f>
        <v>0.23665680898624228</v>
      </c>
      <c r="W258" s="58">
        <f>AVERAGE(W255:W257)</f>
        <v>0</v>
      </c>
      <c r="X258" s="58">
        <f>_xlfn.STDEV.S(W255:W257)</f>
        <v>0</v>
      </c>
      <c r="Y258" s="59">
        <f>AVERAGE(Y255:Y257)</f>
        <v>0.1308997785425936</v>
      </c>
      <c r="Z258" s="58">
        <f>_xlfn.STDEV.S(Y255:Y257)</f>
        <v>6.2232357700925502E-3</v>
      </c>
      <c r="AA258" s="58">
        <f>AVERAGE(AA255:AA257)</f>
        <v>0</v>
      </c>
      <c r="AB258" s="58">
        <f>_xlfn.STDEV.S(AA255:AA257)</f>
        <v>0</v>
      </c>
      <c r="AC258" s="58">
        <f>AVERAGE(AC255:AC257)</f>
        <v>1.0836712106636158E-2</v>
      </c>
      <c r="AD258" s="58">
        <f>_xlfn.STDEV.S(AC255:AC257)</f>
        <v>6.0768226089970576E-3</v>
      </c>
      <c r="AE258" s="58">
        <f>AVERAGE(AE255:AE257)</f>
        <v>5.0140578291394258</v>
      </c>
      <c r="AF258" s="58">
        <f>_xlfn.STDEV.S(AE255:AE257)</f>
        <v>0.29082214504254916</v>
      </c>
      <c r="AG258" s="58">
        <f>AVERAGE(AG255:AG257)</f>
        <v>0.15604067775595043</v>
      </c>
      <c r="AH258" s="58">
        <f>_xlfn.STDEV.S(AG255:AG257)</f>
        <v>6.5004244985004339E-3</v>
      </c>
      <c r="AI258" s="58">
        <f>AVERAGE(AI255:AI257)</f>
        <v>0</v>
      </c>
      <c r="AJ258" s="57">
        <f>_xlfn.STDEV.S(AI255:AI257)</f>
        <v>0</v>
      </c>
      <c r="AK258" s="77">
        <f>AVERAGE(AK255:AK257)</f>
        <v>0.25520022909228718</v>
      </c>
      <c r="AL258" s="77">
        <f>_xlfn.STDEV.S(AK255:AK257)</f>
        <v>2.583273028266932E-2</v>
      </c>
      <c r="AM258" s="77">
        <f>AVERAGE(AM255:AM257)</f>
        <v>0.25520022909228718</v>
      </c>
      <c r="AN258" s="77">
        <f>_xlfn.STDEV.S(AM255:AM257)</f>
        <v>2.583273028266932E-2</v>
      </c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59">
        <f>SUM(AK258,AO258,AS258)</f>
        <v>0.25520022909228718</v>
      </c>
      <c r="AZ258" s="59">
        <f>SUM(AL258,AP258,AT258)</f>
        <v>2.583273028266932E-2</v>
      </c>
      <c r="BA258" s="60"/>
      <c r="BB258" s="60"/>
      <c r="BC258" s="60"/>
      <c r="BD258" s="60"/>
      <c r="BE258" s="60"/>
      <c r="BF258" s="60"/>
      <c r="BG258" s="60">
        <f>AVERAGE(BG255:BG257)</f>
        <v>806.81000000000006</v>
      </c>
      <c r="BH258" s="57">
        <f>_xlfn.STDEV.S(BG255:BG257)</f>
        <v>19.518378518719242</v>
      </c>
      <c r="BI258" s="57">
        <f>AVERAGE(BI255:BI257)</f>
        <v>0</v>
      </c>
      <c r="BJ258" s="57" t="e">
        <f>_xlfn.STDEV.S(BH255:BH257)</f>
        <v>#DIV/0!</v>
      </c>
      <c r="BK258" s="57">
        <f>AVERAGE(BK255:BK257)</f>
        <v>0</v>
      </c>
      <c r="BL258" s="57">
        <f>_xlfn.STDEV.S(BK255:BK257)</f>
        <v>0</v>
      </c>
      <c r="BM258" s="57">
        <f>AVERAGE(BM255:BM257)</f>
        <v>0</v>
      </c>
      <c r="BN258" s="57" t="e">
        <f>_xlfn.STDEV.S(BL255:BL257)</f>
        <v>#DIV/0!</v>
      </c>
      <c r="BO258" s="59">
        <f>AVERAGE(BO255:BO257)</f>
        <v>13.402159468438539</v>
      </c>
      <c r="BP258" s="58">
        <f>_xlfn.STDEV.S(BO255:BO257)</f>
        <v>0.32422555678935633</v>
      </c>
      <c r="BQ258" s="57">
        <f>AVERAGE(BQ255:BQ257)</f>
        <v>0</v>
      </c>
      <c r="BR258" s="57">
        <f>_xlfn.STDEV.S(BQ255:BQ257)</f>
        <v>0</v>
      </c>
      <c r="BS258" s="57">
        <f>AVERAGE(BS255:BS257)</f>
        <v>0</v>
      </c>
      <c r="BT258" s="57">
        <f>_xlfn.STDEV.S(BS255:BS257)</f>
        <v>0</v>
      </c>
      <c r="BU258" s="57">
        <f>AVERAGE(BU255:BU257)</f>
        <v>0</v>
      </c>
      <c r="BV258" s="57">
        <f>_xlfn.STDEV.S(BU255:BU257)</f>
        <v>0</v>
      </c>
      <c r="BW258" s="56">
        <f>AVERAGE(BW255:BW257)</f>
        <v>0.67010797342192685</v>
      </c>
      <c r="BX258" s="55">
        <f t="shared" si="15"/>
        <v>0</v>
      </c>
      <c r="BY258" s="55">
        <f t="shared" si="16"/>
        <v>0</v>
      </c>
      <c r="BZ258" s="54">
        <f t="shared" si="17"/>
        <v>0</v>
      </c>
    </row>
    <row r="259" spans="1:78" x14ac:dyDescent="0.3">
      <c r="A259" s="172" t="s">
        <v>98</v>
      </c>
      <c r="B259" s="95" t="s">
        <v>97</v>
      </c>
      <c r="C259" s="94">
        <v>14</v>
      </c>
      <c r="D259" s="93"/>
      <c r="E259" s="88"/>
      <c r="F259" s="86">
        <v>1.345</v>
      </c>
      <c r="G259" s="85"/>
      <c r="H259" s="90">
        <v>0.504</v>
      </c>
      <c r="I259" s="86">
        <f>H259*0.2907</f>
        <v>0.1465128</v>
      </c>
      <c r="J259" s="92"/>
      <c r="K259" s="92">
        <f>(I259-$I$147)/(($AA$147-AA259)+($AI$147-AI259))*1000*0.05</f>
        <v>0.92338170911788942</v>
      </c>
      <c r="L259" s="91"/>
      <c r="M259" s="89">
        <v>14.650559185994677</v>
      </c>
      <c r="O259" s="88">
        <v>0</v>
      </c>
      <c r="Q259" s="88">
        <v>0.35651310828503163</v>
      </c>
      <c r="S259" s="88">
        <v>69.149258677432329</v>
      </c>
      <c r="U259" s="88">
        <v>15.843669028287977</v>
      </c>
      <c r="W259" s="88">
        <v>0</v>
      </c>
      <c r="X259" s="88"/>
      <c r="Y259" s="89">
        <v>0.88703152380418748</v>
      </c>
      <c r="AA259" s="21">
        <v>0</v>
      </c>
      <c r="AB259" s="88"/>
      <c r="AC259" s="88">
        <v>2.1585412657869715E-2</v>
      </c>
      <c r="AE259" s="21">
        <v>4.186705197792647</v>
      </c>
      <c r="AF259" s="88"/>
      <c r="AG259" s="88">
        <v>0.95926945192961466</v>
      </c>
      <c r="AI259" s="21">
        <v>0</v>
      </c>
      <c r="AJ259" s="87"/>
      <c r="AK259" s="89">
        <f>8*(AG259-$AG$147)/(2*($AA$147-AA259)+2*($AI$147-AI259))</f>
        <v>0.33841001793824238</v>
      </c>
      <c r="AL259" s="89"/>
      <c r="AM259" s="89">
        <f>(AG259-$AG$147)/(($AA$147-AA259)+($AI$147-AI259))</f>
        <v>8.4602504484560595E-2</v>
      </c>
      <c r="AN259" s="89"/>
      <c r="AO259" s="37">
        <f>8*(BW259-$BW$147)/(2*($AA$147-AA259)+2*($AI$147-AI259))</f>
        <v>1.4595127299808679E-2</v>
      </c>
      <c r="AQ259" s="37">
        <f>(BW259-$BW$147)/(($AA$147-AA259)+($AI$147-AI259))</f>
        <v>3.6487818249521698E-3</v>
      </c>
      <c r="AS259" s="37">
        <f>14*(BX259-$BX$147)/(2*($AA$147-AA259)+2*($AI$147-AI259))</f>
        <v>0</v>
      </c>
      <c r="AU259" s="37">
        <f>(BX259-$BX$147)/(($AA$147-AA259)+($AI$147-AI259))</f>
        <v>0</v>
      </c>
      <c r="AY259" s="90"/>
      <c r="AZ259" s="90"/>
      <c r="BA259" s="90"/>
      <c r="BB259" s="90"/>
      <c r="BC259" s="90"/>
      <c r="BD259" s="90"/>
      <c r="BE259" s="90"/>
      <c r="BF259" s="90"/>
      <c r="BG259" s="90">
        <v>24.52</v>
      </c>
      <c r="BH259" s="87"/>
      <c r="BI259" s="87">
        <v>0</v>
      </c>
      <c r="BJ259" s="87"/>
      <c r="BK259" s="87">
        <v>0.19</v>
      </c>
      <c r="BL259" s="87"/>
      <c r="BM259" s="87">
        <v>0.52</v>
      </c>
      <c r="BN259" s="87"/>
      <c r="BO259" s="89">
        <f>(BG259/1000)/60.2*1000</f>
        <v>0.40730897009966777</v>
      </c>
      <c r="BP259" s="88"/>
      <c r="BQ259" s="87">
        <f>BI259/74.08</f>
        <v>0</v>
      </c>
      <c r="BR259" s="87"/>
      <c r="BS259" s="87">
        <f>(BK259/1000)/88.12*1000</f>
        <v>2.1561507035860192E-3</v>
      </c>
      <c r="BT259" s="87"/>
      <c r="BU259" s="87">
        <f>BM259/88.12</f>
        <v>5.9010440308669993E-3</v>
      </c>
      <c r="BV259" s="87"/>
      <c r="BW259" s="86">
        <f>BO259*0.05</f>
        <v>2.036544850498339E-2</v>
      </c>
      <c r="BX259" s="85">
        <f t="shared" si="15"/>
        <v>0</v>
      </c>
      <c r="BY259" s="85">
        <f t="shared" si="16"/>
        <v>1.0780753517930096E-4</v>
      </c>
      <c r="BZ259" s="84">
        <f t="shared" si="17"/>
        <v>2.9505220154335001E-4</v>
      </c>
    </row>
    <row r="260" spans="1:78" x14ac:dyDescent="0.3">
      <c r="A260" s="173"/>
      <c r="B260" s="70" t="s">
        <v>96</v>
      </c>
      <c r="C260" s="20">
        <v>14</v>
      </c>
      <c r="D260" s="69"/>
      <c r="E260" s="21"/>
      <c r="F260" s="52">
        <v>1.335</v>
      </c>
      <c r="H260" s="37">
        <v>0.50600000000000001</v>
      </c>
      <c r="I260" s="52">
        <f>H260*0.2907</f>
        <v>0.14709420000000001</v>
      </c>
      <c r="K260" s="53">
        <f>(I260-$I$147)/(($AA$147-AA260)+($AI$147-AI260))*1000*0.05</f>
        <v>0.92859855493211474</v>
      </c>
      <c r="L260" s="68"/>
      <c r="M260" s="22">
        <v>12.531604566631579</v>
      </c>
      <c r="O260" s="21">
        <v>0</v>
      </c>
      <c r="Q260" s="21">
        <v>8.637962946955477E-2</v>
      </c>
      <c r="S260" s="21">
        <v>69.655615160825235</v>
      </c>
      <c r="U260" s="21">
        <v>17.726400643073628</v>
      </c>
      <c r="W260" s="21">
        <v>0</v>
      </c>
      <c r="Y260" s="22">
        <v>0.75309630488207868</v>
      </c>
      <c r="AA260" s="21">
        <v>0</v>
      </c>
      <c r="AC260" s="21">
        <v>5.1910495120331144E-3</v>
      </c>
      <c r="AE260" s="21">
        <v>4.1860071559859167</v>
      </c>
      <c r="AG260" s="21">
        <v>1.0652815249776404</v>
      </c>
      <c r="AI260" s="21">
        <v>0</v>
      </c>
      <c r="AK260" s="22">
        <f>8*(AG260-$AG$148)/(2*($AA$148-AA260)+2*($AI$148-AI260))</f>
        <v>0.40294277369352921</v>
      </c>
      <c r="AL260" s="22"/>
      <c r="AM260" s="22">
        <f>(AG260-$AG$148)/(($AA$148-AA260)+($AI$148-AI260))</f>
        <v>0.1007356934233823</v>
      </c>
      <c r="AN260" s="22"/>
      <c r="AO260" s="37">
        <f>8*(BW260-$BW$148)/(2*($AA$148-AA260)+2*($AI$148-AI260))</f>
        <v>8.3531345058279055E-3</v>
      </c>
      <c r="AQ260" s="37">
        <f>(BW260-$BW$148)/(($AA$148-AA260)+($AI$148-AI260))</f>
        <v>2.0882836264569764E-3</v>
      </c>
      <c r="AS260" s="37">
        <f>14*(BX260-$BX$148)/(2*($AA$148-AA260)+2*($AI$148-AI260))</f>
        <v>0</v>
      </c>
      <c r="AU260" s="37">
        <f>(BX260-$BX$148)/(($AA$148-AA260)+($AI$148-AI260))</f>
        <v>0</v>
      </c>
      <c r="BG260" s="37">
        <v>14.24</v>
      </c>
      <c r="BI260" s="2">
        <v>0</v>
      </c>
      <c r="BK260" s="2">
        <v>1.25</v>
      </c>
      <c r="BM260" s="2">
        <v>0.85</v>
      </c>
      <c r="BO260" s="22">
        <f>(BG260/1000)/60.2*1000</f>
        <v>0.23654485049833887</v>
      </c>
      <c r="BQ260" s="2">
        <f>BI260/74.08</f>
        <v>0</v>
      </c>
      <c r="BS260" s="2">
        <f>(BK260/1000)/88.12*1000</f>
        <v>1.4185201997276442E-2</v>
      </c>
      <c r="BU260" s="2">
        <f>BM260/88.12</f>
        <v>9.6459373581479785E-3</v>
      </c>
      <c r="BW260" s="52">
        <f>BO260*0.05</f>
        <v>1.1827242524916945E-2</v>
      </c>
      <c r="BX260" s="51">
        <f t="shared" si="15"/>
        <v>0</v>
      </c>
      <c r="BY260" s="51">
        <f t="shared" si="16"/>
        <v>7.0926009986382215E-4</v>
      </c>
      <c r="BZ260" s="67">
        <f t="shared" si="17"/>
        <v>4.8229686790739895E-4</v>
      </c>
    </row>
    <row r="261" spans="1:78" x14ac:dyDescent="0.3">
      <c r="A261" s="173"/>
      <c r="B261" s="70" t="s">
        <v>95</v>
      </c>
      <c r="C261" s="20">
        <v>14</v>
      </c>
      <c r="D261" s="69"/>
      <c r="E261" s="21"/>
      <c r="F261" s="52">
        <v>1.38</v>
      </c>
      <c r="H261" s="37">
        <v>0.54700000000000004</v>
      </c>
      <c r="I261" s="52">
        <f>H261*0.2907</f>
        <v>0.15901290000000001</v>
      </c>
      <c r="K261" s="53">
        <f>(I261-$I$147)/(($AA$147-AA261)+($AI$147-AI261))*1000*0.05</f>
        <v>1.0355438941237349</v>
      </c>
      <c r="L261" s="68"/>
      <c r="M261" s="22">
        <v>14.965795496910003</v>
      </c>
      <c r="O261" s="21">
        <v>0</v>
      </c>
      <c r="Q261" s="21">
        <v>0.11087009823430852</v>
      </c>
      <c r="S261" s="21">
        <v>67.322009210873389</v>
      </c>
      <c r="U261" s="21">
        <v>17.601325193982294</v>
      </c>
      <c r="W261" s="21">
        <v>0</v>
      </c>
      <c r="Y261" s="22">
        <v>0.92969706843629829</v>
      </c>
      <c r="AA261" s="21">
        <v>0</v>
      </c>
      <c r="AC261" s="21">
        <v>6.8874123882665056E-3</v>
      </c>
      <c r="AE261" s="21">
        <v>4.1821415117902188</v>
      </c>
      <c r="AG261" s="21">
        <v>1.0934200214628058</v>
      </c>
      <c r="AI261" s="21">
        <v>0</v>
      </c>
      <c r="AK261" s="22">
        <f>8*(AG261-$AG$149)/(2*($AA$149-AA261)+2*($AI$149-AI261))</f>
        <v>0.42037942980368792</v>
      </c>
      <c r="AL261" s="22"/>
      <c r="AM261" s="22">
        <f>(AG261-$AG$149)/(($AA$149-AA261)+($AI$149-AI261))</f>
        <v>0.10509485745092198</v>
      </c>
      <c r="AN261" s="22"/>
      <c r="AO261" s="37">
        <f>8*(BW261-$BW$149)/(2*($AA$149-AA261)+2*($AI$149-AI261))</f>
        <v>2.4872270211382407E-2</v>
      </c>
      <c r="AQ261" s="37">
        <f>(BW261-$BW$148)/(($AA$148-AA261)+($AI$148-AI261))</f>
        <v>6.1984390325931461E-3</v>
      </c>
      <c r="AS261" s="37">
        <f>14*(BX261-$BX$149)/(2*($AA$149-AA261)+2*($AI$149-AI261))</f>
        <v>-3.378331882578653E-5</v>
      </c>
      <c r="AU261" s="37">
        <f>(BX261-$BX$149)/(($AA$149-AA261)+($AI$149-AI261))</f>
        <v>-4.8261884036837902E-6</v>
      </c>
      <c r="BG261" s="37">
        <v>42.09</v>
      </c>
      <c r="BI261" s="2">
        <v>0</v>
      </c>
      <c r="BK261" s="2">
        <v>1.23</v>
      </c>
      <c r="BM261" s="2">
        <v>0.74</v>
      </c>
      <c r="BO261" s="22">
        <f>(BG261/1000)/60.2*1000</f>
        <v>0.69916943521594688</v>
      </c>
      <c r="BQ261" s="2">
        <f>BI261/74.08</f>
        <v>0</v>
      </c>
      <c r="BS261" s="2">
        <f>(BK261/1000)/88.12*1000</f>
        <v>1.3958238765320019E-2</v>
      </c>
      <c r="BU261" s="2">
        <f>BM261/88.12</f>
        <v>8.3976395823876521E-3</v>
      </c>
      <c r="BW261" s="52">
        <f>BO261*0.05</f>
        <v>3.4958471760797347E-2</v>
      </c>
      <c r="BX261" s="51">
        <f t="shared" si="15"/>
        <v>0</v>
      </c>
      <c r="BY261" s="51">
        <f t="shared" si="16"/>
        <v>6.9791193826600098E-4</v>
      </c>
      <c r="BZ261" s="67">
        <f t="shared" si="17"/>
        <v>4.1988197911938262E-4</v>
      </c>
    </row>
    <row r="262" spans="1:78" x14ac:dyDescent="0.3">
      <c r="A262" s="180"/>
      <c r="B262" s="83" t="s">
        <v>63</v>
      </c>
      <c r="C262" s="80">
        <v>14</v>
      </c>
      <c r="D262" s="79" t="e">
        <f>AVERAGE(D259:D261)</f>
        <v>#DIV/0!</v>
      </c>
      <c r="E262" s="76"/>
      <c r="F262" s="74">
        <f>AVERAGE(F259:F261)</f>
        <v>1.3533333333333333</v>
      </c>
      <c r="G262" s="73">
        <f>_xlfn.STDEV.S(F259:F261)</f>
        <v>2.3629078131263002E-2</v>
      </c>
      <c r="H262" s="77">
        <f>AVERAGE(H259:H261)</f>
        <v>0.51900000000000002</v>
      </c>
      <c r="I262" s="74">
        <f>AVERAGE(I259:I261)</f>
        <v>0.15087330000000002</v>
      </c>
      <c r="J262" s="82">
        <f>_xlfn.STDEV.S(I259:I261)</f>
        <v>7.0550919632560482E-3</v>
      </c>
      <c r="K262" s="82">
        <f>(I262-$I$147)/(($AA$147-AA262)+($AI$147-AI262))*1000*0.05</f>
        <v>0.96250805272457962</v>
      </c>
      <c r="L262" s="81">
        <f>_xlfn.STDEV.S(K259:K261)</f>
        <v>6.3304655964030551E-2</v>
      </c>
      <c r="M262" s="77">
        <f>AVERAGE(M259:M261)</f>
        <v>14.049319749845418</v>
      </c>
      <c r="N262" s="76">
        <f>_xlfn.STDEV.S(M259:M261)</f>
        <v>1.3237968182271185</v>
      </c>
      <c r="O262" s="76">
        <f>AVERAGE(O259:O261)</f>
        <v>0</v>
      </c>
      <c r="P262" s="76">
        <f>_xlfn.STDEV.S(O259:O261)</f>
        <v>0</v>
      </c>
      <c r="Q262" s="76">
        <f>AVERAGE(Q259:Q261)</f>
        <v>0.18458761199629828</v>
      </c>
      <c r="R262" s="76">
        <f>_xlfn.STDEV.S(Q259:Q261)</f>
        <v>0.14939453795462132</v>
      </c>
      <c r="S262" s="76">
        <f>AVERAGE(S259:S261)</f>
        <v>68.708961016376975</v>
      </c>
      <c r="T262" s="76">
        <f>_xlfn.STDEV.S(S259:S261)</f>
        <v>1.2275282909818286</v>
      </c>
      <c r="U262" s="76">
        <f>AVERAGE(U259:U261)</f>
        <v>17.057131621781298</v>
      </c>
      <c r="V262" s="76">
        <f>_xlfn.STDEV.S(U259:U261)</f>
        <v>1.0527485769864551</v>
      </c>
      <c r="W262" s="76">
        <f>AVERAGE(W259:W261)</f>
        <v>0</v>
      </c>
      <c r="X262" s="76">
        <f>_xlfn.STDEV.S(W259:W261)</f>
        <v>0</v>
      </c>
      <c r="Y262" s="77">
        <f>AVERAGE(Y259:Y261)</f>
        <v>0.85660829904085478</v>
      </c>
      <c r="Z262" s="76">
        <f>_xlfn.STDEV.S(Y259:Y261)</f>
        <v>9.2147364996149173E-2</v>
      </c>
      <c r="AA262" s="76">
        <f>AVERAGE(AA259:AA261)</f>
        <v>0</v>
      </c>
      <c r="AB262" s="76">
        <f>_xlfn.STDEV.S(AA259:AA261)</f>
        <v>0</v>
      </c>
      <c r="AC262" s="76">
        <f>AVERAGE(AC259:AC261)</f>
        <v>1.1221291519389777E-2</v>
      </c>
      <c r="AD262" s="76">
        <f>_xlfn.STDEV.S(AC259:AC261)</f>
        <v>9.0155791262558835E-3</v>
      </c>
      <c r="AE262" s="76">
        <f>AVERAGE(AE259:AE261)</f>
        <v>4.1849512885229272</v>
      </c>
      <c r="AF262" s="76">
        <f>_xlfn.STDEV.S(AE259:AE261)</f>
        <v>2.4582411510548296E-3</v>
      </c>
      <c r="AG262" s="76">
        <f>AVERAGE(AG259:AG261)</f>
        <v>1.0393236661233536</v>
      </c>
      <c r="AH262" s="76">
        <f>_xlfn.STDEV.S(AG259:AG261)</f>
        <v>7.0742149060826487E-2</v>
      </c>
      <c r="AI262" s="76">
        <f>AVERAGE(AI259:AI261)</f>
        <v>0</v>
      </c>
      <c r="AJ262" s="75">
        <f>_xlfn.STDEV.S(AI259:AI261)</f>
        <v>0</v>
      </c>
      <c r="AK262" s="77">
        <f>AVERAGE(AK259:AK261)</f>
        <v>0.38724407381181986</v>
      </c>
      <c r="AL262" s="77">
        <f>_xlfn.STDEV.S(AK259:AK261)</f>
        <v>4.3180817545221947E-2</v>
      </c>
      <c r="AM262" s="77">
        <f>AVERAGE(AM259:AM261)</f>
        <v>9.6811018452954964E-2</v>
      </c>
      <c r="AN262" s="77">
        <f>_xlfn.STDEV.S(AM259:AM261)</f>
        <v>1.0795204386305487E-2</v>
      </c>
      <c r="AO262" s="78">
        <f>AVERAGE(AO259:AO261)</f>
        <v>1.594017733900633E-2</v>
      </c>
      <c r="AP262" s="78">
        <f>_xlfn.STDEV.S(AO259:AO261)</f>
        <v>8.3413027052487796E-3</v>
      </c>
      <c r="AQ262" s="78">
        <f>AVERAGE(AQ259:AQ261)</f>
        <v>3.9785014946674309E-3</v>
      </c>
      <c r="AR262" s="78">
        <f>_xlfn.STDEV.S(AQ259:AQ261)</f>
        <v>2.0748206334754459E-3</v>
      </c>
      <c r="AS262" s="78">
        <f>AVERAGE(AS259:AS261)</f>
        <v>-1.1261106275262177E-5</v>
      </c>
      <c r="AT262" s="78">
        <f>_xlfn.STDEV.S(AS259:AS261)</f>
        <v>1.9504808218186805E-5</v>
      </c>
      <c r="AU262" s="78">
        <f>AVERAGE(AU259:AU261)</f>
        <v>-1.6087294678945968E-6</v>
      </c>
      <c r="AV262" s="80">
        <f>_xlfn.STDEV.S(AU259:AU261)</f>
        <v>2.7864011740266866E-6</v>
      </c>
      <c r="AW262" s="80"/>
      <c r="AX262" s="80"/>
      <c r="AY262" s="79">
        <f>SUM(AK262,AO262,AS262)</f>
        <v>0.40317299004455093</v>
      </c>
      <c r="AZ262" s="77">
        <f>SUM(AL262,AP262,AT262)</f>
        <v>5.1541625058688909E-2</v>
      </c>
      <c r="BA262" s="78"/>
      <c r="BB262" s="78"/>
      <c r="BC262" s="78"/>
      <c r="BD262" s="78"/>
      <c r="BE262" s="78"/>
      <c r="BF262" s="78"/>
      <c r="BG262" s="78"/>
      <c r="BH262" s="75"/>
      <c r="BI262" s="75"/>
      <c r="BJ262" s="75"/>
      <c r="BK262" s="75"/>
      <c r="BL262" s="75"/>
      <c r="BM262" s="75"/>
      <c r="BN262" s="75"/>
      <c r="BO262" s="77">
        <f>AVERAGE(BO259:BO261)</f>
        <v>0.44767441860465124</v>
      </c>
      <c r="BP262" s="76">
        <f>_xlfn.STDEV.S(BO259:BO261)</f>
        <v>0.23393888875311233</v>
      </c>
      <c r="BQ262" s="75">
        <f>AVERAGE(BQ259:BQ261)</f>
        <v>0</v>
      </c>
      <c r="BR262" s="75">
        <f>_xlfn.STDEV.S(BQ259:BQ261)</f>
        <v>0</v>
      </c>
      <c r="BS262" s="75">
        <f>AVERAGE(BS259:BS261)</f>
        <v>1.0099863822060828E-2</v>
      </c>
      <c r="BT262" s="75">
        <f>_xlfn.STDEV.S(BS259:BS261)</f>
        <v>6.8803932779047281E-3</v>
      </c>
      <c r="BU262" s="75">
        <f>AVERAGE(BU259:BU261)</f>
        <v>7.9815403238008772E-3</v>
      </c>
      <c r="BV262" s="75">
        <f>_xlfn.STDEV.S(BU259:BU261)</f>
        <v>1.9068063490889024E-3</v>
      </c>
      <c r="BW262" s="74">
        <f>AVERAGE(BW259:BW261)</f>
        <v>2.2383720930232564E-2</v>
      </c>
      <c r="BX262" s="73">
        <f t="shared" si="15"/>
        <v>0</v>
      </c>
      <c r="BY262" s="73">
        <f t="shared" si="16"/>
        <v>5.049931911030414E-4</v>
      </c>
      <c r="BZ262" s="72">
        <f t="shared" si="17"/>
        <v>3.9907701619004389E-4</v>
      </c>
    </row>
    <row r="263" spans="1:78" x14ac:dyDescent="0.3">
      <c r="A263" s="174" t="s">
        <v>61</v>
      </c>
      <c r="B263" s="70" t="s">
        <v>94</v>
      </c>
      <c r="C263" s="20">
        <v>14</v>
      </c>
      <c r="D263" s="69"/>
      <c r="E263" s="21"/>
      <c r="F263" s="52">
        <v>1.1399999999999999</v>
      </c>
      <c r="H263" s="37">
        <v>0.189</v>
      </c>
      <c r="I263" s="52">
        <f>H263*0.2907</f>
        <v>5.4942300000000006E-2</v>
      </c>
      <c r="K263" s="53">
        <f>(I263-$I$151)/($BW$151-BW263)*1000*0.05</f>
        <v>9.092989361287597E-2</v>
      </c>
      <c r="L263" s="68"/>
      <c r="M263" s="22">
        <v>2.6292944279300476</v>
      </c>
      <c r="O263" s="21">
        <v>0</v>
      </c>
      <c r="Q263" s="21">
        <v>0.3062705202349289</v>
      </c>
      <c r="S263" s="21">
        <v>91.67716804739986</v>
      </c>
      <c r="U263" s="21">
        <v>5.3872670044351549</v>
      </c>
      <c r="W263" s="21">
        <v>0</v>
      </c>
      <c r="Y263" s="22">
        <v>0.13492941613293008</v>
      </c>
      <c r="AA263" s="21">
        <v>0</v>
      </c>
      <c r="AC263" s="21">
        <v>1.5717107234187299E-2</v>
      </c>
      <c r="AE263" s="21">
        <v>4.7046639683843265</v>
      </c>
      <c r="AG263" s="21">
        <v>0.27646230248656423</v>
      </c>
      <c r="AI263" s="21">
        <v>0</v>
      </c>
      <c r="AK263" s="22">
        <f>8*(AG263-$AG$151)/(8*($BW$151-BW263))</f>
        <v>0.43238197029710873</v>
      </c>
      <c r="AL263" s="22"/>
      <c r="AM263" s="22">
        <f>(AG263-$AG$151)/($BW$151-BW263)</f>
        <v>0.43238197029710873</v>
      </c>
      <c r="AN263" s="22"/>
      <c r="BG263" s="37">
        <v>772.59</v>
      </c>
      <c r="BI263" s="2">
        <v>0</v>
      </c>
      <c r="BK263" s="2">
        <v>0</v>
      </c>
      <c r="BM263" s="2">
        <v>0</v>
      </c>
      <c r="BO263" s="22">
        <f>(BG263/1000)/60.2*1000</f>
        <v>12.833720930232557</v>
      </c>
      <c r="BQ263" s="2">
        <f>BI263/74.08</f>
        <v>0</v>
      </c>
      <c r="BS263" s="2">
        <f>(BK263/1000)/88.12*1000</f>
        <v>0</v>
      </c>
      <c r="BU263" s="2">
        <f>BM263/88.12</f>
        <v>0</v>
      </c>
      <c r="BW263" s="52">
        <f>BO263*0.05</f>
        <v>0.64168604651162786</v>
      </c>
      <c r="BX263" s="51">
        <f t="shared" si="15"/>
        <v>0</v>
      </c>
      <c r="BY263" s="51">
        <f t="shared" si="16"/>
        <v>0</v>
      </c>
      <c r="BZ263" s="67">
        <f t="shared" si="17"/>
        <v>0</v>
      </c>
    </row>
    <row r="264" spans="1:78" x14ac:dyDescent="0.3">
      <c r="A264" s="173"/>
      <c r="B264" s="70" t="s">
        <v>93</v>
      </c>
      <c r="C264" s="20">
        <v>14</v>
      </c>
      <c r="D264" s="69"/>
      <c r="E264" s="21"/>
      <c r="F264" s="52">
        <v>1.1850000000000001</v>
      </c>
      <c r="H264" s="37">
        <v>0.19900000000000001</v>
      </c>
      <c r="I264" s="52">
        <f>H264*0.2907</f>
        <v>5.7849300000000006E-2</v>
      </c>
      <c r="K264" s="53">
        <f>(I264-$I$152)/($BW$152-BW264)*1000*0.05</f>
        <v>0.75642312807554202</v>
      </c>
      <c r="L264" s="68"/>
      <c r="M264" s="22">
        <v>2.7037367071969873</v>
      </c>
      <c r="O264" s="21">
        <v>0</v>
      </c>
      <c r="Q264" s="21">
        <v>0.47426786291798595</v>
      </c>
      <c r="S264" s="21">
        <v>91.687746508078789</v>
      </c>
      <c r="U264" s="21">
        <v>5.1342489218062441</v>
      </c>
      <c r="W264" s="21">
        <v>0</v>
      </c>
      <c r="Y264" s="22">
        <v>0.14422658364017324</v>
      </c>
      <c r="AA264" s="21">
        <v>0</v>
      </c>
      <c r="AC264" s="21">
        <v>2.5299073470027612E-2</v>
      </c>
      <c r="AE264" s="21">
        <v>4.8909386795416889</v>
      </c>
      <c r="AG264" s="21">
        <v>0.27387843630604186</v>
      </c>
      <c r="AI264" s="21">
        <v>0</v>
      </c>
      <c r="AK264" s="22">
        <f>8*(AG264-$AG$152)/(8*($BW$152-BW264))</f>
        <v>0.36546264719651811</v>
      </c>
      <c r="AL264" s="22"/>
      <c r="AM264" s="22">
        <f>(AG264-$AG$152)/($BW$152-BW264)</f>
        <v>0.36546264719651811</v>
      </c>
      <c r="AN264" s="22"/>
      <c r="BG264" s="37">
        <v>691.24</v>
      </c>
      <c r="BI264" s="2">
        <v>0</v>
      </c>
      <c r="BK264" s="2">
        <v>0</v>
      </c>
      <c r="BM264" s="2">
        <v>0</v>
      </c>
      <c r="BO264" s="22">
        <f>(BG264/1000)/60.2*1000</f>
        <v>11.482392026578072</v>
      </c>
      <c r="BQ264" s="2">
        <f>BI264/74.08</f>
        <v>0</v>
      </c>
      <c r="BS264" s="2">
        <f>(BK264/1000)/88.12*1000</f>
        <v>0</v>
      </c>
      <c r="BU264" s="2">
        <f>BM264/88.12</f>
        <v>0</v>
      </c>
      <c r="BW264" s="52">
        <f>BO264*0.05</f>
        <v>0.57411960132890361</v>
      </c>
      <c r="BX264" s="51">
        <f t="shared" si="15"/>
        <v>0</v>
      </c>
      <c r="BY264" s="51">
        <f t="shared" si="16"/>
        <v>0</v>
      </c>
      <c r="BZ264" s="67">
        <f t="shared" si="17"/>
        <v>0</v>
      </c>
    </row>
    <row r="265" spans="1:78" x14ac:dyDescent="0.3">
      <c r="A265" s="173"/>
      <c r="B265" s="70" t="s">
        <v>92</v>
      </c>
      <c r="C265" s="20">
        <v>14</v>
      </c>
      <c r="D265" s="69"/>
      <c r="E265" s="21"/>
      <c r="F265" s="52">
        <v>1.22</v>
      </c>
      <c r="G265" s="67"/>
      <c r="H265" s="37">
        <v>0.192</v>
      </c>
      <c r="I265" s="52">
        <f>H265*0.2907</f>
        <v>5.5814400000000007E-2</v>
      </c>
      <c r="K265" s="53">
        <f>(I265-$I$153)/($BW$153-BW265)*1000*0.05</f>
        <v>0.4077860887801471</v>
      </c>
      <c r="L265" s="68"/>
      <c r="M265" s="22">
        <v>2.371835371055504</v>
      </c>
      <c r="O265" s="21">
        <v>0</v>
      </c>
      <c r="Q265" s="21">
        <v>0.21723402153250321</v>
      </c>
      <c r="S265" s="21">
        <v>92.437653741356826</v>
      </c>
      <c r="U265" s="21">
        <v>4.9732768660551621</v>
      </c>
      <c r="W265" s="21">
        <v>0</v>
      </c>
      <c r="Y265" s="22">
        <v>0.13025876035179598</v>
      </c>
      <c r="AA265" s="21">
        <v>0</v>
      </c>
      <c r="AC265" s="21">
        <v>1.1930269147840043E-2</v>
      </c>
      <c r="AE265" s="21">
        <v>5.0765809183541029</v>
      </c>
      <c r="AG265" s="21">
        <v>0.27312725299746388</v>
      </c>
      <c r="AI265" s="21">
        <v>0</v>
      </c>
      <c r="AK265" s="22">
        <f>8*(AG265-$AG$153)/(8*($BW$153-BW265))</f>
        <v>0.38313551509838795</v>
      </c>
      <c r="AL265" s="22"/>
      <c r="AM265" s="22">
        <f>(AG265-$AG$153)/($BW$153-BW265)</f>
        <v>0.38313551509838795</v>
      </c>
      <c r="AN265" s="22"/>
      <c r="BG265" s="37">
        <v>645.58000000000004</v>
      </c>
      <c r="BI265" s="2">
        <v>0</v>
      </c>
      <c r="BK265" s="2">
        <v>0</v>
      </c>
      <c r="BM265" s="2">
        <v>0</v>
      </c>
      <c r="BO265" s="22">
        <f>(BG265/1000)/60.2*1000</f>
        <v>10.72392026578073</v>
      </c>
      <c r="BQ265" s="2">
        <f>BI265/74.08</f>
        <v>0</v>
      </c>
      <c r="BS265" s="2">
        <f>(BK265/1000)/88.12*1000</f>
        <v>0</v>
      </c>
      <c r="BU265" s="2">
        <f>BM265/88.12</f>
        <v>0</v>
      </c>
      <c r="BW265" s="52">
        <f>BO265*0.05</f>
        <v>0.53619601328903654</v>
      </c>
      <c r="BX265" s="51">
        <f t="shared" si="15"/>
        <v>0</v>
      </c>
      <c r="BY265" s="51">
        <f t="shared" si="16"/>
        <v>0</v>
      </c>
      <c r="BZ265" s="67">
        <f t="shared" si="17"/>
        <v>0</v>
      </c>
    </row>
    <row r="266" spans="1:78" ht="15" thickBot="1" x14ac:dyDescent="0.35">
      <c r="A266" s="175"/>
      <c r="B266" s="66" t="s">
        <v>63</v>
      </c>
      <c r="C266" s="65">
        <v>14</v>
      </c>
      <c r="D266" s="64" t="e">
        <f>AVERAGE(D263:D265)</f>
        <v>#DIV/0!</v>
      </c>
      <c r="E266" s="58"/>
      <c r="F266" s="56">
        <f>AVERAGE(F263:F265)</f>
        <v>1.1816666666666666</v>
      </c>
      <c r="G266" s="55">
        <f>_xlfn.STDEV.S(F263:F265)</f>
        <v>4.0104031385053258E-2</v>
      </c>
      <c r="H266" s="60">
        <f>AVERAGE(H263:H265)</f>
        <v>0.19333333333333336</v>
      </c>
      <c r="I266" s="56">
        <f>AVERAGE(I263:I265)</f>
        <v>5.6202000000000009E-2</v>
      </c>
      <c r="J266" s="63">
        <f>_xlfn.STDEV.S(I263:I265)</f>
        <v>1.491756538447209E-3</v>
      </c>
      <c r="K266" s="56">
        <f>AVERAGE(K263:K265)</f>
        <v>0.41837970348952175</v>
      </c>
      <c r="L266" s="62">
        <f>_xlfn.STDEV.S(K263:K265)</f>
        <v>0.33287306857622656</v>
      </c>
      <c r="M266" s="59">
        <f>AVERAGE(M263:M265)</f>
        <v>2.5682888353941795</v>
      </c>
      <c r="N266" s="58">
        <f>_xlfn.STDEV.S(M263:M265)</f>
        <v>0.17415764689962579</v>
      </c>
      <c r="O266" s="58">
        <f>AVERAGE(O263:O265)</f>
        <v>0</v>
      </c>
      <c r="P266" s="58">
        <f>_xlfn.STDEV.S(O263:O265)</f>
        <v>0</v>
      </c>
      <c r="Q266" s="58">
        <f>AVERAGE(Q263:Q265)</f>
        <v>0.33259080156180604</v>
      </c>
      <c r="R266" s="58">
        <f>_xlfn.STDEV.S(Q263:Q265)</f>
        <v>0.13052266780597471</v>
      </c>
      <c r="S266" s="58">
        <f>AVERAGE(S263:S265)</f>
        <v>91.934189432278501</v>
      </c>
      <c r="T266" s="58">
        <f>_xlfn.STDEV.S(S263:S265)</f>
        <v>0.43604496195275244</v>
      </c>
      <c r="U266" s="58">
        <f>AVERAGE(U263:U265)</f>
        <v>5.1649309307655207</v>
      </c>
      <c r="V266" s="58">
        <f>_xlfn.STDEV.S(U263:U265)</f>
        <v>0.20869355027001732</v>
      </c>
      <c r="W266" s="58">
        <f>AVERAGE(W263:W265)</f>
        <v>0</v>
      </c>
      <c r="X266" s="58">
        <f>_xlfn.STDEV.S(W263:W265)</f>
        <v>0</v>
      </c>
      <c r="Y266" s="59">
        <f>AVERAGE(Y263:Y265)</f>
        <v>0.13647158670829976</v>
      </c>
      <c r="Z266" s="58">
        <f>_xlfn.STDEV.S(Y263:Y265)</f>
        <v>7.1104668915961886E-3</v>
      </c>
      <c r="AA266" s="58">
        <f>AVERAGE(AA263:AA265)</f>
        <v>0</v>
      </c>
      <c r="AB266" s="58">
        <f>_xlfn.STDEV.S(AA263:AA265)</f>
        <v>0</v>
      </c>
      <c r="AC266" s="58">
        <f>AVERAGE(AC263:AC265)</f>
        <v>1.764881661735165E-2</v>
      </c>
      <c r="AD266" s="58">
        <f>_xlfn.STDEV.S(AC263:AC265)</f>
        <v>6.8905629746044217E-3</v>
      </c>
      <c r="AE266" s="58">
        <f>AVERAGE(AE263:AE265)</f>
        <v>4.8907278554267064</v>
      </c>
      <c r="AF266" s="58">
        <f>_xlfn.STDEV.S(AE263:AE265)</f>
        <v>0.18595856461537574</v>
      </c>
      <c r="AG266" s="58">
        <f>AVERAGE(AG263:AG265)</f>
        <v>0.27448933059668995</v>
      </c>
      <c r="AH266" s="58">
        <f>_xlfn.STDEV.S(AG263:AG265)</f>
        <v>1.7494378095396777E-3</v>
      </c>
      <c r="AI266" s="58">
        <f>AVERAGE(AI263:AI265)</f>
        <v>0</v>
      </c>
      <c r="AJ266" s="57">
        <f>_xlfn.STDEV.S(AI263:AI265)</f>
        <v>0</v>
      </c>
      <c r="AK266" s="77">
        <f>AVERAGE(AK263:AK265)</f>
        <v>0.3936600441973383</v>
      </c>
      <c r="AL266" s="77">
        <f>_xlfn.STDEV.S(AK263:AK265)</f>
        <v>3.4678858626348986E-2</v>
      </c>
      <c r="AM266" s="77">
        <f>AVERAGE(AM263:AM265)</f>
        <v>0.3936600441973383</v>
      </c>
      <c r="AN266" s="77">
        <f>_xlfn.STDEV.S(AM263:AM265)</f>
        <v>3.4678858626348986E-2</v>
      </c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59">
        <f>SUM(AK266,AO266,AS266)</f>
        <v>0.3936600441973383</v>
      </c>
      <c r="AZ266" s="59">
        <f>SUM(AL266,AP266,AT266)</f>
        <v>3.4678858626348986E-2</v>
      </c>
      <c r="BA266" s="60"/>
      <c r="BB266" s="60"/>
      <c r="BC266" s="60"/>
      <c r="BD266" s="60"/>
      <c r="BE266" s="60"/>
      <c r="BF266" s="60"/>
      <c r="BG266" s="60">
        <f>AVERAGE(BG263:BG265)</f>
        <v>703.13666666666666</v>
      </c>
      <c r="BH266" s="57">
        <f>_xlfn.STDEV.S(BG263:BG265)</f>
        <v>64.335317154214238</v>
      </c>
      <c r="BI266" s="57">
        <f>AVERAGE(BI263:BI265)</f>
        <v>0</v>
      </c>
      <c r="BJ266" s="57" t="e">
        <f>_xlfn.STDEV.S(BH263:BH265)</f>
        <v>#DIV/0!</v>
      </c>
      <c r="BK266" s="57">
        <f>AVERAGE(BK263:BK265)</f>
        <v>0</v>
      </c>
      <c r="BL266" s="57">
        <f>_xlfn.STDEV.S(BK263:BK265)</f>
        <v>0</v>
      </c>
      <c r="BM266" s="57">
        <f>AVERAGE(BM263:BM265)</f>
        <v>0</v>
      </c>
      <c r="BN266" s="57" t="e">
        <f>_xlfn.STDEV.S(BL263:BL265)</f>
        <v>#DIV/0!</v>
      </c>
      <c r="BO266" s="59">
        <f>AVERAGE(BO263:BO265)</f>
        <v>11.68001107419712</v>
      </c>
      <c r="BP266" s="58">
        <f>_xlfn.STDEV.S(BO263:BO265)</f>
        <v>1.068692975983625</v>
      </c>
      <c r="BQ266" s="57">
        <f>AVERAGE(BQ263:BQ265)</f>
        <v>0</v>
      </c>
      <c r="BR266" s="57">
        <f>_xlfn.STDEV.S(BQ263:BQ265)</f>
        <v>0</v>
      </c>
      <c r="BS266" s="57">
        <f>AVERAGE(BS263:BS265)</f>
        <v>0</v>
      </c>
      <c r="BT266" s="57">
        <f>_xlfn.STDEV.S(BS263:BS265)</f>
        <v>0</v>
      </c>
      <c r="BU266" s="57">
        <f>AVERAGE(BU263:BU265)</f>
        <v>0</v>
      </c>
      <c r="BV266" s="57">
        <f>_xlfn.STDEV.S(BU263:BU265)</f>
        <v>0</v>
      </c>
      <c r="BW266" s="56">
        <f>AVERAGE(BW263:BW265)</f>
        <v>0.58400055370985593</v>
      </c>
      <c r="BX266" s="55">
        <f t="shared" si="15"/>
        <v>0</v>
      </c>
      <c r="BY266" s="55">
        <f t="shared" si="16"/>
        <v>0</v>
      </c>
      <c r="BZ266" s="54">
        <f t="shared" si="17"/>
        <v>0</v>
      </c>
    </row>
    <row r="267" spans="1:78" x14ac:dyDescent="0.3">
      <c r="A267" s="172" t="s">
        <v>98</v>
      </c>
      <c r="B267" s="95" t="s">
        <v>97</v>
      </c>
      <c r="C267" s="94">
        <v>15</v>
      </c>
      <c r="D267" s="93"/>
      <c r="E267" s="88"/>
      <c r="F267" s="86">
        <v>1.35</v>
      </c>
      <c r="G267" s="85"/>
      <c r="H267" s="90">
        <v>0.505</v>
      </c>
      <c r="I267" s="86">
        <f>H267*0.2907</f>
        <v>0.1468035</v>
      </c>
      <c r="J267" s="92"/>
      <c r="K267" s="92">
        <f>(I267-$I$147)/(($AA$147-AA267)+($AI$147-AI267))*1000*0.05</f>
        <v>0.92599013202500202</v>
      </c>
      <c r="L267" s="91"/>
      <c r="M267" s="89">
        <v>14.731350146144765</v>
      </c>
      <c r="O267" s="88">
        <v>0</v>
      </c>
      <c r="Q267" s="88">
        <v>0.12044106617680472</v>
      </c>
      <c r="S267" s="88">
        <v>68.365331594597635</v>
      </c>
      <c r="U267" s="88">
        <v>16.782877193080793</v>
      </c>
      <c r="W267" s="88">
        <v>0</v>
      </c>
      <c r="X267" s="88"/>
      <c r="Y267" s="89">
        <v>0.89523878568607695</v>
      </c>
      <c r="AA267" s="21">
        <v>0</v>
      </c>
      <c r="AB267" s="88"/>
      <c r="AC267" s="88">
        <v>7.3193232637319954E-3</v>
      </c>
      <c r="AE267" s="21">
        <v>4.1546291298894049</v>
      </c>
      <c r="AF267" s="88"/>
      <c r="AG267" s="88">
        <v>1.0199121227584296</v>
      </c>
      <c r="AI267" s="21">
        <v>0</v>
      </c>
      <c r="AJ267" s="87"/>
      <c r="AK267" s="89">
        <f>8*(AG267-$AG$147)/(2*($AA$147-AA267)+2*($AI$147-AI267))</f>
        <v>0.38194128226252849</v>
      </c>
      <c r="AL267" s="89"/>
      <c r="AM267" s="89">
        <f>(AG267-$AG$147)/(($AA$147-AA267)+($AI$147-AI267))</f>
        <v>9.5485320565632123E-2</v>
      </c>
      <c r="AN267" s="89"/>
      <c r="AO267" s="37">
        <f>8*(BW267-$BW$147)/(2*($AA$147-AA267)+2*($AI$147-AI267))</f>
        <v>7.0352329304633335E-4</v>
      </c>
      <c r="AQ267" s="37">
        <f>(BW267-$BW$147)/(($AA$147-AA267)+($AI$147-AI267))</f>
        <v>1.7588082326158334E-4</v>
      </c>
      <c r="AS267" s="37">
        <f>14*(BX267-$BX$147)/(2*($AA$147-AA267)+2*($AI$147-AI267))</f>
        <v>0</v>
      </c>
      <c r="AU267" s="37">
        <f>(BX267-$BX$147)/(($AA$147-AA267)+($AI$147-AI267))</f>
        <v>0</v>
      </c>
      <c r="AY267" s="90"/>
      <c r="AZ267" s="90"/>
      <c r="BA267" s="90"/>
      <c r="BB267" s="90"/>
      <c r="BC267" s="90"/>
      <c r="BD267" s="90"/>
      <c r="BE267" s="90"/>
      <c r="BF267" s="90"/>
      <c r="BG267" s="90">
        <v>1.22</v>
      </c>
      <c r="BH267" s="87"/>
      <c r="BI267" s="87">
        <v>0</v>
      </c>
      <c r="BJ267" s="87"/>
      <c r="BK267" s="87">
        <v>0.77</v>
      </c>
      <c r="BL267" s="87"/>
      <c r="BM267" s="87">
        <v>0.74</v>
      </c>
      <c r="BN267" s="87"/>
      <c r="BO267" s="89">
        <f>(BG267/1000)/60.2*1000</f>
        <v>2.026578073089701E-2</v>
      </c>
      <c r="BP267" s="88"/>
      <c r="BQ267" s="87">
        <f>BI267/74.08</f>
        <v>0</v>
      </c>
      <c r="BR267" s="87"/>
      <c r="BS267" s="87">
        <f>(BK267/1000)/88.12*1000</f>
        <v>8.7380844303222883E-3</v>
      </c>
      <c r="BT267" s="87"/>
      <c r="BU267" s="87">
        <f>BM267/88.12</f>
        <v>8.3976395823876521E-3</v>
      </c>
      <c r="BV267" s="87"/>
      <c r="BW267" s="86">
        <f>BO267*0.05</f>
        <v>1.0132890365448506E-3</v>
      </c>
      <c r="BX267" s="85">
        <f t="shared" si="15"/>
        <v>0</v>
      </c>
      <c r="BY267" s="85">
        <f t="shared" si="16"/>
        <v>4.3690422151611443E-4</v>
      </c>
      <c r="BZ267" s="84">
        <f t="shared" si="17"/>
        <v>4.1988197911938262E-4</v>
      </c>
    </row>
    <row r="268" spans="1:78" x14ac:dyDescent="0.3">
      <c r="A268" s="173"/>
      <c r="B268" s="70" t="s">
        <v>96</v>
      </c>
      <c r="C268" s="20">
        <v>15</v>
      </c>
      <c r="D268" s="69"/>
      <c r="E268" s="21"/>
      <c r="F268" s="52">
        <v>1.395</v>
      </c>
      <c r="H268" s="37">
        <v>0.49199999999999999</v>
      </c>
      <c r="I268" s="52">
        <f>H268*0.2907</f>
        <v>0.1430244</v>
      </c>
      <c r="K268" s="53">
        <f>(I268-$I$147)/(($AA$147-AA268)+($AI$147-AI268))*1000*0.05</f>
        <v>0.89208063423253714</v>
      </c>
      <c r="L268" s="68"/>
      <c r="M268" s="22">
        <v>12.515936757199601</v>
      </c>
      <c r="O268" s="21">
        <v>0</v>
      </c>
      <c r="Q268" s="21">
        <v>8.4921104986112828E-2</v>
      </c>
      <c r="S268" s="21">
        <v>69.352911935154339</v>
      </c>
      <c r="U268" s="21">
        <v>18.046230202659959</v>
      </c>
      <c r="W268" s="21">
        <v>0</v>
      </c>
      <c r="Y268" s="22">
        <v>0.78595944319539957</v>
      </c>
      <c r="AA268" s="21">
        <v>0</v>
      </c>
      <c r="AC268" s="21">
        <v>5.3327645932718173E-3</v>
      </c>
      <c r="AE268" s="21">
        <v>4.355133547409328</v>
      </c>
      <c r="AG268" s="21">
        <v>1.1332435851195659</v>
      </c>
      <c r="AI268" s="21">
        <v>0</v>
      </c>
      <c r="AK268" s="22">
        <f>8*(AG268-$AG$148)/(2*($AA$148-AA268)+2*($AI$148-AI268))</f>
        <v>0.45124710305812549</v>
      </c>
      <c r="AL268" s="22"/>
      <c r="AM268" s="22">
        <f>(AG268-$AG$148)/(($AA$148-AA268)+($AI$148-AI268))</f>
        <v>0.11281177576453137</v>
      </c>
      <c r="AN268" s="22"/>
      <c r="AO268" s="37">
        <f>8*(BW268-$BW$148)/(2*($AA$148-AA268)+2*($AI$148-AI268))</f>
        <v>2.4823272506718261E-3</v>
      </c>
      <c r="AQ268" s="37">
        <f>(BW268-$BW$148)/(($AA$148-AA268)+($AI$148-AI268))</f>
        <v>6.2058181266795652E-4</v>
      </c>
      <c r="AS268" s="37">
        <f>14*(BX268-$BX$148)/(2*($AA$148-AA268)+2*($AI$148-AI268))</f>
        <v>0</v>
      </c>
      <c r="AU268" s="37">
        <f>(BX268-$BX$148)/(($AA$148-AA268)+($AI$148-AI268))</f>
        <v>0</v>
      </c>
      <c r="BG268" s="37">
        <v>4.2949999999999999</v>
      </c>
      <c r="BI268" s="2">
        <v>0</v>
      </c>
      <c r="BK268" s="2">
        <v>0.52</v>
      </c>
      <c r="BM268" s="2">
        <v>0.98</v>
      </c>
      <c r="BO268" s="22">
        <f>(BG268/1000)/60.2*1000</f>
        <v>7.1345514950166111E-2</v>
      </c>
      <c r="BQ268" s="2">
        <f>BI268/74.08</f>
        <v>0</v>
      </c>
      <c r="BS268" s="2">
        <f>(BK268/1000)/88.12*1000</f>
        <v>5.9010440308670002E-3</v>
      </c>
      <c r="BU268" s="2">
        <f>BM268/88.12</f>
        <v>1.112119836586473E-2</v>
      </c>
      <c r="BW268" s="52">
        <f>BO268*0.05</f>
        <v>3.5672757475083056E-3</v>
      </c>
      <c r="BX268" s="51">
        <f t="shared" si="15"/>
        <v>0</v>
      </c>
      <c r="BY268" s="51">
        <f t="shared" si="16"/>
        <v>2.9505220154335001E-4</v>
      </c>
      <c r="BZ268" s="67">
        <f t="shared" si="17"/>
        <v>5.5605991829323651E-4</v>
      </c>
    </row>
    <row r="269" spans="1:78" x14ac:dyDescent="0.3">
      <c r="A269" s="173"/>
      <c r="B269" s="70" t="s">
        <v>95</v>
      </c>
      <c r="C269" s="20">
        <v>15</v>
      </c>
      <c r="D269" s="69"/>
      <c r="E269" s="21"/>
      <c r="F269" s="52">
        <v>1.39</v>
      </c>
      <c r="H269" s="37">
        <v>0.52400000000000002</v>
      </c>
      <c r="I269" s="52">
        <f>H269*0.2907</f>
        <v>0.15232680000000001</v>
      </c>
      <c r="K269" s="53">
        <f>(I269-$I$147)/(($AA$147-AA269)+($AI$147-AI269))*1000*0.05</f>
        <v>0.97555016726014321</v>
      </c>
      <c r="L269" s="68"/>
      <c r="M269" s="22">
        <v>14.973960180077087</v>
      </c>
      <c r="O269" s="21">
        <v>0</v>
      </c>
      <c r="Q269" s="21">
        <v>0.16524829804643645</v>
      </c>
      <c r="S269" s="21">
        <v>66.904404595035132</v>
      </c>
      <c r="U269" s="21">
        <v>17.956386926841343</v>
      </c>
      <c r="W269" s="21">
        <v>0</v>
      </c>
      <c r="Y269" s="22">
        <v>0.93694488113184915</v>
      </c>
      <c r="AA269" s="21">
        <v>0</v>
      </c>
      <c r="AC269" s="21">
        <v>1.0339852992020025E-2</v>
      </c>
      <c r="AE269" s="21">
        <v>4.1863166895485646</v>
      </c>
      <c r="AG269" s="21">
        <v>1.1235601412318059</v>
      </c>
      <c r="AI269" s="21">
        <v>0</v>
      </c>
      <c r="AK269" s="22">
        <f>8*(AG269-$AG$149)/(2*($AA$149-AA269)+2*($AI$149-AI269))</f>
        <v>0.44193106439131902</v>
      </c>
      <c r="AL269" s="22"/>
      <c r="AM269" s="22">
        <f>(AG269-$AG$149)/(($AA$149-AA269)+($AI$149-AI269))</f>
        <v>0.11048276609782975</v>
      </c>
      <c r="AN269" s="22"/>
      <c r="AO269" s="37">
        <f>8*(BW269-$BW$149)/(2*($AA$149-AA269)+2*($AI$149-AI269))</f>
        <v>7.3880382385290626E-4</v>
      </c>
      <c r="AQ269" s="37">
        <f>(BW269-$BW$148)/(($AA$148-AA269)+($AI$148-AI269))</f>
        <v>2.0130168667754881E-4</v>
      </c>
      <c r="AS269" s="37">
        <f>14*(BX269-$BX$149)/(2*($AA$149-AA269)+2*($AI$149-AI269))</f>
        <v>-3.378331882578653E-5</v>
      </c>
      <c r="AU269" s="37">
        <f>(BX269-$BX$149)/(($AA$149-AA269)+($AI$149-AI269))</f>
        <v>-4.8261884036837902E-6</v>
      </c>
      <c r="BG269" s="37">
        <v>1.454</v>
      </c>
      <c r="BI269" s="2">
        <v>0</v>
      </c>
      <c r="BK269" s="2">
        <v>0.65</v>
      </c>
      <c r="BM269" s="2">
        <v>0.75</v>
      </c>
      <c r="BO269" s="22">
        <f>(BG269/1000)/60.2*1000</f>
        <v>2.4152823920265781E-2</v>
      </c>
      <c r="BQ269" s="2">
        <f>BI269/74.08</f>
        <v>0</v>
      </c>
      <c r="BS269" s="2">
        <f>(BK269/1000)/88.12*1000</f>
        <v>7.3763050385837487E-3</v>
      </c>
      <c r="BU269" s="2">
        <f>BM269/88.12</f>
        <v>8.5111211983658636E-3</v>
      </c>
      <c r="BW269" s="52">
        <f>BO269*0.05</f>
        <v>1.2076411960132891E-3</v>
      </c>
      <c r="BX269" s="51">
        <f t="shared" si="15"/>
        <v>0</v>
      </c>
      <c r="BY269" s="51">
        <f t="shared" si="16"/>
        <v>3.6881525192918746E-4</v>
      </c>
      <c r="BZ269" s="67">
        <f t="shared" si="17"/>
        <v>4.255560599182932E-4</v>
      </c>
    </row>
    <row r="270" spans="1:78" x14ac:dyDescent="0.3">
      <c r="A270" s="180"/>
      <c r="B270" s="83" t="s">
        <v>63</v>
      </c>
      <c r="C270" s="80">
        <v>15</v>
      </c>
      <c r="D270" s="79" t="e">
        <f>AVERAGE(D267:D269)</f>
        <v>#DIV/0!</v>
      </c>
      <c r="E270" s="76"/>
      <c r="F270" s="74">
        <f>AVERAGE(F267:F269)</f>
        <v>1.3783333333333332</v>
      </c>
      <c r="G270" s="73">
        <f>_xlfn.STDEV.S(F267:F269)</f>
        <v>2.466441431158117E-2</v>
      </c>
      <c r="H270" s="77">
        <f>AVERAGE(H267:H269)</f>
        <v>0.50700000000000001</v>
      </c>
      <c r="I270" s="74">
        <f>AVERAGE(I267:I269)</f>
        <v>0.14738490000000001</v>
      </c>
      <c r="J270" s="82">
        <f>_xlfn.STDEV.S(I267:I269)</f>
        <v>4.6783737462926236E-3</v>
      </c>
      <c r="K270" s="82">
        <f>(I270-$I$147)/(($AA$147-AA270)+($AI$147-AI270))*1000*0.05</f>
        <v>0.93120697783922746</v>
      </c>
      <c r="L270" s="81">
        <f>_xlfn.STDEV.S(K267:K269)</f>
        <v>4.1978593903901858E-2</v>
      </c>
      <c r="M270" s="77">
        <f>AVERAGE(M267:M269)</f>
        <v>14.073749027807152</v>
      </c>
      <c r="N270" s="76">
        <f>_xlfn.STDEV.S(M267:M269)</f>
        <v>1.3545476034391515</v>
      </c>
      <c r="O270" s="76">
        <f>AVERAGE(O267:O269)</f>
        <v>0</v>
      </c>
      <c r="P270" s="76">
        <f>_xlfn.STDEV.S(O267:O269)</f>
        <v>0</v>
      </c>
      <c r="Q270" s="76">
        <f>AVERAGE(Q267:Q269)</f>
        <v>0.12353682306978468</v>
      </c>
      <c r="R270" s="76">
        <f>_xlfn.STDEV.S(Q267:Q269)</f>
        <v>4.0252978390337063E-2</v>
      </c>
      <c r="S270" s="76">
        <f>AVERAGE(S267:S269)</f>
        <v>68.207549374929044</v>
      </c>
      <c r="T270" s="76">
        <f>_xlfn.STDEV.S(S267:S269)</f>
        <v>1.2318557018933147</v>
      </c>
      <c r="U270" s="76">
        <f>AVERAGE(U267:U269)</f>
        <v>17.595164774194032</v>
      </c>
      <c r="V270" s="76">
        <f>_xlfn.STDEV.S(U267:U269)</f>
        <v>0.70489452358175719</v>
      </c>
      <c r="W270" s="76">
        <f>AVERAGE(W267:W269)</f>
        <v>0</v>
      </c>
      <c r="X270" s="76">
        <f>_xlfn.STDEV.S(W267:W269)</f>
        <v>0</v>
      </c>
      <c r="Y270" s="77">
        <f>AVERAGE(Y267:Y269)</f>
        <v>0.87271437000444196</v>
      </c>
      <c r="Z270" s="76">
        <f>_xlfn.STDEV.S(Y267:Y269)</f>
        <v>7.7972191155338724E-2</v>
      </c>
      <c r="AA270" s="76">
        <f>AVERAGE(AA267:AA269)</f>
        <v>0</v>
      </c>
      <c r="AB270" s="76">
        <f>_xlfn.STDEV.S(AA267:AA269)</f>
        <v>0</v>
      </c>
      <c r="AC270" s="76">
        <f>AVERAGE(AC267:AC269)</f>
        <v>7.6639802830079469E-3</v>
      </c>
      <c r="AD270" s="76">
        <f>_xlfn.STDEV.S(AC267:AC269)</f>
        <v>2.5212744602525644E-3</v>
      </c>
      <c r="AE270" s="76">
        <f>AVERAGE(AE267:AE269)</f>
        <v>4.2320264556157658</v>
      </c>
      <c r="AF270" s="76">
        <f>_xlfn.STDEV.S(AE267:AE269)</f>
        <v>0.10778470390871613</v>
      </c>
      <c r="AG270" s="76">
        <f>AVERAGE(AG267:AG269)</f>
        <v>1.0922386163699338</v>
      </c>
      <c r="AH270" s="76">
        <f>_xlfn.STDEV.S(AG267:AG269)</f>
        <v>6.2823431377019442E-2</v>
      </c>
      <c r="AI270" s="76">
        <f>AVERAGE(AI267:AI269)</f>
        <v>0</v>
      </c>
      <c r="AJ270" s="75">
        <f>_xlfn.STDEV.S(AI267:AI269)</f>
        <v>0</v>
      </c>
      <c r="AK270" s="77">
        <f>AVERAGE(AK267:AK269)</f>
        <v>0.4250398165706577</v>
      </c>
      <c r="AL270" s="77">
        <f>_xlfn.STDEV.S(AK267:AK269)</f>
        <v>3.7613958695437773E-2</v>
      </c>
      <c r="AM270" s="77">
        <f>AVERAGE(AM267:AM269)</f>
        <v>0.10625995414266443</v>
      </c>
      <c r="AN270" s="77">
        <f>_xlfn.STDEV.S(AM267:AM269)</f>
        <v>9.4034896738594432E-3</v>
      </c>
      <c r="AO270" s="78">
        <f>AVERAGE(AO267:AO269)</f>
        <v>1.3082181225236888E-3</v>
      </c>
      <c r="AP270" s="78">
        <f>_xlfn.STDEV.S(AO267:AO269)</f>
        <v>1.0169613377921912E-3</v>
      </c>
      <c r="AQ270" s="78">
        <f>AVERAGE(AQ267:AQ269)</f>
        <v>3.3258810753569626E-4</v>
      </c>
      <c r="AR270" s="78">
        <f>_xlfn.STDEV.S(AQ267:AQ269)</f>
        <v>2.4973352942898706E-4</v>
      </c>
      <c r="AS270" s="78">
        <f>AVERAGE(AS267:AS269)</f>
        <v>-1.1261106275262177E-5</v>
      </c>
      <c r="AT270" s="78">
        <f>_xlfn.STDEV.S(AS267:AS269)</f>
        <v>1.9504808218186805E-5</v>
      </c>
      <c r="AU270" s="78">
        <f>AVERAGE(AU267:AU269)</f>
        <v>-1.6087294678945968E-6</v>
      </c>
      <c r="AV270" s="80">
        <f>_xlfn.STDEV.S(AU267:AU269)</f>
        <v>2.7864011740266866E-6</v>
      </c>
      <c r="AW270" s="80"/>
      <c r="AX270" s="80"/>
      <c r="AY270" s="79">
        <f>SUM(AK270,AO270,AS270)</f>
        <v>0.42633677358690614</v>
      </c>
      <c r="AZ270" s="77">
        <f>SUM(AL270,AP270,AT270)</f>
        <v>3.865042484144815E-2</v>
      </c>
      <c r="BA270" s="78"/>
      <c r="BB270" s="78"/>
      <c r="BC270" s="78"/>
      <c r="BD270" s="78"/>
      <c r="BE270" s="78"/>
      <c r="BF270" s="78"/>
      <c r="BG270" s="78"/>
      <c r="BH270" s="75"/>
      <c r="BI270" s="75"/>
      <c r="BJ270" s="75"/>
      <c r="BK270" s="75"/>
      <c r="BL270" s="75"/>
      <c r="BM270" s="75"/>
      <c r="BN270" s="75"/>
      <c r="BO270" s="77">
        <f>AVERAGE(BO267:BO269)</f>
        <v>3.8588039867109632E-2</v>
      </c>
      <c r="BP270" s="76">
        <f>_xlfn.STDEV.S(BO267:BO269)</f>
        <v>2.8435302118173522E-2</v>
      </c>
      <c r="BQ270" s="75">
        <f>AVERAGE(BQ267:BQ269)</f>
        <v>0</v>
      </c>
      <c r="BR270" s="75">
        <f>_xlfn.STDEV.S(BQ267:BQ269)</f>
        <v>0</v>
      </c>
      <c r="BS270" s="75">
        <f>AVERAGE(BS267:BS269)</f>
        <v>7.3384778332576785E-3</v>
      </c>
      <c r="BT270" s="75">
        <f>_xlfn.STDEV.S(BS267:BS269)</f>
        <v>1.4188984213580761E-3</v>
      </c>
      <c r="BU270" s="75">
        <f>AVERAGE(BU267:BU269)</f>
        <v>9.3433197155394151E-3</v>
      </c>
      <c r="BV270" s="75">
        <f>_xlfn.STDEV.S(BU267:BU269)</f>
        <v>1.5407332315339919E-3</v>
      </c>
      <c r="BW270" s="74">
        <f>AVERAGE(BW267:BW269)</f>
        <v>1.9294019933554819E-3</v>
      </c>
      <c r="BX270" s="73">
        <f t="shared" si="15"/>
        <v>0</v>
      </c>
      <c r="BY270" s="73">
        <f t="shared" si="16"/>
        <v>3.6692389166288395E-4</v>
      </c>
      <c r="BZ270" s="72">
        <f t="shared" si="17"/>
        <v>4.6716598577697076E-4</v>
      </c>
    </row>
    <row r="271" spans="1:78" x14ac:dyDescent="0.3">
      <c r="A271" s="174" t="s">
        <v>61</v>
      </c>
      <c r="B271" s="70" t="s">
        <v>94</v>
      </c>
      <c r="C271" s="20">
        <v>15</v>
      </c>
      <c r="D271" s="69"/>
      <c r="E271" s="21"/>
      <c r="F271" s="52">
        <v>1.155</v>
      </c>
      <c r="H271" s="37">
        <v>0.21199999999999999</v>
      </c>
      <c r="I271" s="52">
        <f>H271*0.2907</f>
        <v>6.16284E-2</v>
      </c>
      <c r="K271" s="53">
        <f>(I271-$I$151)/($BW$151-BW271)*1000*0.05</f>
        <v>0.49408543165467611</v>
      </c>
      <c r="L271" s="68"/>
      <c r="M271" s="22">
        <v>2.5991595593680228</v>
      </c>
      <c r="O271" s="21">
        <v>0</v>
      </c>
      <c r="Q271" s="21">
        <v>0.14923366646986927</v>
      </c>
      <c r="S271" s="21">
        <v>90.047298591684992</v>
      </c>
      <c r="U271" s="21">
        <v>7.2043081824771154</v>
      </c>
      <c r="W271" s="21">
        <v>0</v>
      </c>
      <c r="Y271" s="22">
        <v>0.13513800213525429</v>
      </c>
      <c r="AA271" s="21">
        <v>0</v>
      </c>
      <c r="AC271" s="21">
        <v>7.7591002312149661E-3</v>
      </c>
      <c r="AE271" s="21">
        <v>4.6818257022727039</v>
      </c>
      <c r="AG271" s="21">
        <v>0.37457331583881059</v>
      </c>
      <c r="AI271" s="21">
        <v>0</v>
      </c>
      <c r="AK271" s="22">
        <f>8*(AG271-$AG$151)/(8*($BW$151-BW271))</f>
        <v>0.47158510986900604</v>
      </c>
      <c r="AL271" s="22"/>
      <c r="AM271" s="22">
        <f>(AG271-$AG$151)/($BW$151-BW271)</f>
        <v>0.47158510986900604</v>
      </c>
      <c r="AN271" s="22"/>
      <c r="BG271" s="37">
        <v>586.1</v>
      </c>
      <c r="BI271" s="2">
        <v>0</v>
      </c>
      <c r="BK271" s="2">
        <v>0</v>
      </c>
      <c r="BM271" s="2">
        <v>0</v>
      </c>
      <c r="BO271" s="22">
        <f>(BG271/1000)/60.2*1000</f>
        <v>9.735880398671096</v>
      </c>
      <c r="BQ271" s="2">
        <f>BI271/74.08</f>
        <v>0</v>
      </c>
      <c r="BS271" s="2">
        <f>(BK271/1000)/88.12*1000</f>
        <v>0</v>
      </c>
      <c r="BU271" s="2">
        <f>BM271/88.12</f>
        <v>0</v>
      </c>
      <c r="BW271" s="52">
        <f>BO271*0.05</f>
        <v>0.48679401993355481</v>
      </c>
      <c r="BX271" s="51">
        <f t="shared" si="15"/>
        <v>0</v>
      </c>
      <c r="BY271" s="51">
        <f t="shared" si="16"/>
        <v>0</v>
      </c>
      <c r="BZ271" s="67">
        <f t="shared" si="17"/>
        <v>0</v>
      </c>
    </row>
    <row r="272" spans="1:78" x14ac:dyDescent="0.3">
      <c r="A272" s="173"/>
      <c r="B272" s="70" t="s">
        <v>93</v>
      </c>
      <c r="C272" s="20">
        <v>15</v>
      </c>
      <c r="D272" s="69"/>
      <c r="E272" s="21"/>
      <c r="F272" s="52">
        <v>1.2</v>
      </c>
      <c r="H272" s="37">
        <v>0.219</v>
      </c>
      <c r="I272" s="52">
        <f>H272*0.2907</f>
        <v>6.3663300000000006E-2</v>
      </c>
      <c r="K272" s="53">
        <f>(I272-$I$152)/($BW$152-BW272)*1000*0.05</f>
        <v>0.97215676785176264</v>
      </c>
      <c r="L272" s="68"/>
      <c r="M272" s="22">
        <v>2.6779832843474662</v>
      </c>
      <c r="O272" s="21">
        <v>0</v>
      </c>
      <c r="Q272" s="21">
        <v>0.12487186831959821</v>
      </c>
      <c r="S272" s="21">
        <v>89.149209369214418</v>
      </c>
      <c r="U272" s="21">
        <v>8.0479354781185251</v>
      </c>
      <c r="W272" s="21">
        <v>0</v>
      </c>
      <c r="Y272" s="22">
        <v>0.14466107117935237</v>
      </c>
      <c r="AA272" s="21">
        <v>0</v>
      </c>
      <c r="AC272" s="21">
        <v>6.7454111221914225E-3</v>
      </c>
      <c r="AE272" s="21">
        <v>4.8157209186185561</v>
      </c>
      <c r="AG272" s="21">
        <v>0.43473869827780542</v>
      </c>
      <c r="AI272" s="21">
        <v>0</v>
      </c>
      <c r="AK272" s="22">
        <f>8*(AG272-$AG$152)/(8*($BW$152-BW272))</f>
        <v>0.49283047673101621</v>
      </c>
      <c r="AL272" s="22"/>
      <c r="AM272" s="22">
        <f>(AG272-$AG$152)/($BW$152-BW272)</f>
        <v>0.49283047673101621</v>
      </c>
      <c r="AN272" s="22"/>
      <c r="BG272" s="37">
        <v>531.44000000000005</v>
      </c>
      <c r="BI272" s="2">
        <v>0</v>
      </c>
      <c r="BK272" s="2">
        <v>0</v>
      </c>
      <c r="BM272" s="2">
        <v>0</v>
      </c>
      <c r="BO272" s="22">
        <f>(BG272/1000)/60.2*1000</f>
        <v>8.8279069767441847</v>
      </c>
      <c r="BQ272" s="2">
        <f>BI272/74.08</f>
        <v>0</v>
      </c>
      <c r="BS272" s="2">
        <f>(BK272/1000)/88.12*1000</f>
        <v>0</v>
      </c>
      <c r="BU272" s="2">
        <f>BM272/88.12</f>
        <v>0</v>
      </c>
      <c r="BW272" s="52">
        <f>BO272*0.05</f>
        <v>0.44139534883720927</v>
      </c>
      <c r="BX272" s="51">
        <f t="shared" si="15"/>
        <v>0</v>
      </c>
      <c r="BY272" s="51">
        <f t="shared" si="16"/>
        <v>0</v>
      </c>
      <c r="BZ272" s="67">
        <f t="shared" si="17"/>
        <v>0</v>
      </c>
    </row>
    <row r="273" spans="1:78" x14ac:dyDescent="0.3">
      <c r="A273" s="173"/>
      <c r="B273" s="70" t="s">
        <v>92</v>
      </c>
      <c r="C273" s="20">
        <v>15</v>
      </c>
      <c r="D273" s="69"/>
      <c r="E273" s="21"/>
      <c r="F273" s="52">
        <v>1.23</v>
      </c>
      <c r="G273" s="67"/>
      <c r="H273" s="37">
        <v>0.20499999999999999</v>
      </c>
      <c r="I273" s="52">
        <f>H273*0.2907</f>
        <v>5.9593500000000001E-2</v>
      </c>
      <c r="K273" s="53">
        <f>(I273-$I$153)/($BW$153-BW273)*1000*0.05</f>
        <v>0.57461431002059615</v>
      </c>
      <c r="L273" s="68"/>
      <c r="M273" s="22">
        <v>2.3374888732615657</v>
      </c>
      <c r="O273" s="21">
        <v>0</v>
      </c>
      <c r="Q273" s="21">
        <v>9.1381091725273034E-2</v>
      </c>
      <c r="S273" s="21">
        <v>90.362584178569918</v>
      </c>
      <c r="U273" s="21">
        <v>7.2085458564432479</v>
      </c>
      <c r="W273" s="21">
        <v>0</v>
      </c>
      <c r="Y273" s="22">
        <v>0.12942471949267056</v>
      </c>
      <c r="AA273" s="21">
        <v>0</v>
      </c>
      <c r="AC273" s="21">
        <v>5.0596913203590776E-3</v>
      </c>
      <c r="AE273" s="21">
        <v>5.0032974461288715</v>
      </c>
      <c r="AG273" s="21">
        <v>0.39913089473595165</v>
      </c>
      <c r="AI273" s="21">
        <v>0</v>
      </c>
      <c r="AK273" s="22">
        <f>8*(AG273-$AG$153)/(8*($BW$153-BW273))</f>
        <v>0.47814851025550048</v>
      </c>
      <c r="AL273" s="22"/>
      <c r="AM273" s="22">
        <f>(AG273-$AG$153)/($BW$153-BW273)</f>
        <v>0.47814851025550048</v>
      </c>
      <c r="AN273" s="22"/>
      <c r="BG273" s="37">
        <v>498.85</v>
      </c>
      <c r="BI273" s="2">
        <v>0</v>
      </c>
      <c r="BK273" s="2">
        <v>0</v>
      </c>
      <c r="BM273" s="2">
        <v>0</v>
      </c>
      <c r="BO273" s="22">
        <f>(BG273/1000)/60.2*1000</f>
        <v>8.2865448504983377</v>
      </c>
      <c r="BQ273" s="2">
        <f>BI273/74.08</f>
        <v>0</v>
      </c>
      <c r="BS273" s="2">
        <f>(BK273/1000)/88.12*1000</f>
        <v>0</v>
      </c>
      <c r="BU273" s="2">
        <f>BM273/88.12</f>
        <v>0</v>
      </c>
      <c r="BW273" s="52">
        <f>BO273*0.05</f>
        <v>0.41432724252491693</v>
      </c>
      <c r="BX273" s="51">
        <f t="shared" si="15"/>
        <v>0</v>
      </c>
      <c r="BY273" s="51">
        <f t="shared" si="16"/>
        <v>0</v>
      </c>
      <c r="BZ273" s="67">
        <f t="shared" si="17"/>
        <v>0</v>
      </c>
    </row>
    <row r="274" spans="1:78" ht="15" thickBot="1" x14ac:dyDescent="0.35">
      <c r="A274" s="175"/>
      <c r="B274" s="66" t="s">
        <v>63</v>
      </c>
      <c r="C274" s="65">
        <v>15</v>
      </c>
      <c r="D274" s="64" t="e">
        <f>AVERAGE(D271:D273)</f>
        <v>#DIV/0!</v>
      </c>
      <c r="E274" s="58"/>
      <c r="F274" s="56">
        <f>AVERAGE(F271:F273)</f>
        <v>1.1950000000000001</v>
      </c>
      <c r="G274" s="55">
        <f>_xlfn.STDEV.S(F271:F273)</f>
        <v>3.7749172176353721E-2</v>
      </c>
      <c r="H274" s="60">
        <f>AVERAGE(H271:H273)</f>
        <v>0.21199999999999999</v>
      </c>
      <c r="I274" s="56">
        <f>AVERAGE(I271:I273)</f>
        <v>6.16284E-2</v>
      </c>
      <c r="J274" s="63">
        <f>_xlfn.STDEV.S(I271:I273)</f>
        <v>2.0349000000000027E-3</v>
      </c>
      <c r="K274" s="56">
        <f>AVERAGE(K271:K273)</f>
        <v>0.68028550317567837</v>
      </c>
      <c r="L274" s="62">
        <f>_xlfn.STDEV.S(K271:K273)</f>
        <v>0.25595478393737991</v>
      </c>
      <c r="M274" s="59">
        <f>AVERAGE(M271:M273)</f>
        <v>2.5382105723256849</v>
      </c>
      <c r="N274" s="58">
        <f>_xlfn.STDEV.S(M271:M273)</f>
        <v>0.17824195707324034</v>
      </c>
      <c r="O274" s="58">
        <f>AVERAGE(O271:O273)</f>
        <v>0</v>
      </c>
      <c r="P274" s="58">
        <f>_xlfn.STDEV.S(O271:O273)</f>
        <v>0</v>
      </c>
      <c r="Q274" s="58">
        <f>AVERAGE(Q271:Q273)</f>
        <v>0.1218288755049135</v>
      </c>
      <c r="R274" s="58">
        <f>_xlfn.STDEV.S(Q271:Q273)</f>
        <v>2.9046083300463099E-2</v>
      </c>
      <c r="S274" s="58">
        <f>AVERAGE(S271:S273)</f>
        <v>89.853030713156443</v>
      </c>
      <c r="T274" s="58">
        <f>_xlfn.STDEV.S(S271:S273)</f>
        <v>0.62958288847903998</v>
      </c>
      <c r="U274" s="58">
        <f>AVERAGE(U271:U273)</f>
        <v>7.4869298390129631</v>
      </c>
      <c r="V274" s="58">
        <f>_xlfn.STDEV.S(U271:U273)</f>
        <v>0.48584975537849268</v>
      </c>
      <c r="W274" s="58">
        <f>AVERAGE(W271:W273)</f>
        <v>0</v>
      </c>
      <c r="X274" s="58">
        <f>_xlfn.STDEV.S(W271:W273)</f>
        <v>0</v>
      </c>
      <c r="Y274" s="59">
        <f>AVERAGE(Y271:Y273)</f>
        <v>0.13640793093575906</v>
      </c>
      <c r="Z274" s="58">
        <f>_xlfn.STDEV.S(Y271:Y273)</f>
        <v>7.6971515867122241E-3</v>
      </c>
      <c r="AA274" s="58">
        <f>AVERAGE(AA271:AA273)</f>
        <v>0</v>
      </c>
      <c r="AB274" s="58">
        <f>_xlfn.STDEV.S(AA271:AA273)</f>
        <v>0</v>
      </c>
      <c r="AC274" s="58">
        <f>AVERAGE(AC271:AC273)</f>
        <v>6.5214008912551557E-3</v>
      </c>
      <c r="AD274" s="58">
        <f>_xlfn.STDEV.S(AC271:AC273)</f>
        <v>1.3635752838311252E-3</v>
      </c>
      <c r="AE274" s="58">
        <f>AVERAGE(AE271:AE273)</f>
        <v>4.8336146890067111</v>
      </c>
      <c r="AF274" s="58">
        <f>_xlfn.STDEV.S(AE271:AE273)</f>
        <v>0.1614811468516042</v>
      </c>
      <c r="AG274" s="58">
        <f>AVERAGE(AG271:AG273)</f>
        <v>0.40281430295085591</v>
      </c>
      <c r="AH274" s="58">
        <f>_xlfn.STDEV.S(AG271:AG273)</f>
        <v>3.0251345971143911E-2</v>
      </c>
      <c r="AI274" s="58">
        <f>AVERAGE(AI271:AI273)</f>
        <v>0</v>
      </c>
      <c r="AJ274" s="57">
        <f>_xlfn.STDEV.S(AI271:AI273)</f>
        <v>0</v>
      </c>
      <c r="AK274" s="77">
        <f>AVERAGE(AK271:AK273)</f>
        <v>0.48085469895184091</v>
      </c>
      <c r="AL274" s="77">
        <f>_xlfn.STDEV.S(AK271:AK273)</f>
        <v>1.087814305019476E-2</v>
      </c>
      <c r="AM274" s="77">
        <f>AVERAGE(AM271:AM273)</f>
        <v>0.48085469895184091</v>
      </c>
      <c r="AN274" s="77">
        <f>_xlfn.STDEV.S(AM271:AM273)</f>
        <v>1.087814305019476E-2</v>
      </c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59">
        <f>SUM(AK274,AO274,AS274)</f>
        <v>0.48085469895184091</v>
      </c>
      <c r="AZ274" s="59">
        <f>SUM(AL274,AP274,AT274)</f>
        <v>1.087814305019476E-2</v>
      </c>
      <c r="BA274" s="60"/>
      <c r="BB274" s="60"/>
      <c r="BC274" s="60"/>
      <c r="BD274" s="60"/>
      <c r="BE274" s="60"/>
      <c r="BF274" s="60"/>
      <c r="BG274" s="60">
        <f>AVERAGE(BG271:BG273)</f>
        <v>538.79666666666662</v>
      </c>
      <c r="BH274" s="57">
        <f>_xlfn.STDEV.S(BG271:BG273)</f>
        <v>44.087765120646942</v>
      </c>
      <c r="BI274" s="57">
        <f>AVERAGE(BI271:BI273)</f>
        <v>0</v>
      </c>
      <c r="BJ274" s="57" t="e">
        <f>_xlfn.STDEV.S(BH271:BH273)</f>
        <v>#DIV/0!</v>
      </c>
      <c r="BK274" s="57">
        <f>AVERAGE(BK271:BK273)</f>
        <v>0</v>
      </c>
      <c r="BL274" s="57">
        <f>_xlfn.STDEV.S(BK271:BK273)</f>
        <v>0</v>
      </c>
      <c r="BM274" s="57">
        <f>AVERAGE(BM271:BM273)</f>
        <v>0</v>
      </c>
      <c r="BN274" s="57" t="e">
        <f>_xlfn.STDEV.S(BL271:BL273)</f>
        <v>#DIV/0!</v>
      </c>
      <c r="BO274" s="59">
        <f>AVERAGE(BO271:BO273)</f>
        <v>8.9501107419712067</v>
      </c>
      <c r="BP274" s="58">
        <f>_xlfn.STDEV.S(BO271:BO273)</f>
        <v>0.73235490233632838</v>
      </c>
      <c r="BQ274" s="57">
        <f>AVERAGE(BQ271:BQ273)</f>
        <v>0</v>
      </c>
      <c r="BR274" s="57">
        <f>_xlfn.STDEV.S(BQ271:BQ273)</f>
        <v>0</v>
      </c>
      <c r="BS274" s="57">
        <f>AVERAGE(BS271:BS273)</f>
        <v>0</v>
      </c>
      <c r="BT274" s="57">
        <f>_xlfn.STDEV.S(BS271:BS273)</f>
        <v>0</v>
      </c>
      <c r="BU274" s="57">
        <f>AVERAGE(BU271:BU273)</f>
        <v>0</v>
      </c>
      <c r="BV274" s="57">
        <f>_xlfn.STDEV.S(BU271:BU273)</f>
        <v>0</v>
      </c>
      <c r="BW274" s="56">
        <f>AVERAGE(BW271:BW273)</f>
        <v>0.44750553709856034</v>
      </c>
      <c r="BX274" s="55">
        <f t="shared" si="15"/>
        <v>0</v>
      </c>
      <c r="BY274" s="55">
        <f t="shared" si="16"/>
        <v>0</v>
      </c>
      <c r="BZ274" s="54">
        <f t="shared" si="17"/>
        <v>0</v>
      </c>
    </row>
    <row r="275" spans="1:78" x14ac:dyDescent="0.3">
      <c r="A275" s="172" t="s">
        <v>98</v>
      </c>
      <c r="B275" s="95" t="s">
        <v>97</v>
      </c>
      <c r="C275" s="94">
        <v>16</v>
      </c>
      <c r="D275" s="93">
        <v>7.18</v>
      </c>
      <c r="E275" s="88"/>
      <c r="F275" s="86">
        <v>1.39</v>
      </c>
      <c r="G275" s="85"/>
      <c r="H275" s="90">
        <v>0.505</v>
      </c>
      <c r="I275" s="86">
        <f>H275*0.2907</f>
        <v>0.1468035</v>
      </c>
      <c r="J275" s="92"/>
      <c r="K275" s="92">
        <f>(I275-$I$147)/(($AA$147-AA275)+($AI$147-AI275))*1000*0.05</f>
        <v>0.92599013202500202</v>
      </c>
      <c r="L275" s="91"/>
      <c r="M275" s="89">
        <v>14.876973901118998</v>
      </c>
      <c r="O275" s="88">
        <v>0</v>
      </c>
      <c r="Q275" s="88">
        <v>9.2966391049478764E-2</v>
      </c>
      <c r="S275" s="88">
        <v>68.609590836059979</v>
      </c>
      <c r="U275" s="88">
        <v>16.420468871771547</v>
      </c>
      <c r="W275" s="88">
        <v>0</v>
      </c>
      <c r="X275" s="88"/>
      <c r="Y275" s="89">
        <v>0.93087629296165264</v>
      </c>
      <c r="AA275" s="21">
        <v>0</v>
      </c>
      <c r="AB275" s="88"/>
      <c r="AC275" s="88">
        <v>5.817057289026561E-3</v>
      </c>
      <c r="AE275" s="21">
        <v>4.2930129476320067</v>
      </c>
      <c r="AF275" s="88"/>
      <c r="AG275" s="88">
        <v>1.0274552670215542</v>
      </c>
      <c r="AI275" s="21">
        <v>0</v>
      </c>
      <c r="AJ275" s="87"/>
      <c r="AK275" s="89">
        <f>8*(AG275-$AG$147)/(2*($AA$147-AA275)+2*($AI$147-AI275))</f>
        <v>0.38735599441597601</v>
      </c>
      <c r="AL275" s="89"/>
      <c r="AM275" s="89">
        <f>(AG275-$AG$147)/(($AA$147-AA275)+($AI$147-AI275))</f>
        <v>9.6838998603994003E-2</v>
      </c>
      <c r="AN275" s="89"/>
      <c r="AO275" s="37">
        <f>8*(BW275-$BW$147)/(2*($AA$147-AA275)+2*($AI$147-AI275))</f>
        <v>7.0948535485181071E-5</v>
      </c>
      <c r="AQ275" s="37">
        <f>(BW275-$BW$147)/(($AA$147-AA275)+($AI$147-AI275))</f>
        <v>1.7737133871295268E-5</v>
      </c>
      <c r="AS275" s="37">
        <f>14*(BX275-$BX$147)/(2*($AA$147-AA275)+2*($AI$147-AI275))</f>
        <v>0</v>
      </c>
      <c r="AU275" s="37">
        <f>(BX275-$BX$147)/(($AA$147-AA275)+($AI$147-AI275))</f>
        <v>0</v>
      </c>
      <c r="AY275" s="90"/>
      <c r="AZ275" s="90"/>
      <c r="BA275" s="90"/>
      <c r="BB275" s="90"/>
      <c r="BC275" s="90"/>
      <c r="BD275" s="90"/>
      <c r="BE275" s="90"/>
      <c r="BF275" s="90"/>
      <c r="BG275" s="90">
        <v>0.159</v>
      </c>
      <c r="BH275" s="87"/>
      <c r="BI275" s="87">
        <v>0</v>
      </c>
      <c r="BJ275" s="87"/>
      <c r="BK275" s="87">
        <v>0.76</v>
      </c>
      <c r="BL275" s="87"/>
      <c r="BM275" s="87">
        <v>0.57999999999999996</v>
      </c>
      <c r="BN275" s="87"/>
      <c r="BO275" s="89">
        <f>(BG275/1000)/60.2*1000</f>
        <v>2.6411960132890367E-3</v>
      </c>
      <c r="BP275" s="88"/>
      <c r="BQ275" s="87">
        <f>BI275/74.08</f>
        <v>0</v>
      </c>
      <c r="BR275" s="87"/>
      <c r="BS275" s="87">
        <f>(BK275/1000)/88.12*1000</f>
        <v>8.6246028143440769E-3</v>
      </c>
      <c r="BT275" s="87"/>
      <c r="BU275" s="87">
        <f>BM275/88.12</f>
        <v>6.5819337267362683E-3</v>
      </c>
      <c r="BV275" s="87"/>
      <c r="BW275" s="86">
        <f>BO275*0.05</f>
        <v>1.3205980066445183E-4</v>
      </c>
      <c r="BX275" s="85">
        <f t="shared" ref="BX275:BX282" si="18">BQ275*0.05</f>
        <v>0</v>
      </c>
      <c r="BY275" s="85">
        <f t="shared" ref="BY275:BY282" si="19">BS275*0.05</f>
        <v>4.3123014071720384E-4</v>
      </c>
      <c r="BZ275" s="84">
        <f t="shared" ref="BZ275:BZ282" si="20">BU275*0.05</f>
        <v>3.2909668633681341E-4</v>
      </c>
    </row>
    <row r="276" spans="1:78" x14ac:dyDescent="0.3">
      <c r="A276" s="173"/>
      <c r="B276" s="70" t="s">
        <v>96</v>
      </c>
      <c r="C276" s="20">
        <v>16</v>
      </c>
      <c r="D276" s="69">
        <v>7.12</v>
      </c>
      <c r="E276" s="21"/>
      <c r="F276" s="52">
        <v>1.425</v>
      </c>
      <c r="H276" s="37">
        <v>0.499</v>
      </c>
      <c r="I276" s="52">
        <f>H276*0.2907</f>
        <v>0.1450593</v>
      </c>
      <c r="K276" s="53">
        <f>(I276-$I$147)/(($AA$147-AA276)+($AI$147-AI276))*1000*0.05</f>
        <v>0.91033959458232605</v>
      </c>
      <c r="L276" s="68"/>
      <c r="M276" s="22">
        <v>12.695296563087119</v>
      </c>
      <c r="O276" s="21">
        <v>0</v>
      </c>
      <c r="Q276" s="21">
        <v>0.15063869116841744</v>
      </c>
      <c r="S276" s="21">
        <v>69.357374640296982</v>
      </c>
      <c r="U276" s="21">
        <v>17.796690105447475</v>
      </c>
      <c r="W276" s="21">
        <v>0</v>
      </c>
      <c r="Y276" s="22">
        <v>0.8143672189654223</v>
      </c>
      <c r="AA276" s="21">
        <v>0</v>
      </c>
      <c r="AC276" s="21">
        <v>9.6630442137213279E-3</v>
      </c>
      <c r="AE276" s="21">
        <v>4.4490786032356162</v>
      </c>
      <c r="AG276" s="21">
        <v>1.1416071263827514</v>
      </c>
      <c r="AI276" s="21">
        <v>0</v>
      </c>
      <c r="AK276" s="22">
        <f>8*(AG276-$AG$148)/(2*($AA$148-AA276)+2*($AI$148-AI276))</f>
        <v>0.45719152632880977</v>
      </c>
      <c r="AL276" s="22"/>
      <c r="AM276" s="22">
        <f>(AG276-$AG$148)/(($AA$148-AA276)+($AI$148-AI276))</f>
        <v>0.11429788158220244</v>
      </c>
      <c r="AN276" s="22"/>
      <c r="AO276" s="37">
        <f>8*(BW276-$BW$148)/(2*($AA$148-AA276)+2*($AI$148-AI276))</f>
        <v>2.5974411184199846E-4</v>
      </c>
      <c r="AQ276" s="37">
        <f>(BW276-$BW$148)/(($AA$148-AA276)+($AI$148-AI276))</f>
        <v>6.4936027960499614E-5</v>
      </c>
      <c r="AS276" s="37">
        <f>14*(BX276-$BX$148)/(2*($AA$148-AA276)+2*($AI$148-AI276))</f>
        <v>0</v>
      </c>
      <c r="AU276" s="37">
        <f>(BX276-$BX$148)/(($AA$148-AA276)+($AI$148-AI276))</f>
        <v>0</v>
      </c>
      <c r="BG276" s="37">
        <v>0.53</v>
      </c>
      <c r="BI276" s="2">
        <v>0</v>
      </c>
      <c r="BK276" s="2">
        <v>0.53</v>
      </c>
      <c r="BM276" s="2">
        <v>1.24</v>
      </c>
      <c r="BO276" s="22">
        <f>(BG276/1000)/60.2*1000</f>
        <v>8.8039867109634545E-3</v>
      </c>
      <c r="BQ276" s="2">
        <f>BI276/74.08</f>
        <v>0</v>
      </c>
      <c r="BS276" s="2">
        <f>(BK276/1000)/88.12*1000</f>
        <v>6.0145256468452108E-3</v>
      </c>
      <c r="BU276" s="2">
        <f>BM276/88.12</f>
        <v>1.4071720381298228E-2</v>
      </c>
      <c r="BW276" s="52">
        <f>BO276*0.05</f>
        <v>4.4019933554817275E-4</v>
      </c>
      <c r="BX276" s="51">
        <f t="shared" si="18"/>
        <v>0</v>
      </c>
      <c r="BY276" s="51">
        <f t="shared" si="19"/>
        <v>3.0072628234226054E-4</v>
      </c>
      <c r="BZ276" s="67">
        <f t="shared" si="20"/>
        <v>7.0358601906491151E-4</v>
      </c>
    </row>
    <row r="277" spans="1:78" x14ac:dyDescent="0.3">
      <c r="A277" s="173"/>
      <c r="B277" s="70" t="s">
        <v>95</v>
      </c>
      <c r="C277" s="20">
        <v>16</v>
      </c>
      <c r="D277" s="69">
        <v>7.23</v>
      </c>
      <c r="E277" s="21"/>
      <c r="F277" s="52">
        <v>1.425</v>
      </c>
      <c r="H277" s="37">
        <v>0.56299999999999994</v>
      </c>
      <c r="I277" s="52">
        <f>H277*0.2907</f>
        <v>0.16366409999999998</v>
      </c>
      <c r="K277" s="53">
        <f>(I277-$I$147)/(($AA$147-AA277)+($AI$147-AI277))*1000*0.05</f>
        <v>1.0772786606375375</v>
      </c>
      <c r="L277" s="68"/>
      <c r="M277" s="22">
        <v>15.212056120081598</v>
      </c>
      <c r="O277" s="21">
        <v>0</v>
      </c>
      <c r="Q277" s="21">
        <v>0.17050312666638426</v>
      </c>
      <c r="S277" s="21">
        <v>66.578305600410644</v>
      </c>
      <c r="U277" s="21">
        <v>18.039135152841371</v>
      </c>
      <c r="W277" s="21">
        <v>0</v>
      </c>
      <c r="Y277" s="22">
        <v>0.97581019676820713</v>
      </c>
      <c r="AA277" s="21">
        <v>0</v>
      </c>
      <c r="AC277" s="21">
        <v>1.093729133448835E-2</v>
      </c>
      <c r="AE277" s="21">
        <v>4.2708092170831433</v>
      </c>
      <c r="AG277" s="21">
        <v>1.1571592876116734</v>
      </c>
      <c r="AI277" s="21">
        <v>0</v>
      </c>
      <c r="AK277" s="22">
        <f>8*(AG277-$AG$149)/(2*($AA$149-AA277)+2*($AI$149-AI277))</f>
        <v>0.46595606929458439</v>
      </c>
      <c r="AL277" s="22"/>
      <c r="AM277" s="22">
        <f>(AG277-$AG$149)/(($AA$149-AA277)+($AI$149-AI277))</f>
        <v>0.1164890173236461</v>
      </c>
      <c r="AN277" s="22"/>
      <c r="AO277" s="37">
        <f>8*(BW277-$BW$149)/(2*($AA$149-AA277)+2*($AI$149-AI277))</f>
        <v>1.3136929729603123E-3</v>
      </c>
      <c r="AQ277" s="37">
        <f>(BW277-$BW$148)/(($AA$148-AA277)+($AI$148-AI277))</f>
        <v>3.44160948190648E-4</v>
      </c>
      <c r="AS277" s="37">
        <f>14*(BX277-$BX$149)/(2*($AA$149-AA277)+2*($AI$149-AI277))</f>
        <v>-3.378331882578653E-5</v>
      </c>
      <c r="AU277" s="37">
        <f>(BX277-$BX$149)/(($AA$149-AA277)+($AI$149-AI277))</f>
        <v>-4.8261884036837902E-6</v>
      </c>
      <c r="BG277" s="37">
        <v>2.4220000000000002</v>
      </c>
      <c r="BI277" s="2">
        <v>0</v>
      </c>
      <c r="BK277" s="2">
        <v>0.35</v>
      </c>
      <c r="BM277" s="2">
        <v>0.78</v>
      </c>
      <c r="BO277" s="22">
        <f>(BG277/1000)/60.2*1000</f>
        <v>4.0232558139534885E-2</v>
      </c>
      <c r="BQ277" s="2">
        <f>BI277/74.08</f>
        <v>0</v>
      </c>
      <c r="BS277" s="2">
        <f>(BK277/1000)/88.12*1000</f>
        <v>3.971856559237404E-3</v>
      </c>
      <c r="BU277" s="2">
        <f>BM277/88.12</f>
        <v>8.8515660463004998E-3</v>
      </c>
      <c r="BW277" s="52">
        <f>BO277*0.05</f>
        <v>2.0116279069767443E-3</v>
      </c>
      <c r="BX277" s="51">
        <f t="shared" si="18"/>
        <v>0</v>
      </c>
      <c r="BY277" s="51">
        <f t="shared" si="19"/>
        <v>1.9859282796187022E-4</v>
      </c>
      <c r="BZ277" s="67">
        <f t="shared" si="20"/>
        <v>4.4257830231502501E-4</v>
      </c>
    </row>
    <row r="278" spans="1:78" x14ac:dyDescent="0.3">
      <c r="A278" s="180"/>
      <c r="B278" s="83" t="s">
        <v>63</v>
      </c>
      <c r="C278" s="80">
        <v>16</v>
      </c>
      <c r="D278" s="79">
        <f>AVERAGE(D275:D277)</f>
        <v>7.1766666666666667</v>
      </c>
      <c r="E278" s="79">
        <f>_xlfn.STDEV.S(D275:D277)</f>
        <v>5.5075705472861163E-2</v>
      </c>
      <c r="F278" s="74">
        <f>AVERAGE(F275:F277)</f>
        <v>1.4133333333333333</v>
      </c>
      <c r="G278" s="73">
        <f>_xlfn.STDEV.S(F275:F277)</f>
        <v>2.0207259421636984E-2</v>
      </c>
      <c r="H278" s="77">
        <f>AVERAGE(H275:H277)</f>
        <v>0.52233333333333332</v>
      </c>
      <c r="I278" s="74">
        <f>AVERAGE(I275:I277)</f>
        <v>0.15184229999999999</v>
      </c>
      <c r="J278" s="82">
        <f>_xlfn.STDEV.S(I275:I277)</f>
        <v>1.0275055953132311E-2</v>
      </c>
      <c r="K278" s="82">
        <f>(I278-$I$147)/(($AA$147-AA278)+($AI$147-AI278))*1000*0.05</f>
        <v>0.97120279574828849</v>
      </c>
      <c r="L278" s="81">
        <f>_xlfn.STDEV.S(K275:K277)</f>
        <v>9.2197080564206613E-2</v>
      </c>
      <c r="M278" s="77">
        <f>AVERAGE(M275:M277)</f>
        <v>14.261442194762571</v>
      </c>
      <c r="N278" s="76">
        <f>_xlfn.STDEV.S(M275:M277)</f>
        <v>1.3666305748366316</v>
      </c>
      <c r="O278" s="76">
        <f>AVERAGE(O275:O277)</f>
        <v>0</v>
      </c>
      <c r="P278" s="76">
        <f>_xlfn.STDEV.S(O275:O277)</f>
        <v>0</v>
      </c>
      <c r="Q278" s="76">
        <f>AVERAGE(Q275:Q277)</f>
        <v>0.13803606962809348</v>
      </c>
      <c r="R278" s="76">
        <f>_xlfn.STDEV.S(Q275:Q277)</f>
        <v>4.0275375787172406E-2</v>
      </c>
      <c r="S278" s="76">
        <f>AVERAGE(S275:S277)</f>
        <v>68.181757025589206</v>
      </c>
      <c r="T278" s="76">
        <f>_xlfn.STDEV.S(S275:S277)</f>
        <v>1.4380846668920964</v>
      </c>
      <c r="U278" s="76">
        <f>AVERAGE(U275:U277)</f>
        <v>17.418764710020131</v>
      </c>
      <c r="V278" s="76">
        <f>_xlfn.STDEV.S(U275:U277)</f>
        <v>0.87300677875362998</v>
      </c>
      <c r="W278" s="76">
        <f>AVERAGE(W275:W277)</f>
        <v>0</v>
      </c>
      <c r="X278" s="76">
        <f>_xlfn.STDEV.S(W275:W277)</f>
        <v>0</v>
      </c>
      <c r="Y278" s="77">
        <f>AVERAGE(Y275:Y277)</f>
        <v>0.90701790289842732</v>
      </c>
      <c r="Z278" s="76">
        <f>_xlfn.STDEV.S(Y275:Y277)</f>
        <v>8.332392125172923E-2</v>
      </c>
      <c r="AA278" s="76">
        <f>AVERAGE(AA275:AA277)</f>
        <v>0</v>
      </c>
      <c r="AB278" s="76">
        <f>_xlfn.STDEV.S(AA275:AA277)</f>
        <v>0</v>
      </c>
      <c r="AC278" s="76">
        <f>AVERAGE(AC275:AC277)</f>
        <v>8.8057976124120783E-3</v>
      </c>
      <c r="AD278" s="76">
        <f>_xlfn.STDEV.S(AC275:AC277)</f>
        <v>2.6655867968739442E-3</v>
      </c>
      <c r="AE278" s="76">
        <f>AVERAGE(AE275:AE277)</f>
        <v>4.3376335893169227</v>
      </c>
      <c r="AF278" s="76">
        <f>_xlfn.STDEV.S(AE275:AE277)</f>
        <v>9.7150629221200005E-2</v>
      </c>
      <c r="AG278" s="76">
        <f>AVERAGE(AG275:AG277)</f>
        <v>1.1087405603386598</v>
      </c>
      <c r="AH278" s="76">
        <f>_xlfn.STDEV.S(AG275:AG277)</f>
        <v>7.0823312630506771E-2</v>
      </c>
      <c r="AI278" s="76">
        <f>AVERAGE(AI275:AI277)</f>
        <v>0</v>
      </c>
      <c r="AJ278" s="75">
        <f>_xlfn.STDEV.S(AI275:AI277)</f>
        <v>0</v>
      </c>
      <c r="AK278" s="77">
        <f>AVERAGE(AK275:AK277)</f>
        <v>0.43683453001312339</v>
      </c>
      <c r="AL278" s="77">
        <f>_xlfn.STDEV.S(AK275:AK277)</f>
        <v>4.307317514391483E-2</v>
      </c>
      <c r="AM278" s="77">
        <f>AVERAGE(AM275:AM277)</f>
        <v>0.10920863250328085</v>
      </c>
      <c r="AN278" s="77">
        <f>_xlfn.STDEV.S(AM275:AM277)</f>
        <v>1.0768293785978707E-2</v>
      </c>
      <c r="AO278" s="78">
        <f>AVERAGE(AO275:AO277)</f>
        <v>5.4812854009583063E-4</v>
      </c>
      <c r="AP278" s="78">
        <f>_xlfn.STDEV.S(AO275:AO277)</f>
        <v>6.696847154171225E-4</v>
      </c>
      <c r="AQ278" s="78">
        <f>AVERAGE(AQ275:AQ277)</f>
        <v>1.4227803667414763E-4</v>
      </c>
      <c r="AR278" s="78">
        <f>_xlfn.STDEV.S(AQ275:AQ277)</f>
        <v>1.7642127528332663E-4</v>
      </c>
      <c r="AS278" s="78">
        <f>AVERAGE(AS275:AS277)</f>
        <v>-1.1261106275262177E-5</v>
      </c>
      <c r="AT278" s="78">
        <f>_xlfn.STDEV.S(AS275:AS277)</f>
        <v>1.9504808218186805E-5</v>
      </c>
      <c r="AU278" s="78">
        <f>AVERAGE(AU275:AU277)</f>
        <v>-1.6087294678945968E-6</v>
      </c>
      <c r="AV278" s="80">
        <f>_xlfn.STDEV.S(AU275:AU277)</f>
        <v>2.7864011740266866E-6</v>
      </c>
      <c r="AW278" s="80"/>
      <c r="AX278" s="80"/>
      <c r="AY278" s="79">
        <f>SUM(AK278,AO278,AS278)</f>
        <v>0.43737139744694398</v>
      </c>
      <c r="AZ278" s="77">
        <f>SUM(AL278,AP278,AT278)</f>
        <v>4.3762364667550138E-2</v>
      </c>
      <c r="BA278" s="78"/>
      <c r="BB278" s="78"/>
      <c r="BC278" s="78"/>
      <c r="BD278" s="78"/>
      <c r="BE278" s="78"/>
      <c r="BF278" s="78"/>
      <c r="BG278" s="78">
        <f>AVERAGE(BG275:BG277)</f>
        <v>1.0370000000000001</v>
      </c>
      <c r="BH278" s="75">
        <f>_xlfn.STDEV.S(BG275:BG277)</f>
        <v>1.2137046592973104</v>
      </c>
      <c r="BI278" s="75">
        <f>AVERAGE(BI275:BI277)</f>
        <v>0</v>
      </c>
      <c r="BJ278" s="75" t="e">
        <f>_xlfn.STDEV.S(BH275:BH277)</f>
        <v>#DIV/0!</v>
      </c>
      <c r="BK278" s="75"/>
      <c r="BL278" s="75"/>
      <c r="BM278" s="75"/>
      <c r="BN278" s="75"/>
      <c r="BO278" s="77">
        <f>AVERAGE(BO275:BO277)</f>
        <v>1.7225913621262457E-2</v>
      </c>
      <c r="BP278" s="76">
        <f>_xlfn.STDEV.S(BO275:BO277)</f>
        <v>2.01612069650716E-2</v>
      </c>
      <c r="BQ278" s="75">
        <f>AVERAGE(BQ275:BQ277)</f>
        <v>0</v>
      </c>
      <c r="BR278" s="75">
        <f>_xlfn.STDEV.S(BQ275:BQ277)</f>
        <v>0</v>
      </c>
      <c r="BS278" s="75">
        <f>AVERAGE(BS275:BS277)</f>
        <v>6.2036616734755636E-3</v>
      </c>
      <c r="BT278" s="75">
        <f>_xlfn.STDEV.S(BS275:BS277)</f>
        <v>2.3321323410195722E-3</v>
      </c>
      <c r="BU278" s="75">
        <f>AVERAGE(BU275:BU277)</f>
        <v>9.8350733847783322E-3</v>
      </c>
      <c r="BV278" s="75">
        <f>_xlfn.STDEV.S(BU275:BU277)</f>
        <v>3.840532651383578E-3</v>
      </c>
      <c r="BW278" s="74">
        <f>AVERAGE(BW275:BW277)</f>
        <v>8.6129568106312288E-4</v>
      </c>
      <c r="BX278" s="73">
        <f t="shared" si="18"/>
        <v>0</v>
      </c>
      <c r="BY278" s="73">
        <f t="shared" si="19"/>
        <v>3.101830836737782E-4</v>
      </c>
      <c r="BZ278" s="72">
        <f t="shared" si="20"/>
        <v>4.9175366923891661E-4</v>
      </c>
    </row>
    <row r="279" spans="1:78" x14ac:dyDescent="0.3">
      <c r="A279" s="174" t="s">
        <v>61</v>
      </c>
      <c r="B279" s="70" t="s">
        <v>94</v>
      </c>
      <c r="C279" s="20">
        <v>16</v>
      </c>
      <c r="D279" s="69"/>
      <c r="E279" s="21"/>
      <c r="F279" s="52">
        <v>1.24</v>
      </c>
      <c r="H279" s="37">
        <v>0.221</v>
      </c>
      <c r="I279" s="52">
        <f>H279*0.2907</f>
        <v>6.4244700000000002E-2</v>
      </c>
      <c r="K279" s="53">
        <f>(I279-$I$151)/($BW$151-BW279)*1000*0.05</f>
        <v>0.54837884841363094</v>
      </c>
      <c r="L279" s="68"/>
      <c r="M279" s="22">
        <v>2.5739525886795818</v>
      </c>
      <c r="O279" s="21">
        <v>0</v>
      </c>
      <c r="Q279" s="21">
        <v>0.15568492297536032</v>
      </c>
      <c r="S279" s="21">
        <v>88.264532783486942</v>
      </c>
      <c r="U279" s="21">
        <v>9.0058297048581242</v>
      </c>
      <c r="W279" s="21">
        <v>0</v>
      </c>
      <c r="Y279" s="22">
        <v>0.14367618804055285</v>
      </c>
      <c r="AA279" s="21">
        <v>0</v>
      </c>
      <c r="AC279" s="21">
        <v>8.6902207782939729E-3</v>
      </c>
      <c r="AE279" s="21">
        <v>4.926862936514822</v>
      </c>
      <c r="AG279" s="21">
        <v>0.50269895717083324</v>
      </c>
      <c r="AI279" s="21">
        <v>0</v>
      </c>
      <c r="AK279" s="22">
        <f>8*(AG279-$AG$151)/(8*($BW$151-BW279))</f>
        <v>0.52683078246392745</v>
      </c>
      <c r="AL279" s="22"/>
      <c r="AM279" s="22">
        <f>(AG279-$AG$151)/($BW$151-BW279)</f>
        <v>0.52683078246392745</v>
      </c>
      <c r="AN279" s="22"/>
      <c r="BG279" s="37">
        <v>393.57</v>
      </c>
      <c r="BI279" s="2">
        <v>0</v>
      </c>
      <c r="BK279" s="2">
        <v>0</v>
      </c>
      <c r="BM279" s="2">
        <v>0</v>
      </c>
      <c r="BO279" s="22">
        <f>(BG279/1000)/60.2*1000</f>
        <v>6.537707641196012</v>
      </c>
      <c r="BQ279" s="2">
        <f>BI279/74.08</f>
        <v>0</v>
      </c>
      <c r="BS279" s="2">
        <f>(BK279/1000)/88.12*1000</f>
        <v>0</v>
      </c>
      <c r="BU279" s="2">
        <f>BM279/88.12</f>
        <v>0</v>
      </c>
      <c r="BW279" s="52">
        <f>BO279*0.05</f>
        <v>0.32688538205980061</v>
      </c>
      <c r="BX279" s="51">
        <f t="shared" si="18"/>
        <v>0</v>
      </c>
      <c r="BY279" s="51">
        <f t="shared" si="19"/>
        <v>0</v>
      </c>
      <c r="BZ279" s="67">
        <f t="shared" si="20"/>
        <v>0</v>
      </c>
    </row>
    <row r="280" spans="1:78" x14ac:dyDescent="0.3">
      <c r="A280" s="173"/>
      <c r="B280" s="70" t="s">
        <v>93</v>
      </c>
      <c r="C280" s="20">
        <v>16</v>
      </c>
      <c r="D280" s="69"/>
      <c r="E280" s="21"/>
      <c r="F280" s="52">
        <v>1.23</v>
      </c>
      <c r="H280" s="37">
        <v>0.22800000000000001</v>
      </c>
      <c r="I280" s="52">
        <f>H280*0.2907</f>
        <v>6.6279600000000008E-2</v>
      </c>
      <c r="K280" s="53">
        <f>(I280-$I$152)/($BW$152-BW280)*1000*0.05</f>
        <v>0.95884996938150668</v>
      </c>
      <c r="L280" s="68"/>
      <c r="M280" s="22">
        <v>2.6128778338265675</v>
      </c>
      <c r="O280" s="21">
        <v>0</v>
      </c>
      <c r="Q280" s="21">
        <v>0.33440500360707598</v>
      </c>
      <c r="S280" s="21">
        <v>87.239195657453266</v>
      </c>
      <c r="U280" s="21">
        <v>9.8135215051130782</v>
      </c>
      <c r="W280" s="21">
        <v>0</v>
      </c>
      <c r="Y280" s="22">
        <v>0.14467276596690726</v>
      </c>
      <c r="AA280" s="21">
        <v>0</v>
      </c>
      <c r="AC280" s="21">
        <v>1.8515713286968973E-2</v>
      </c>
      <c r="AE280" s="21">
        <v>4.8303581488187222</v>
      </c>
      <c r="AG280" s="21">
        <v>0.54336612360525427</v>
      </c>
      <c r="AI280" s="21">
        <v>0</v>
      </c>
      <c r="AK280" s="22">
        <f>8*(AG280-$AG$152)/(8*($BW$152-BW280))</f>
        <v>0.52713186323260885</v>
      </c>
      <c r="AL280" s="22"/>
      <c r="AM280" s="22">
        <f>(AG280-$AG$152)/($BW$152-BW280)</f>
        <v>0.52713186323260885</v>
      </c>
      <c r="AN280" s="22"/>
      <c r="BG280" s="37">
        <v>352.44</v>
      </c>
      <c r="BI280" s="2">
        <v>0</v>
      </c>
      <c r="BK280" s="2">
        <v>0</v>
      </c>
      <c r="BM280" s="2">
        <v>0</v>
      </c>
      <c r="BO280" s="22">
        <f>(BG280/1000)/60.2*1000</f>
        <v>5.8544850498338867</v>
      </c>
      <c r="BQ280" s="2">
        <f>BI280/74.08</f>
        <v>0</v>
      </c>
      <c r="BS280" s="2">
        <f>(BK280/1000)/88.12*1000</f>
        <v>0</v>
      </c>
      <c r="BU280" s="2">
        <f>BM280/88.12</f>
        <v>0</v>
      </c>
      <c r="BW280" s="52">
        <f>BO280*0.05</f>
        <v>0.29272425249169437</v>
      </c>
      <c r="BX280" s="51">
        <f t="shared" si="18"/>
        <v>0</v>
      </c>
      <c r="BY280" s="51">
        <f t="shared" si="19"/>
        <v>0</v>
      </c>
      <c r="BZ280" s="67">
        <f t="shared" si="20"/>
        <v>0</v>
      </c>
    </row>
    <row r="281" spans="1:78" x14ac:dyDescent="0.3">
      <c r="A281" s="173"/>
      <c r="B281" s="70" t="s">
        <v>92</v>
      </c>
      <c r="C281" s="20">
        <v>16</v>
      </c>
      <c r="D281" s="69"/>
      <c r="E281" s="21"/>
      <c r="F281" s="52">
        <v>1.29</v>
      </c>
      <c r="G281" s="67"/>
      <c r="H281" s="37">
        <v>0.215</v>
      </c>
      <c r="I281" s="52">
        <f>H281*0.2907</f>
        <v>6.2500500000000001E-2</v>
      </c>
      <c r="K281" s="53">
        <f>(I281-$I$153)/($BW$153-BW281)*1000*0.05</f>
        <v>0.62374611042497285</v>
      </c>
      <c r="L281" s="68"/>
      <c r="M281" s="22">
        <v>2.5293492419699226</v>
      </c>
      <c r="O281" s="21">
        <v>0</v>
      </c>
      <c r="Q281" s="21">
        <v>0.17621429418407311</v>
      </c>
      <c r="S281" s="21">
        <v>87.659911994601174</v>
      </c>
      <c r="U281" s="21">
        <v>9.6345244692448464</v>
      </c>
      <c r="W281" s="21">
        <v>0</v>
      </c>
      <c r="Y281" s="22">
        <v>0.14687946367471436</v>
      </c>
      <c r="AA281" s="21">
        <v>0</v>
      </c>
      <c r="AC281" s="21">
        <v>1.0232774735930586E-2</v>
      </c>
      <c r="AE281" s="21">
        <v>5.0904163987698103</v>
      </c>
      <c r="AG281" s="21">
        <v>0.55947741945729401</v>
      </c>
      <c r="AI281" s="21">
        <v>0</v>
      </c>
      <c r="AK281" s="22">
        <f>8*(AG281-$AG$153)/(8*($BW$153-BW281))</f>
        <v>0.55835051600721297</v>
      </c>
      <c r="AL281" s="22"/>
      <c r="AM281" s="22">
        <f>(AG281-$AG$153)/($BW$153-BW281)</f>
        <v>0.55835051600721297</v>
      </c>
      <c r="AN281" s="22"/>
      <c r="BG281" s="37">
        <v>297.45</v>
      </c>
      <c r="BI281" s="2">
        <v>0</v>
      </c>
      <c r="BK281" s="2">
        <v>0</v>
      </c>
      <c r="BM281" s="2">
        <v>0</v>
      </c>
      <c r="BO281" s="22">
        <f>(BG281/1000)/60.2*1000</f>
        <v>4.941029900332226</v>
      </c>
      <c r="BQ281" s="2">
        <f>BI281/74.08</f>
        <v>0</v>
      </c>
      <c r="BS281" s="2">
        <f>(BK281/1000)/88.12*1000</f>
        <v>0</v>
      </c>
      <c r="BU281" s="2">
        <f>BM281/88.12</f>
        <v>0</v>
      </c>
      <c r="BW281" s="52">
        <f>BO281*0.05</f>
        <v>0.24705149501661131</v>
      </c>
      <c r="BX281" s="51">
        <f t="shared" si="18"/>
        <v>0</v>
      </c>
      <c r="BY281" s="51">
        <f t="shared" si="19"/>
        <v>0</v>
      </c>
      <c r="BZ281" s="67">
        <f t="shared" si="20"/>
        <v>0</v>
      </c>
    </row>
    <row r="282" spans="1:78" ht="15" thickBot="1" x14ac:dyDescent="0.35">
      <c r="A282" s="175"/>
      <c r="B282" s="66" t="s">
        <v>63</v>
      </c>
      <c r="C282" s="65">
        <v>16</v>
      </c>
      <c r="D282" s="64" t="e">
        <f>AVERAGE(D279:D281)</f>
        <v>#DIV/0!</v>
      </c>
      <c r="E282" s="58"/>
      <c r="F282" s="56">
        <f>AVERAGE(F279:F281)</f>
        <v>1.2533333333333332</v>
      </c>
      <c r="G282" s="55">
        <f>_xlfn.STDEV.S(F279:F281)</f>
        <v>3.2145502536643215E-2</v>
      </c>
      <c r="H282" s="60">
        <f>AVERAGE(H279:H281)</f>
        <v>0.22133333333333335</v>
      </c>
      <c r="I282" s="56">
        <f>AVERAGE(I279:I281)</f>
        <v>6.4341599999999999E-2</v>
      </c>
      <c r="J282" s="63">
        <f>_xlfn.STDEV.S(I279:I281)</f>
        <v>1.8914125435768937E-3</v>
      </c>
      <c r="K282" s="56">
        <f>AVERAGE(K279:K281)</f>
        <v>0.7103249760733702</v>
      </c>
      <c r="L282" s="62">
        <f>_xlfn.STDEV.S(K279:K281)</f>
        <v>0.21850299830866959</v>
      </c>
      <c r="M282" s="59">
        <v>2.5720598881586909</v>
      </c>
      <c r="N282" s="58"/>
      <c r="O282" s="58">
        <v>0</v>
      </c>
      <c r="P282" s="58"/>
      <c r="Q282" s="58">
        <v>0.22210140692216981</v>
      </c>
      <c r="R282" s="58"/>
      <c r="S282" s="58">
        <v>87.721213478513803</v>
      </c>
      <c r="T282" s="58"/>
      <c r="U282" s="58">
        <v>9.484625226405349</v>
      </c>
      <c r="V282" s="58"/>
      <c r="W282" s="58">
        <v>0</v>
      </c>
      <c r="X282" s="58"/>
      <c r="Y282" s="59">
        <v>0.14507613922739149</v>
      </c>
      <c r="Z282" s="58"/>
      <c r="AA282" s="58">
        <v>0</v>
      </c>
      <c r="AB282" s="58"/>
      <c r="AC282" s="58">
        <v>1.2479569600397844E-2</v>
      </c>
      <c r="AD282" s="58"/>
      <c r="AE282" s="58">
        <v>4.9492124947011185</v>
      </c>
      <c r="AF282" s="58"/>
      <c r="AG282" s="58">
        <v>0.53518083341112721</v>
      </c>
      <c r="AH282" s="58"/>
      <c r="AI282" s="58">
        <v>0</v>
      </c>
      <c r="AJ282" s="57">
        <f>_xlfn.STDEV.S(AI279:AI281)</f>
        <v>0</v>
      </c>
      <c r="AK282" s="77">
        <f>AVERAGE(AK279:AK281)</f>
        <v>0.5374377205679165</v>
      </c>
      <c r="AL282" s="77">
        <f>_xlfn.STDEV.S(AK279:AK281)</f>
        <v>1.8111637756473439E-2</v>
      </c>
      <c r="AM282" s="77">
        <f>AVERAGE(AM279:AM281)</f>
        <v>0.5374377205679165</v>
      </c>
      <c r="AN282" s="77">
        <f>_xlfn.STDEV.S(AM279:AM281)</f>
        <v>1.8111637756473439E-2</v>
      </c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59">
        <f>SUM(AK282,AO282,AS282)</f>
        <v>0.5374377205679165</v>
      </c>
      <c r="AZ282" s="59">
        <f>SUM(AL282,AP282,AT282)</f>
        <v>1.8111637756473439E-2</v>
      </c>
      <c r="BA282" s="60"/>
      <c r="BB282" s="60"/>
      <c r="BC282" s="60"/>
      <c r="BD282" s="60"/>
      <c r="BE282" s="60"/>
      <c r="BF282" s="60"/>
      <c r="BG282" s="60">
        <f>AVERAGE(BG279:BG281)</f>
        <v>347.82</v>
      </c>
      <c r="BH282" s="57">
        <f>_xlfn.STDEV.S(BG279:BG281)</f>
        <v>48.22625737085518</v>
      </c>
      <c r="BI282" s="57">
        <f>AVERAGE(BI279:BI281)</f>
        <v>0</v>
      </c>
      <c r="BJ282" s="57" t="e">
        <f>_xlfn.STDEV.S(BH279:BH281)</f>
        <v>#DIV/0!</v>
      </c>
      <c r="BK282" s="57">
        <f>AVERAGE(BK279:BK281)</f>
        <v>0</v>
      </c>
      <c r="BL282" s="57">
        <f>_xlfn.STDEV.S(BK279:BK281)</f>
        <v>0</v>
      </c>
      <c r="BM282" s="57">
        <f>AVERAGE(BM279:BM281)</f>
        <v>0</v>
      </c>
      <c r="BN282" s="57" t="e">
        <f>_xlfn.STDEV.S(BL279:BL281)</f>
        <v>#DIV/0!</v>
      </c>
      <c r="BO282" s="59">
        <f>AVERAGE(BO279:BO281)</f>
        <v>5.7777408637873746</v>
      </c>
      <c r="BP282" s="58">
        <f>_xlfn.STDEV.S(BO279:BO281)</f>
        <v>0.80110062077833821</v>
      </c>
      <c r="BQ282" s="57">
        <f>AVERAGE(BQ279:BQ281)</f>
        <v>0</v>
      </c>
      <c r="BR282" s="57">
        <f>_xlfn.STDEV.S(BQ279:BQ281)</f>
        <v>0</v>
      </c>
      <c r="BS282" s="57">
        <f>AVERAGE(BS279:BS281)</f>
        <v>0</v>
      </c>
      <c r="BT282" s="57">
        <f>_xlfn.STDEV.S(BS279:BS281)</f>
        <v>0</v>
      </c>
      <c r="BU282" s="57">
        <f>AVERAGE(BU279:BU281)</f>
        <v>0</v>
      </c>
      <c r="BV282" s="57">
        <f>_xlfn.STDEV.S(BU279:BU281)</f>
        <v>0</v>
      </c>
      <c r="BW282" s="56">
        <f>AVERAGE(BW279:BW281)</f>
        <v>0.28888704318936875</v>
      </c>
      <c r="BX282" s="55">
        <f t="shared" si="18"/>
        <v>0</v>
      </c>
      <c r="BY282" s="55">
        <f t="shared" si="19"/>
        <v>0</v>
      </c>
      <c r="BZ282" s="54">
        <f t="shared" si="20"/>
        <v>0</v>
      </c>
    </row>
    <row r="283" spans="1:78" x14ac:dyDescent="0.3">
      <c r="A283" s="172" t="s">
        <v>98</v>
      </c>
      <c r="B283" s="95" t="s">
        <v>97</v>
      </c>
      <c r="C283" s="94">
        <v>17</v>
      </c>
      <c r="D283" s="93"/>
      <c r="E283" s="88"/>
      <c r="F283" s="86"/>
      <c r="G283" s="85"/>
      <c r="H283" s="90"/>
      <c r="I283" s="86"/>
      <c r="J283" s="92"/>
      <c r="K283" s="92"/>
      <c r="L283" s="91"/>
      <c r="M283" s="89"/>
      <c r="O283" s="88"/>
      <c r="Q283" s="88"/>
      <c r="S283" s="88"/>
      <c r="U283" s="88"/>
      <c r="W283" s="88"/>
      <c r="X283" s="88"/>
      <c r="Y283" s="89"/>
      <c r="AB283" s="88"/>
      <c r="AC283" s="88"/>
      <c r="AF283" s="88"/>
      <c r="AG283" s="88"/>
      <c r="AJ283" s="87"/>
      <c r="AK283" s="89"/>
      <c r="AL283" s="89"/>
      <c r="AM283" s="89"/>
      <c r="AN283" s="89"/>
      <c r="AY283" s="90"/>
      <c r="AZ283" s="90"/>
      <c r="BA283" s="90"/>
      <c r="BB283" s="90"/>
      <c r="BC283" s="90"/>
      <c r="BD283" s="90"/>
      <c r="BE283" s="90"/>
      <c r="BF283" s="90"/>
      <c r="BG283" s="90"/>
      <c r="BH283" s="87"/>
      <c r="BI283" s="87"/>
      <c r="BJ283" s="87"/>
      <c r="BK283" s="87"/>
      <c r="BL283" s="87"/>
      <c r="BM283" s="87"/>
      <c r="BN283" s="87"/>
      <c r="BO283" s="89"/>
      <c r="BP283" s="88"/>
      <c r="BQ283" s="87"/>
      <c r="BR283" s="87"/>
      <c r="BS283" s="87"/>
      <c r="BT283" s="87"/>
      <c r="BU283" s="87"/>
      <c r="BV283" s="87"/>
      <c r="BW283" s="86"/>
      <c r="BX283" s="85"/>
      <c r="BY283" s="85"/>
      <c r="BZ283" s="84"/>
    </row>
    <row r="284" spans="1:78" x14ac:dyDescent="0.3">
      <c r="A284" s="173"/>
      <c r="B284" s="70" t="s">
        <v>96</v>
      </c>
      <c r="C284" s="20">
        <v>17</v>
      </c>
      <c r="D284" s="69"/>
      <c r="E284" s="21"/>
      <c r="F284" s="52"/>
      <c r="I284" s="52"/>
      <c r="L284" s="68"/>
      <c r="AK284" s="22"/>
      <c r="AL284" s="22"/>
      <c r="AM284" s="22"/>
      <c r="AN284" s="22"/>
      <c r="BZ284" s="67"/>
    </row>
    <row r="285" spans="1:78" x14ac:dyDescent="0.3">
      <c r="A285" s="173"/>
      <c r="B285" s="70" t="s">
        <v>95</v>
      </c>
      <c r="C285" s="20">
        <v>17</v>
      </c>
      <c r="D285" s="69"/>
      <c r="E285" s="21"/>
      <c r="F285" s="52"/>
      <c r="I285" s="52"/>
      <c r="L285" s="68"/>
      <c r="AK285" s="22"/>
      <c r="AL285" s="22"/>
      <c r="AM285" s="22"/>
      <c r="AN285" s="22"/>
      <c r="BZ285" s="67"/>
    </row>
    <row r="286" spans="1:78" x14ac:dyDescent="0.3">
      <c r="A286" s="180"/>
      <c r="B286" s="83" t="s">
        <v>63</v>
      </c>
      <c r="C286" s="80">
        <v>17</v>
      </c>
      <c r="D286" s="79" t="e">
        <f>AVERAGE(D283:D285)</f>
        <v>#DIV/0!</v>
      </c>
      <c r="E286" s="76"/>
      <c r="F286" s="74" t="e">
        <f>AVERAGE(F283:F285)</f>
        <v>#DIV/0!</v>
      </c>
      <c r="G286" s="73" t="e">
        <f>_xlfn.STDEV.S(F283:F285)</f>
        <v>#DIV/0!</v>
      </c>
      <c r="H286" s="77" t="e">
        <f>AVERAGE(H283:H285)</f>
        <v>#DIV/0!</v>
      </c>
      <c r="I286" s="74" t="e">
        <f>AVERAGE(I283:I285)</f>
        <v>#DIV/0!</v>
      </c>
      <c r="J286" s="82" t="e">
        <f>_xlfn.STDEV.S(I283:I285)</f>
        <v>#DIV/0!</v>
      </c>
      <c r="K286" s="82" t="e">
        <f>(I286-$I$147)/(($AA$147-AA286)+($AI$147-AI286))*1000*0.05</f>
        <v>#DIV/0!</v>
      </c>
      <c r="L286" s="81" t="e">
        <f>_xlfn.STDEV.S(K283:K285)</f>
        <v>#DIV/0!</v>
      </c>
      <c r="M286" s="77" t="e">
        <f>AVERAGE(M283:M285)</f>
        <v>#DIV/0!</v>
      </c>
      <c r="N286" s="76" t="e">
        <f>_xlfn.STDEV.S(M283:M285)</f>
        <v>#DIV/0!</v>
      </c>
      <c r="O286" s="76" t="e">
        <f>AVERAGE(O283:O285)</f>
        <v>#DIV/0!</v>
      </c>
      <c r="P286" s="76" t="e">
        <f>_xlfn.STDEV.S(O283:O285)</f>
        <v>#DIV/0!</v>
      </c>
      <c r="Q286" s="76" t="e">
        <f>AVERAGE(Q283:Q285)</f>
        <v>#DIV/0!</v>
      </c>
      <c r="R286" s="76" t="e">
        <f>_xlfn.STDEV.S(Q283:Q285)</f>
        <v>#DIV/0!</v>
      </c>
      <c r="S286" s="76" t="e">
        <f>AVERAGE(S283:S285)</f>
        <v>#DIV/0!</v>
      </c>
      <c r="T286" s="76" t="e">
        <f>_xlfn.STDEV.S(S283:S285)</f>
        <v>#DIV/0!</v>
      </c>
      <c r="U286" s="76" t="e">
        <f>AVERAGE(U283:U285)</f>
        <v>#DIV/0!</v>
      </c>
      <c r="V286" s="76" t="e">
        <f>_xlfn.STDEV.S(U283:U285)</f>
        <v>#DIV/0!</v>
      </c>
      <c r="W286" s="76" t="e">
        <f>AVERAGE(W283:W285)</f>
        <v>#DIV/0!</v>
      </c>
      <c r="X286" s="76" t="e">
        <f>_xlfn.STDEV.S(W283:W285)</f>
        <v>#DIV/0!</v>
      </c>
      <c r="Y286" s="77" t="e">
        <f>AVERAGE(Y283:Y285)</f>
        <v>#DIV/0!</v>
      </c>
      <c r="Z286" s="76" t="e">
        <f>_xlfn.STDEV.S(Y283:Y285)</f>
        <v>#DIV/0!</v>
      </c>
      <c r="AA286" s="76" t="e">
        <f>AVERAGE(AA283:AA285)</f>
        <v>#DIV/0!</v>
      </c>
      <c r="AB286" s="76" t="e">
        <f>_xlfn.STDEV.S(AA283:AA285)</f>
        <v>#DIV/0!</v>
      </c>
      <c r="AC286" s="76" t="e">
        <f>AVERAGE(AC283:AC285)</f>
        <v>#DIV/0!</v>
      </c>
      <c r="AD286" s="76" t="e">
        <f>_xlfn.STDEV.S(AC283:AC285)</f>
        <v>#DIV/0!</v>
      </c>
      <c r="AE286" s="76" t="e">
        <f>AVERAGE(AE283:AE285)</f>
        <v>#DIV/0!</v>
      </c>
      <c r="AF286" s="76" t="e">
        <f>_xlfn.STDEV.S(AE283:AE285)</f>
        <v>#DIV/0!</v>
      </c>
      <c r="AG286" s="76" t="e">
        <f>AVERAGE(AG283:AG285)</f>
        <v>#DIV/0!</v>
      </c>
      <c r="AH286" s="76" t="e">
        <f>_xlfn.STDEV.S(AG283:AG285)</f>
        <v>#DIV/0!</v>
      </c>
      <c r="AI286" s="76" t="e">
        <f>AVERAGE(AI283:AI285)</f>
        <v>#DIV/0!</v>
      </c>
      <c r="AJ286" s="75" t="e">
        <f>_xlfn.STDEV.S(AI283:AI285)</f>
        <v>#DIV/0!</v>
      </c>
      <c r="AK286" s="77"/>
      <c r="AL286" s="77"/>
      <c r="AM286" s="77"/>
      <c r="AN286" s="77"/>
      <c r="AO286" s="78"/>
      <c r="AP286" s="78"/>
      <c r="AQ286" s="78"/>
      <c r="AR286" s="78"/>
      <c r="AS286" s="78"/>
      <c r="AT286" s="78"/>
      <c r="AU286" s="78"/>
      <c r="AV286" s="80"/>
      <c r="AW286" s="80"/>
      <c r="AX286" s="80"/>
      <c r="AY286" s="79"/>
      <c r="AZ286" s="77"/>
      <c r="BA286" s="78"/>
      <c r="BB286" s="78"/>
      <c r="BC286" s="78"/>
      <c r="BD286" s="78"/>
      <c r="BE286" s="78"/>
      <c r="BF286" s="78"/>
      <c r="BG286" s="78"/>
      <c r="BH286" s="75"/>
      <c r="BI286" s="75"/>
      <c r="BJ286" s="75"/>
      <c r="BK286" s="75"/>
      <c r="BL286" s="75"/>
      <c r="BM286" s="75"/>
      <c r="BN286" s="75"/>
      <c r="BO286" s="77" t="e">
        <f>AVERAGE(BO283:BO285)</f>
        <v>#DIV/0!</v>
      </c>
      <c r="BP286" s="76" t="e">
        <f>_xlfn.STDEV.S(BO283:BO285)</f>
        <v>#DIV/0!</v>
      </c>
      <c r="BQ286" s="75" t="e">
        <f>AVERAGE(BQ283:BQ285)</f>
        <v>#DIV/0!</v>
      </c>
      <c r="BR286" s="75" t="e">
        <f>_xlfn.STDEV.S(BQ283:BQ285)</f>
        <v>#DIV/0!</v>
      </c>
      <c r="BS286" s="75" t="e">
        <f>AVERAGE(BS283:BS285)</f>
        <v>#DIV/0!</v>
      </c>
      <c r="BT286" s="75" t="e">
        <f>_xlfn.STDEV.S(BS283:BS285)</f>
        <v>#DIV/0!</v>
      </c>
      <c r="BU286" s="75" t="e">
        <f>AVERAGE(BU283:BU285)</f>
        <v>#DIV/0!</v>
      </c>
      <c r="BV286" s="75" t="e">
        <f>_xlfn.STDEV.S(BU283:BU285)</f>
        <v>#DIV/0!</v>
      </c>
      <c r="BW286" s="74" t="e">
        <f>AVERAGE(BW283:BW285)</f>
        <v>#DIV/0!</v>
      </c>
      <c r="BX286" s="73" t="e">
        <f>BQ286*0.05</f>
        <v>#DIV/0!</v>
      </c>
      <c r="BY286" s="73" t="e">
        <f>BS286*0.05</f>
        <v>#DIV/0!</v>
      </c>
      <c r="BZ286" s="72" t="e">
        <f>BU286*0.05</f>
        <v>#DIV/0!</v>
      </c>
    </row>
    <row r="287" spans="1:78" x14ac:dyDescent="0.3">
      <c r="A287" s="174" t="s">
        <v>61</v>
      </c>
      <c r="B287" s="70" t="s">
        <v>94</v>
      </c>
      <c r="C287" s="20">
        <v>17</v>
      </c>
      <c r="D287" s="69"/>
      <c r="E287" s="21"/>
      <c r="F287" s="52">
        <v>1.28</v>
      </c>
      <c r="H287" s="37">
        <v>0.25600000000000001</v>
      </c>
      <c r="I287" s="52">
        <f>H287*0.2907</f>
        <v>7.4419200000000005E-2</v>
      </c>
      <c r="K287" s="53">
        <f>(I287-$I$151)/($BW$151-BW287)*1000*0.05</f>
        <v>0.86592092828768574</v>
      </c>
      <c r="L287" s="68"/>
      <c r="M287" s="22">
        <v>2.7633073526923941</v>
      </c>
      <c r="O287" s="21">
        <v>0</v>
      </c>
      <c r="Q287" s="21">
        <v>0.17885370093215461</v>
      </c>
      <c r="S287" s="21">
        <v>84.983736003695242</v>
      </c>
      <c r="U287" s="21">
        <v>12.074102942680206</v>
      </c>
      <c r="W287" s="21">
        <v>0</v>
      </c>
      <c r="Y287" s="22">
        <v>0.15922150730851578</v>
      </c>
      <c r="AA287" s="21">
        <v>0</v>
      </c>
      <c r="AC287" s="21">
        <v>1.0305533267002525E-2</v>
      </c>
      <c r="AE287" s="21">
        <v>4.8967548000164882</v>
      </c>
      <c r="AG287" s="21">
        <v>0.69570866521909203</v>
      </c>
      <c r="AI287" s="21">
        <v>0</v>
      </c>
      <c r="AK287" s="22">
        <f>8*(AG287-$AG$151)/(8*($BW$151-BW287))</f>
        <v>0.58375721856839269</v>
      </c>
      <c r="AL287" s="22"/>
      <c r="AM287" s="22">
        <f>(AG287-$AG$151)/($BW$151-BW287)</f>
        <v>0.58375721856839269</v>
      </c>
      <c r="AN287" s="22"/>
      <c r="BG287" s="37">
        <v>107.52</v>
      </c>
      <c r="BI287" s="2">
        <v>0</v>
      </c>
      <c r="BK287" s="2">
        <v>0</v>
      </c>
      <c r="BM287" s="2">
        <v>0</v>
      </c>
      <c r="BO287" s="22">
        <f>(BG287/1000)/60.2*1000</f>
        <v>1.7860465116279067</v>
      </c>
      <c r="BQ287" s="2">
        <f>BI287/74.08</f>
        <v>0</v>
      </c>
      <c r="BS287" s="2">
        <f>(BK287/1000)/88.12*1000</f>
        <v>0</v>
      </c>
      <c r="BU287" s="2">
        <f>BM287/88.12</f>
        <v>0</v>
      </c>
      <c r="BW287" s="52">
        <f>BO287*0.05</f>
        <v>8.9302325581395336E-2</v>
      </c>
      <c r="BX287" s="51">
        <f>BQ287*0.05</f>
        <v>0</v>
      </c>
      <c r="BY287" s="51">
        <f>BS287*0.05</f>
        <v>0</v>
      </c>
      <c r="BZ287" s="67">
        <f>BU287*0.05</f>
        <v>0</v>
      </c>
    </row>
    <row r="288" spans="1:78" x14ac:dyDescent="0.3">
      <c r="A288" s="173"/>
      <c r="B288" s="70" t="s">
        <v>93</v>
      </c>
      <c r="C288" s="20">
        <v>17</v>
      </c>
      <c r="D288" s="69"/>
      <c r="E288" s="21"/>
      <c r="F288" s="52">
        <v>1.25</v>
      </c>
      <c r="H288" s="37">
        <v>0.27400000000000002</v>
      </c>
      <c r="I288" s="52">
        <f>H288*0.2907</f>
        <v>7.9651800000000009E-2</v>
      </c>
      <c r="K288" s="53">
        <f>(I288-$I$152)/($BW$152-BW288)*1000*0.05</f>
        <v>1.3348427708304063</v>
      </c>
      <c r="L288" s="68"/>
      <c r="M288" s="22">
        <v>2.4448010522018637</v>
      </c>
      <c r="O288" s="21">
        <v>0</v>
      </c>
      <c r="Q288" s="21">
        <v>0.2590215718050855</v>
      </c>
      <c r="S288" s="21">
        <v>84.567682457307768</v>
      </c>
      <c r="U288" s="21">
        <v>12.728494918685286</v>
      </c>
      <c r="W288" s="21">
        <v>0</v>
      </c>
      <c r="Y288" s="22">
        <v>0.1375675825330481</v>
      </c>
      <c r="AA288" s="21">
        <v>0</v>
      </c>
      <c r="AC288" s="21">
        <v>1.4574998413487993E-2</v>
      </c>
      <c r="AE288" s="21">
        <v>4.7585760099360854</v>
      </c>
      <c r="AG288" s="21">
        <v>0.71622526244852935</v>
      </c>
      <c r="AI288" s="21">
        <v>0</v>
      </c>
      <c r="AK288" s="22">
        <f>8*(AG288-$AG$152)/(8*($BW$152-BW288))</f>
        <v>0.57697880727435269</v>
      </c>
      <c r="AL288" s="22"/>
      <c r="AM288" s="22">
        <f>(AG288-$AG$152)/($BW$152-BW288)</f>
        <v>0.57697880727435269</v>
      </c>
      <c r="AN288" s="22"/>
      <c r="BG288" s="37">
        <v>98.95</v>
      </c>
      <c r="BI288" s="2">
        <v>0</v>
      </c>
      <c r="BK288" s="2">
        <v>0</v>
      </c>
      <c r="BM288" s="2">
        <v>0</v>
      </c>
      <c r="BO288" s="22">
        <f>(BG288/1000)/60.2*1000</f>
        <v>1.6436877076411958</v>
      </c>
      <c r="BQ288" s="2">
        <f>BI288/74.08</f>
        <v>0</v>
      </c>
      <c r="BS288" s="2">
        <f>(BK288/1000)/88.12*1000</f>
        <v>0</v>
      </c>
      <c r="BU288" s="2">
        <f>BM288/88.12</f>
        <v>0</v>
      </c>
      <c r="BW288" s="52">
        <f>BO288*0.05</f>
        <v>8.2184385382059799E-2</v>
      </c>
      <c r="BX288" s="51">
        <f>BQ288*0.05</f>
        <v>0</v>
      </c>
      <c r="BY288" s="51">
        <f>BS288*0.05</f>
        <v>0</v>
      </c>
      <c r="BZ288" s="67">
        <f>BU288*0.05</f>
        <v>0</v>
      </c>
    </row>
    <row r="289" spans="1:78" x14ac:dyDescent="0.3">
      <c r="A289" s="173"/>
      <c r="B289" s="70" t="s">
        <v>92</v>
      </c>
      <c r="C289" s="20">
        <v>17</v>
      </c>
      <c r="D289" s="69"/>
      <c r="E289" s="21"/>
      <c r="F289" s="52">
        <v>1.32</v>
      </c>
      <c r="G289" s="67"/>
      <c r="H289" s="37">
        <v>0.252</v>
      </c>
      <c r="I289" s="52">
        <f>H289*0.2907</f>
        <v>7.3256399999999999E-2</v>
      </c>
      <c r="K289" s="53">
        <f>(I289-$I$153)/($BW$153-BW289)*1000*0.05</f>
        <v>0.98679899065367838</v>
      </c>
      <c r="L289" s="68"/>
      <c r="M289" s="22">
        <v>2.4265144532735077</v>
      </c>
      <c r="O289" s="21">
        <v>0</v>
      </c>
      <c r="Q289" s="21">
        <v>0.11776499672647286</v>
      </c>
      <c r="S289" s="21">
        <v>85.970862875116396</v>
      </c>
      <c r="U289" s="21">
        <v>11.484857674883617</v>
      </c>
      <c r="W289" s="21">
        <v>0</v>
      </c>
      <c r="Y289" s="22">
        <v>0.1441847678078709</v>
      </c>
      <c r="AA289" s="21">
        <v>0</v>
      </c>
      <c r="AC289" s="21">
        <v>6.997658178377747E-3</v>
      </c>
      <c r="AE289" s="21">
        <v>5.1084339865227131</v>
      </c>
      <c r="AG289" s="21">
        <v>0.68243629660873351</v>
      </c>
      <c r="AI289" s="21">
        <v>0</v>
      </c>
      <c r="AK289" s="22">
        <f>8*(AG289-$AG$153)/(8*($BW$153-BW289))</f>
        <v>0.57914297272010018</v>
      </c>
      <c r="AL289" s="22"/>
      <c r="AM289" s="22">
        <f>(AG289-$AG$153)/($BW$153-BW289)</f>
        <v>0.57914297272010018</v>
      </c>
      <c r="AN289" s="22"/>
      <c r="BG289" s="37">
        <v>85.14</v>
      </c>
      <c r="BI289" s="2">
        <v>0</v>
      </c>
      <c r="BK289" s="2">
        <v>0</v>
      </c>
      <c r="BM289" s="2">
        <v>0</v>
      </c>
      <c r="BO289" s="22">
        <f>(BG289/1000)/60.2*1000</f>
        <v>1.4142857142857144</v>
      </c>
      <c r="BQ289" s="2">
        <f>BI289/74.08</f>
        <v>0</v>
      </c>
      <c r="BS289" s="2">
        <f>(BK289/1000)/88.12*1000</f>
        <v>0</v>
      </c>
      <c r="BU289" s="2">
        <f>BM289/88.12</f>
        <v>0</v>
      </c>
      <c r="BW289" s="52">
        <f>BO289*0.05</f>
        <v>7.0714285714285716E-2</v>
      </c>
      <c r="BX289" s="51">
        <f>BQ289*0.05</f>
        <v>0</v>
      </c>
      <c r="BY289" s="51">
        <f>BS289*0.05</f>
        <v>0</v>
      </c>
      <c r="BZ289" s="67">
        <f>BU289*0.05</f>
        <v>0</v>
      </c>
    </row>
    <row r="290" spans="1:78" ht="15" thickBot="1" x14ac:dyDescent="0.35">
      <c r="A290" s="175"/>
      <c r="B290" s="66" t="s">
        <v>63</v>
      </c>
      <c r="C290" s="65">
        <v>17</v>
      </c>
      <c r="D290" s="64" t="e">
        <f>AVERAGE(D287:D289)</f>
        <v>#DIV/0!</v>
      </c>
      <c r="E290" s="58"/>
      <c r="F290" s="56">
        <f>AVERAGE(F287:F289)</f>
        <v>1.2833333333333334</v>
      </c>
      <c r="G290" s="55">
        <f>_xlfn.STDEV.S(F287:F289)</f>
        <v>3.5118845842842493E-2</v>
      </c>
      <c r="H290" s="60">
        <f>AVERAGE(H287:H289)</f>
        <v>0.26066666666666666</v>
      </c>
      <c r="I290" s="56">
        <f>AVERAGE(I287:I289)</f>
        <v>7.5775800000000004E-2</v>
      </c>
      <c r="J290" s="63">
        <f>_xlfn.STDEV.S(I287:I289)</f>
        <v>3.4066931120956623E-3</v>
      </c>
      <c r="K290" s="56">
        <f>AVERAGE(K287:K289)</f>
        <v>1.0625208965905901</v>
      </c>
      <c r="L290" s="62">
        <f>_xlfn.STDEV.S(K287:K288)</f>
        <v>0.33157781470844805</v>
      </c>
      <c r="M290" s="59">
        <f>AVERAGE(M287:M289)</f>
        <v>2.5448742860559217</v>
      </c>
      <c r="N290" s="58">
        <f>_xlfn.STDEV.S(M287:M289)</f>
        <v>0.18938942255377358</v>
      </c>
      <c r="O290" s="58">
        <f>AVERAGE(O287:O289)</f>
        <v>0</v>
      </c>
      <c r="P290" s="58">
        <f>_xlfn.STDEV.S(O287:O289)</f>
        <v>0</v>
      </c>
      <c r="Q290" s="58">
        <f>AVERAGE(Q287:Q289)</f>
        <v>0.18521342315457101</v>
      </c>
      <c r="R290" s="58">
        <f>_xlfn.STDEV.S(Q287:Q289)</f>
        <v>7.0842709934012635E-2</v>
      </c>
      <c r="S290" s="58">
        <f>AVERAGE(S287:S289)</f>
        <v>85.174093778706478</v>
      </c>
      <c r="T290" s="58">
        <f>_xlfn.STDEV.S(S287:S289)</f>
        <v>0.72069819141636349</v>
      </c>
      <c r="U290" s="58">
        <f>AVERAGE(U287:U289)</f>
        <v>12.095818512083037</v>
      </c>
      <c r="V290" s="58">
        <f>_xlfn.STDEV.S(U287:U289)</f>
        <v>0.62210294406032141</v>
      </c>
      <c r="W290" s="58">
        <f>AVERAGE(W287:W289)</f>
        <v>0</v>
      </c>
      <c r="X290" s="58">
        <f>_xlfn.STDEV.S(W287:W289)</f>
        <v>0</v>
      </c>
      <c r="Y290" s="59">
        <f>AVERAGE(Y287:Y289)</f>
        <v>0.14699128588314492</v>
      </c>
      <c r="Z290" s="58">
        <f>_xlfn.STDEV.S(Y287:Y289)</f>
        <v>1.1096419347047639E-2</v>
      </c>
      <c r="AA290" s="58">
        <f>AVERAGE(AA287:AA289)</f>
        <v>0</v>
      </c>
      <c r="AB290" s="58">
        <f>_xlfn.STDEV.S(AA287:AA289)</f>
        <v>0</v>
      </c>
      <c r="AC290" s="58">
        <f>AVERAGE(AC287:AC289)</f>
        <v>1.0626063286289421E-2</v>
      </c>
      <c r="AD290" s="58">
        <f>_xlfn.STDEV.S(AC287:AC289)</f>
        <v>3.7988255921538759E-3</v>
      </c>
      <c r="AE290" s="58">
        <f>AVERAGE(AE287:AE289)</f>
        <v>4.9212549321584289</v>
      </c>
      <c r="AF290" s="58">
        <f>_xlfn.STDEV.S(AE287:AE289)</f>
        <v>0.17621107598999486</v>
      </c>
      <c r="AG290" s="58">
        <f>AVERAGE(AG287:AG289)</f>
        <v>0.69812340809211826</v>
      </c>
      <c r="AH290" s="58">
        <f>_xlfn.STDEV.S(AG287:AG289)</f>
        <v>1.7023418883639268E-2</v>
      </c>
      <c r="AI290" s="58">
        <f>AVERAGE(AI287:AI289)</f>
        <v>0</v>
      </c>
      <c r="AJ290" s="57">
        <f>_xlfn.STDEV.S(AI287:AI289)</f>
        <v>0</v>
      </c>
      <c r="AK290" s="77">
        <f>AVERAGE(AK287:AK289)</f>
        <v>0.57995966618761507</v>
      </c>
      <c r="AL290" s="77">
        <f>_xlfn.STDEV.S(AK287:AK289)</f>
        <v>3.4622183759409971E-3</v>
      </c>
      <c r="AM290" s="77">
        <f>AVERAGE(AM287:AM289)</f>
        <v>0.57995966618761507</v>
      </c>
      <c r="AN290" s="77">
        <f>_xlfn.STDEV.S(AM287:AM289)</f>
        <v>3.4622183759409971E-3</v>
      </c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59">
        <f>SUM(AK290,AO290,AS290)</f>
        <v>0.57995966618761507</v>
      </c>
      <c r="AZ290" s="59">
        <f>SUM(AL290,AP290,AT290)</f>
        <v>3.4622183759409971E-3</v>
      </c>
      <c r="BA290" s="60"/>
      <c r="BB290" s="60"/>
      <c r="BC290" s="60"/>
      <c r="BD290" s="60"/>
      <c r="BE290" s="60"/>
      <c r="BF290" s="60"/>
      <c r="BG290" s="60">
        <f>AVERAGE(BG287:BG289)</f>
        <v>97.203333333333333</v>
      </c>
      <c r="BH290" s="57">
        <f>_xlfn.STDEV.S(BG287:BG289)</f>
        <v>11.291777244231012</v>
      </c>
      <c r="BI290" s="57">
        <f>AVERAGE(BI287:BI289)</f>
        <v>0</v>
      </c>
      <c r="BJ290" s="57" t="e">
        <f>_xlfn.STDEV.S(BH287:BH289)</f>
        <v>#DIV/0!</v>
      </c>
      <c r="BK290" s="57">
        <f>AVERAGE(BK287:BK289)</f>
        <v>0</v>
      </c>
      <c r="BL290" s="57">
        <f>_xlfn.STDEV.S(BK287:BK289)</f>
        <v>0</v>
      </c>
      <c r="BM290" s="57">
        <f>AVERAGE(BM287:BM289)</f>
        <v>0</v>
      </c>
      <c r="BN290" s="57" t="e">
        <f>_xlfn.STDEV.S(BL287:BL289)</f>
        <v>#DIV/0!</v>
      </c>
      <c r="BO290" s="59">
        <f>AVERAGE(BO287:BO289)</f>
        <v>1.614673311184939</v>
      </c>
      <c r="BP290" s="58">
        <f>_xlfn.STDEV.S(BO287:BO289)</f>
        <v>0.18757105056862131</v>
      </c>
      <c r="BQ290" s="57">
        <f>AVERAGE(BQ287:BQ289)</f>
        <v>0</v>
      </c>
      <c r="BR290" s="57">
        <f>_xlfn.STDEV.S(BQ287:BQ289)</f>
        <v>0</v>
      </c>
      <c r="BS290" s="57">
        <f>AVERAGE(BS287:BS289)</f>
        <v>0</v>
      </c>
      <c r="BT290" s="57">
        <f>_xlfn.STDEV.S(BS287:BS289)</f>
        <v>0</v>
      </c>
      <c r="BU290" s="57">
        <f>AVERAGE(BU287:BU289)</f>
        <v>0</v>
      </c>
      <c r="BV290" s="57">
        <f>_xlfn.STDEV.S(BU287:BU289)</f>
        <v>0</v>
      </c>
      <c r="BW290" s="56">
        <f>AVERAGE(BW287:BW289)</f>
        <v>8.073366555924695E-2</v>
      </c>
      <c r="BX290" s="55">
        <f>BQ290*0.05</f>
        <v>0</v>
      </c>
      <c r="BY290" s="55">
        <f>BS290*0.05</f>
        <v>0</v>
      </c>
      <c r="BZ290" s="54">
        <f>BU290*0.05</f>
        <v>0</v>
      </c>
    </row>
    <row r="291" spans="1:78" x14ac:dyDescent="0.3">
      <c r="A291" s="172" t="s">
        <v>98</v>
      </c>
      <c r="B291" s="95" t="s">
        <v>97</v>
      </c>
      <c r="C291" s="94">
        <v>18</v>
      </c>
      <c r="D291" s="93"/>
      <c r="E291" s="88"/>
      <c r="F291" s="86"/>
      <c r="G291" s="85"/>
      <c r="H291" s="90"/>
      <c r="I291" s="86"/>
      <c r="J291" s="92"/>
      <c r="K291" s="92"/>
      <c r="L291" s="91"/>
      <c r="M291" s="89"/>
      <c r="O291" s="88"/>
      <c r="Q291" s="88"/>
      <c r="S291" s="88"/>
      <c r="U291" s="88"/>
      <c r="W291" s="88"/>
      <c r="X291" s="88"/>
      <c r="Y291" s="89"/>
      <c r="AB291" s="88"/>
      <c r="AC291" s="88"/>
      <c r="AF291" s="88"/>
      <c r="AG291" s="88"/>
      <c r="AJ291" s="87"/>
      <c r="AK291" s="89"/>
      <c r="AL291" s="89"/>
      <c r="AM291" s="89"/>
      <c r="AN291" s="89"/>
      <c r="AY291" s="90"/>
      <c r="AZ291" s="90"/>
      <c r="BA291" s="90"/>
      <c r="BB291" s="90"/>
      <c r="BC291" s="90"/>
      <c r="BD291" s="90"/>
      <c r="BE291" s="90"/>
      <c r="BF291" s="90"/>
      <c r="BG291" s="90"/>
      <c r="BH291" s="87"/>
      <c r="BI291" s="87"/>
      <c r="BJ291" s="87"/>
      <c r="BK291" s="87"/>
      <c r="BL291" s="87"/>
      <c r="BM291" s="87"/>
      <c r="BN291" s="87"/>
      <c r="BO291" s="89"/>
      <c r="BP291" s="88"/>
      <c r="BQ291" s="87"/>
      <c r="BR291" s="87"/>
      <c r="BS291" s="87"/>
      <c r="BT291" s="87"/>
      <c r="BU291" s="87"/>
      <c r="BV291" s="87"/>
      <c r="BW291" s="86"/>
      <c r="BX291" s="85"/>
      <c r="BY291" s="85"/>
      <c r="BZ291" s="84"/>
    </row>
    <row r="292" spans="1:78" x14ac:dyDescent="0.3">
      <c r="A292" s="173"/>
      <c r="B292" s="70" t="s">
        <v>96</v>
      </c>
      <c r="C292" s="20">
        <v>18</v>
      </c>
      <c r="D292" s="69"/>
      <c r="E292" s="21"/>
      <c r="F292" s="52"/>
      <c r="I292" s="52"/>
      <c r="L292" s="68"/>
      <c r="AK292" s="22"/>
      <c r="AL292" s="22"/>
      <c r="AM292" s="22"/>
      <c r="AN292" s="22"/>
      <c r="BZ292" s="67"/>
    </row>
    <row r="293" spans="1:78" x14ac:dyDescent="0.3">
      <c r="A293" s="173"/>
      <c r="B293" s="70" t="s">
        <v>95</v>
      </c>
      <c r="C293" s="20">
        <v>18</v>
      </c>
      <c r="D293" s="69"/>
      <c r="E293" s="21"/>
      <c r="F293" s="52"/>
      <c r="I293" s="52"/>
      <c r="L293" s="68"/>
      <c r="AK293" s="22"/>
      <c r="AL293" s="22"/>
      <c r="AM293" s="22"/>
      <c r="AN293" s="22"/>
      <c r="BZ293" s="67"/>
    </row>
    <row r="294" spans="1:78" x14ac:dyDescent="0.3">
      <c r="A294" s="180"/>
      <c r="B294" s="83" t="s">
        <v>63</v>
      </c>
      <c r="C294" s="80">
        <v>18</v>
      </c>
      <c r="D294" s="79" t="e">
        <f>AVERAGE(D291:D293)</f>
        <v>#DIV/0!</v>
      </c>
      <c r="E294" s="76"/>
      <c r="F294" s="74" t="e">
        <f>AVERAGE(F291:F293)</f>
        <v>#DIV/0!</v>
      </c>
      <c r="G294" s="73" t="e">
        <f>_xlfn.STDEV.S(F291:F293)</f>
        <v>#DIV/0!</v>
      </c>
      <c r="H294" s="77" t="e">
        <f>AVERAGE(H291:H293)</f>
        <v>#DIV/0!</v>
      </c>
      <c r="I294" s="74" t="e">
        <f>AVERAGE(I291:I293)</f>
        <v>#DIV/0!</v>
      </c>
      <c r="J294" s="82" t="e">
        <f>_xlfn.STDEV.S(I291:I293)</f>
        <v>#DIV/0!</v>
      </c>
      <c r="K294" s="82" t="e">
        <f>(I294-$I$147)/(($AA$147-AA294)+($AI$147-AI294))*1000*0.05</f>
        <v>#DIV/0!</v>
      </c>
      <c r="L294" s="81" t="e">
        <f>_xlfn.STDEV.S(K291:K293)</f>
        <v>#DIV/0!</v>
      </c>
      <c r="M294" s="77" t="e">
        <f>AVERAGE(M291:M293)</f>
        <v>#DIV/0!</v>
      </c>
      <c r="N294" s="76" t="e">
        <f>_xlfn.STDEV.S(M291:M293)</f>
        <v>#DIV/0!</v>
      </c>
      <c r="O294" s="76" t="e">
        <f>AVERAGE(O291:O293)</f>
        <v>#DIV/0!</v>
      </c>
      <c r="P294" s="76" t="e">
        <f>_xlfn.STDEV.S(O291:O293)</f>
        <v>#DIV/0!</v>
      </c>
      <c r="Q294" s="76" t="e">
        <f>AVERAGE(Q291:Q293)</f>
        <v>#DIV/0!</v>
      </c>
      <c r="R294" s="76" t="e">
        <f>_xlfn.STDEV.S(Q291:Q293)</f>
        <v>#DIV/0!</v>
      </c>
      <c r="S294" s="76" t="e">
        <f>AVERAGE(S291:S293)</f>
        <v>#DIV/0!</v>
      </c>
      <c r="T294" s="76" t="e">
        <f>_xlfn.STDEV.S(S291:S293)</f>
        <v>#DIV/0!</v>
      </c>
      <c r="U294" s="76" t="e">
        <f>AVERAGE(U291:U293)</f>
        <v>#DIV/0!</v>
      </c>
      <c r="V294" s="76" t="e">
        <f>_xlfn.STDEV.S(U291:U293)</f>
        <v>#DIV/0!</v>
      </c>
      <c r="W294" s="76" t="e">
        <f>AVERAGE(W291:W293)</f>
        <v>#DIV/0!</v>
      </c>
      <c r="X294" s="76" t="e">
        <f>_xlfn.STDEV.S(W291:W293)</f>
        <v>#DIV/0!</v>
      </c>
      <c r="Y294" s="77" t="e">
        <f>AVERAGE(Y291:Y293)</f>
        <v>#DIV/0!</v>
      </c>
      <c r="Z294" s="76" t="e">
        <f>_xlfn.STDEV.S(Y291:Y293)</f>
        <v>#DIV/0!</v>
      </c>
      <c r="AA294" s="76" t="e">
        <f>AVERAGE(AA291:AA293)</f>
        <v>#DIV/0!</v>
      </c>
      <c r="AB294" s="76" t="e">
        <f>_xlfn.STDEV.S(AA291:AA293)</f>
        <v>#DIV/0!</v>
      </c>
      <c r="AC294" s="76" t="e">
        <f>AVERAGE(AC291:AC293)</f>
        <v>#DIV/0!</v>
      </c>
      <c r="AD294" s="76" t="e">
        <f>_xlfn.STDEV.S(AC291:AC293)</f>
        <v>#DIV/0!</v>
      </c>
      <c r="AE294" s="76" t="e">
        <f>AVERAGE(AE291:AE293)</f>
        <v>#DIV/0!</v>
      </c>
      <c r="AF294" s="76" t="e">
        <f>_xlfn.STDEV.S(AE291:AE293)</f>
        <v>#DIV/0!</v>
      </c>
      <c r="AG294" s="76" t="e">
        <f>AVERAGE(AG291:AG293)</f>
        <v>#DIV/0!</v>
      </c>
      <c r="AH294" s="76" t="e">
        <f>_xlfn.STDEV.S(AG291:AG293)</f>
        <v>#DIV/0!</v>
      </c>
      <c r="AI294" s="76" t="e">
        <f>AVERAGE(AI291:AI293)</f>
        <v>#DIV/0!</v>
      </c>
      <c r="AJ294" s="75" t="e">
        <f>_xlfn.STDEV.S(AI291:AI293)</f>
        <v>#DIV/0!</v>
      </c>
      <c r="AK294" s="77"/>
      <c r="AL294" s="77"/>
      <c r="AM294" s="77"/>
      <c r="AN294" s="77"/>
      <c r="AO294" s="78"/>
      <c r="AP294" s="78"/>
      <c r="AQ294" s="78"/>
      <c r="AR294" s="78"/>
      <c r="AS294" s="78"/>
      <c r="AT294" s="78"/>
      <c r="AU294" s="78"/>
      <c r="AV294" s="80"/>
      <c r="AW294" s="80"/>
      <c r="AX294" s="80"/>
      <c r="AY294" s="79"/>
      <c r="AZ294" s="77"/>
      <c r="BA294" s="78"/>
      <c r="BB294" s="78"/>
      <c r="BC294" s="78"/>
      <c r="BD294" s="78"/>
      <c r="BE294" s="78"/>
      <c r="BF294" s="78"/>
      <c r="BG294" s="78"/>
      <c r="BH294" s="75"/>
      <c r="BI294" s="75"/>
      <c r="BJ294" s="75"/>
      <c r="BK294" s="75"/>
      <c r="BL294" s="75"/>
      <c r="BM294" s="75"/>
      <c r="BN294" s="75"/>
      <c r="BO294" s="77" t="e">
        <f>AVERAGE(BO291:BO293)</f>
        <v>#DIV/0!</v>
      </c>
      <c r="BP294" s="76" t="e">
        <f>_xlfn.STDEV.S(BO291:BO293)</f>
        <v>#DIV/0!</v>
      </c>
      <c r="BQ294" s="75" t="e">
        <f>AVERAGE(BQ291:BQ293)</f>
        <v>#DIV/0!</v>
      </c>
      <c r="BR294" s="75" t="e">
        <f>_xlfn.STDEV.S(BQ291:BQ293)</f>
        <v>#DIV/0!</v>
      </c>
      <c r="BS294" s="75" t="e">
        <f>AVERAGE(BS291:BS293)</f>
        <v>#DIV/0!</v>
      </c>
      <c r="BT294" s="75" t="e">
        <f>_xlfn.STDEV.S(BS291:BS293)</f>
        <v>#DIV/0!</v>
      </c>
      <c r="BU294" s="75" t="e">
        <f>AVERAGE(BU291:BU293)</f>
        <v>#DIV/0!</v>
      </c>
      <c r="BV294" s="75" t="e">
        <f>_xlfn.STDEV.S(BU291:BU293)</f>
        <v>#DIV/0!</v>
      </c>
      <c r="BW294" s="74" t="e">
        <f>AVERAGE(BW291:BW293)</f>
        <v>#DIV/0!</v>
      </c>
      <c r="BX294" s="73" t="e">
        <f>BQ294*0.05</f>
        <v>#DIV/0!</v>
      </c>
      <c r="BY294" s="73" t="e">
        <f>BS294*0.05</f>
        <v>#DIV/0!</v>
      </c>
      <c r="BZ294" s="72" t="e">
        <f>BU294*0.05</f>
        <v>#DIV/0!</v>
      </c>
    </row>
    <row r="295" spans="1:78" x14ac:dyDescent="0.3">
      <c r="A295" s="174" t="s">
        <v>61</v>
      </c>
      <c r="B295" s="70" t="s">
        <v>94</v>
      </c>
      <c r="C295" s="20">
        <v>18</v>
      </c>
      <c r="D295" s="69"/>
      <c r="E295" s="21"/>
      <c r="F295" s="52">
        <v>1.34</v>
      </c>
      <c r="H295" s="37">
        <v>0.23499999999999999</v>
      </c>
      <c r="I295" s="52">
        <f>H295*0.2907</f>
        <v>6.83145E-2</v>
      </c>
      <c r="K295" s="53">
        <f>(I295-$I$151)/($BW$151-BW295)*1000*0.05</f>
        <v>0.57645892351274786</v>
      </c>
      <c r="L295" s="68"/>
      <c r="M295" s="22">
        <v>2.8669793288425804</v>
      </c>
      <c r="O295" s="21">
        <v>0</v>
      </c>
      <c r="Q295" s="21">
        <v>0.14791756514470464</v>
      </c>
      <c r="S295" s="21">
        <v>83.774075563059711</v>
      </c>
      <c r="U295" s="21">
        <v>13.211027542953008</v>
      </c>
      <c r="W295" s="21">
        <v>0</v>
      </c>
      <c r="Y295" s="22">
        <v>0.17293859595326419</v>
      </c>
      <c r="AA295" s="21">
        <v>0</v>
      </c>
      <c r="AC295" s="21">
        <v>8.9225115003803666E-3</v>
      </c>
      <c r="AE295" s="21">
        <v>5.0533224496623843</v>
      </c>
      <c r="AG295" s="21">
        <v>0.79690025365496531</v>
      </c>
      <c r="AI295" s="21">
        <v>0</v>
      </c>
      <c r="AK295" s="22">
        <f>8*(AG295-$AG$151)/(8*($BW$151-BW295))</f>
        <v>0.63210218420223863</v>
      </c>
      <c r="AL295" s="22"/>
      <c r="AM295" s="22">
        <f>(AG295-$AG$151)/($BW$151-BW295)</f>
        <v>0.63210218420223863</v>
      </c>
      <c r="AN295" s="22"/>
      <c r="BG295" s="37">
        <v>24.52</v>
      </c>
      <c r="BI295" s="2">
        <v>0</v>
      </c>
      <c r="BK295" s="2">
        <v>0</v>
      </c>
      <c r="BM295" s="2">
        <v>0</v>
      </c>
      <c r="BO295" s="22">
        <f>(BG295/1000)/60.2*1000</f>
        <v>0.40730897009966777</v>
      </c>
      <c r="BQ295" s="2">
        <f>BI295/74.08</f>
        <v>0</v>
      </c>
      <c r="BS295" s="2">
        <f>(BK295/1000)/88.12*1000</f>
        <v>0</v>
      </c>
      <c r="BU295" s="2">
        <f>BM295/88.12</f>
        <v>0</v>
      </c>
      <c r="BW295" s="52">
        <f>BO295*0.05</f>
        <v>2.036544850498339E-2</v>
      </c>
      <c r="BX295" s="51">
        <f>BQ295*0.05</f>
        <v>0</v>
      </c>
      <c r="BY295" s="51">
        <f>BS295*0.05</f>
        <v>0</v>
      </c>
      <c r="BZ295" s="67">
        <f>BU295*0.05</f>
        <v>0</v>
      </c>
    </row>
    <row r="296" spans="1:78" x14ac:dyDescent="0.3">
      <c r="A296" s="173"/>
      <c r="B296" s="70" t="s">
        <v>93</v>
      </c>
      <c r="C296" s="20">
        <v>18</v>
      </c>
      <c r="D296" s="69"/>
      <c r="E296" s="21"/>
      <c r="F296" s="52">
        <v>1.3</v>
      </c>
      <c r="H296" s="37">
        <v>0.249</v>
      </c>
      <c r="I296" s="52">
        <f>H296*0.2907</f>
        <v>7.2384299999999999E-2</v>
      </c>
      <c r="K296" s="53">
        <f>(I296-$I$152)/($BW$152-BW296)*1000*0.05</f>
        <v>1.0140055078124997</v>
      </c>
      <c r="L296" s="68"/>
      <c r="M296" s="22">
        <v>2.8182765942652046</v>
      </c>
      <c r="O296" s="21">
        <v>0</v>
      </c>
      <c r="Q296" s="21">
        <v>0.23174376546201952</v>
      </c>
      <c r="S296" s="21">
        <v>84.008753424555692</v>
      </c>
      <c r="U296" s="21">
        <v>12.941226215717089</v>
      </c>
      <c r="W296" s="21">
        <v>0</v>
      </c>
      <c r="Y296" s="22">
        <v>0.16492615525451149</v>
      </c>
      <c r="AA296" s="21">
        <v>0</v>
      </c>
      <c r="AC296" s="21">
        <v>1.3561695228788995E-2</v>
      </c>
      <c r="AE296" s="21">
        <v>4.9162104025664863</v>
      </c>
      <c r="AG296" s="21">
        <v>0.75732335441461118</v>
      </c>
      <c r="AI296" s="21">
        <v>0</v>
      </c>
      <c r="AK296" s="22">
        <f>8*(AG296-$AG$152)/(8*($BW$152-BW296))</f>
        <v>0.59363106687186962</v>
      </c>
      <c r="AL296" s="22"/>
      <c r="AM296" s="22">
        <f>(AG296-$AG$152)/($BW$152-BW296)</f>
        <v>0.59363106687186962</v>
      </c>
      <c r="AN296" s="22"/>
      <c r="BG296" s="37">
        <v>57.52</v>
      </c>
      <c r="BI296" s="2">
        <v>0</v>
      </c>
      <c r="BK296" s="2">
        <v>0</v>
      </c>
      <c r="BM296" s="2">
        <v>0</v>
      </c>
      <c r="BO296" s="22">
        <f>(BG296/1000)/60.2*1000</f>
        <v>0.95548172757475081</v>
      </c>
      <c r="BQ296" s="2">
        <f>BI296/74.08</f>
        <v>0</v>
      </c>
      <c r="BS296" s="2">
        <f>(BK296/1000)/88.12*1000</f>
        <v>0</v>
      </c>
      <c r="BU296" s="2">
        <f>BM296/88.12</f>
        <v>0</v>
      </c>
      <c r="BW296" s="52">
        <f>BO296*0.05</f>
        <v>4.7774086378737542E-2</v>
      </c>
      <c r="BX296" s="51">
        <f>BQ296*0.05</f>
        <v>0</v>
      </c>
      <c r="BY296" s="51">
        <f>BS296*0.05</f>
        <v>0</v>
      </c>
      <c r="BZ296" s="67">
        <f>BU296*0.05</f>
        <v>0</v>
      </c>
    </row>
    <row r="297" spans="1:78" x14ac:dyDescent="0.3">
      <c r="A297" s="173"/>
      <c r="B297" s="70" t="s">
        <v>92</v>
      </c>
      <c r="C297" s="20">
        <v>18</v>
      </c>
      <c r="D297" s="69"/>
      <c r="E297" s="21"/>
      <c r="F297" s="52">
        <v>1.35</v>
      </c>
      <c r="G297" s="67"/>
      <c r="H297" s="37">
        <v>0.245</v>
      </c>
      <c r="I297" s="52">
        <f>H297*0.2907</f>
        <v>7.1221500000000007E-2</v>
      </c>
      <c r="K297" s="53">
        <f>(I297-$I$153)/($BW$153-BW297)*1000*0.05</f>
        <v>0.8600677411536598</v>
      </c>
      <c r="L297" s="68"/>
      <c r="M297" s="22">
        <v>2.7240906921205257</v>
      </c>
      <c r="O297" s="21">
        <v>0</v>
      </c>
      <c r="Q297" s="21">
        <v>8.0099427717143276E-2</v>
      </c>
      <c r="S297" s="21">
        <v>83.988411289904903</v>
      </c>
      <c r="U297" s="21">
        <v>13.207398590257421</v>
      </c>
      <c r="W297" s="21">
        <v>0</v>
      </c>
      <c r="Y297" s="22">
        <v>0.16554569806019728</v>
      </c>
      <c r="AA297" s="21">
        <v>0</v>
      </c>
      <c r="AC297" s="21">
        <v>4.8677218104418805E-3</v>
      </c>
      <c r="AE297" s="21">
        <v>5.1040592063148145</v>
      </c>
      <c r="AG297" s="21">
        <v>0.80262673541218987</v>
      </c>
      <c r="AI297" s="21">
        <v>0</v>
      </c>
      <c r="AK297" s="22">
        <f>8*(AG297-$AG$153)/(8*($BW$153-BW297))</f>
        <v>0.65059149932425564</v>
      </c>
      <c r="AL297" s="22"/>
      <c r="AM297" s="22">
        <f>(AG297-$AG$153)/($BW$153-BW297)</f>
        <v>0.65059149932425564</v>
      </c>
      <c r="AN297" s="22"/>
      <c r="BG297" s="37">
        <v>18.52</v>
      </c>
      <c r="BI297" s="2">
        <v>0</v>
      </c>
      <c r="BK297" s="2">
        <v>0</v>
      </c>
      <c r="BM297" s="2">
        <v>0</v>
      </c>
      <c r="BO297" s="22">
        <f>(BG297/1000)/60.2*1000</f>
        <v>0.30764119601328899</v>
      </c>
      <c r="BQ297" s="2">
        <f>BI297/74.08</f>
        <v>0</v>
      </c>
      <c r="BS297" s="2">
        <f>(BK297/1000)/88.12*1000</f>
        <v>0</v>
      </c>
      <c r="BU297" s="2">
        <f>BM297/88.12</f>
        <v>0</v>
      </c>
      <c r="BW297" s="52">
        <f>BO297*0.05</f>
        <v>1.538205980066445E-2</v>
      </c>
      <c r="BX297" s="51">
        <f>BQ297*0.05</f>
        <v>0</v>
      </c>
      <c r="BY297" s="51">
        <f>BS297*0.05</f>
        <v>0</v>
      </c>
      <c r="BZ297" s="67">
        <f>BU297*0.05</f>
        <v>0</v>
      </c>
    </row>
    <row r="298" spans="1:78" ht="15" thickBot="1" x14ac:dyDescent="0.35">
      <c r="A298" s="175"/>
      <c r="B298" s="66" t="s">
        <v>63</v>
      </c>
      <c r="C298" s="65">
        <v>18</v>
      </c>
      <c r="D298" s="64" t="e">
        <f>AVERAGE(D295:D297)</f>
        <v>#DIV/0!</v>
      </c>
      <c r="E298" s="58"/>
      <c r="F298" s="56">
        <f>AVERAGE(F295:F297)</f>
        <v>1.33</v>
      </c>
      <c r="G298" s="55">
        <f>_xlfn.STDEV.S(F295:F297)</f>
        <v>2.6457513110645928E-2</v>
      </c>
      <c r="H298" s="60">
        <f>AVERAGE(H295:H297)</f>
        <v>0.24299999999999999</v>
      </c>
      <c r="I298" s="56">
        <f>AVERAGE(I295:I297)</f>
        <v>7.0640099999999997E-2</v>
      </c>
      <c r="J298" s="63">
        <f>_xlfn.STDEV.S(I295:I297)</f>
        <v>2.0962675115547636E-3</v>
      </c>
      <c r="K298" s="56">
        <f>AVERAGE(K295:K297)</f>
        <v>0.81684405749296907</v>
      </c>
      <c r="L298" s="62">
        <f>_xlfn.STDEV.S(K295:K297)</f>
        <v>0.22195262665711976</v>
      </c>
      <c r="M298" s="59">
        <f>AVERAGE(M295:M297)</f>
        <v>2.8031155384094375</v>
      </c>
      <c r="N298" s="58">
        <f>_xlfn.STDEV.S(M295:M297)</f>
        <v>7.2640786319175504E-2</v>
      </c>
      <c r="O298" s="58">
        <f>AVERAGE(O295:O297)</f>
        <v>0</v>
      </c>
      <c r="P298" s="58">
        <f>_xlfn.STDEV.S(O295:O297)</f>
        <v>0</v>
      </c>
      <c r="Q298" s="58">
        <f>AVERAGE(Q295:Q297)</f>
        <v>0.15325358610795581</v>
      </c>
      <c r="R298" s="58">
        <f>_xlfn.STDEV.S(Q295:Q297)</f>
        <v>7.5962860216758049E-2</v>
      </c>
      <c r="S298" s="58">
        <f>AVERAGE(S295:S297)</f>
        <v>83.923746759173426</v>
      </c>
      <c r="T298" s="58">
        <f>_xlfn.STDEV.S(S295:S297)</f>
        <v>0.13001750197616654</v>
      </c>
      <c r="U298" s="58">
        <f>AVERAGE(U295:U297)</f>
        <v>13.119884116309173</v>
      </c>
      <c r="V298" s="58">
        <f>_xlfn.STDEV.S(U295:U297)</f>
        <v>0.15473291959823834</v>
      </c>
      <c r="W298" s="58">
        <f>AVERAGE(W295:W297)</f>
        <v>0</v>
      </c>
      <c r="X298" s="58">
        <f>_xlfn.STDEV.S(W295:W297)</f>
        <v>0</v>
      </c>
      <c r="Y298" s="59">
        <f>AVERAGE(Y295:Y297)</f>
        <v>0.16780348308932433</v>
      </c>
      <c r="Z298" s="58">
        <f>_xlfn.STDEV.S(Y295:Y297)</f>
        <v>4.4579139085529473E-3</v>
      </c>
      <c r="AA298" s="58">
        <f>AVERAGE(AA295:AA297)</f>
        <v>0</v>
      </c>
      <c r="AB298" s="58">
        <f>_xlfn.STDEV.S(AA295:AA297)</f>
        <v>0</v>
      </c>
      <c r="AC298" s="58">
        <f>AVERAGE(AC295:AC297)</f>
        <v>9.1173095132037474E-3</v>
      </c>
      <c r="AD298" s="58">
        <f>_xlfn.STDEV.S(AC295:AC297)</f>
        <v>4.3502589749440787E-3</v>
      </c>
      <c r="AE298" s="58">
        <f>AVERAGE(AE295:AE297)</f>
        <v>5.0245306861812287</v>
      </c>
      <c r="AF298" s="58">
        <f>_xlfn.STDEV.S(AE295:AE297)</f>
        <v>9.7177762377436916E-2</v>
      </c>
      <c r="AG298" s="58">
        <f>AVERAGE(AG295:AG297)</f>
        <v>0.78561678116058875</v>
      </c>
      <c r="AH298" s="58">
        <f>_xlfn.STDEV.S(AG295:AG297)</f>
        <v>2.4669548964289092E-2</v>
      </c>
      <c r="AI298" s="58">
        <f>AVERAGE(AI295:AI297)</f>
        <v>0</v>
      </c>
      <c r="AJ298" s="57">
        <f>_xlfn.STDEV.S(AI295:AI297)</f>
        <v>0</v>
      </c>
      <c r="AK298" s="77">
        <f>AVERAGE(AK295:AK297)</f>
        <v>0.62544158346612122</v>
      </c>
      <c r="AL298" s="77">
        <f>_xlfn.STDEV.S(AK295:AK297)</f>
        <v>2.9058482718737792E-2</v>
      </c>
      <c r="AM298" s="77">
        <f>AVERAGE(AM295:AM297)</f>
        <v>0.62544158346612122</v>
      </c>
      <c r="AN298" s="77">
        <f>_xlfn.STDEV.S(AM295:AM297)</f>
        <v>2.9058482718737792E-2</v>
      </c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59">
        <f>SUM(AK298,AO298,AS298)</f>
        <v>0.62544158346612122</v>
      </c>
      <c r="AZ298" s="59">
        <f>SUM(AL298,AP298,AT298)</f>
        <v>2.9058482718737792E-2</v>
      </c>
      <c r="BA298" s="60"/>
      <c r="BB298" s="60"/>
      <c r="BC298" s="60"/>
      <c r="BD298" s="60"/>
      <c r="BE298" s="60"/>
      <c r="BF298" s="60"/>
      <c r="BG298" s="60">
        <f>AVERAGE(BG295:BG297)</f>
        <v>33.520000000000003</v>
      </c>
      <c r="BH298" s="57">
        <f>_xlfn.STDEV.S(BG295:BG297)</f>
        <v>20.999999999999993</v>
      </c>
      <c r="BI298" s="57">
        <f>AVERAGE(BI295:BI297)</f>
        <v>0</v>
      </c>
      <c r="BJ298" s="57" t="e">
        <f>_xlfn.STDEV.S(BH295:BH297)</f>
        <v>#DIV/0!</v>
      </c>
      <c r="BK298" s="57">
        <f>AVERAGE(BK295:BK297)</f>
        <v>0</v>
      </c>
      <c r="BL298" s="57">
        <f>_xlfn.STDEV.S(BK295:BK297)</f>
        <v>0</v>
      </c>
      <c r="BM298" s="57">
        <f>AVERAGE(BM295:BM297)</f>
        <v>0</v>
      </c>
      <c r="BN298" s="57" t="e">
        <f>_xlfn.STDEV.S(BL295:BL297)</f>
        <v>#DIV/0!</v>
      </c>
      <c r="BO298" s="59">
        <f>AVERAGE(BO295:BO297)</f>
        <v>0.55681063122923591</v>
      </c>
      <c r="BP298" s="58">
        <f>_xlfn.STDEV.S(BO295:BO297)</f>
        <v>0.34883720930232565</v>
      </c>
      <c r="BQ298" s="57">
        <f>AVERAGE(BQ295:BQ297)</f>
        <v>0</v>
      </c>
      <c r="BR298" s="57">
        <f>_xlfn.STDEV.S(BQ295:BQ297)</f>
        <v>0</v>
      </c>
      <c r="BS298" s="57">
        <f>AVERAGE(BS295:BS297)</f>
        <v>0</v>
      </c>
      <c r="BT298" s="57">
        <f>_xlfn.STDEV.S(BS295:BS297)</f>
        <v>0</v>
      </c>
      <c r="BU298" s="57">
        <f>AVERAGE(BU295:BU297)</f>
        <v>0</v>
      </c>
      <c r="BV298" s="57">
        <f>_xlfn.STDEV.S(BU295:BU297)</f>
        <v>0</v>
      </c>
      <c r="BW298" s="56">
        <f>AVERAGE(BW295:BW297)</f>
        <v>2.7840531561461795E-2</v>
      </c>
      <c r="BX298" s="55">
        <f>BQ298*0.05</f>
        <v>0</v>
      </c>
      <c r="BY298" s="55">
        <f>BS298*0.05</f>
        <v>0</v>
      </c>
      <c r="BZ298" s="54">
        <f>BU298*0.05</f>
        <v>0</v>
      </c>
    </row>
    <row r="299" spans="1:78" x14ac:dyDescent="0.3">
      <c r="A299" s="172" t="s">
        <v>98</v>
      </c>
      <c r="B299" s="95" t="s">
        <v>97</v>
      </c>
      <c r="C299" s="94">
        <v>19</v>
      </c>
      <c r="D299" s="93"/>
      <c r="E299" s="88"/>
      <c r="F299" s="86"/>
      <c r="G299" s="85"/>
      <c r="H299" s="90"/>
      <c r="I299" s="86"/>
      <c r="J299" s="92"/>
      <c r="K299" s="92"/>
      <c r="L299" s="91"/>
      <c r="M299" s="89"/>
      <c r="O299" s="88"/>
      <c r="Q299" s="88"/>
      <c r="S299" s="88"/>
      <c r="U299" s="88"/>
      <c r="W299" s="88"/>
      <c r="X299" s="88"/>
      <c r="Y299" s="89"/>
      <c r="AB299" s="88"/>
      <c r="AC299" s="88"/>
      <c r="AF299" s="88"/>
      <c r="AG299" s="88"/>
      <c r="AJ299" s="87"/>
      <c r="AK299" s="89"/>
      <c r="AL299" s="89"/>
      <c r="AM299" s="89"/>
      <c r="AN299" s="89"/>
      <c r="AY299" s="90"/>
      <c r="AZ299" s="90"/>
      <c r="BA299" s="90"/>
      <c r="BB299" s="90"/>
      <c r="BC299" s="90"/>
      <c r="BD299" s="90"/>
      <c r="BE299" s="90"/>
      <c r="BF299" s="90"/>
      <c r="BG299" s="90"/>
      <c r="BH299" s="87"/>
      <c r="BI299" s="87"/>
      <c r="BJ299" s="87"/>
      <c r="BK299" s="87"/>
      <c r="BL299" s="87"/>
      <c r="BM299" s="87"/>
      <c r="BN299" s="87"/>
      <c r="BO299" s="89"/>
      <c r="BP299" s="88"/>
      <c r="BQ299" s="87"/>
      <c r="BR299" s="87"/>
      <c r="BS299" s="87"/>
      <c r="BT299" s="87"/>
      <c r="BU299" s="87"/>
      <c r="BV299" s="87"/>
      <c r="BW299" s="86"/>
      <c r="BX299" s="85"/>
      <c r="BY299" s="85"/>
      <c r="BZ299" s="84"/>
    </row>
    <row r="300" spans="1:78" x14ac:dyDescent="0.3">
      <c r="A300" s="173"/>
      <c r="B300" s="70" t="s">
        <v>96</v>
      </c>
      <c r="C300" s="20">
        <v>19</v>
      </c>
      <c r="D300" s="69"/>
      <c r="E300" s="21"/>
      <c r="F300" s="52"/>
      <c r="I300" s="52"/>
      <c r="L300" s="68"/>
      <c r="AK300" s="22"/>
      <c r="AL300" s="22"/>
      <c r="AM300" s="22"/>
      <c r="AN300" s="22"/>
      <c r="BZ300" s="67"/>
    </row>
    <row r="301" spans="1:78" x14ac:dyDescent="0.3">
      <c r="A301" s="173"/>
      <c r="B301" s="70" t="s">
        <v>95</v>
      </c>
      <c r="C301" s="20">
        <v>19</v>
      </c>
      <c r="D301" s="69"/>
      <c r="E301" s="21"/>
      <c r="F301" s="52"/>
      <c r="I301" s="52"/>
      <c r="L301" s="68"/>
      <c r="AK301" s="22"/>
      <c r="AL301" s="22"/>
      <c r="AM301" s="22"/>
      <c r="AN301" s="22"/>
      <c r="BZ301" s="67"/>
    </row>
    <row r="302" spans="1:78" x14ac:dyDescent="0.3">
      <c r="A302" s="180"/>
      <c r="B302" s="83" t="s">
        <v>63</v>
      </c>
      <c r="C302" s="80">
        <v>19</v>
      </c>
      <c r="D302" s="79" t="e">
        <f>AVERAGE(D299:D301)</f>
        <v>#DIV/0!</v>
      </c>
      <c r="E302" s="76"/>
      <c r="F302" s="74" t="e">
        <f>AVERAGE(F299:F301)</f>
        <v>#DIV/0!</v>
      </c>
      <c r="G302" s="73" t="e">
        <f>_xlfn.STDEV.S(F299:F301)</f>
        <v>#DIV/0!</v>
      </c>
      <c r="H302" s="77" t="e">
        <f>AVERAGE(H299:H301)</f>
        <v>#DIV/0!</v>
      </c>
      <c r="I302" s="74" t="e">
        <f>AVERAGE(I299:I301)</f>
        <v>#DIV/0!</v>
      </c>
      <c r="J302" s="82" t="e">
        <f>_xlfn.STDEV.S(I299:I301)</f>
        <v>#DIV/0!</v>
      </c>
      <c r="K302" s="82" t="e">
        <f>(I302-$I$147)/(($AA$147-AA302)+($AI$147-AI302))*1000*0.05</f>
        <v>#DIV/0!</v>
      </c>
      <c r="L302" s="81" t="e">
        <f>_xlfn.STDEV.S(K299:K301)</f>
        <v>#DIV/0!</v>
      </c>
      <c r="M302" s="77" t="e">
        <f>AVERAGE(M299:M301)</f>
        <v>#DIV/0!</v>
      </c>
      <c r="N302" s="76" t="e">
        <f>_xlfn.STDEV.S(M299:M301)</f>
        <v>#DIV/0!</v>
      </c>
      <c r="O302" s="76" t="e">
        <f>AVERAGE(O299:O301)</f>
        <v>#DIV/0!</v>
      </c>
      <c r="P302" s="76" t="e">
        <f>_xlfn.STDEV.S(O299:O301)</f>
        <v>#DIV/0!</v>
      </c>
      <c r="Q302" s="76" t="e">
        <f>AVERAGE(Q299:Q301)</f>
        <v>#DIV/0!</v>
      </c>
      <c r="R302" s="76" t="e">
        <f>_xlfn.STDEV.S(Q299:Q301)</f>
        <v>#DIV/0!</v>
      </c>
      <c r="S302" s="76" t="e">
        <f>AVERAGE(S299:S301)</f>
        <v>#DIV/0!</v>
      </c>
      <c r="T302" s="76" t="e">
        <f>_xlfn.STDEV.S(S299:S301)</f>
        <v>#DIV/0!</v>
      </c>
      <c r="U302" s="76" t="e">
        <f>AVERAGE(U299:U301)</f>
        <v>#DIV/0!</v>
      </c>
      <c r="V302" s="76" t="e">
        <f>_xlfn.STDEV.S(U299:U301)</f>
        <v>#DIV/0!</v>
      </c>
      <c r="W302" s="76" t="e">
        <f>AVERAGE(W299:W301)</f>
        <v>#DIV/0!</v>
      </c>
      <c r="X302" s="76" t="e">
        <f>_xlfn.STDEV.S(W299:W301)</f>
        <v>#DIV/0!</v>
      </c>
      <c r="Y302" s="77" t="e">
        <f>AVERAGE(Y299:Y301)</f>
        <v>#DIV/0!</v>
      </c>
      <c r="Z302" s="76" t="e">
        <f>_xlfn.STDEV.S(Y299:Y301)</f>
        <v>#DIV/0!</v>
      </c>
      <c r="AA302" s="76" t="e">
        <f>AVERAGE(AA299:AA301)</f>
        <v>#DIV/0!</v>
      </c>
      <c r="AB302" s="76" t="e">
        <f>_xlfn.STDEV.S(AA299:AA301)</f>
        <v>#DIV/0!</v>
      </c>
      <c r="AC302" s="76" t="e">
        <f>AVERAGE(AC299:AC301)</f>
        <v>#DIV/0!</v>
      </c>
      <c r="AD302" s="76" t="e">
        <f>_xlfn.STDEV.S(AC299:AC301)</f>
        <v>#DIV/0!</v>
      </c>
      <c r="AE302" s="76" t="e">
        <f>AVERAGE(AE299:AE301)</f>
        <v>#DIV/0!</v>
      </c>
      <c r="AF302" s="76" t="e">
        <f>_xlfn.STDEV.S(AE299:AE301)</f>
        <v>#DIV/0!</v>
      </c>
      <c r="AG302" s="76" t="e">
        <f>AVERAGE(AG299:AG301)</f>
        <v>#DIV/0!</v>
      </c>
      <c r="AH302" s="76" t="e">
        <f>_xlfn.STDEV.S(AG299:AG301)</f>
        <v>#DIV/0!</v>
      </c>
      <c r="AI302" s="76" t="e">
        <f>AVERAGE(AI299:AI301)</f>
        <v>#DIV/0!</v>
      </c>
      <c r="AJ302" s="75" t="e">
        <f>_xlfn.STDEV.S(AI299:AI301)</f>
        <v>#DIV/0!</v>
      </c>
      <c r="AK302" s="77"/>
      <c r="AL302" s="77"/>
      <c r="AM302" s="77"/>
      <c r="AN302" s="77"/>
      <c r="AO302" s="78"/>
      <c r="AP302" s="78"/>
      <c r="AQ302" s="78"/>
      <c r="AR302" s="78"/>
      <c r="AS302" s="78"/>
      <c r="AT302" s="78"/>
      <c r="AU302" s="78"/>
      <c r="AV302" s="80"/>
      <c r="AW302" s="80"/>
      <c r="AX302" s="80"/>
      <c r="AY302" s="79"/>
      <c r="AZ302" s="77"/>
      <c r="BA302" s="78"/>
      <c r="BB302" s="78"/>
      <c r="BC302" s="78"/>
      <c r="BD302" s="78"/>
      <c r="BE302" s="78"/>
      <c r="BF302" s="78"/>
      <c r="BG302" s="78"/>
      <c r="BH302" s="75"/>
      <c r="BI302" s="75"/>
      <c r="BJ302" s="75"/>
      <c r="BK302" s="75"/>
      <c r="BL302" s="75"/>
      <c r="BM302" s="75"/>
      <c r="BN302" s="75"/>
      <c r="BO302" s="77" t="e">
        <f>AVERAGE(BO299:BO301)</f>
        <v>#DIV/0!</v>
      </c>
      <c r="BP302" s="76" t="e">
        <f>_xlfn.STDEV.S(BO299:BO301)</f>
        <v>#DIV/0!</v>
      </c>
      <c r="BQ302" s="75" t="e">
        <f>AVERAGE(BQ299:BQ301)</f>
        <v>#DIV/0!</v>
      </c>
      <c r="BR302" s="75" t="e">
        <f>_xlfn.STDEV.S(BQ299:BQ301)</f>
        <v>#DIV/0!</v>
      </c>
      <c r="BS302" s="75" t="e">
        <f>AVERAGE(BS299:BS301)</f>
        <v>#DIV/0!</v>
      </c>
      <c r="BT302" s="75" t="e">
        <f>_xlfn.STDEV.S(BS299:BS301)</f>
        <v>#DIV/0!</v>
      </c>
      <c r="BU302" s="75" t="e">
        <f>AVERAGE(BU299:BU301)</f>
        <v>#DIV/0!</v>
      </c>
      <c r="BV302" s="75" t="e">
        <f>_xlfn.STDEV.S(BU299:BU301)</f>
        <v>#DIV/0!</v>
      </c>
      <c r="BW302" s="74" t="e">
        <f>AVERAGE(BW299:BW301)</f>
        <v>#DIV/0!</v>
      </c>
      <c r="BX302" s="73" t="e">
        <f>BQ302*0.05</f>
        <v>#DIV/0!</v>
      </c>
      <c r="BY302" s="73" t="e">
        <f>BS302*0.05</f>
        <v>#DIV/0!</v>
      </c>
      <c r="BZ302" s="72" t="e">
        <f>BU302*0.05</f>
        <v>#DIV/0!</v>
      </c>
    </row>
    <row r="303" spans="1:78" x14ac:dyDescent="0.3">
      <c r="A303" s="174" t="s">
        <v>61</v>
      </c>
      <c r="B303" s="70" t="s">
        <v>94</v>
      </c>
      <c r="C303" s="20">
        <v>19</v>
      </c>
      <c r="D303" s="69"/>
      <c r="E303" s="21"/>
      <c r="F303" s="52">
        <v>1.37</v>
      </c>
      <c r="H303" s="37">
        <v>0.214</v>
      </c>
      <c r="I303" s="52">
        <f>H303*0.2907</f>
        <v>6.2209800000000003E-2</v>
      </c>
      <c r="K303" s="53">
        <f>(I303-$I$151)/($BW$151-BW303)*1000*0.05</f>
        <v>0.33123869881342444</v>
      </c>
      <c r="L303" s="68"/>
      <c r="M303" s="22">
        <v>2.697755538537034</v>
      </c>
      <c r="O303" s="21">
        <v>0</v>
      </c>
      <c r="Q303" s="21">
        <v>0.31693263971129082</v>
      </c>
      <c r="S303" s="21">
        <v>83.410848258516495</v>
      </c>
      <c r="U303" s="21">
        <v>13.574463563235176</v>
      </c>
      <c r="W303" s="21">
        <v>0</v>
      </c>
      <c r="Y303" s="22">
        <v>0.1663741036411569</v>
      </c>
      <c r="AA303" s="21">
        <v>0</v>
      </c>
      <c r="AC303" s="21">
        <v>1.9545649371620365E-2</v>
      </c>
      <c r="AE303" s="21">
        <v>5.1440558326069885</v>
      </c>
      <c r="AG303" s="21">
        <v>0.8371548776311758</v>
      </c>
      <c r="AI303" s="21">
        <v>0</v>
      </c>
      <c r="AK303" s="22">
        <f>8*(AG303-$AG$151)/(8*($BW$151-BW303))</f>
        <v>0.65786055625982975</v>
      </c>
      <c r="AL303" s="22"/>
      <c r="AM303" s="22">
        <f>(AG303-$AG$151)/($BW$151-BW303)</f>
        <v>0.65786055625982975</v>
      </c>
      <c r="AN303" s="22"/>
      <c r="BG303" s="37">
        <v>10.28</v>
      </c>
      <c r="BI303" s="2">
        <v>0</v>
      </c>
      <c r="BK303" s="2">
        <v>0</v>
      </c>
      <c r="BM303" s="2">
        <v>0</v>
      </c>
      <c r="BO303" s="22">
        <f>(BG303/1000)/60.2*1000</f>
        <v>0.17076411960132887</v>
      </c>
      <c r="BQ303" s="2">
        <f>BI303/74.08</f>
        <v>0</v>
      </c>
      <c r="BS303" s="2">
        <f>(BK303/1000)/88.12*1000</f>
        <v>0</v>
      </c>
      <c r="BU303" s="2">
        <f>BM303/88.12</f>
        <v>0</v>
      </c>
      <c r="BW303" s="52">
        <f>BO303*0.05</f>
        <v>8.538205980066443E-3</v>
      </c>
      <c r="BX303" s="51">
        <f>BQ303*0.05</f>
        <v>0</v>
      </c>
      <c r="BY303" s="51">
        <f>BS303*0.05</f>
        <v>0</v>
      </c>
      <c r="BZ303" s="67">
        <f>BU303*0.05</f>
        <v>0</v>
      </c>
    </row>
    <row r="304" spans="1:78" x14ac:dyDescent="0.3">
      <c r="A304" s="173"/>
      <c r="B304" s="70" t="s">
        <v>93</v>
      </c>
      <c r="C304" s="20">
        <v>19</v>
      </c>
      <c r="D304" s="69"/>
      <c r="E304" s="21"/>
      <c r="F304" s="52">
        <v>1.43</v>
      </c>
      <c r="H304" s="37">
        <v>0.22</v>
      </c>
      <c r="I304" s="52">
        <f>H304*0.2907</f>
        <v>6.3953999999999997E-2</v>
      </c>
      <c r="K304" s="53">
        <f>(I304-$I$152)/($BW$152-BW304)*1000*0.05</f>
        <v>0.6637305149243351</v>
      </c>
      <c r="L304" s="68"/>
      <c r="M304" s="22">
        <v>2.7705366740088868</v>
      </c>
      <c r="O304" s="21">
        <v>0</v>
      </c>
      <c r="Q304" s="21">
        <v>0.27960127525561024</v>
      </c>
      <c r="S304" s="21">
        <v>83.869810123467772</v>
      </c>
      <c r="U304" s="21">
        <v>13.08005192726773</v>
      </c>
      <c r="W304" s="21">
        <v>0</v>
      </c>
      <c r="Y304" s="22">
        <v>0.17834564528629804</v>
      </c>
      <c r="AA304" s="21">
        <v>0</v>
      </c>
      <c r="AC304" s="21">
        <v>1.7998559746974747E-2</v>
      </c>
      <c r="AE304" s="21">
        <v>5.3988873516211662</v>
      </c>
      <c r="AG304" s="21">
        <v>0.84199221155639792</v>
      </c>
      <c r="AI304" s="21">
        <v>0</v>
      </c>
      <c r="AK304" s="22">
        <f>8*(AG304-$AG$152)/(8*($BW$152-BW304))</f>
        <v>0.64081633314827191</v>
      </c>
      <c r="AL304" s="22"/>
      <c r="AM304" s="22">
        <f>(AG304-$AG$152)/($BW$152-BW304)</f>
        <v>0.64081633314827191</v>
      </c>
      <c r="AN304" s="22"/>
      <c r="BG304" s="37">
        <v>11.54</v>
      </c>
      <c r="BI304" s="2">
        <v>0</v>
      </c>
      <c r="BK304" s="2">
        <v>0</v>
      </c>
      <c r="BM304" s="2">
        <v>0</v>
      </c>
      <c r="BO304" s="22">
        <f>(BG304/1000)/60.2*1000</f>
        <v>0.19169435215946842</v>
      </c>
      <c r="BQ304" s="2">
        <f>BI304/74.08</f>
        <v>0</v>
      </c>
      <c r="BS304" s="2">
        <f>(BK304/1000)/88.12*1000</f>
        <v>0</v>
      </c>
      <c r="BU304" s="2">
        <f>BM304/88.12</f>
        <v>0</v>
      </c>
      <c r="BW304" s="52">
        <f>BO304*0.05</f>
        <v>9.5847176079734211E-3</v>
      </c>
      <c r="BX304" s="51">
        <f>BQ304*0.05</f>
        <v>0</v>
      </c>
      <c r="BY304" s="51">
        <f>BS304*0.05</f>
        <v>0</v>
      </c>
      <c r="BZ304" s="67">
        <f>BU304*0.05</f>
        <v>0</v>
      </c>
    </row>
    <row r="305" spans="1:78" x14ac:dyDescent="0.3">
      <c r="A305" s="173"/>
      <c r="B305" s="70" t="s">
        <v>92</v>
      </c>
      <c r="C305" s="20">
        <v>19</v>
      </c>
      <c r="D305" s="69"/>
      <c r="E305" s="21"/>
      <c r="F305" s="52">
        <v>1.42</v>
      </c>
      <c r="G305" s="67"/>
      <c r="H305" s="37">
        <v>0.24299999999999999</v>
      </c>
      <c r="I305" s="52">
        <f>H305*0.2907</f>
        <v>7.0640099999999997E-2</v>
      </c>
      <c r="K305" s="53">
        <f>(I305-$I$153)/($BW$153-BW305)*1000*0.05</f>
        <v>0.83485741354171528</v>
      </c>
      <c r="L305" s="68"/>
      <c r="M305" s="22">
        <v>2.6328471650347187</v>
      </c>
      <c r="O305" s="21">
        <v>0</v>
      </c>
      <c r="Q305" s="21">
        <v>0.29871466000544883</v>
      </c>
      <c r="S305" s="21">
        <v>83.635597941534414</v>
      </c>
      <c r="U305" s="21">
        <v>13.432840233425431</v>
      </c>
      <c r="W305" s="21">
        <v>0</v>
      </c>
      <c r="Y305" s="22">
        <v>0.16829707283451592</v>
      </c>
      <c r="AA305" s="21">
        <v>0</v>
      </c>
      <c r="AC305" s="21">
        <v>1.9094463043399536E-2</v>
      </c>
      <c r="AE305" s="21">
        <v>5.3461615642771614</v>
      </c>
      <c r="AG305" s="21">
        <v>0.85865511722910948</v>
      </c>
      <c r="AI305" s="21">
        <v>0</v>
      </c>
      <c r="AK305" s="22">
        <f>8*(AG305-$AG$153)/(8*($BW$153-BW305))</f>
        <v>0.6946366374455567</v>
      </c>
      <c r="AL305" s="22"/>
      <c r="AM305" s="22">
        <f>(AG305-$AG$153)/($BW$153-BW305)</f>
        <v>0.6946366374455567</v>
      </c>
      <c r="AN305" s="22"/>
      <c r="BG305" s="37">
        <v>15.59</v>
      </c>
      <c r="BI305" s="2">
        <v>0</v>
      </c>
      <c r="BK305" s="2">
        <v>0</v>
      </c>
      <c r="BM305" s="2">
        <v>0</v>
      </c>
      <c r="BO305" s="22">
        <f>(BG305/1000)/60.2*1000</f>
        <v>0.25897009966777407</v>
      </c>
      <c r="BQ305" s="2">
        <f>BI305/74.08</f>
        <v>0</v>
      </c>
      <c r="BS305" s="2">
        <f>(BK305/1000)/88.12*1000</f>
        <v>0</v>
      </c>
      <c r="BU305" s="2">
        <f>BM305/88.12</f>
        <v>0</v>
      </c>
      <c r="BW305" s="52">
        <f>BO305*0.05</f>
        <v>1.2948504983388703E-2</v>
      </c>
      <c r="BX305" s="51">
        <f>BQ305*0.05</f>
        <v>0</v>
      </c>
      <c r="BY305" s="51">
        <f>BS305*0.05</f>
        <v>0</v>
      </c>
      <c r="BZ305" s="67">
        <f>BU305*0.05</f>
        <v>0</v>
      </c>
    </row>
    <row r="306" spans="1:78" ht="15" thickBot="1" x14ac:dyDescent="0.35">
      <c r="A306" s="175"/>
      <c r="B306" s="66" t="s">
        <v>63</v>
      </c>
      <c r="C306" s="65">
        <v>19</v>
      </c>
      <c r="D306" s="64" t="e">
        <f>AVERAGE(D303:D305)</f>
        <v>#DIV/0!</v>
      </c>
      <c r="E306" s="58"/>
      <c r="F306" s="56">
        <f>AVERAGE(F303:F305)</f>
        <v>1.4066666666666665</v>
      </c>
      <c r="G306" s="55">
        <f>_xlfn.STDEV.S(F303:F305)</f>
        <v>3.2145502536643084E-2</v>
      </c>
      <c r="H306" s="60">
        <f>AVERAGE(H303:H305)</f>
        <v>0.22566666666666668</v>
      </c>
      <c r="I306" s="56">
        <f>AVERAGE(I303:I305)</f>
        <v>6.5601299999999987E-2</v>
      </c>
      <c r="J306" s="63">
        <f>_xlfn.STDEV.S(I303:I305)</f>
        <v>4.4500210662422688E-3</v>
      </c>
      <c r="K306" s="56">
        <f>AVERAGE(K303:K305)</f>
        <v>0.60994220909315822</v>
      </c>
      <c r="L306" s="62">
        <f>_xlfn.STDEV.S(K303:K305)</f>
        <v>0.25608170344498482</v>
      </c>
      <c r="M306" s="59">
        <f>AVERAGE(M303:M305)</f>
        <v>2.7003797925268795</v>
      </c>
      <c r="N306" s="58">
        <f>_xlfn.STDEV.S(M303:M305)</f>
        <v>6.8882256439080844E-2</v>
      </c>
      <c r="O306" s="58">
        <f>AVERAGE(O303:O305)</f>
        <v>0</v>
      </c>
      <c r="P306" s="58">
        <f>_xlfn.STDEV.S(O303:O305)</f>
        <v>0</v>
      </c>
      <c r="Q306" s="58">
        <f>AVERAGE(Q303:Q305)</f>
        <v>0.29841619165744998</v>
      </c>
      <c r="R306" s="58">
        <f>_xlfn.STDEV.S(Q303:Q305)</f>
        <v>1.8667471857398921E-2</v>
      </c>
      <c r="S306" s="58">
        <f>AVERAGE(S303:S305)</f>
        <v>83.638752107839551</v>
      </c>
      <c r="T306" s="58">
        <f>_xlfn.STDEV.S(S303:S305)</f>
        <v>0.22949718940261338</v>
      </c>
      <c r="U306" s="58">
        <f>AVERAGE(U303:U305)</f>
        <v>13.362451907976114</v>
      </c>
      <c r="V306" s="58">
        <f>_xlfn.STDEV.S(U303:U305)</f>
        <v>0.25461069049564827</v>
      </c>
      <c r="W306" s="58">
        <f>AVERAGE(W303:W305)</f>
        <v>0</v>
      </c>
      <c r="X306" s="58">
        <f>_xlfn.STDEV.S(W303:W305)</f>
        <v>0</v>
      </c>
      <c r="Y306" s="59">
        <f>AVERAGE(Y303:Y305)</f>
        <v>0.17100560725399028</v>
      </c>
      <c r="Z306" s="58">
        <f>_xlfn.STDEV.S(Y303:Y305)</f>
        <v>6.428963475276956E-3</v>
      </c>
      <c r="AA306" s="58">
        <f>AVERAGE(AA303:AA305)</f>
        <v>0</v>
      </c>
      <c r="AB306" s="58">
        <f>_xlfn.STDEV.S(AA303:AA305)</f>
        <v>0</v>
      </c>
      <c r="AC306" s="58">
        <f>AVERAGE(AC303:AC305)</f>
        <v>1.887955738733155E-2</v>
      </c>
      <c r="AD306" s="58">
        <f>_xlfn.STDEV.S(AC303:AC305)</f>
        <v>7.9561919749905413E-4</v>
      </c>
      <c r="AE306" s="58">
        <f>AVERAGE(AE303:AE305)</f>
        <v>5.2963682495017714</v>
      </c>
      <c r="AF306" s="58">
        <f>_xlfn.STDEV.S(AE303:AE305)</f>
        <v>0.13451507877561183</v>
      </c>
      <c r="AG306" s="58">
        <f>AVERAGE(AG303:AG305)</f>
        <v>0.84593406880556099</v>
      </c>
      <c r="AH306" s="58">
        <f>_xlfn.STDEV.S(AG303:AG305)</f>
        <v>1.1279129160610045E-2</v>
      </c>
      <c r="AI306" s="58">
        <f>AVERAGE(AI303:AI305)</f>
        <v>0</v>
      </c>
      <c r="AJ306" s="57">
        <f>_xlfn.STDEV.S(AI303:AI305)</f>
        <v>0</v>
      </c>
      <c r="AK306" s="77">
        <f>AVERAGE(AK303:AK305)</f>
        <v>0.66443784228455283</v>
      </c>
      <c r="AL306" s="77">
        <f>_xlfn.STDEV.S(AK303:AK305)</f>
        <v>2.75063957517401E-2</v>
      </c>
      <c r="AM306" s="77">
        <f>AVERAGE(AM303:AM305)</f>
        <v>0.66443784228455283</v>
      </c>
      <c r="AN306" s="77">
        <f>_xlfn.STDEV.S(AM303:AM305)</f>
        <v>2.75063957517401E-2</v>
      </c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59">
        <f>SUM(AK306,AO306,AS306)</f>
        <v>0.66443784228455283</v>
      </c>
      <c r="AZ306" s="59">
        <f>SUM(AL306,AP306,AT306)</f>
        <v>2.75063957517401E-2</v>
      </c>
      <c r="BA306" s="60"/>
      <c r="BB306" s="60"/>
      <c r="BC306" s="60"/>
      <c r="BD306" s="60"/>
      <c r="BE306" s="60"/>
      <c r="BF306" s="60"/>
      <c r="BG306" s="60">
        <f>AVERAGE(BG303:BG305)</f>
        <v>12.469999999999999</v>
      </c>
      <c r="BH306" s="57">
        <f>_xlfn.STDEV.S(BG303:BG305)</f>
        <v>2.7744729229170764</v>
      </c>
      <c r="BI306" s="57">
        <f>AVERAGE(BI303:BI305)</f>
        <v>0</v>
      </c>
      <c r="BJ306" s="57" t="e">
        <f>_xlfn.STDEV.S(BH303:BH305)</f>
        <v>#DIV/0!</v>
      </c>
      <c r="BK306" s="57">
        <f>AVERAGE(BK303:BK305)</f>
        <v>0</v>
      </c>
      <c r="BL306" s="57">
        <f>_xlfn.STDEV.S(BK303:BK305)</f>
        <v>0</v>
      </c>
      <c r="BM306" s="57">
        <f>AVERAGE(BM303:BM305)</f>
        <v>0</v>
      </c>
      <c r="BN306" s="57" t="e">
        <f>_xlfn.STDEV.S(BL303:BL305)</f>
        <v>#DIV/0!</v>
      </c>
      <c r="BO306" s="59">
        <f>AVERAGE(BO303:BO305)</f>
        <v>0.2071428571428571</v>
      </c>
      <c r="BP306" s="58">
        <f>_xlfn.STDEV.S(BO303:BO305)</f>
        <v>4.6087590081678981E-2</v>
      </c>
      <c r="BQ306" s="57">
        <f>AVERAGE(BQ303:BQ305)</f>
        <v>0</v>
      </c>
      <c r="BR306" s="57">
        <f>_xlfn.STDEV.S(BQ303:BQ305)</f>
        <v>0</v>
      </c>
      <c r="BS306" s="57">
        <f>AVERAGE(BS303:BS305)</f>
        <v>0</v>
      </c>
      <c r="BT306" s="57">
        <f>_xlfn.STDEV.S(BS303:BS305)</f>
        <v>0</v>
      </c>
      <c r="BU306" s="57">
        <f>AVERAGE(BU303:BU305)</f>
        <v>0</v>
      </c>
      <c r="BV306" s="57">
        <f>_xlfn.STDEV.S(BU303:BU305)</f>
        <v>0</v>
      </c>
      <c r="BW306" s="56">
        <f>AVERAGE(BW303:BW305)</f>
        <v>1.0357142857142856E-2</v>
      </c>
      <c r="BX306" s="55">
        <f>BQ306*0.05</f>
        <v>0</v>
      </c>
      <c r="BY306" s="55">
        <f>BS306*0.05</f>
        <v>0</v>
      </c>
      <c r="BZ306" s="54">
        <f>BU306*0.05</f>
        <v>0</v>
      </c>
    </row>
    <row r="307" spans="1:78" x14ac:dyDescent="0.3">
      <c r="A307" s="172" t="s">
        <v>98</v>
      </c>
      <c r="B307" s="95" t="s">
        <v>97</v>
      </c>
      <c r="C307" s="94">
        <v>20</v>
      </c>
      <c r="D307" s="93"/>
      <c r="E307" s="88"/>
      <c r="F307" s="86"/>
      <c r="G307" s="85"/>
      <c r="H307" s="90"/>
      <c r="I307" s="86"/>
      <c r="J307" s="92"/>
      <c r="K307" s="92"/>
      <c r="L307" s="91"/>
      <c r="M307" s="89"/>
      <c r="O307" s="88"/>
      <c r="Q307" s="88"/>
      <c r="S307" s="88"/>
      <c r="U307" s="88"/>
      <c r="W307" s="88"/>
      <c r="X307" s="88"/>
      <c r="Y307" s="89"/>
      <c r="AB307" s="88"/>
      <c r="AC307" s="88"/>
      <c r="AF307" s="88"/>
      <c r="AG307" s="88"/>
      <c r="AJ307" s="87"/>
      <c r="AK307" s="89"/>
      <c r="AL307" s="89"/>
      <c r="AM307" s="89"/>
      <c r="AN307" s="89"/>
      <c r="AY307" s="90"/>
      <c r="AZ307" s="90"/>
      <c r="BA307" s="90"/>
      <c r="BB307" s="90"/>
      <c r="BC307" s="90"/>
      <c r="BD307" s="90"/>
      <c r="BE307" s="90"/>
      <c r="BF307" s="90"/>
      <c r="BG307" s="90"/>
      <c r="BH307" s="87"/>
      <c r="BI307" s="87"/>
      <c r="BJ307" s="87"/>
      <c r="BK307" s="87"/>
      <c r="BL307" s="87"/>
      <c r="BM307" s="87"/>
      <c r="BN307" s="87"/>
      <c r="BO307" s="89"/>
      <c r="BP307" s="88"/>
      <c r="BQ307" s="87"/>
      <c r="BR307" s="87"/>
      <c r="BS307" s="87"/>
      <c r="BT307" s="87"/>
      <c r="BU307" s="87"/>
      <c r="BV307" s="87"/>
      <c r="BW307" s="86"/>
      <c r="BX307" s="85"/>
      <c r="BY307" s="85"/>
      <c r="BZ307" s="84"/>
    </row>
    <row r="308" spans="1:78" x14ac:dyDescent="0.3">
      <c r="A308" s="173"/>
      <c r="B308" s="70" t="s">
        <v>96</v>
      </c>
      <c r="C308" s="20">
        <v>20</v>
      </c>
      <c r="D308" s="69"/>
      <c r="E308" s="21"/>
      <c r="F308" s="52"/>
      <c r="I308" s="52"/>
      <c r="L308" s="68"/>
      <c r="AK308" s="22"/>
      <c r="AL308" s="22"/>
      <c r="AM308" s="22"/>
      <c r="AN308" s="22"/>
      <c r="BZ308" s="67"/>
    </row>
    <row r="309" spans="1:78" x14ac:dyDescent="0.3">
      <c r="A309" s="173"/>
      <c r="B309" s="70" t="s">
        <v>95</v>
      </c>
      <c r="C309" s="20">
        <v>20</v>
      </c>
      <c r="D309" s="69"/>
      <c r="E309" s="21"/>
      <c r="F309" s="52"/>
      <c r="I309" s="52"/>
      <c r="L309" s="68"/>
      <c r="AK309" s="22"/>
      <c r="AL309" s="22"/>
      <c r="AM309" s="22"/>
      <c r="AN309" s="22"/>
      <c r="BZ309" s="67"/>
    </row>
    <row r="310" spans="1:78" x14ac:dyDescent="0.3">
      <c r="A310" s="180"/>
      <c r="B310" s="83" t="s">
        <v>63</v>
      </c>
      <c r="C310" s="80">
        <v>20</v>
      </c>
      <c r="D310" s="79" t="e">
        <f>AVERAGE(D307:D309)</f>
        <v>#DIV/0!</v>
      </c>
      <c r="E310" s="76"/>
      <c r="F310" s="74" t="e">
        <f>AVERAGE(F307:F309)</f>
        <v>#DIV/0!</v>
      </c>
      <c r="G310" s="73" t="e">
        <f>_xlfn.STDEV.S(F307:F309)</f>
        <v>#DIV/0!</v>
      </c>
      <c r="H310" s="77" t="e">
        <f>AVERAGE(H307:H309)</f>
        <v>#DIV/0!</v>
      </c>
      <c r="I310" s="74" t="e">
        <f>AVERAGE(I307:I309)</f>
        <v>#DIV/0!</v>
      </c>
      <c r="J310" s="82" t="e">
        <f>_xlfn.STDEV.S(I307:I309)</f>
        <v>#DIV/0!</v>
      </c>
      <c r="K310" s="82" t="e">
        <f>(I310-$I$147)/(($AA$147-AA310)+($AI$147-AI310))*1000*0.05</f>
        <v>#DIV/0!</v>
      </c>
      <c r="L310" s="81" t="e">
        <f>_xlfn.STDEV.S(K307:K309)</f>
        <v>#DIV/0!</v>
      </c>
      <c r="M310" s="77" t="e">
        <f>AVERAGE(M307:M309)</f>
        <v>#DIV/0!</v>
      </c>
      <c r="N310" s="76" t="e">
        <f>_xlfn.STDEV.S(M307:M309)</f>
        <v>#DIV/0!</v>
      </c>
      <c r="O310" s="76" t="e">
        <f>AVERAGE(O307:O309)</f>
        <v>#DIV/0!</v>
      </c>
      <c r="P310" s="76" t="e">
        <f>_xlfn.STDEV.S(O307:O309)</f>
        <v>#DIV/0!</v>
      </c>
      <c r="Q310" s="76" t="e">
        <f>AVERAGE(Q307:Q309)</f>
        <v>#DIV/0!</v>
      </c>
      <c r="R310" s="76" t="e">
        <f>_xlfn.STDEV.S(Q307:Q309)</f>
        <v>#DIV/0!</v>
      </c>
      <c r="S310" s="76" t="e">
        <f>AVERAGE(S307:S309)</f>
        <v>#DIV/0!</v>
      </c>
      <c r="T310" s="76" t="e">
        <f>_xlfn.STDEV.S(S307:S309)</f>
        <v>#DIV/0!</v>
      </c>
      <c r="U310" s="76" t="e">
        <f>AVERAGE(U307:U309)</f>
        <v>#DIV/0!</v>
      </c>
      <c r="V310" s="76" t="e">
        <f>_xlfn.STDEV.S(U307:U309)</f>
        <v>#DIV/0!</v>
      </c>
      <c r="W310" s="76" t="e">
        <f>AVERAGE(W307:W309)</f>
        <v>#DIV/0!</v>
      </c>
      <c r="X310" s="76" t="e">
        <f>_xlfn.STDEV.S(W307:W309)</f>
        <v>#DIV/0!</v>
      </c>
      <c r="Y310" s="77" t="e">
        <f>AVERAGE(Y307:Y309)</f>
        <v>#DIV/0!</v>
      </c>
      <c r="Z310" s="76" t="e">
        <f>_xlfn.STDEV.S(Y307:Y309)</f>
        <v>#DIV/0!</v>
      </c>
      <c r="AA310" s="76" t="e">
        <f>AVERAGE(AA307:AA309)</f>
        <v>#DIV/0!</v>
      </c>
      <c r="AB310" s="76" t="e">
        <f>_xlfn.STDEV.S(AA307:AA309)</f>
        <v>#DIV/0!</v>
      </c>
      <c r="AC310" s="76" t="e">
        <f>AVERAGE(AC307:AC309)</f>
        <v>#DIV/0!</v>
      </c>
      <c r="AD310" s="76" t="e">
        <f>_xlfn.STDEV.S(AC307:AC309)</f>
        <v>#DIV/0!</v>
      </c>
      <c r="AE310" s="76" t="e">
        <f>AVERAGE(AE307:AE309)</f>
        <v>#DIV/0!</v>
      </c>
      <c r="AF310" s="76" t="e">
        <f>_xlfn.STDEV.S(AE307:AE309)</f>
        <v>#DIV/0!</v>
      </c>
      <c r="AG310" s="76" t="e">
        <f>AVERAGE(AG307:AG309)</f>
        <v>#DIV/0!</v>
      </c>
      <c r="AH310" s="76" t="e">
        <f>_xlfn.STDEV.S(AG307:AG309)</f>
        <v>#DIV/0!</v>
      </c>
      <c r="AI310" s="76" t="e">
        <f>AVERAGE(AI307:AI309)</f>
        <v>#DIV/0!</v>
      </c>
      <c r="AJ310" s="75" t="e">
        <f>_xlfn.STDEV.S(AI307:AI309)</f>
        <v>#DIV/0!</v>
      </c>
      <c r="AK310" s="77"/>
      <c r="AL310" s="77"/>
      <c r="AM310" s="77"/>
      <c r="AN310" s="77"/>
      <c r="AO310" s="78"/>
      <c r="AP310" s="78"/>
      <c r="AQ310" s="78"/>
      <c r="AR310" s="78"/>
      <c r="AS310" s="78"/>
      <c r="AT310" s="78"/>
      <c r="AU310" s="78"/>
      <c r="AV310" s="80"/>
      <c r="AW310" s="80"/>
      <c r="AX310" s="80"/>
      <c r="AY310" s="79"/>
      <c r="AZ310" s="77"/>
      <c r="BA310" s="78"/>
      <c r="BB310" s="78"/>
      <c r="BC310" s="78"/>
      <c r="BD310" s="78"/>
      <c r="BE310" s="78"/>
      <c r="BF310" s="78"/>
      <c r="BG310" s="78"/>
      <c r="BH310" s="75"/>
      <c r="BI310" s="75"/>
      <c r="BJ310" s="75"/>
      <c r="BK310" s="75"/>
      <c r="BL310" s="75"/>
      <c r="BM310" s="75"/>
      <c r="BN310" s="75"/>
      <c r="BO310" s="77" t="e">
        <f>AVERAGE(BO307:BO309)</f>
        <v>#DIV/0!</v>
      </c>
      <c r="BP310" s="76" t="e">
        <f>_xlfn.STDEV.S(BO307:BO309)</f>
        <v>#DIV/0!</v>
      </c>
      <c r="BQ310" s="75" t="e">
        <f>AVERAGE(BQ307:BQ309)</f>
        <v>#DIV/0!</v>
      </c>
      <c r="BR310" s="75" t="e">
        <f>_xlfn.STDEV.S(BQ307:BQ309)</f>
        <v>#DIV/0!</v>
      </c>
      <c r="BS310" s="75" t="e">
        <f>AVERAGE(BS307:BS309)</f>
        <v>#DIV/0!</v>
      </c>
      <c r="BT310" s="75" t="e">
        <f>_xlfn.STDEV.S(BS307:BS309)</f>
        <v>#DIV/0!</v>
      </c>
      <c r="BU310" s="75" t="e">
        <f>AVERAGE(BU307:BU309)</f>
        <v>#DIV/0!</v>
      </c>
      <c r="BV310" s="75" t="e">
        <f>_xlfn.STDEV.S(BU307:BU309)</f>
        <v>#DIV/0!</v>
      </c>
      <c r="BW310" s="74" t="e">
        <f>AVERAGE(BW307:BW309)</f>
        <v>#DIV/0!</v>
      </c>
      <c r="BX310" s="73" t="e">
        <f>BQ310*0.05</f>
        <v>#DIV/0!</v>
      </c>
      <c r="BY310" s="73" t="e">
        <f>BS310*0.05</f>
        <v>#DIV/0!</v>
      </c>
      <c r="BZ310" s="72" t="e">
        <f>BU310*0.05</f>
        <v>#DIV/0!</v>
      </c>
    </row>
    <row r="311" spans="1:78" x14ac:dyDescent="0.3">
      <c r="A311" s="174" t="s">
        <v>61</v>
      </c>
      <c r="B311" s="70" t="s">
        <v>94</v>
      </c>
      <c r="C311" s="20">
        <v>20</v>
      </c>
      <c r="D311" s="69"/>
      <c r="E311" s="21"/>
      <c r="F311" s="52">
        <v>1.47</v>
      </c>
      <c r="H311" s="37">
        <v>0.20399999999999999</v>
      </c>
      <c r="I311" s="52">
        <f>H311*0.2907</f>
        <v>5.9302799999999996E-2</v>
      </c>
      <c r="K311" s="53">
        <f>(I311-$I$151)/($BW$151-BW311)*1000*0.05</f>
        <v>0.21557765271852572</v>
      </c>
      <c r="L311" s="68"/>
      <c r="M311" s="22">
        <v>2.773257385535616</v>
      </c>
      <c r="O311" s="21">
        <v>0</v>
      </c>
      <c r="Q311" s="21">
        <v>0.51305050754347492</v>
      </c>
      <c r="S311" s="21">
        <v>83.300263899036523</v>
      </c>
      <c r="U311" s="21">
        <v>13.413428207884378</v>
      </c>
      <c r="W311" s="21">
        <v>0</v>
      </c>
      <c r="Y311" s="22">
        <v>0.18351437192711947</v>
      </c>
      <c r="AA311" s="21">
        <v>0</v>
      </c>
      <c r="AC311" s="21">
        <v>3.3950019262473353E-2</v>
      </c>
      <c r="AE311" s="21">
        <v>5.5122166772279453</v>
      </c>
      <c r="AG311" s="21">
        <v>0.88760490309989526</v>
      </c>
      <c r="AI311" s="21">
        <v>0</v>
      </c>
      <c r="AK311" s="22">
        <f>8*(AG311-$AG$151)/(8*($BW$151-BW311))</f>
        <v>0.69287484493592622</v>
      </c>
      <c r="AL311" s="22"/>
      <c r="AM311" s="22">
        <f>(AG311-$AG$151)/($BW$151-BW311)</f>
        <v>0.69287484493592622</v>
      </c>
      <c r="AN311" s="22"/>
      <c r="BG311" s="37">
        <v>0.04</v>
      </c>
      <c r="BI311" s="2">
        <v>0</v>
      </c>
      <c r="BK311" s="2">
        <v>0</v>
      </c>
      <c r="BM311" s="2">
        <v>0</v>
      </c>
      <c r="BO311" s="22">
        <f>(BG311/1000)/60.2*1000</f>
        <v>6.6445182724252495E-4</v>
      </c>
      <c r="BQ311" s="2">
        <f>BI311/74.08</f>
        <v>0</v>
      </c>
      <c r="BS311" s="2">
        <f>(BK311/1000)/88.12*1000</f>
        <v>0</v>
      </c>
      <c r="BU311" s="2">
        <f>BM311/88.12</f>
        <v>0</v>
      </c>
      <c r="BW311" s="52">
        <f>BO311*0.05</f>
        <v>3.3222591362126248E-5</v>
      </c>
      <c r="BX311" s="51">
        <f>BQ311*0.05</f>
        <v>0</v>
      </c>
      <c r="BY311" s="51">
        <f>BS311*0.05</f>
        <v>0</v>
      </c>
      <c r="BZ311" s="67">
        <f>BU311*0.05</f>
        <v>0</v>
      </c>
    </row>
    <row r="312" spans="1:78" x14ac:dyDescent="0.3">
      <c r="A312" s="173"/>
      <c r="B312" s="70" t="s">
        <v>93</v>
      </c>
      <c r="C312" s="20">
        <v>20</v>
      </c>
      <c r="D312" s="69"/>
      <c r="E312" s="21"/>
      <c r="F312" s="52">
        <v>1.45</v>
      </c>
      <c r="H312" s="37">
        <v>0.20899999999999999</v>
      </c>
      <c r="I312" s="52">
        <f>H312*0.2907</f>
        <v>6.0756299999999999E-2</v>
      </c>
      <c r="K312" s="53">
        <f>(I312-$I$152)/($BW$152-BW312)*1000*0.05</f>
        <v>0.53867894991425158</v>
      </c>
      <c r="L312" s="68"/>
      <c r="M312" s="22">
        <v>2.9841678389344599</v>
      </c>
      <c r="O312" s="21">
        <v>0</v>
      </c>
      <c r="Q312" s="21">
        <v>0.25946007172093083</v>
      </c>
      <c r="S312" s="21">
        <v>83.291682201001052</v>
      </c>
      <c r="U312" s="21">
        <v>13.464689888343568</v>
      </c>
      <c r="W312" s="21">
        <v>0</v>
      </c>
      <c r="Y312" s="22">
        <v>0.19478424059176888</v>
      </c>
      <c r="AA312" s="21">
        <v>0</v>
      </c>
      <c r="AC312" s="21">
        <v>1.6935620166757436E-2</v>
      </c>
      <c r="AE312" s="21">
        <v>5.4366603826565996</v>
      </c>
      <c r="AG312" s="21">
        <v>0.87887462644900916</v>
      </c>
      <c r="AI312" s="21">
        <v>0</v>
      </c>
      <c r="AK312" s="22">
        <f>8*(AG312-$AG$152)/(8*($BW$152-BW312))</f>
        <v>0.66473081988140181</v>
      </c>
      <c r="AL312" s="22"/>
      <c r="AM312" s="22">
        <f>(AG312-$AG$152)/($BW$152-BW312)</f>
        <v>0.66473081988140181</v>
      </c>
      <c r="AN312" s="22"/>
      <c r="BG312" s="37">
        <v>1.65</v>
      </c>
      <c r="BI312" s="2">
        <v>0</v>
      </c>
      <c r="BK312" s="2">
        <v>0</v>
      </c>
      <c r="BM312" s="2">
        <v>0</v>
      </c>
      <c r="BO312" s="22">
        <f>(BG312/1000)/60.2*1000</f>
        <v>2.7408637873754152E-2</v>
      </c>
      <c r="BQ312" s="2">
        <f>BI312/74.08</f>
        <v>0</v>
      </c>
      <c r="BS312" s="2">
        <f>(BK312/1000)/88.12*1000</f>
        <v>0</v>
      </c>
      <c r="BU312" s="2">
        <f>BM312/88.12</f>
        <v>0</v>
      </c>
      <c r="BW312" s="52">
        <f>BO312*0.05</f>
        <v>1.3704318936877077E-3</v>
      </c>
      <c r="BX312" s="51">
        <f>BQ312*0.05</f>
        <v>0</v>
      </c>
      <c r="BY312" s="51">
        <f>BS312*0.05</f>
        <v>0</v>
      </c>
      <c r="BZ312" s="67">
        <f>BU312*0.05</f>
        <v>0</v>
      </c>
    </row>
    <row r="313" spans="1:78" x14ac:dyDescent="0.3">
      <c r="A313" s="173"/>
      <c r="B313" s="70" t="s">
        <v>92</v>
      </c>
      <c r="C313" s="20">
        <v>20</v>
      </c>
      <c r="D313" s="69"/>
      <c r="E313" s="21"/>
      <c r="F313" s="52">
        <v>1.49</v>
      </c>
      <c r="G313" s="67"/>
      <c r="H313" s="37">
        <v>0.20399999999999999</v>
      </c>
      <c r="I313" s="52">
        <f>H313*0.2907</f>
        <v>5.9302799999999996E-2</v>
      </c>
      <c r="K313" s="53">
        <f>(I313-$I$153)/($BW$153-BW313)*1000*0.05</f>
        <v>0.37244245810055843</v>
      </c>
      <c r="L313" s="68"/>
      <c r="M313" s="22">
        <v>2.6620560296633338</v>
      </c>
      <c r="O313" s="21">
        <v>0</v>
      </c>
      <c r="Q313" s="21">
        <v>0.32062639350806982</v>
      </c>
      <c r="S313" s="21">
        <v>83.306667286820186</v>
      </c>
      <c r="U313" s="21">
        <v>13.710650290008417</v>
      </c>
      <c r="W313" s="21">
        <v>0</v>
      </c>
      <c r="Y313" s="22">
        <v>0.17855253857497971</v>
      </c>
      <c r="AA313" s="21">
        <v>0</v>
      </c>
      <c r="AC313" s="21">
        <v>2.1505428832858341E-2</v>
      </c>
      <c r="AE313" s="21">
        <v>5.5876423180184283</v>
      </c>
      <c r="AG313" s="21">
        <v>0.91961678774446698</v>
      </c>
      <c r="AI313" s="21">
        <v>0</v>
      </c>
      <c r="AK313" s="22">
        <f>8*(AG313-$AG$153)/(8*($BW$153-BW313))</f>
        <v>0.73637843338942399</v>
      </c>
      <c r="AL313" s="22"/>
      <c r="AM313" s="22">
        <f>(AG313-$AG$153)/($BW$153-BW313)</f>
        <v>0.73637843338942399</v>
      </c>
      <c r="AN313" s="22"/>
      <c r="BG313" s="37">
        <v>0.28000000000000003</v>
      </c>
      <c r="BI313" s="2">
        <v>0</v>
      </c>
      <c r="BK313" s="2">
        <v>0</v>
      </c>
      <c r="BM313" s="2">
        <v>0</v>
      </c>
      <c r="BO313" s="22">
        <f>(BG313/1000)/60.2*1000</f>
        <v>4.6511627906976744E-3</v>
      </c>
      <c r="BQ313" s="2">
        <f>BI313/74.08</f>
        <v>0</v>
      </c>
      <c r="BS313" s="2">
        <f>(BK313/1000)/88.12*1000</f>
        <v>0</v>
      </c>
      <c r="BU313" s="2">
        <f>BM313/88.12</f>
        <v>0</v>
      </c>
      <c r="BW313" s="52">
        <f>BO313*0.05</f>
        <v>2.3255813953488373E-4</v>
      </c>
      <c r="BX313" s="51">
        <f>BQ313*0.05</f>
        <v>0</v>
      </c>
      <c r="BY313" s="51">
        <f>BS313*0.05</f>
        <v>0</v>
      </c>
      <c r="BZ313" s="67">
        <f>BU313*0.05</f>
        <v>0</v>
      </c>
    </row>
    <row r="314" spans="1:78" ht="15" thickBot="1" x14ac:dyDescent="0.35">
      <c r="A314" s="175"/>
      <c r="B314" s="66" t="s">
        <v>63</v>
      </c>
      <c r="C314" s="65">
        <v>20</v>
      </c>
      <c r="D314" s="64" t="e">
        <f>AVERAGE(D311:D313)</f>
        <v>#DIV/0!</v>
      </c>
      <c r="E314" s="58"/>
      <c r="F314" s="56">
        <f>AVERAGE(F311:F313)</f>
        <v>1.47</v>
      </c>
      <c r="G314" s="55">
        <f>_xlfn.STDEV.S(F311:F313)</f>
        <v>2.0000000000000018E-2</v>
      </c>
      <c r="H314" s="60">
        <f>AVERAGE(H311:H313)</f>
        <v>0.20566666666666666</v>
      </c>
      <c r="I314" s="56">
        <f>AVERAGE(I311:I313)</f>
        <v>5.9787299999999995E-2</v>
      </c>
      <c r="J314" s="63">
        <f>_xlfn.STDEV.S(I311:I313)</f>
        <v>8.3917861626712305E-4</v>
      </c>
      <c r="K314" s="56">
        <f>AVERAGE(K311:K313)</f>
        <v>0.37556635357777851</v>
      </c>
      <c r="L314" s="62">
        <f>_xlfn.STDEV.S(K311:K313)</f>
        <v>0.16157329947922919</v>
      </c>
      <c r="M314" s="59">
        <f>AVERAGE(M311:M313)</f>
        <v>2.8064937513778028</v>
      </c>
      <c r="N314" s="58">
        <f>_xlfn.STDEV.S(M311:M313)</f>
        <v>0.16360775173804074</v>
      </c>
      <c r="O314" s="58">
        <f>AVERAGE(O311:O313)</f>
        <v>0</v>
      </c>
      <c r="P314" s="58">
        <f>_xlfn.STDEV.S(O311:O313)</f>
        <v>0</v>
      </c>
      <c r="Q314" s="58">
        <f>AVERAGE(Q311:Q313)</f>
        <v>0.36437899092415854</v>
      </c>
      <c r="R314" s="58">
        <f>_xlfn.STDEV.S(Q311:Q313)</f>
        <v>0.13233572692458268</v>
      </c>
      <c r="S314" s="58">
        <f>AVERAGE(S311:S313)</f>
        <v>83.299537795619258</v>
      </c>
      <c r="T314" s="58">
        <f>_xlfn.STDEV.S(S311:S313)</f>
        <v>7.5188841513307075E-3</v>
      </c>
      <c r="U314" s="58">
        <f>AVERAGE(U311:U313)</f>
        <v>13.529589462078787</v>
      </c>
      <c r="V314" s="58">
        <f>_xlfn.STDEV.S(U311:U313)</f>
        <v>0.15888425827877706</v>
      </c>
      <c r="W314" s="58">
        <f>AVERAGE(W311:W313)</f>
        <v>0</v>
      </c>
      <c r="X314" s="58">
        <f>_xlfn.STDEV.S(W311:W313)</f>
        <v>0</v>
      </c>
      <c r="Y314" s="59">
        <f>AVERAGE(Y311:Y313)</f>
        <v>0.1856170503646227</v>
      </c>
      <c r="Z314" s="58">
        <f>_xlfn.STDEV.S(Y311:Y313)</f>
        <v>8.3176306752052367E-3</v>
      </c>
      <c r="AA314" s="58">
        <f>AVERAGE(AA311:AA313)</f>
        <v>0</v>
      </c>
      <c r="AB314" s="58">
        <f>_xlfn.STDEV.S(AA311:AA313)</f>
        <v>0</v>
      </c>
      <c r="AC314" s="58">
        <f>AVERAGE(AC311:AC313)</f>
        <v>2.4130356087363043E-2</v>
      </c>
      <c r="AD314" s="58">
        <f>_xlfn.STDEV.S(AC311:AC313)</f>
        <v>8.8056871660112893E-3</v>
      </c>
      <c r="AE314" s="58">
        <f>AVERAGE(AE311:AE313)</f>
        <v>5.5121731259676574</v>
      </c>
      <c r="AF314" s="58">
        <f>_xlfn.STDEV.S(AE311:AE313)</f>
        <v>7.5490977102797244E-2</v>
      </c>
      <c r="AG314" s="58">
        <f>AVERAGE(AG311:AG313)</f>
        <v>0.89536543909779043</v>
      </c>
      <c r="AH314" s="58">
        <f>_xlfn.STDEV.S(AG311:AG313)</f>
        <v>2.1451115728260986E-2</v>
      </c>
      <c r="AI314" s="58">
        <f>AVERAGE(AI311:AI313)</f>
        <v>0</v>
      </c>
      <c r="AJ314" s="57">
        <f>_xlfn.STDEV.S(AI311:AI313)</f>
        <v>0</v>
      </c>
      <c r="AK314" s="77">
        <f>AVERAGE(AK311:AK313)</f>
        <v>0.69799469940225067</v>
      </c>
      <c r="AL314" s="77">
        <f>_xlfn.STDEV.S(AK311:AK313)</f>
        <v>3.6097157958293442E-2</v>
      </c>
      <c r="AM314" s="77">
        <f>AVERAGE(AM311:AM313)</f>
        <v>0.69799469940225067</v>
      </c>
      <c r="AN314" s="77">
        <f>_xlfn.STDEV.S(AM311:AM313)</f>
        <v>3.6097157958293442E-2</v>
      </c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59">
        <f>SUM(AK314,AO314,AS314)</f>
        <v>0.69799469940225067</v>
      </c>
      <c r="AZ314" s="59">
        <f>SUM(AL314,AP314,AT314)</f>
        <v>3.6097157958293442E-2</v>
      </c>
      <c r="BA314" s="60"/>
      <c r="BB314" s="60"/>
      <c r="BC314" s="60"/>
      <c r="BD314" s="60"/>
      <c r="BE314" s="60"/>
      <c r="BF314" s="60"/>
      <c r="BG314" s="60">
        <f>AVERAGE(BG311:BG313)</f>
        <v>0.65666666666666662</v>
      </c>
      <c r="BH314" s="57">
        <f>_xlfn.STDEV.S(BG311:BG313)</f>
        <v>0.86858121861650506</v>
      </c>
      <c r="BI314" s="57">
        <f>AVERAGE(BI311:BI313)</f>
        <v>0</v>
      </c>
      <c r="BJ314" s="57" t="e">
        <f>_xlfn.STDEV.S(BH311:BH313)</f>
        <v>#DIV/0!</v>
      </c>
      <c r="BK314" s="57">
        <f>AVERAGE(BK311:BK313)</f>
        <v>0</v>
      </c>
      <c r="BL314" s="57">
        <f>_xlfn.STDEV.S(BK311:BK313)</f>
        <v>0</v>
      </c>
      <c r="BM314" s="57">
        <f>AVERAGE(BM311:BM313)</f>
        <v>0</v>
      </c>
      <c r="BN314" s="57" t="e">
        <f>_xlfn.STDEV.S(BL311:BL313)</f>
        <v>#DIV/0!</v>
      </c>
      <c r="BO314" s="59">
        <f>AVERAGE(BO311:BO313)</f>
        <v>1.0908084163898116E-2</v>
      </c>
      <c r="BP314" s="58">
        <f>_xlfn.STDEV.S(BO311:BO313)</f>
        <v>1.4428259445456899E-2</v>
      </c>
      <c r="BQ314" s="57">
        <f>AVERAGE(BQ311:BQ313)</f>
        <v>0</v>
      </c>
      <c r="BR314" s="57">
        <f>_xlfn.STDEV.S(BQ311:BQ313)</f>
        <v>0</v>
      </c>
      <c r="BS314" s="57">
        <f>AVERAGE(BS311:BS313)</f>
        <v>0</v>
      </c>
      <c r="BT314" s="57">
        <f>_xlfn.STDEV.S(BS311:BS313)</f>
        <v>0</v>
      </c>
      <c r="BU314" s="57">
        <f>AVERAGE(BU311:BU313)</f>
        <v>0</v>
      </c>
      <c r="BV314" s="57">
        <f>_xlfn.STDEV.S(BU311:BU313)</f>
        <v>0</v>
      </c>
      <c r="BW314" s="56">
        <f>AVERAGE(BW311:BW313)</f>
        <v>5.4540420819490585E-4</v>
      </c>
      <c r="BX314" s="55">
        <f>BQ314*0.05</f>
        <v>0</v>
      </c>
      <c r="BY314" s="55">
        <f>BS314*0.05</f>
        <v>0</v>
      </c>
      <c r="BZ314" s="54">
        <f>BU314*0.05</f>
        <v>0</v>
      </c>
    </row>
    <row r="315" spans="1:78" x14ac:dyDescent="0.3">
      <c r="A315" s="172" t="s">
        <v>98</v>
      </c>
      <c r="B315" s="95" t="s">
        <v>97</v>
      </c>
      <c r="C315" s="94">
        <v>21</v>
      </c>
      <c r="D315" s="93"/>
      <c r="E315" s="88"/>
      <c r="F315" s="86"/>
      <c r="G315" s="85"/>
      <c r="H315" s="90"/>
      <c r="I315" s="86"/>
      <c r="J315" s="92"/>
      <c r="K315" s="92"/>
      <c r="L315" s="91"/>
      <c r="M315" s="89"/>
      <c r="O315" s="88"/>
      <c r="Q315" s="88"/>
      <c r="S315" s="88"/>
      <c r="U315" s="88"/>
      <c r="W315" s="88"/>
      <c r="X315" s="88"/>
      <c r="Y315" s="89"/>
      <c r="AB315" s="88"/>
      <c r="AC315" s="88"/>
      <c r="AF315" s="88"/>
      <c r="AG315" s="88"/>
      <c r="AJ315" s="87"/>
      <c r="AK315" s="89"/>
      <c r="AL315" s="89"/>
      <c r="AM315" s="89"/>
      <c r="AN315" s="89"/>
      <c r="AY315" s="90"/>
      <c r="AZ315" s="90"/>
      <c r="BA315" s="90"/>
      <c r="BB315" s="90"/>
      <c r="BC315" s="90"/>
      <c r="BD315" s="90"/>
      <c r="BE315" s="90"/>
      <c r="BF315" s="90"/>
      <c r="BG315" s="90"/>
      <c r="BH315" s="87"/>
      <c r="BI315" s="87"/>
      <c r="BJ315" s="87"/>
      <c r="BK315" s="87"/>
      <c r="BL315" s="87"/>
      <c r="BM315" s="87"/>
      <c r="BN315" s="87"/>
      <c r="BO315" s="89"/>
      <c r="BP315" s="88"/>
      <c r="BQ315" s="87"/>
      <c r="BR315" s="87"/>
      <c r="BS315" s="87"/>
      <c r="BT315" s="87"/>
      <c r="BU315" s="87"/>
      <c r="BV315" s="87"/>
      <c r="BW315" s="86"/>
      <c r="BX315" s="85"/>
      <c r="BY315" s="85"/>
      <c r="BZ315" s="84"/>
    </row>
    <row r="316" spans="1:78" x14ac:dyDescent="0.3">
      <c r="A316" s="173"/>
      <c r="B316" s="70" t="s">
        <v>96</v>
      </c>
      <c r="C316" s="20">
        <v>21</v>
      </c>
      <c r="D316" s="69"/>
      <c r="E316" s="21"/>
      <c r="F316" s="52"/>
      <c r="I316" s="52"/>
      <c r="L316" s="68"/>
      <c r="AK316" s="22"/>
      <c r="AL316" s="22"/>
      <c r="AM316" s="22"/>
      <c r="AN316" s="22"/>
      <c r="BZ316" s="67"/>
    </row>
    <row r="317" spans="1:78" x14ac:dyDescent="0.3">
      <c r="A317" s="173"/>
      <c r="B317" s="70" t="s">
        <v>95</v>
      </c>
      <c r="C317" s="20">
        <v>21</v>
      </c>
      <c r="D317" s="69"/>
      <c r="E317" s="21"/>
      <c r="F317" s="52"/>
      <c r="I317" s="52"/>
      <c r="L317" s="68"/>
      <c r="AK317" s="22"/>
      <c r="AL317" s="22"/>
      <c r="AM317" s="22"/>
      <c r="AN317" s="22"/>
      <c r="BZ317" s="67"/>
    </row>
    <row r="318" spans="1:78" x14ac:dyDescent="0.3">
      <c r="A318" s="180"/>
      <c r="B318" s="83" t="s">
        <v>63</v>
      </c>
      <c r="C318" s="80">
        <v>21</v>
      </c>
      <c r="D318" s="79" t="e">
        <f>AVERAGE(D315:D317)</f>
        <v>#DIV/0!</v>
      </c>
      <c r="E318" s="76"/>
      <c r="F318" s="74" t="e">
        <f>AVERAGE(F315:F317)</f>
        <v>#DIV/0!</v>
      </c>
      <c r="G318" s="73" t="e">
        <f>_xlfn.STDEV.S(F315:F317)</f>
        <v>#DIV/0!</v>
      </c>
      <c r="H318" s="77" t="e">
        <f>AVERAGE(H315:H317)</f>
        <v>#DIV/0!</v>
      </c>
      <c r="I318" s="74" t="e">
        <f>AVERAGE(I315:I317)</f>
        <v>#DIV/0!</v>
      </c>
      <c r="J318" s="82" t="e">
        <f>_xlfn.STDEV.S(I315:I317)</f>
        <v>#DIV/0!</v>
      </c>
      <c r="K318" s="82" t="e">
        <f>(I318-$I$147)/(($AA$147-AA318)+($AI$147-AI318))*1000*0.05</f>
        <v>#DIV/0!</v>
      </c>
      <c r="L318" s="81" t="e">
        <f>_xlfn.STDEV.S(K315:K317)</f>
        <v>#DIV/0!</v>
      </c>
      <c r="M318" s="77" t="e">
        <f>AVERAGE(M315:M317)</f>
        <v>#DIV/0!</v>
      </c>
      <c r="N318" s="76" t="e">
        <f>_xlfn.STDEV.S(M315:M317)</f>
        <v>#DIV/0!</v>
      </c>
      <c r="O318" s="76" t="e">
        <f>AVERAGE(O315:O317)</f>
        <v>#DIV/0!</v>
      </c>
      <c r="P318" s="76" t="e">
        <f>_xlfn.STDEV.S(O315:O317)</f>
        <v>#DIV/0!</v>
      </c>
      <c r="Q318" s="76" t="e">
        <f>AVERAGE(Q315:Q317)</f>
        <v>#DIV/0!</v>
      </c>
      <c r="R318" s="76" t="e">
        <f>_xlfn.STDEV.S(Q315:Q317)</f>
        <v>#DIV/0!</v>
      </c>
      <c r="S318" s="76" t="e">
        <f>AVERAGE(S315:S317)</f>
        <v>#DIV/0!</v>
      </c>
      <c r="T318" s="76" t="e">
        <f>_xlfn.STDEV.S(S315:S317)</f>
        <v>#DIV/0!</v>
      </c>
      <c r="U318" s="76" t="e">
        <f>AVERAGE(U315:U317)</f>
        <v>#DIV/0!</v>
      </c>
      <c r="V318" s="76" t="e">
        <f>_xlfn.STDEV.S(U315:U317)</f>
        <v>#DIV/0!</v>
      </c>
      <c r="W318" s="76" t="e">
        <f>AVERAGE(W315:W317)</f>
        <v>#DIV/0!</v>
      </c>
      <c r="X318" s="76" t="e">
        <f>_xlfn.STDEV.S(W315:W317)</f>
        <v>#DIV/0!</v>
      </c>
      <c r="Y318" s="77" t="e">
        <f>AVERAGE(Y315:Y317)</f>
        <v>#DIV/0!</v>
      </c>
      <c r="Z318" s="76" t="e">
        <f>_xlfn.STDEV.S(Y315:Y317)</f>
        <v>#DIV/0!</v>
      </c>
      <c r="AA318" s="76" t="e">
        <f>AVERAGE(AA315:AA317)</f>
        <v>#DIV/0!</v>
      </c>
      <c r="AB318" s="76" t="e">
        <f>_xlfn.STDEV.S(AA315:AA317)</f>
        <v>#DIV/0!</v>
      </c>
      <c r="AC318" s="76" t="e">
        <f>AVERAGE(AC315:AC317)</f>
        <v>#DIV/0!</v>
      </c>
      <c r="AD318" s="76" t="e">
        <f>_xlfn.STDEV.S(AC315:AC317)</f>
        <v>#DIV/0!</v>
      </c>
      <c r="AE318" s="76" t="e">
        <f>AVERAGE(AE315:AE317)</f>
        <v>#DIV/0!</v>
      </c>
      <c r="AF318" s="76" t="e">
        <f>_xlfn.STDEV.S(AE315:AE317)</f>
        <v>#DIV/0!</v>
      </c>
      <c r="AG318" s="76" t="e">
        <f>AVERAGE(AG315:AG317)</f>
        <v>#DIV/0!</v>
      </c>
      <c r="AH318" s="76" t="e">
        <f>_xlfn.STDEV.S(AG315:AG317)</f>
        <v>#DIV/0!</v>
      </c>
      <c r="AI318" s="76" t="e">
        <f>AVERAGE(AI315:AI317)</f>
        <v>#DIV/0!</v>
      </c>
      <c r="AJ318" s="75" t="e">
        <f>_xlfn.STDEV.S(AI315:AI317)</f>
        <v>#DIV/0!</v>
      </c>
      <c r="AK318" s="77"/>
      <c r="AL318" s="77"/>
      <c r="AM318" s="77"/>
      <c r="AN318" s="77"/>
      <c r="AO318" s="78"/>
      <c r="AP318" s="78"/>
      <c r="AQ318" s="78"/>
      <c r="AR318" s="78"/>
      <c r="AS318" s="78"/>
      <c r="AT318" s="78"/>
      <c r="AU318" s="78"/>
      <c r="AV318" s="80"/>
      <c r="AW318" s="80"/>
      <c r="AX318" s="80"/>
      <c r="AY318" s="79"/>
      <c r="AZ318" s="77"/>
      <c r="BA318" s="78"/>
      <c r="BB318" s="78"/>
      <c r="BC318" s="78"/>
      <c r="BD318" s="78"/>
      <c r="BE318" s="78"/>
      <c r="BF318" s="78"/>
      <c r="BG318" s="78"/>
      <c r="BH318" s="75"/>
      <c r="BI318" s="75"/>
      <c r="BJ318" s="75"/>
      <c r="BK318" s="75"/>
      <c r="BL318" s="75"/>
      <c r="BM318" s="75"/>
      <c r="BN318" s="75"/>
      <c r="BO318" s="77" t="e">
        <f>AVERAGE(BO315:BO317)</f>
        <v>#DIV/0!</v>
      </c>
      <c r="BP318" s="76" t="e">
        <f>_xlfn.STDEV.S(BO315:BO317)</f>
        <v>#DIV/0!</v>
      </c>
      <c r="BQ318" s="75" t="e">
        <f>AVERAGE(BQ315:BQ317)</f>
        <v>#DIV/0!</v>
      </c>
      <c r="BR318" s="75" t="e">
        <f>_xlfn.STDEV.S(BQ315:BQ317)</f>
        <v>#DIV/0!</v>
      </c>
      <c r="BS318" s="75" t="e">
        <f>AVERAGE(BS315:BS317)</f>
        <v>#DIV/0!</v>
      </c>
      <c r="BT318" s="75" t="e">
        <f>_xlfn.STDEV.S(BS315:BS317)</f>
        <v>#DIV/0!</v>
      </c>
      <c r="BU318" s="75" t="e">
        <f>AVERAGE(BU315:BU317)</f>
        <v>#DIV/0!</v>
      </c>
      <c r="BV318" s="75" t="e">
        <f>_xlfn.STDEV.S(BU315:BU317)</f>
        <v>#DIV/0!</v>
      </c>
      <c r="BW318" s="74" t="e">
        <f>AVERAGE(BW315:BW317)</f>
        <v>#DIV/0!</v>
      </c>
      <c r="BX318" s="73" t="e">
        <f>BQ318*0.05</f>
        <v>#DIV/0!</v>
      </c>
      <c r="BY318" s="73" t="e">
        <f>BS318*0.05</f>
        <v>#DIV/0!</v>
      </c>
      <c r="BZ318" s="72" t="e">
        <f>BU318*0.05</f>
        <v>#DIV/0!</v>
      </c>
    </row>
    <row r="319" spans="1:78" x14ac:dyDescent="0.3">
      <c r="A319" s="174" t="s">
        <v>61</v>
      </c>
      <c r="B319" s="70" t="s">
        <v>94</v>
      </c>
      <c r="C319" s="20">
        <v>21</v>
      </c>
      <c r="D319" s="69">
        <v>7.54</v>
      </c>
      <c r="E319" s="21"/>
      <c r="F319" s="52">
        <v>1.45</v>
      </c>
      <c r="H319" s="37">
        <v>0.20899999999999999</v>
      </c>
      <c r="I319" s="52">
        <f>H319*0.2907</f>
        <v>6.0756299999999999E-2</v>
      </c>
      <c r="K319" s="53">
        <f>(I319-$I$151)/($BW$151-BW319)*1000*0.05</f>
        <v>0.27232273876677676</v>
      </c>
      <c r="L319" s="68"/>
      <c r="M319" s="22">
        <v>2.7688284600038484</v>
      </c>
      <c r="O319" s="21">
        <v>0</v>
      </c>
      <c r="Q319" s="21">
        <v>0.53526401251409306</v>
      </c>
      <c r="S319" s="21">
        <v>82.945377388359148</v>
      </c>
      <c r="U319" s="21">
        <v>13.750530139122926</v>
      </c>
      <c r="W319" s="21">
        <v>0</v>
      </c>
      <c r="Y319" s="22">
        <v>0.18072849049378534</v>
      </c>
      <c r="AA319" s="21">
        <v>0</v>
      </c>
      <c r="AC319" s="21">
        <v>3.4938046323456311E-2</v>
      </c>
      <c r="AE319" s="21">
        <v>5.4140561849088575</v>
      </c>
      <c r="AG319" s="21">
        <v>0.89753214813803683</v>
      </c>
      <c r="AI319" s="21">
        <v>0</v>
      </c>
      <c r="AK319" s="22">
        <f>8*(AG319-$AG$151)/(8*($BW$151-BW319))</f>
        <v>0.70066051115748962</v>
      </c>
      <c r="AL319" s="22"/>
      <c r="AM319" s="22">
        <f>(AG319-$AG$151)/($BW$151-BW319)</f>
        <v>0.70066051115748962</v>
      </c>
      <c r="AN319" s="22"/>
      <c r="BG319" s="37">
        <v>0.12</v>
      </c>
      <c r="BI319" s="2">
        <v>0</v>
      </c>
      <c r="BK319" s="2">
        <v>0</v>
      </c>
      <c r="BM319" s="2">
        <v>0</v>
      </c>
      <c r="BO319" s="22">
        <f>(BG319/1000)/60.2*1000</f>
        <v>1.9933554817275745E-3</v>
      </c>
      <c r="BQ319" s="2">
        <f>BI319/74.08</f>
        <v>0</v>
      </c>
      <c r="BS319" s="2">
        <f>(BK319/1000)/88.12*1000</f>
        <v>0</v>
      </c>
      <c r="BU319" s="2">
        <f>BM319/88.12</f>
        <v>0</v>
      </c>
      <c r="BW319" s="52">
        <f>BO319*0.05</f>
        <v>9.966777408637873E-5</v>
      </c>
      <c r="BX319" s="51">
        <f>BQ319*0.05</f>
        <v>0</v>
      </c>
      <c r="BY319" s="51">
        <f>BS319*0.05</f>
        <v>0</v>
      </c>
      <c r="BZ319" s="67">
        <f>BU319*0.05</f>
        <v>0</v>
      </c>
    </row>
    <row r="320" spans="1:78" x14ac:dyDescent="0.3">
      <c r="A320" s="173"/>
      <c r="B320" s="70" t="s">
        <v>93</v>
      </c>
      <c r="C320" s="20">
        <v>21</v>
      </c>
      <c r="D320" s="69">
        <v>7.42</v>
      </c>
      <c r="E320" s="21"/>
      <c r="F320" s="52">
        <v>1.425</v>
      </c>
      <c r="H320" s="37">
        <v>0.214</v>
      </c>
      <c r="I320" s="52">
        <f>H320*0.2907</f>
        <v>6.2209800000000003E-2</v>
      </c>
      <c r="K320" s="53">
        <f>(I320-$I$152)/($BW$152-BW320)*1000*0.05</f>
        <v>0.59344860587792014</v>
      </c>
      <c r="L320" s="68"/>
      <c r="M320" s="22">
        <v>2.9694502851101481</v>
      </c>
      <c r="O320" s="21">
        <v>0</v>
      </c>
      <c r="Q320" s="21">
        <v>0.24515446941831531</v>
      </c>
      <c r="S320" s="21">
        <v>83.119053188547397</v>
      </c>
      <c r="U320" s="21">
        <v>13.666342056924147</v>
      </c>
      <c r="W320" s="21">
        <v>0</v>
      </c>
      <c r="Y320" s="22">
        <v>0.19048180233713199</v>
      </c>
      <c r="AA320" s="21">
        <v>0</v>
      </c>
      <c r="AC320" s="21">
        <v>1.5725962956834563E-2</v>
      </c>
      <c r="AE320" s="21">
        <v>5.3318511979476204</v>
      </c>
      <c r="AG320" s="21">
        <v>0.87665702955592573</v>
      </c>
      <c r="AI320" s="21">
        <v>0</v>
      </c>
      <c r="AK320" s="22">
        <f>8*(AG320-$AG$152)/(8*($BW$152-BW320))</f>
        <v>0.6628328708775022</v>
      </c>
      <c r="AL320" s="22"/>
      <c r="AM320" s="22">
        <f>(AG320-$AG$152)/($BW$152-BW320)</f>
        <v>0.6628328708775022</v>
      </c>
      <c r="AN320" s="22"/>
      <c r="BG320" s="37">
        <v>1.1200000000000001</v>
      </c>
      <c r="BI320" s="2">
        <v>0</v>
      </c>
      <c r="BK320" s="2">
        <v>0</v>
      </c>
      <c r="BM320" s="2">
        <v>0</v>
      </c>
      <c r="BO320" s="22">
        <f>(BG320/1000)/60.2*1000</f>
        <v>1.8604651162790697E-2</v>
      </c>
      <c r="BQ320" s="2">
        <f>BI320/74.08</f>
        <v>0</v>
      </c>
      <c r="BS320" s="2">
        <f>(BK320/1000)/88.12*1000</f>
        <v>0</v>
      </c>
      <c r="BU320" s="2">
        <f>BM320/88.12</f>
        <v>0</v>
      </c>
      <c r="BW320" s="52">
        <f>BO320*0.05</f>
        <v>9.3023255813953494E-4</v>
      </c>
      <c r="BX320" s="51">
        <f>BQ320*0.05</f>
        <v>0</v>
      </c>
      <c r="BY320" s="51">
        <f>BS320*0.05</f>
        <v>0</v>
      </c>
      <c r="BZ320" s="67">
        <f>BU320*0.05</f>
        <v>0</v>
      </c>
    </row>
    <row r="321" spans="1:78" x14ac:dyDescent="0.3">
      <c r="A321" s="173"/>
      <c r="B321" s="70" t="s">
        <v>92</v>
      </c>
      <c r="C321" s="20">
        <v>21</v>
      </c>
      <c r="D321" s="69">
        <v>7.65</v>
      </c>
      <c r="E321" s="21"/>
      <c r="F321" s="52">
        <v>1.47</v>
      </c>
      <c r="G321" s="67"/>
      <c r="H321" s="37">
        <v>0.20300000000000001</v>
      </c>
      <c r="I321" s="52">
        <f>H321*0.2907</f>
        <v>5.9012100000000005E-2</v>
      </c>
      <c r="K321" s="53">
        <f>(I321-$I$153)/($BW$153-BW321)*1000*0.05</f>
        <v>0.36079643263302819</v>
      </c>
      <c r="L321" s="68"/>
      <c r="M321" s="22">
        <v>2.729782379431577</v>
      </c>
      <c r="O321" s="21">
        <v>0</v>
      </c>
      <c r="Q321" s="21">
        <v>0.34561586555719337</v>
      </c>
      <c r="S321" s="21">
        <v>83.230928041893321</v>
      </c>
      <c r="U321" s="21">
        <v>13.69367371311791</v>
      </c>
      <c r="W321" s="21">
        <v>0</v>
      </c>
      <c r="Y321" s="22">
        <v>0.18063750644708054</v>
      </c>
      <c r="AA321" s="21">
        <v>0</v>
      </c>
      <c r="AC321" s="21">
        <v>2.287039018685471E-2</v>
      </c>
      <c r="AE321" s="21">
        <v>5.5076285252799773</v>
      </c>
      <c r="AG321" s="21">
        <v>0.9061495496035219</v>
      </c>
      <c r="AI321" s="21">
        <v>0</v>
      </c>
      <c r="AK321" s="22">
        <f>8*(AG321-$AG$153)/(8*($BW$153-BW321))</f>
        <v>0.72558013455613424</v>
      </c>
      <c r="AL321" s="22"/>
      <c r="AM321" s="22">
        <f>(AG321-$AG$153)/($BW$153-BW321)</f>
        <v>0.72558013455613424</v>
      </c>
      <c r="AN321" s="22"/>
      <c r="BG321" s="37">
        <v>0.25</v>
      </c>
      <c r="BI321" s="2">
        <v>0</v>
      </c>
      <c r="BK321" s="2">
        <v>0</v>
      </c>
      <c r="BM321" s="2">
        <v>0</v>
      </c>
      <c r="BO321" s="22">
        <f>(BG321/1000)/60.2*1000</f>
        <v>4.152823920265781E-3</v>
      </c>
      <c r="BQ321" s="2">
        <f>BI321/74.08</f>
        <v>0</v>
      </c>
      <c r="BS321" s="2">
        <f>(BK321/1000)/88.12*1000</f>
        <v>0</v>
      </c>
      <c r="BU321" s="2">
        <f>BM321/88.12</f>
        <v>0</v>
      </c>
      <c r="BW321" s="52">
        <f>BO321*0.05</f>
        <v>2.0764119601328907E-4</v>
      </c>
      <c r="BX321" s="51">
        <f>BQ321*0.05</f>
        <v>0</v>
      </c>
      <c r="BY321" s="51">
        <f>BS321*0.05</f>
        <v>0</v>
      </c>
      <c r="BZ321" s="67">
        <f>BU321*0.05</f>
        <v>0</v>
      </c>
    </row>
    <row r="322" spans="1:78" ht="15" thickBot="1" x14ac:dyDescent="0.35">
      <c r="A322" s="175"/>
      <c r="B322" s="66" t="s">
        <v>63</v>
      </c>
      <c r="C322" s="65">
        <v>21</v>
      </c>
      <c r="D322" s="64">
        <f>AVERAGE(D319:D321)</f>
        <v>7.5366666666666662</v>
      </c>
      <c r="E322" s="64">
        <f>_xlfn.STDEV.S(D319:D321)</f>
        <v>0.11503622617824953</v>
      </c>
      <c r="F322" s="56">
        <f>AVERAGE(F319:F321)</f>
        <v>1.4483333333333333</v>
      </c>
      <c r="G322" s="55">
        <f>_xlfn.STDEV.S(F319:F321)</f>
        <v>2.2546248764114433E-2</v>
      </c>
      <c r="H322" s="60">
        <f>AVERAGE(H319:H321)</f>
        <v>0.20866666666666667</v>
      </c>
      <c r="I322" s="56">
        <f>AVERAGE(I319:I321)</f>
        <v>6.0659400000000002E-2</v>
      </c>
      <c r="J322" s="63">
        <f>_xlfn.STDEV.S(I319:I321)</f>
        <v>1.6010507580960687E-3</v>
      </c>
      <c r="K322" s="56">
        <f>AVERAGE(K319,K321)</f>
        <v>0.3165595856999025</v>
      </c>
      <c r="L322" s="62">
        <f>_xlfn.STDEV.S(K319,K321)</f>
        <v>6.2560348889448864E-2</v>
      </c>
      <c r="M322" s="59">
        <f>AVERAGE(M319:M321)</f>
        <v>2.8226870415151915</v>
      </c>
      <c r="N322" s="58">
        <f>_xlfn.STDEV.S(M319:M321)</f>
        <v>0.12859135412187936</v>
      </c>
      <c r="O322" s="58">
        <f>AVERAGE(O319:O321)</f>
        <v>0</v>
      </c>
      <c r="P322" s="58">
        <f>_xlfn.STDEV.S(O319:O321)</f>
        <v>0</v>
      </c>
      <c r="Q322" s="58">
        <f>AVERAGE(Q319:Q321)</f>
        <v>0.37534478249653391</v>
      </c>
      <c r="R322" s="58">
        <f>_xlfn.STDEV.S(Q319:Q321)</f>
        <v>0.14732190307486501</v>
      </c>
      <c r="S322" s="58">
        <f>AVERAGE(S319:S321)</f>
        <v>83.098452872933294</v>
      </c>
      <c r="T322" s="58">
        <f>_xlfn.STDEV.S(S319:S321)</f>
        <v>0.14388562710013469</v>
      </c>
      <c r="U322" s="58">
        <f>AVERAGE(U319:U321)</f>
        <v>13.703515303054994</v>
      </c>
      <c r="V322" s="58">
        <f>_xlfn.STDEV.S(U319:U321)</f>
        <v>4.2948235882796941E-2</v>
      </c>
      <c r="W322" s="58">
        <f>AVERAGE(W319:W321)</f>
        <v>0</v>
      </c>
      <c r="X322" s="58">
        <f>_xlfn.STDEV.S(W319:W321)</f>
        <v>0</v>
      </c>
      <c r="Y322" s="59">
        <f>AVERAGE(Y319:Y321)</f>
        <v>0.18394926642599929</v>
      </c>
      <c r="Z322" s="58">
        <f>_xlfn.STDEV.S(Y319:Y321)</f>
        <v>5.6575249532695377E-3</v>
      </c>
      <c r="AA322" s="58">
        <f>AVERAGE(AA319:AA321)</f>
        <v>0</v>
      </c>
      <c r="AB322" s="58">
        <f>_xlfn.STDEV.S(AA319:AA321)</f>
        <v>0</v>
      </c>
      <c r="AC322" s="58">
        <f>AVERAGE(AC319:AC321)</f>
        <v>2.4511466489048523E-2</v>
      </c>
      <c r="AD322" s="58">
        <f>_xlfn.STDEV.S(AC319:AC321)</f>
        <v>9.71060684992049E-3</v>
      </c>
      <c r="AE322" s="58">
        <f>AVERAGE(AE319:AE321)</f>
        <v>5.417845302712152</v>
      </c>
      <c r="AF322" s="58">
        <f>_xlfn.STDEV.S(AE319:AE321)</f>
        <v>8.7949901997228297E-2</v>
      </c>
      <c r="AG322" s="58">
        <f>AVERAGE(AG319:AG321)</f>
        <v>0.89344624243249482</v>
      </c>
      <c r="AH322" s="58">
        <f>_xlfn.STDEV.S(AG319:AG321)</f>
        <v>1.516486576813E-2</v>
      </c>
      <c r="AI322" s="58">
        <f>AVERAGE(AI319:AI321)</f>
        <v>0</v>
      </c>
      <c r="AJ322" s="57">
        <f>_xlfn.STDEV.S(AI319:AI321)</f>
        <v>0</v>
      </c>
      <c r="AK322" s="59">
        <f>AVERAGE(AK319:AK321)</f>
        <v>0.69635783886370861</v>
      </c>
      <c r="AL322" s="59">
        <f>_xlfn.STDEV.S(AK319:AK321)</f>
        <v>3.1594137374514539E-2</v>
      </c>
      <c r="AM322" s="59">
        <f>AVERAGE(AM319:AM321)</f>
        <v>0.69635783886370861</v>
      </c>
      <c r="AN322" s="64">
        <f>_xlfn.STDEV.S(AM319:AM321)</f>
        <v>3.1594137374514539E-2</v>
      </c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59">
        <f>SUM(AK322,AO322,AS322)</f>
        <v>0.69635783886370861</v>
      </c>
      <c r="AZ322" s="59">
        <f>SUM(AL322,AP322,AT322)</f>
        <v>3.1594137374514539E-2</v>
      </c>
      <c r="BA322" s="60"/>
      <c r="BB322" s="60"/>
      <c r="BC322" s="60"/>
      <c r="BD322" s="60"/>
      <c r="BE322" s="60"/>
      <c r="BF322" s="60"/>
      <c r="BG322" s="60">
        <f>AVERAGE(BG319:BG321)</f>
        <v>0.49666666666666676</v>
      </c>
      <c r="BH322" s="57">
        <f>_xlfn.STDEV.S(BG319:BG321)</f>
        <v>0.54372174256078198</v>
      </c>
      <c r="BI322" s="57">
        <f>AVERAGE(BI319:BI321)</f>
        <v>0</v>
      </c>
      <c r="BJ322" s="57" t="e">
        <f>_xlfn.STDEV.S(BH319:BH321)</f>
        <v>#DIV/0!</v>
      </c>
      <c r="BK322" s="57">
        <f>AVERAGE(BK319:BK321)</f>
        <v>0</v>
      </c>
      <c r="BL322" s="57">
        <f>_xlfn.STDEV.S(BK319:BK321)</f>
        <v>0</v>
      </c>
      <c r="BM322" s="57">
        <f>AVERAGE(BM319:BM321)</f>
        <v>0</v>
      </c>
      <c r="BN322" s="57" t="e">
        <f>_xlfn.STDEV.S(BL319:BL321)</f>
        <v>#DIV/0!</v>
      </c>
      <c r="BO322" s="59">
        <f>AVERAGE(BO319:BO321)</f>
        <v>8.2502768549280164E-3</v>
      </c>
      <c r="BP322" s="58">
        <f>_xlfn.STDEV.S(BO319:BO321)</f>
        <v>9.0319226339000361E-3</v>
      </c>
      <c r="BQ322" s="57">
        <f>AVERAGE(BQ319:BQ321)</f>
        <v>0</v>
      </c>
      <c r="BR322" s="57">
        <f>_xlfn.STDEV.S(BQ319:BQ321)</f>
        <v>0</v>
      </c>
      <c r="BS322" s="57">
        <f>AVERAGE(BS319:BS321)</f>
        <v>0</v>
      </c>
      <c r="BT322" s="57">
        <f>_xlfn.STDEV.S(BS319:BS321)</f>
        <v>0</v>
      </c>
      <c r="BU322" s="57">
        <f>AVERAGE(BU319:BU321)</f>
        <v>0</v>
      </c>
      <c r="BV322" s="57">
        <f>_xlfn.STDEV.S(BU319:BU321)</f>
        <v>0</v>
      </c>
      <c r="BW322" s="56">
        <f>AVERAGE(BW319:BW321)</f>
        <v>4.1251384274640092E-4</v>
      </c>
      <c r="BX322" s="55">
        <f>BQ322*0.05</f>
        <v>0</v>
      </c>
      <c r="BY322" s="55">
        <f>BS322*0.05</f>
        <v>0</v>
      </c>
      <c r="BZ322" s="54">
        <f>BU322*0.05</f>
        <v>0</v>
      </c>
    </row>
    <row r="323" spans="1:78" x14ac:dyDescent="0.3">
      <c r="B323" s="2"/>
      <c r="C323" s="2"/>
      <c r="D323" s="2"/>
      <c r="F323" s="2"/>
      <c r="H323" s="2"/>
      <c r="I323" s="109"/>
      <c r="J323" s="109"/>
      <c r="K323" s="109"/>
      <c r="L323" s="109"/>
      <c r="M323" s="21"/>
      <c r="Y323" s="21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O323" s="21"/>
      <c r="BW323" s="51"/>
    </row>
    <row r="324" spans="1:78" ht="15" thickBot="1" x14ac:dyDescent="0.35">
      <c r="B324" s="2"/>
      <c r="C324" s="2"/>
      <c r="D324" s="2"/>
      <c r="F324" s="2"/>
      <c r="H324" s="2"/>
      <c r="I324" s="109"/>
      <c r="J324" s="109"/>
      <c r="K324" s="109"/>
      <c r="L324" s="109"/>
      <c r="M324" s="21"/>
      <c r="Y324" s="21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O324" s="21"/>
      <c r="BW324" s="51"/>
    </row>
    <row r="325" spans="1:78" ht="15" thickBot="1" x14ac:dyDescent="0.35">
      <c r="B325" s="2"/>
      <c r="C325" s="2"/>
      <c r="D325" s="2"/>
      <c r="F325" s="2"/>
      <c r="H325" s="2"/>
      <c r="I325" s="108"/>
      <c r="J325" s="108"/>
      <c r="K325" s="108"/>
      <c r="L325" s="108"/>
      <c r="M325" s="184" t="s">
        <v>8</v>
      </c>
      <c r="N325" s="185"/>
      <c r="O325" s="185"/>
      <c r="P325" s="185"/>
      <c r="Q325" s="185"/>
      <c r="R325" s="185"/>
      <c r="S325" s="185"/>
      <c r="T325" s="185"/>
      <c r="U325" s="185"/>
      <c r="V325" s="185"/>
      <c r="W325" s="185"/>
      <c r="X325" s="186"/>
      <c r="AI325" s="58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187" t="s">
        <v>10</v>
      </c>
      <c r="BH325" s="188"/>
      <c r="BI325" s="188"/>
      <c r="BJ325" s="188"/>
      <c r="BK325" s="188"/>
      <c r="BL325" s="188"/>
      <c r="BM325" s="188"/>
      <c r="BN325" s="188"/>
      <c r="BO325" s="107"/>
      <c r="BP325" s="106"/>
      <c r="BQ325" s="105"/>
      <c r="BR325" s="105"/>
      <c r="BS325" s="105"/>
      <c r="BT325" s="105"/>
      <c r="BU325" s="105"/>
      <c r="BV325" s="105"/>
      <c r="BW325" s="104"/>
      <c r="BX325" s="104"/>
      <c r="BY325" s="104"/>
      <c r="BZ325" s="104"/>
    </row>
    <row r="326" spans="1:78" ht="16.2" thickBot="1" x14ac:dyDescent="0.35">
      <c r="B326" s="2"/>
      <c r="C326" s="2"/>
      <c r="D326" s="2"/>
      <c r="F326" s="2"/>
      <c r="H326" s="103" t="s">
        <v>91</v>
      </c>
      <c r="I326" s="189" t="s">
        <v>90</v>
      </c>
      <c r="J326" s="190"/>
      <c r="K326" s="189" t="s">
        <v>44</v>
      </c>
      <c r="L326" s="190"/>
      <c r="M326" s="176" t="s">
        <v>89</v>
      </c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67" t="s">
        <v>88</v>
      </c>
      <c r="Z326" s="168"/>
      <c r="AA326" s="168"/>
      <c r="AB326" s="168"/>
      <c r="AC326" s="168"/>
      <c r="AD326" s="168"/>
      <c r="AE326" s="168"/>
      <c r="AF326" s="168"/>
      <c r="AG326" s="168"/>
      <c r="AH326" s="168"/>
      <c r="AI326" s="168"/>
      <c r="AJ326" s="7"/>
      <c r="AK326" s="5"/>
      <c r="AL326" s="6"/>
      <c r="AM326" s="5"/>
      <c r="AN326" s="6"/>
      <c r="AO326" s="5"/>
      <c r="AP326" s="6"/>
      <c r="AQ326" s="5"/>
      <c r="AR326" s="6"/>
      <c r="AS326" s="5"/>
      <c r="AT326" s="6"/>
      <c r="AU326" s="5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178" t="s">
        <v>13</v>
      </c>
      <c r="BH326" s="179"/>
      <c r="BI326" s="179"/>
      <c r="BJ326" s="179"/>
      <c r="BK326" s="179"/>
      <c r="BL326" s="179"/>
      <c r="BM326" s="179"/>
      <c r="BN326" s="179"/>
      <c r="BO326" s="178" t="s">
        <v>87</v>
      </c>
      <c r="BP326" s="179"/>
      <c r="BQ326" s="179"/>
      <c r="BR326" s="179"/>
      <c r="BS326" s="179"/>
      <c r="BT326" s="179"/>
      <c r="BU326" s="179"/>
      <c r="BV326" s="179"/>
      <c r="BW326" s="181" t="s">
        <v>86</v>
      </c>
      <c r="BX326" s="182"/>
      <c r="BY326" s="182"/>
      <c r="BZ326" s="183"/>
    </row>
    <row r="327" spans="1:78" ht="16.2" thickBot="1" x14ac:dyDescent="0.35">
      <c r="A327" s="8" t="s">
        <v>85</v>
      </c>
      <c r="B327" s="10" t="s">
        <v>84</v>
      </c>
      <c r="C327" s="11" t="s">
        <v>16</v>
      </c>
      <c r="D327" s="12" t="s">
        <v>0</v>
      </c>
      <c r="E327" s="12"/>
      <c r="F327" s="102" t="s">
        <v>83</v>
      </c>
      <c r="G327" s="101" t="s">
        <v>47</v>
      </c>
      <c r="H327" s="14" t="s">
        <v>82</v>
      </c>
      <c r="I327" s="49" t="s">
        <v>81</v>
      </c>
      <c r="J327" s="49" t="s">
        <v>47</v>
      </c>
      <c r="K327" s="49" t="s">
        <v>49</v>
      </c>
      <c r="L327" s="49" t="s">
        <v>47</v>
      </c>
      <c r="M327" s="99" t="s">
        <v>80</v>
      </c>
      <c r="N327" s="99" t="s">
        <v>47</v>
      </c>
      <c r="O327" s="99" t="s">
        <v>79</v>
      </c>
      <c r="P327" s="99" t="s">
        <v>47</v>
      </c>
      <c r="Q327" s="99" t="s">
        <v>78</v>
      </c>
      <c r="R327" s="99" t="s">
        <v>47</v>
      </c>
      <c r="S327" s="99" t="s">
        <v>77</v>
      </c>
      <c r="T327" s="99" t="s">
        <v>47</v>
      </c>
      <c r="U327" s="99" t="s">
        <v>76</v>
      </c>
      <c r="V327" s="99" t="s">
        <v>47</v>
      </c>
      <c r="W327" s="99" t="s">
        <v>59</v>
      </c>
      <c r="X327" s="100" t="s">
        <v>47</v>
      </c>
      <c r="Y327" s="99" t="s">
        <v>80</v>
      </c>
      <c r="Z327" s="99" t="s">
        <v>47</v>
      </c>
      <c r="AA327" s="99" t="s">
        <v>79</v>
      </c>
      <c r="AB327" s="99" t="s">
        <v>47</v>
      </c>
      <c r="AC327" s="99" t="s">
        <v>78</v>
      </c>
      <c r="AD327" s="99" t="s">
        <v>47</v>
      </c>
      <c r="AE327" s="99" t="s">
        <v>77</v>
      </c>
      <c r="AF327" s="99" t="s">
        <v>47</v>
      </c>
      <c r="AG327" s="99" t="s">
        <v>76</v>
      </c>
      <c r="AH327" s="99" t="s">
        <v>47</v>
      </c>
      <c r="AI327" s="99" t="s">
        <v>59</v>
      </c>
      <c r="AJ327" s="98" t="s">
        <v>47</v>
      </c>
      <c r="AK327" s="15" t="s">
        <v>50</v>
      </c>
      <c r="AL327" s="15" t="s">
        <v>47</v>
      </c>
      <c r="AM327" s="15" t="s">
        <v>75</v>
      </c>
      <c r="AN327" s="15" t="s">
        <v>47</v>
      </c>
      <c r="AO327" s="15" t="s">
        <v>51</v>
      </c>
      <c r="AP327" s="15" t="s">
        <v>47</v>
      </c>
      <c r="AQ327" s="15" t="s">
        <v>74</v>
      </c>
      <c r="AR327" s="15" t="s">
        <v>47</v>
      </c>
      <c r="AS327" s="15" t="s">
        <v>52</v>
      </c>
      <c r="AT327" s="15" t="s">
        <v>47</v>
      </c>
      <c r="AU327" s="15" t="s">
        <v>73</v>
      </c>
      <c r="AV327" s="15" t="s">
        <v>47</v>
      </c>
      <c r="AW327" s="15"/>
      <c r="AX327" s="15"/>
      <c r="AY327" s="15" t="s">
        <v>54</v>
      </c>
      <c r="AZ327" s="15" t="s">
        <v>47</v>
      </c>
      <c r="BA327" s="15" t="s">
        <v>72</v>
      </c>
      <c r="BB327" s="15" t="s">
        <v>47</v>
      </c>
      <c r="BC327" s="15" t="s">
        <v>71</v>
      </c>
      <c r="BD327" s="15" t="s">
        <v>47</v>
      </c>
      <c r="BE327" s="15" t="s">
        <v>70</v>
      </c>
      <c r="BF327" s="15" t="s">
        <v>47</v>
      </c>
      <c r="BG327" s="17" t="s">
        <v>30</v>
      </c>
      <c r="BH327" s="17"/>
      <c r="BI327" s="17" t="s">
        <v>31</v>
      </c>
      <c r="BJ327" s="17"/>
      <c r="BK327" s="17" t="s">
        <v>32</v>
      </c>
      <c r="BL327" s="17"/>
      <c r="BM327" s="17" t="s">
        <v>33</v>
      </c>
      <c r="BN327" s="17"/>
      <c r="BO327" s="97" t="s">
        <v>30</v>
      </c>
      <c r="BP327" s="97"/>
      <c r="BQ327" s="17" t="s">
        <v>31</v>
      </c>
      <c r="BR327" s="17"/>
      <c r="BS327" s="17" t="s">
        <v>32</v>
      </c>
      <c r="BT327" s="17"/>
      <c r="BU327" s="17" t="s">
        <v>33</v>
      </c>
      <c r="BV327" s="17"/>
      <c r="BW327" s="96" t="s">
        <v>30</v>
      </c>
      <c r="BX327" s="96" t="s">
        <v>31</v>
      </c>
      <c r="BY327" s="96" t="s">
        <v>32</v>
      </c>
      <c r="BZ327" s="96" t="s">
        <v>33</v>
      </c>
    </row>
    <row r="328" spans="1:78" x14ac:dyDescent="0.3">
      <c r="A328" s="172" t="s">
        <v>59</v>
      </c>
      <c r="B328" s="95" t="s">
        <v>69</v>
      </c>
      <c r="C328" s="94">
        <v>0</v>
      </c>
      <c r="D328" s="93">
        <v>7.09</v>
      </c>
      <c r="E328" s="88"/>
      <c r="F328" s="90">
        <v>1.5249999999999999</v>
      </c>
      <c r="G328" s="85"/>
      <c r="H328" s="90">
        <v>0.18099999999999999</v>
      </c>
      <c r="I328" s="92">
        <f>H328*0.2907</f>
        <v>5.2616700000000002E-2</v>
      </c>
      <c r="J328" s="92"/>
      <c r="K328" s="92"/>
      <c r="L328" s="91"/>
      <c r="M328" s="89">
        <v>0.37887396292546671</v>
      </c>
      <c r="O328" s="88">
        <v>0</v>
      </c>
      <c r="Q328" s="88">
        <v>0.29610304236198431</v>
      </c>
      <c r="S328" s="88">
        <v>85.726780771039259</v>
      </c>
      <c r="U328" s="88">
        <v>0</v>
      </c>
      <c r="W328" s="88">
        <v>13.598242223673282</v>
      </c>
      <c r="X328" s="88"/>
      <c r="Y328" s="89">
        <v>2.6009210705822162E-2</v>
      </c>
      <c r="AA328" s="88">
        <v>0</v>
      </c>
      <c r="AC328" s="88">
        <v>2.0327093368891335E-2</v>
      </c>
      <c r="AE328" s="88">
        <v>5.8850333419306908</v>
      </c>
      <c r="AG328" s="88">
        <v>0</v>
      </c>
      <c r="AI328" s="88">
        <v>0.93350185505859917</v>
      </c>
      <c r="AJ328" s="87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  <c r="BB328" s="90"/>
      <c r="BC328" s="90"/>
      <c r="BD328" s="90"/>
      <c r="BE328" s="90"/>
      <c r="BF328" s="90"/>
      <c r="BG328" s="37">
        <v>0</v>
      </c>
      <c r="BI328" s="2">
        <v>0</v>
      </c>
      <c r="BK328" s="2">
        <v>0</v>
      </c>
      <c r="BM328" s="2">
        <v>0</v>
      </c>
      <c r="BN328" s="87"/>
      <c r="BO328" s="89">
        <f>(BG328/1000)/60.2*1000</f>
        <v>0</v>
      </c>
      <c r="BP328" s="88"/>
      <c r="BQ328" s="87">
        <f>BI328/74.08</f>
        <v>0</v>
      </c>
      <c r="BR328" s="87"/>
      <c r="BS328" s="87">
        <f>(BK328/1000)/88.12*1000</f>
        <v>0</v>
      </c>
      <c r="BT328" s="87"/>
      <c r="BU328" s="87">
        <f>BM328/88.12</f>
        <v>0</v>
      </c>
      <c r="BV328" s="87"/>
      <c r="BW328" s="86">
        <f>BO328*0.05</f>
        <v>0</v>
      </c>
      <c r="BX328" s="85">
        <f t="shared" ref="BX328:BX359" si="21">BQ328*0.05</f>
        <v>0</v>
      </c>
      <c r="BY328" s="85">
        <f t="shared" ref="BY328:BY359" si="22">BS328*0.05</f>
        <v>0</v>
      </c>
      <c r="BZ328" s="84">
        <f t="shared" ref="BZ328:BZ359" si="23">BU328*0.05</f>
        <v>0</v>
      </c>
    </row>
    <row r="329" spans="1:78" x14ac:dyDescent="0.3">
      <c r="A329" s="173"/>
      <c r="B329" s="70" t="s">
        <v>68</v>
      </c>
      <c r="C329" s="20">
        <v>0</v>
      </c>
      <c r="D329" s="69">
        <v>7.04</v>
      </c>
      <c r="E329" s="21"/>
      <c r="F329" s="37">
        <v>1.56</v>
      </c>
      <c r="H329" s="37">
        <v>0.17</v>
      </c>
      <c r="I329" s="53">
        <f>H329*0.2907</f>
        <v>4.9419000000000005E-2</v>
      </c>
      <c r="L329" s="68"/>
      <c r="M329" s="22">
        <v>0.40236019833175429</v>
      </c>
      <c r="O329" s="21">
        <v>0</v>
      </c>
      <c r="Q329" s="21">
        <v>0.22376045116515569</v>
      </c>
      <c r="S329" s="21">
        <v>86.353900769939756</v>
      </c>
      <c r="U329" s="21">
        <v>0</v>
      </c>
      <c r="W329" s="21">
        <v>13.019978580563313</v>
      </c>
      <c r="Y329" s="22">
        <v>2.8255446895453035E-2</v>
      </c>
      <c r="AA329" s="21">
        <v>0</v>
      </c>
      <c r="AC329" s="21">
        <v>1.571341194137368E-2</v>
      </c>
      <c r="AE329" s="21">
        <v>6.064138718334287</v>
      </c>
      <c r="AG329" s="21">
        <v>0</v>
      </c>
      <c r="AI329" s="21">
        <v>0.91431835178616161</v>
      </c>
      <c r="BG329" s="37">
        <v>0</v>
      </c>
      <c r="BI329" s="2">
        <v>0</v>
      </c>
      <c r="BK329" s="2">
        <v>0</v>
      </c>
      <c r="BM329" s="2">
        <v>0</v>
      </c>
      <c r="BO329" s="22">
        <f>(BG329/1000)/60.2*1000</f>
        <v>0</v>
      </c>
      <c r="BQ329" s="2">
        <f>BI329/74.08</f>
        <v>0</v>
      </c>
      <c r="BS329" s="2">
        <f>(BK329/1000)/88.12*1000</f>
        <v>0</v>
      </c>
      <c r="BU329" s="2">
        <f>BM329/88.12</f>
        <v>0</v>
      </c>
      <c r="BW329" s="52">
        <f>BO329*0.05</f>
        <v>0</v>
      </c>
      <c r="BX329" s="51">
        <f t="shared" si="21"/>
        <v>0</v>
      </c>
      <c r="BY329" s="51">
        <f t="shared" si="22"/>
        <v>0</v>
      </c>
      <c r="BZ329" s="67">
        <f t="shared" si="23"/>
        <v>0</v>
      </c>
    </row>
    <row r="330" spans="1:78" x14ac:dyDescent="0.3">
      <c r="A330" s="173"/>
      <c r="B330" s="70" t="s">
        <v>67</v>
      </c>
      <c r="C330" s="20">
        <v>0</v>
      </c>
      <c r="D330" s="69">
        <v>7.03</v>
      </c>
      <c r="E330" s="21"/>
      <c r="F330" s="37">
        <v>1.54</v>
      </c>
      <c r="H330" s="37">
        <v>0.17499999999999999</v>
      </c>
      <c r="I330" s="53">
        <f>H330*0.2907</f>
        <v>5.0872500000000001E-2</v>
      </c>
      <c r="L330" s="68"/>
      <c r="M330" s="22">
        <v>0.30933979346687518</v>
      </c>
      <c r="O330" s="21">
        <v>0</v>
      </c>
      <c r="Q330" s="21">
        <v>0.32770057104233336</v>
      </c>
      <c r="S330" s="21">
        <v>86.873109498982714</v>
      </c>
      <c r="U330" s="21">
        <v>0</v>
      </c>
      <c r="W330" s="21">
        <v>12.489850136508071</v>
      </c>
      <c r="Y330" s="22">
        <v>2.1444655841090465E-2</v>
      </c>
      <c r="AA330" s="21">
        <v>0</v>
      </c>
      <c r="AC330" s="21">
        <v>2.2717497435984318E-2</v>
      </c>
      <c r="AE330" s="21">
        <v>6.0223869492255986</v>
      </c>
      <c r="AG330" s="21">
        <v>0</v>
      </c>
      <c r="AI330" s="21">
        <v>0.86584572480130428</v>
      </c>
      <c r="BG330" s="37">
        <v>0</v>
      </c>
      <c r="BI330" s="2">
        <v>0</v>
      </c>
      <c r="BK330" s="2">
        <v>0</v>
      </c>
      <c r="BM330" s="2">
        <v>0</v>
      </c>
      <c r="BO330" s="22">
        <f>(BG330/1000)/60.2*1000</f>
        <v>0</v>
      </c>
      <c r="BQ330" s="2">
        <f>BI330/74.08</f>
        <v>0</v>
      </c>
      <c r="BS330" s="2">
        <f>(BK330/1000)/88.12*1000</f>
        <v>0</v>
      </c>
      <c r="BU330" s="2">
        <f>BM330/88.12</f>
        <v>0</v>
      </c>
      <c r="BW330" s="52">
        <f>BO330*0.05</f>
        <v>0</v>
      </c>
      <c r="BX330" s="51">
        <f t="shared" si="21"/>
        <v>0</v>
      </c>
      <c r="BY330" s="51">
        <f t="shared" si="22"/>
        <v>0</v>
      </c>
      <c r="BZ330" s="67">
        <f t="shared" si="23"/>
        <v>0</v>
      </c>
    </row>
    <row r="331" spans="1:78" x14ac:dyDescent="0.3">
      <c r="A331" s="173"/>
      <c r="B331" s="83" t="s">
        <v>63</v>
      </c>
      <c r="C331" s="80">
        <v>0</v>
      </c>
      <c r="D331" s="79">
        <f>AVERAGE(D328:D330)</f>
        <v>7.0533333333333337</v>
      </c>
      <c r="E331" s="76">
        <f>_xlfn.STDEV.S(D328:D330)</f>
        <v>3.2145502536643007E-2</v>
      </c>
      <c r="F331" s="78">
        <f>AVERAGE(F328:F330)</f>
        <v>1.5416666666666667</v>
      </c>
      <c r="G331" s="73">
        <f>_xlfn.STDEV.S(F328:F330)</f>
        <v>1.7559422921421299E-2</v>
      </c>
      <c r="H331" s="78">
        <f>AVERAGE(H328:H330)</f>
        <v>0.17533333333333334</v>
      </c>
      <c r="I331" s="82">
        <f>AVERAGE(I328:I330)</f>
        <v>5.0969399999999998E-2</v>
      </c>
      <c r="J331" s="82">
        <f>_xlfn.STDEV.S(I328:I330)</f>
        <v>1.6010507580960689E-3</v>
      </c>
      <c r="K331" s="82"/>
      <c r="L331" s="81" t="e">
        <f>_xlfn.STDEV.S(K328:K330)</f>
        <v>#DIV/0!</v>
      </c>
      <c r="M331" s="77">
        <f>AVERAGE(M328:M330)</f>
        <v>0.36352465157469876</v>
      </c>
      <c r="N331" s="76">
        <f>_xlfn.STDEV.S(M328:M330)</f>
        <v>4.8372512334109601E-2</v>
      </c>
      <c r="O331" s="76">
        <f>AVERAGE(O328:O330)</f>
        <v>0</v>
      </c>
      <c r="P331" s="76">
        <f>_xlfn.STDEV.S(O328:O330)</f>
        <v>0</v>
      </c>
      <c r="Q331" s="76">
        <f>AVERAGE(Q328:Q330)</f>
        <v>0.2825213548564911</v>
      </c>
      <c r="R331" s="76">
        <f>_xlfn.STDEV.S(Q328:Q330)</f>
        <v>5.3284461211906602E-2</v>
      </c>
      <c r="S331" s="76">
        <f>AVERAGE(S328:S330)</f>
        <v>86.31793034665391</v>
      </c>
      <c r="T331" s="76">
        <f>_xlfn.STDEV.S(S328:S330)</f>
        <v>0.57401027137206984</v>
      </c>
      <c r="U331" s="76">
        <f>AVERAGE(U328:U330)</f>
        <v>0</v>
      </c>
      <c r="V331" s="76">
        <f>_xlfn.STDEV.S(U328:U330)</f>
        <v>0</v>
      </c>
      <c r="W331" s="76">
        <f>AVERAGE(W328:W330)</f>
        <v>13.03602364691489</v>
      </c>
      <c r="X331" s="76">
        <f>_xlfn.STDEV.S(W328:W330)</f>
        <v>0.55437021730814751</v>
      </c>
      <c r="Y331" s="77">
        <f>AVERAGE(Y328:Y330)</f>
        <v>2.5236437814121885E-2</v>
      </c>
      <c r="Z331" s="76">
        <f>_xlfn.STDEV.S(Y328:Y330)</f>
        <v>3.4705334104653722E-3</v>
      </c>
      <c r="AA331" s="76">
        <f>AVERAGE(AA328:AA330)</f>
        <v>0</v>
      </c>
      <c r="AB331" s="76">
        <f>_xlfn.STDEV.S(AA328:AA330)</f>
        <v>0</v>
      </c>
      <c r="AC331" s="76">
        <f>AVERAGE(AC328:AC330)</f>
        <v>1.9586000915416443E-2</v>
      </c>
      <c r="AD331" s="76">
        <f>_xlfn.STDEV.S(AC328:AC330)</f>
        <v>3.5603675263098694E-3</v>
      </c>
      <c r="AE331" s="76">
        <f>AVERAGE(AE328:AE330)</f>
        <v>5.9905196698301921</v>
      </c>
      <c r="AF331" s="76">
        <f>_xlfn.STDEV.S(AE328:AE330)</f>
        <v>9.3708732710549109E-2</v>
      </c>
      <c r="AG331" s="76">
        <f>AVERAGE(AG328:AG330)</f>
        <v>0</v>
      </c>
      <c r="AH331" s="76">
        <f>_xlfn.STDEV.S(AG328:AG330)</f>
        <v>0</v>
      </c>
      <c r="AI331" s="76">
        <f>AVERAGE(AI328:AI330)</f>
        <v>0.90455531054868832</v>
      </c>
      <c r="AJ331" s="76">
        <f>_xlfn.STDEV.S(AI328:AI330)</f>
        <v>3.4868692562260863E-2</v>
      </c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  <c r="AV331" s="78"/>
      <c r="AW331" s="78"/>
      <c r="AX331" s="78"/>
      <c r="AY331" s="78"/>
      <c r="AZ331" s="78"/>
      <c r="BA331" s="78"/>
      <c r="BB331" s="78"/>
      <c r="BC331" s="78"/>
      <c r="BD331" s="78"/>
      <c r="BE331" s="78"/>
      <c r="BF331" s="78"/>
      <c r="BG331" s="77">
        <v>0</v>
      </c>
      <c r="BH331" s="76">
        <v>0</v>
      </c>
      <c r="BI331" s="75">
        <v>0</v>
      </c>
      <c r="BJ331" s="75">
        <v>0</v>
      </c>
      <c r="BK331" s="75">
        <v>0</v>
      </c>
      <c r="BL331" s="75">
        <v>0</v>
      </c>
      <c r="BM331" s="75">
        <v>0</v>
      </c>
      <c r="BN331" s="75">
        <v>0</v>
      </c>
      <c r="BO331" s="77">
        <f>AVERAGE(BO328:BO330)</f>
        <v>0</v>
      </c>
      <c r="BP331" s="76">
        <f>_xlfn.STDEV.S(BO328:BO330)</f>
        <v>0</v>
      </c>
      <c r="BQ331" s="75">
        <f>AVERAGE(BQ328:BQ330)</f>
        <v>0</v>
      </c>
      <c r="BR331" s="75">
        <f>_xlfn.STDEV.S(BQ328:BQ330)</f>
        <v>0</v>
      </c>
      <c r="BS331" s="75">
        <f>AVERAGE(BS328:BS330)</f>
        <v>0</v>
      </c>
      <c r="BT331" s="75">
        <f>_xlfn.STDEV.S(BS328:BS330)</f>
        <v>0</v>
      </c>
      <c r="BU331" s="75">
        <f>AVERAGE(BU328:BU330)</f>
        <v>0</v>
      </c>
      <c r="BV331" s="75">
        <f>_xlfn.STDEV.S(BU328:BU330)</f>
        <v>0</v>
      </c>
      <c r="BW331" s="74">
        <f>AVERAGE(BW328:BW330)</f>
        <v>0</v>
      </c>
      <c r="BX331" s="73">
        <f t="shared" si="21"/>
        <v>0</v>
      </c>
      <c r="BY331" s="73">
        <f t="shared" si="22"/>
        <v>0</v>
      </c>
      <c r="BZ331" s="72">
        <f t="shared" si="23"/>
        <v>0</v>
      </c>
    </row>
    <row r="332" spans="1:78" x14ac:dyDescent="0.3">
      <c r="A332" s="174" t="s">
        <v>60</v>
      </c>
      <c r="B332" s="70" t="s">
        <v>66</v>
      </c>
      <c r="C332" s="20">
        <v>0</v>
      </c>
      <c r="D332" s="69">
        <v>7.03</v>
      </c>
      <c r="E332" s="21"/>
      <c r="F332" s="37">
        <v>1.53</v>
      </c>
      <c r="H332" s="37">
        <v>0.10299999999999999</v>
      </c>
      <c r="I332" s="53">
        <f>H332*0.2907</f>
        <v>2.9942099999999999E-2</v>
      </c>
      <c r="L332" s="68"/>
      <c r="M332" s="22">
        <v>0.39228161506941184</v>
      </c>
      <c r="O332" s="21">
        <v>0</v>
      </c>
      <c r="Q332" s="21">
        <v>0.18040336355964742</v>
      </c>
      <c r="S332" s="21">
        <v>81.740748009715986</v>
      </c>
      <c r="U332" s="21">
        <v>0</v>
      </c>
      <c r="W332" s="21">
        <v>17.68656701165493</v>
      </c>
      <c r="Y332" s="22">
        <v>2.701792266172124E-2</v>
      </c>
      <c r="AA332" s="21">
        <v>0</v>
      </c>
      <c r="AC332" s="21">
        <v>1.2425063875875209E-2</v>
      </c>
      <c r="AE332" s="21">
        <v>5.6297953388587336</v>
      </c>
      <c r="AG332" s="21">
        <v>0</v>
      </c>
      <c r="AI332" s="21">
        <v>1.2181409510809973</v>
      </c>
      <c r="BG332" s="37">
        <v>0.02</v>
      </c>
      <c r="BI332" s="2">
        <v>0</v>
      </c>
      <c r="BK332" s="2">
        <v>0</v>
      </c>
      <c r="BM332" s="2">
        <v>0</v>
      </c>
      <c r="BO332" s="22">
        <f>(BG332/1000)/60.2*1000</f>
        <v>3.3222591362126248E-4</v>
      </c>
      <c r="BQ332" s="2">
        <f>BI332/74.08</f>
        <v>0</v>
      </c>
      <c r="BS332" s="2">
        <f>(BK332/1000)/88.12*1000</f>
        <v>0</v>
      </c>
      <c r="BU332" s="2">
        <f>BM332/88.12</f>
        <v>0</v>
      </c>
      <c r="BW332" s="52">
        <f>BO332*0.05</f>
        <v>1.6611295681063124E-5</v>
      </c>
      <c r="BX332" s="51">
        <f t="shared" si="21"/>
        <v>0</v>
      </c>
      <c r="BY332" s="51">
        <f t="shared" si="22"/>
        <v>0</v>
      </c>
      <c r="BZ332" s="67">
        <f t="shared" si="23"/>
        <v>0</v>
      </c>
    </row>
    <row r="333" spans="1:78" x14ac:dyDescent="0.3">
      <c r="A333" s="173"/>
      <c r="B333" s="70" t="s">
        <v>65</v>
      </c>
      <c r="C333" s="20">
        <v>0</v>
      </c>
      <c r="D333" s="69">
        <v>7.11</v>
      </c>
      <c r="E333" s="21"/>
      <c r="F333" s="37">
        <v>1.575</v>
      </c>
      <c r="H333" s="37">
        <v>0.123</v>
      </c>
      <c r="I333" s="53">
        <f>H333*0.2907</f>
        <v>3.5756099999999999E-2</v>
      </c>
      <c r="L333" s="68"/>
      <c r="M333" s="22">
        <v>0.34986207348608916</v>
      </c>
      <c r="O333" s="21">
        <v>0</v>
      </c>
      <c r="Q333" s="21">
        <v>0.15866985553792912</v>
      </c>
      <c r="S333" s="21">
        <v>83.281183710258361</v>
      </c>
      <c r="U333" s="21">
        <v>0</v>
      </c>
      <c r="W333" s="21">
        <v>16.210284360717612</v>
      </c>
      <c r="Y333" s="22">
        <v>2.4805043473344637E-2</v>
      </c>
      <c r="AA333" s="21">
        <v>0</v>
      </c>
      <c r="AC333" s="21">
        <v>1.1249612240933959E-2</v>
      </c>
      <c r="AE333" s="21">
        <v>5.904593664184917</v>
      </c>
      <c r="AG333" s="21">
        <v>0</v>
      </c>
      <c r="AI333" s="21">
        <v>1.1493009352980543</v>
      </c>
      <c r="BG333" s="37">
        <v>0</v>
      </c>
      <c r="BI333" s="2">
        <v>0</v>
      </c>
      <c r="BK333" s="2">
        <v>0</v>
      </c>
      <c r="BM333" s="2">
        <v>0</v>
      </c>
      <c r="BO333" s="22">
        <f>(BG333/1000)/60.2*1000</f>
        <v>0</v>
      </c>
      <c r="BQ333" s="2">
        <f>BI333/74.08</f>
        <v>0</v>
      </c>
      <c r="BS333" s="2">
        <f>(BK333/1000)/88.12*1000</f>
        <v>0</v>
      </c>
      <c r="BU333" s="2">
        <f>BM333/88.12</f>
        <v>0</v>
      </c>
      <c r="BW333" s="52">
        <f>BO333*0.05</f>
        <v>0</v>
      </c>
      <c r="BX333" s="51">
        <f t="shared" si="21"/>
        <v>0</v>
      </c>
      <c r="BY333" s="51">
        <f t="shared" si="22"/>
        <v>0</v>
      </c>
      <c r="BZ333" s="67">
        <f t="shared" si="23"/>
        <v>0</v>
      </c>
    </row>
    <row r="334" spans="1:78" x14ac:dyDescent="0.3">
      <c r="A334" s="173"/>
      <c r="B334" s="70" t="s">
        <v>64</v>
      </c>
      <c r="C334" s="20">
        <v>0</v>
      </c>
      <c r="D334" s="69">
        <v>7.07</v>
      </c>
      <c r="E334" s="21"/>
      <c r="F334" s="37">
        <v>1.5649999999999999</v>
      </c>
      <c r="G334" s="67"/>
      <c r="H334" s="37">
        <v>0.111</v>
      </c>
      <c r="I334" s="53">
        <f>H334*0.2907</f>
        <v>3.2267700000000003E-2</v>
      </c>
      <c r="L334" s="68"/>
      <c r="M334" s="22">
        <v>0.35364055846527465</v>
      </c>
      <c r="O334" s="21">
        <v>0</v>
      </c>
      <c r="Q334" s="21">
        <v>0.17599749370093837</v>
      </c>
      <c r="S334" s="21">
        <v>83.395364231933115</v>
      </c>
      <c r="U334" s="21">
        <v>0</v>
      </c>
      <c r="W334" s="21">
        <v>16.074997715900675</v>
      </c>
      <c r="Y334" s="22">
        <v>2.4913742895644554E-2</v>
      </c>
      <c r="AA334" s="21">
        <v>0</v>
      </c>
      <c r="AC334" s="21">
        <v>1.2398906752584931E-2</v>
      </c>
      <c r="AE334" s="21">
        <v>5.8751481226580813</v>
      </c>
      <c r="AG334" s="21">
        <v>0</v>
      </c>
      <c r="AI334" s="21">
        <v>1.1324729320642908</v>
      </c>
      <c r="BG334" s="37">
        <v>0</v>
      </c>
      <c r="BI334" s="2">
        <v>0</v>
      </c>
      <c r="BK334" s="2">
        <v>0</v>
      </c>
      <c r="BM334" s="2">
        <v>0</v>
      </c>
      <c r="BO334" s="22">
        <f>(BG334/1000)/60.2*1000</f>
        <v>0</v>
      </c>
      <c r="BQ334" s="2">
        <f>BI334/74.08</f>
        <v>0</v>
      </c>
      <c r="BS334" s="2">
        <f>(BK334/1000)/88.12*1000</f>
        <v>0</v>
      </c>
      <c r="BU334" s="2">
        <f>BM334/88.12</f>
        <v>0</v>
      </c>
      <c r="BW334" s="52">
        <f>BO334*0.05</f>
        <v>0</v>
      </c>
      <c r="BX334" s="51">
        <f t="shared" si="21"/>
        <v>0</v>
      </c>
      <c r="BY334" s="51">
        <f t="shared" si="22"/>
        <v>0</v>
      </c>
      <c r="BZ334" s="67">
        <f t="shared" si="23"/>
        <v>0</v>
      </c>
    </row>
    <row r="335" spans="1:78" ht="15" thickBot="1" x14ac:dyDescent="0.35">
      <c r="A335" s="175"/>
      <c r="B335" s="66" t="s">
        <v>63</v>
      </c>
      <c r="C335" s="65">
        <v>0</v>
      </c>
      <c r="D335" s="64">
        <f>AVERAGE(D332:D334)</f>
        <v>7.07</v>
      </c>
      <c r="E335" s="64">
        <f>_xlfn.STDEV.S(D332:D334)</f>
        <v>4.0000000000000036E-2</v>
      </c>
      <c r="F335" s="60">
        <f>AVERAGE(F332:F334)</f>
        <v>1.5566666666666666</v>
      </c>
      <c r="G335" s="55">
        <f>_xlfn.STDEV.S(F332:F334)</f>
        <v>2.3629078131263002E-2</v>
      </c>
      <c r="H335" s="60">
        <f>AVERAGE(H332:H334)</f>
        <v>0.11233333333333333</v>
      </c>
      <c r="I335" s="63">
        <f>AVERAGE(I332:I334)</f>
        <v>3.2655299999999998E-2</v>
      </c>
      <c r="J335" s="63">
        <f>_xlfn.STDEV.S(I332:I334)</f>
        <v>2.9263158271109419E-3</v>
      </c>
      <c r="K335" s="63"/>
      <c r="L335" s="62" t="e">
        <f>_xlfn.STDEV.S(K332:K334)</f>
        <v>#DIV/0!</v>
      </c>
      <c r="M335" s="59">
        <f>AVERAGE(M332:M334)</f>
        <v>0.36526141567359188</v>
      </c>
      <c r="N335" s="58">
        <f>_xlfn.STDEV.S(M332:M334)</f>
        <v>2.3476320383034568E-2</v>
      </c>
      <c r="O335" s="58">
        <f>AVERAGE(O332:O334)</f>
        <v>0</v>
      </c>
      <c r="P335" s="58">
        <f>_xlfn.STDEV.S(O332:O334)</f>
        <v>0</v>
      </c>
      <c r="Q335" s="58">
        <f>AVERAGE(Q332:Q334)</f>
        <v>0.17169023759950497</v>
      </c>
      <c r="R335" s="58">
        <f>_xlfn.STDEV.S(Q332:Q334)</f>
        <v>1.1489155063581696E-2</v>
      </c>
      <c r="S335" s="58">
        <f>AVERAGE(S332:S334)</f>
        <v>82.805765317302487</v>
      </c>
      <c r="T335" s="58">
        <f>_xlfn.STDEV.S(S332:S334)</f>
        <v>0.92409723350769746</v>
      </c>
      <c r="U335" s="58">
        <f>AVERAGE(U332:U334)</f>
        <v>0</v>
      </c>
      <c r="V335" s="58">
        <f>_xlfn.STDEV.S(U332:U334)</f>
        <v>0</v>
      </c>
      <c r="W335" s="58">
        <f>AVERAGE(W332:W334)</f>
        <v>16.657283029424406</v>
      </c>
      <c r="X335" s="58">
        <f>_xlfn.STDEV.S(W332:W334)</f>
        <v>0.89394896729270856</v>
      </c>
      <c r="Y335" s="59">
        <f>AVERAGE(Y332:Y334)</f>
        <v>2.5578903010236808E-2</v>
      </c>
      <c r="Z335" s="58">
        <f>_xlfn.STDEV.S(Y332:Y334)</f>
        <v>1.2474121448506348E-3</v>
      </c>
      <c r="AA335" s="58">
        <f>AVERAGE(AA332:AA334)</f>
        <v>0</v>
      </c>
      <c r="AB335" s="58">
        <f>_xlfn.STDEV.S(AA332:AA334)</f>
        <v>0</v>
      </c>
      <c r="AC335" s="58">
        <f>AVERAGE(AC332:AC334)</f>
        <v>1.2024527623131366E-2</v>
      </c>
      <c r="AD335" s="58">
        <f>_xlfn.STDEV.S(AC332:AC334)</f>
        <v>6.7122383446159074E-4</v>
      </c>
      <c r="AE335" s="58">
        <f>AVERAGE(AE332:AE334)</f>
        <v>5.8031790419005773</v>
      </c>
      <c r="AF335" s="58">
        <f>_xlfn.STDEV.S(AE332:AE334)</f>
        <v>0.1508747538169618</v>
      </c>
      <c r="AG335" s="58">
        <f>AVERAGE(AG332:AG334)</f>
        <v>0</v>
      </c>
      <c r="AH335" s="58">
        <f>_xlfn.STDEV.S(AG332:AG334)</f>
        <v>0</v>
      </c>
      <c r="AI335" s="58">
        <f>AVERAGE(AI332:AI334)</f>
        <v>1.1666382728144473</v>
      </c>
      <c r="AJ335" s="58">
        <f>_xlfn.STDEV.S(AI332:AI334)</f>
        <v>4.5389313992168875E-2</v>
      </c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  <c r="BF335" s="60"/>
      <c r="BG335" s="59">
        <v>6.6666666666666671E-3</v>
      </c>
      <c r="BH335" s="58">
        <v>1.1547005383792516E-2</v>
      </c>
      <c r="BI335" s="57">
        <v>0</v>
      </c>
      <c r="BJ335" s="57">
        <v>0</v>
      </c>
      <c r="BK335" s="57">
        <v>0</v>
      </c>
      <c r="BL335" s="57">
        <v>0</v>
      </c>
      <c r="BM335" s="57">
        <v>0</v>
      </c>
      <c r="BN335" s="57">
        <v>0</v>
      </c>
      <c r="BO335" s="59">
        <f>AVERAGE(BO332:BO334)</f>
        <v>1.1074197120708749E-4</v>
      </c>
      <c r="BP335" s="58">
        <f>_xlfn.STDEV.S(BO332:BO334)</f>
        <v>1.9181072066100526E-4</v>
      </c>
      <c r="BQ335" s="57">
        <f>AVERAGE(BQ332:BQ334)</f>
        <v>0</v>
      </c>
      <c r="BR335" s="57">
        <f>_xlfn.STDEV.S(BQ332:BQ334)</f>
        <v>0</v>
      </c>
      <c r="BS335" s="57">
        <f>AVERAGE(BS332:BS334)</f>
        <v>0</v>
      </c>
      <c r="BT335" s="57">
        <f>_xlfn.STDEV.S(BS332:BS334)</f>
        <v>0</v>
      </c>
      <c r="BU335" s="57">
        <f>AVERAGE(BU332:BU334)</f>
        <v>0</v>
      </c>
      <c r="BV335" s="57">
        <f>_xlfn.STDEV.S(BU332:BU334)</f>
        <v>0</v>
      </c>
      <c r="BW335" s="56">
        <f>AVERAGE(BW332:BW334)</f>
        <v>5.5370985603543746E-6</v>
      </c>
      <c r="BX335" s="55">
        <f t="shared" si="21"/>
        <v>0</v>
      </c>
      <c r="BY335" s="55">
        <f t="shared" si="22"/>
        <v>0</v>
      </c>
      <c r="BZ335" s="54">
        <f t="shared" si="23"/>
        <v>0</v>
      </c>
    </row>
    <row r="336" spans="1:78" x14ac:dyDescent="0.3">
      <c r="A336" s="172" t="s">
        <v>59</v>
      </c>
      <c r="B336" s="95" t="s">
        <v>69</v>
      </c>
      <c r="C336" s="94">
        <v>1</v>
      </c>
      <c r="D336" s="93"/>
      <c r="E336" s="88"/>
      <c r="F336" s="90">
        <v>1.595</v>
      </c>
      <c r="G336" s="85"/>
      <c r="H336" s="90">
        <v>0.22800000000000001</v>
      </c>
      <c r="I336" s="92">
        <f>H336*0.2907</f>
        <v>6.6279600000000008E-2</v>
      </c>
      <c r="J336" s="92"/>
      <c r="K336" s="92"/>
      <c r="L336" s="91"/>
      <c r="M336" s="89">
        <v>7.7855366419174885</v>
      </c>
      <c r="O336" s="88">
        <v>0</v>
      </c>
      <c r="Q336" s="88">
        <v>0.21010173461490522</v>
      </c>
      <c r="S336" s="88">
        <v>82.879970275856664</v>
      </c>
      <c r="U336" s="88">
        <v>0</v>
      </c>
      <c r="W336" s="88">
        <v>9.1243913476109508</v>
      </c>
      <c r="X336" s="88"/>
      <c r="Y336" s="89">
        <v>0.55900000156507745</v>
      </c>
      <c r="AA336" s="88">
        <v>0</v>
      </c>
      <c r="AC336" s="88">
        <v>1.5085263274752465E-2</v>
      </c>
      <c r="AE336" s="88">
        <v>5.9507655855700801</v>
      </c>
      <c r="AG336" s="88">
        <v>0</v>
      </c>
      <c r="AI336" s="88">
        <v>0.65512950644063717</v>
      </c>
      <c r="AJ336" s="87"/>
      <c r="AK336" s="89">
        <f>8*(AG336-$AG$328)/(2*($AA$328-AA336)+2*($AI$328-AI336))</f>
        <v>0</v>
      </c>
      <c r="AL336" s="89"/>
      <c r="AM336" s="89">
        <f>(AG336-$AG$328)/(($AA$328-AA336)+($AI$328-AI336))</f>
        <v>0</v>
      </c>
      <c r="AN336" s="89"/>
      <c r="AO336" s="37">
        <f>8*(BW336-$BW$328)/(2*($AA$328-AA336)+2*($AI$328-AI336))</f>
        <v>0.3521896754342666</v>
      </c>
      <c r="AQ336" s="37">
        <f>(BW336-$BW$328)/(($AA$328-AA336)+($AI$328-AI336))</f>
        <v>8.8047418858566651E-2</v>
      </c>
      <c r="AS336" s="37">
        <f>14*(BX336-$BX$328)/(2*($AA$328-AA336)+2*($AI$328-AI336))</f>
        <v>0</v>
      </c>
      <c r="AU336" s="37">
        <f>(BX336-$BX$328)/(($AA$328-AA336)+($AI$328-AI336))</f>
        <v>0</v>
      </c>
      <c r="AY336" s="90"/>
      <c r="AZ336" s="90"/>
      <c r="BA336" s="90"/>
      <c r="BB336" s="90"/>
      <c r="BC336" s="90"/>
      <c r="BD336" s="90"/>
      <c r="BE336" s="90"/>
      <c r="BF336" s="90"/>
      <c r="BG336" s="90">
        <v>29.51</v>
      </c>
      <c r="BH336" s="87"/>
      <c r="BI336" s="87">
        <v>0</v>
      </c>
      <c r="BJ336" s="87"/>
      <c r="BK336" s="87">
        <v>0</v>
      </c>
      <c r="BL336" s="87"/>
      <c r="BM336" s="87">
        <v>0</v>
      </c>
      <c r="BN336" s="87"/>
      <c r="BO336" s="89">
        <f>(BG336/1000)/60.2*1000</f>
        <v>0.49019933554817274</v>
      </c>
      <c r="BP336" s="88"/>
      <c r="BQ336" s="87">
        <f>BI336/74.08</f>
        <v>0</v>
      </c>
      <c r="BR336" s="87"/>
      <c r="BS336" s="87">
        <f>(BK336/1000)/88.12*1000</f>
        <v>0</v>
      </c>
      <c r="BT336" s="87"/>
      <c r="BU336" s="87">
        <f>BM336/88.12</f>
        <v>0</v>
      </c>
      <c r="BV336" s="87"/>
      <c r="BW336" s="86">
        <f>BO336*0.05</f>
        <v>2.4509966777408639E-2</v>
      </c>
      <c r="BX336" s="85">
        <f t="shared" si="21"/>
        <v>0</v>
      </c>
      <c r="BY336" s="85">
        <f t="shared" si="22"/>
        <v>0</v>
      </c>
      <c r="BZ336" s="84">
        <f t="shared" si="23"/>
        <v>0</v>
      </c>
    </row>
    <row r="337" spans="1:78" x14ac:dyDescent="0.3">
      <c r="A337" s="173"/>
      <c r="B337" s="70" t="s">
        <v>68</v>
      </c>
      <c r="C337" s="20">
        <v>1</v>
      </c>
      <c r="D337" s="69"/>
      <c r="E337" s="21"/>
      <c r="F337" s="37">
        <v>1.56</v>
      </c>
      <c r="H337" s="37">
        <v>0.21</v>
      </c>
      <c r="I337" s="53">
        <f>H337*0.2907</f>
        <v>6.1047000000000004E-2</v>
      </c>
      <c r="L337" s="68"/>
      <c r="M337" s="22">
        <v>7.680134013137967</v>
      </c>
      <c r="O337" s="21">
        <v>0</v>
      </c>
      <c r="Q337" s="21">
        <v>0.40124384695765947</v>
      </c>
      <c r="S337" s="21">
        <v>82.629368946364878</v>
      </c>
      <c r="U337" s="21">
        <v>0</v>
      </c>
      <c r="W337" s="21">
        <v>9.2892531935395013</v>
      </c>
      <c r="Y337" s="22">
        <v>0.53933172231726767</v>
      </c>
      <c r="AA337" s="21">
        <v>0</v>
      </c>
      <c r="AC337" s="21">
        <v>2.8177051947100334E-2</v>
      </c>
      <c r="AE337" s="21">
        <v>5.8025862298232997</v>
      </c>
      <c r="AG337" s="21">
        <v>0</v>
      </c>
      <c r="AI337" s="21">
        <v>0.65233092486960975</v>
      </c>
      <c r="AK337" s="22">
        <f>8*(AG337-$AG$329)/(2*($AA$329-AA337)+2*($AI$329-AI337))</f>
        <v>0</v>
      </c>
      <c r="AL337" s="22"/>
      <c r="AM337" s="22">
        <f>(AG337-$AG$329)/(($AA$329-AA337)+($AI$329-AI337))</f>
        <v>0</v>
      </c>
      <c r="AN337" s="22"/>
      <c r="AO337" s="37">
        <f>8*(BW337-$BW$329)/(2*($AA$329-AA337)+2*($AI$329-AI337))</f>
        <v>0.56328943937286824</v>
      </c>
      <c r="AQ337" s="37">
        <f>(BW337-$BW$329)/(($AA$329-AA337)+($AI$329-AI337))</f>
        <v>0.14082235984321706</v>
      </c>
      <c r="AS337" s="37">
        <f>14*(BX337-$BX$329)/(2*($AA$329-AA337)+2*($AI$329-AI337))</f>
        <v>0</v>
      </c>
      <c r="AU337" s="37">
        <f>(BX337-$BX$329)/(($AA$329-AA337)+($AI$329-AI337))</f>
        <v>0</v>
      </c>
      <c r="BG337" s="37">
        <v>44.42</v>
      </c>
      <c r="BI337" s="2">
        <v>0</v>
      </c>
      <c r="BK337" s="2">
        <v>0</v>
      </c>
      <c r="BM337" s="2">
        <v>0</v>
      </c>
      <c r="BO337" s="22">
        <f>(BG337/1000)/60.2*1000</f>
        <v>0.73787375415282397</v>
      </c>
      <c r="BQ337" s="2">
        <f>BI337/74.08</f>
        <v>0</v>
      </c>
      <c r="BS337" s="2">
        <f>(BK337/1000)/88.12*1000</f>
        <v>0</v>
      </c>
      <c r="BU337" s="2">
        <f>BM337/88.12</f>
        <v>0</v>
      </c>
      <c r="BW337" s="52">
        <f>BO337*0.05</f>
        <v>3.6893687707641197E-2</v>
      </c>
      <c r="BX337" s="51">
        <f t="shared" si="21"/>
        <v>0</v>
      </c>
      <c r="BY337" s="51">
        <f t="shared" si="22"/>
        <v>0</v>
      </c>
      <c r="BZ337" s="67">
        <f t="shared" si="23"/>
        <v>0</v>
      </c>
    </row>
    <row r="338" spans="1:78" x14ac:dyDescent="0.3">
      <c r="A338" s="173"/>
      <c r="B338" s="70" t="s">
        <v>67</v>
      </c>
      <c r="C338" s="20">
        <v>1</v>
      </c>
      <c r="D338" s="69"/>
      <c r="E338" s="21"/>
      <c r="F338" s="37">
        <v>1.5449999999999999</v>
      </c>
      <c r="H338" s="37">
        <v>0.20899999999999999</v>
      </c>
      <c r="I338" s="53">
        <f>H338*0.2907</f>
        <v>6.0756299999999999E-2</v>
      </c>
      <c r="L338" s="68"/>
      <c r="M338" s="22">
        <v>6.9608966957445535</v>
      </c>
      <c r="O338" s="21">
        <v>0</v>
      </c>
      <c r="Q338" s="21">
        <v>0.14071101531958644</v>
      </c>
      <c r="S338" s="21">
        <v>84.022885930479447</v>
      </c>
      <c r="U338" s="21">
        <v>0</v>
      </c>
      <c r="W338" s="21">
        <v>8.8755063584564038</v>
      </c>
      <c r="Y338" s="22">
        <v>0.48412358546480061</v>
      </c>
      <c r="AA338" s="21">
        <v>0</v>
      </c>
      <c r="AC338" s="21">
        <v>9.7863140667718597E-3</v>
      </c>
      <c r="AE338" s="21">
        <v>5.843709880457105</v>
      </c>
      <c r="AG338" s="21">
        <v>0</v>
      </c>
      <c r="AI338" s="21">
        <v>0.61728282272862411</v>
      </c>
      <c r="AK338" s="22">
        <f>8*(AG338-$AG$330)/(2*($AA$330-AA338)+2*($AI$330-AI338))</f>
        <v>0</v>
      </c>
      <c r="AL338" s="22"/>
      <c r="AM338" s="22">
        <f>(AG338-$AG$330)/(($AA$330-AA338)+($AI$330-AI338))</f>
        <v>0</v>
      </c>
      <c r="AN338" s="22"/>
      <c r="AO338" s="37">
        <f>8*(BW338-$BW$330)/(2*($AA$330-AA338)+2*($AI$330-AI338))</f>
        <v>0.3410969716283534</v>
      </c>
      <c r="AQ338" s="37">
        <f>(BW338-$BW$330)/(($AA$330-AA338)+($AI$330-AI338))</f>
        <v>8.5274242907088349E-2</v>
      </c>
      <c r="AS338" s="37">
        <f>14*(BX338-$BX$330)/(2*($AA$330-AA338)+2*($AI$330-AI338))</f>
        <v>0</v>
      </c>
      <c r="AU338" s="37">
        <f>(BX338-$BX$330)/(($AA$330-AA338)+($AI$330-AI338))</f>
        <v>0</v>
      </c>
      <c r="BG338" s="37">
        <v>25.52</v>
      </c>
      <c r="BI338" s="2">
        <v>0</v>
      </c>
      <c r="BK338" s="2">
        <v>0</v>
      </c>
      <c r="BM338" s="2">
        <v>0</v>
      </c>
      <c r="BO338" s="22">
        <f>(BG338/1000)/60.2*1000</f>
        <v>0.42392026578073089</v>
      </c>
      <c r="BQ338" s="2">
        <f>BI338/74.08</f>
        <v>0</v>
      </c>
      <c r="BS338" s="2">
        <f>(BK338/1000)/88.12*1000</f>
        <v>0</v>
      </c>
      <c r="BU338" s="2">
        <f>BM338/88.12</f>
        <v>0</v>
      </c>
      <c r="BW338" s="52">
        <f>BO338*0.05</f>
        <v>2.1196013289036544E-2</v>
      </c>
      <c r="BX338" s="51">
        <f t="shared" si="21"/>
        <v>0</v>
      </c>
      <c r="BY338" s="51">
        <f t="shared" si="22"/>
        <v>0</v>
      </c>
      <c r="BZ338" s="67">
        <f t="shared" si="23"/>
        <v>0</v>
      </c>
    </row>
    <row r="339" spans="1:78" x14ac:dyDescent="0.3">
      <c r="A339" s="173"/>
      <c r="B339" s="83" t="s">
        <v>63</v>
      </c>
      <c r="C339" s="80">
        <v>1</v>
      </c>
      <c r="D339" s="79" t="e">
        <f>AVERAGE(D336:D338)</f>
        <v>#DIV/0!</v>
      </c>
      <c r="E339" s="76"/>
      <c r="F339" s="78">
        <f>AVERAGE(F336:F338)</f>
        <v>1.5666666666666667</v>
      </c>
      <c r="G339" s="73">
        <f>_xlfn.STDEV.S(F336:F338)</f>
        <v>2.565800719723443E-2</v>
      </c>
      <c r="H339" s="78">
        <f>AVERAGE(H336:H338)</f>
        <v>0.21566666666666667</v>
      </c>
      <c r="I339" s="82">
        <f>AVERAGE(I336:I338)</f>
        <v>6.2694299999999994E-2</v>
      </c>
      <c r="J339" s="82">
        <f>_xlfn.STDEV.S(I336:I338)</f>
        <v>3.1083610938885502E-3</v>
      </c>
      <c r="K339" s="82"/>
      <c r="L339" s="81" t="e">
        <f>_xlfn.STDEV.S(K336:K338)</f>
        <v>#DIV/0!</v>
      </c>
      <c r="M339" s="77">
        <f>AVERAGE(M336:M338)</f>
        <v>7.4755224502666691</v>
      </c>
      <c r="N339" s="76">
        <f>_xlfn.STDEV.S(M336:M338)</f>
        <v>0.44878411174138216</v>
      </c>
      <c r="O339" s="76">
        <f>AVERAGE(O336:O338)</f>
        <v>0</v>
      </c>
      <c r="P339" s="76">
        <f>_xlfn.STDEV.S(O336:O338)</f>
        <v>0</v>
      </c>
      <c r="Q339" s="76">
        <f>AVERAGE(Q336:Q338)</f>
        <v>0.25068553229738372</v>
      </c>
      <c r="R339" s="76">
        <f>_xlfn.STDEV.S(Q336:Q338)</f>
        <v>0.1349245069143756</v>
      </c>
      <c r="S339" s="76">
        <f>AVERAGE(S336:S338)</f>
        <v>83.177408384233658</v>
      </c>
      <c r="T339" s="76">
        <f>_xlfn.STDEV.S(S336:S338)</f>
        <v>0.74284888603948696</v>
      </c>
      <c r="U339" s="76">
        <f>AVERAGE(U336:U338)</f>
        <v>0</v>
      </c>
      <c r="V339" s="76">
        <f>_xlfn.STDEV.S(U336:U338)</f>
        <v>0</v>
      </c>
      <c r="W339" s="76">
        <f>AVERAGE(W336:W338)</f>
        <v>9.0963836332022865</v>
      </c>
      <c r="X339" s="76">
        <f>_xlfn.STDEV.S(W336:W338)</f>
        <v>0.20829050610893909</v>
      </c>
      <c r="Y339" s="77">
        <f>AVERAGE(Y336:Y338)</f>
        <v>0.52748510311571517</v>
      </c>
      <c r="Z339" s="76">
        <f>_xlfn.STDEV.S(Y336:Y338)</f>
        <v>3.8818503473026782E-2</v>
      </c>
      <c r="AA339" s="76">
        <f>AVERAGE(AA336:AA338)</f>
        <v>0</v>
      </c>
      <c r="AB339" s="76">
        <f>_xlfn.STDEV.S(AA336:AA338)</f>
        <v>0</v>
      </c>
      <c r="AC339" s="76">
        <f>AVERAGE(AC336:AC338)</f>
        <v>1.7682876429541552E-2</v>
      </c>
      <c r="AD339" s="76">
        <f>_xlfn.STDEV.S(AC336:AC338)</f>
        <v>9.4665466524064251E-3</v>
      </c>
      <c r="AE339" s="76">
        <f>AVERAGE(AE336:AE338)</f>
        <v>5.8656872319501616</v>
      </c>
      <c r="AF339" s="76">
        <f>_xlfn.STDEV.S(AE336:AE338)</f>
        <v>7.6495315878619241E-2</v>
      </c>
      <c r="AG339" s="76">
        <f>AVERAGE(AG336:AG338)</f>
        <v>0</v>
      </c>
      <c r="AH339" s="76">
        <f>_xlfn.STDEV.S(AG336:AG338)</f>
        <v>0</v>
      </c>
      <c r="AI339" s="76">
        <f>AVERAGE(AI336:AI338)</f>
        <v>0.64158108467962371</v>
      </c>
      <c r="AJ339" s="76">
        <f>_xlfn.STDEV.S(AI336:AI338)</f>
        <v>2.1089385128115243E-2</v>
      </c>
      <c r="AK339" s="77">
        <f>AVERAGE(AK336:AK338)</f>
        <v>0</v>
      </c>
      <c r="AL339" s="77">
        <f>_xlfn.STDEV.S(AK336:AK338)</f>
        <v>0</v>
      </c>
      <c r="AM339" s="77">
        <f>AVERAGE(AM336:AM338)</f>
        <v>0</v>
      </c>
      <c r="AN339" s="77">
        <f>_xlfn.STDEV.S(AM336:AM338)</f>
        <v>0</v>
      </c>
      <c r="AO339" s="78">
        <f>AVERAGE(AO336:AO338)</f>
        <v>0.41885869547849608</v>
      </c>
      <c r="AP339" s="78">
        <f>_xlfn.STDEV.S(AO336:AO338)</f>
        <v>0.12520360160891042</v>
      </c>
      <c r="AQ339" s="78">
        <f>AVERAGE(AQ336:AQ338)</f>
        <v>0.10471467386962402</v>
      </c>
      <c r="AR339" s="78">
        <f>_xlfn.STDEV.S(AQ336:AQ338)</f>
        <v>3.1300900402227605E-2</v>
      </c>
      <c r="AS339" s="78">
        <f>AVERAGE(AS336:AS338)</f>
        <v>0</v>
      </c>
      <c r="AT339" s="78">
        <f>_xlfn.STDEV.S(AS336:AS338)</f>
        <v>0</v>
      </c>
      <c r="AU339" s="78">
        <f>AVERAGE(AU336:AU338)</f>
        <v>0</v>
      </c>
      <c r="AV339" s="80">
        <f>_xlfn.STDEV.S(AU336:AU338)</f>
        <v>0</v>
      </c>
      <c r="AW339" s="78"/>
      <c r="AX339" s="78"/>
      <c r="AY339" s="79">
        <f>SUM(AK339,AO339,AS339)</f>
        <v>0.41885869547849608</v>
      </c>
      <c r="AZ339" s="77">
        <f>SUM(AL339,AP339,AT339)</f>
        <v>0.12520360160891042</v>
      </c>
      <c r="BA339" s="78"/>
      <c r="BB339" s="78"/>
      <c r="BC339" s="78"/>
      <c r="BD339" s="78"/>
      <c r="BE339" s="78"/>
      <c r="BF339" s="78"/>
      <c r="BG339" s="77">
        <v>33.15</v>
      </c>
      <c r="BH339" s="76">
        <v>9.9619124669914711</v>
      </c>
      <c r="BI339" s="75">
        <v>0</v>
      </c>
      <c r="BJ339" s="75">
        <v>0</v>
      </c>
      <c r="BK339" s="75">
        <v>0</v>
      </c>
      <c r="BL339" s="75">
        <v>0</v>
      </c>
      <c r="BM339" s="75">
        <v>0</v>
      </c>
      <c r="BN339" s="75">
        <v>0</v>
      </c>
      <c r="BO339" s="77">
        <f>AVERAGE(BO336:BO338)</f>
        <v>0.55066445182724244</v>
      </c>
      <c r="BP339" s="76">
        <f>_xlfn.STDEV.S(BO336:BO338)</f>
        <v>0.16548027353806455</v>
      </c>
      <c r="BQ339" s="75">
        <f>AVERAGE(BQ336:BQ338)</f>
        <v>0</v>
      </c>
      <c r="BR339" s="75">
        <f>_xlfn.STDEV.S(BQ336:BQ338)</f>
        <v>0</v>
      </c>
      <c r="BS339" s="75">
        <f>AVERAGE(BS336:BS338)</f>
        <v>0</v>
      </c>
      <c r="BT339" s="75">
        <f>_xlfn.STDEV.S(BS336:BS338)</f>
        <v>0</v>
      </c>
      <c r="BU339" s="75">
        <f>AVERAGE(BU336:BU338)</f>
        <v>0</v>
      </c>
      <c r="BV339" s="75">
        <f>_xlfn.STDEV.S(BU336:BU338)</f>
        <v>0</v>
      </c>
      <c r="BW339" s="74">
        <f>AVERAGE(BW336:BW338)</f>
        <v>2.7533222591362125E-2</v>
      </c>
      <c r="BX339" s="73">
        <f t="shared" si="21"/>
        <v>0</v>
      </c>
      <c r="BY339" s="73">
        <f t="shared" si="22"/>
        <v>0</v>
      </c>
      <c r="BZ339" s="72">
        <f t="shared" si="23"/>
        <v>0</v>
      </c>
    </row>
    <row r="340" spans="1:78" x14ac:dyDescent="0.3">
      <c r="A340" s="174" t="s">
        <v>60</v>
      </c>
      <c r="B340" s="70" t="s">
        <v>66</v>
      </c>
      <c r="C340" s="20">
        <v>1</v>
      </c>
      <c r="D340" s="69"/>
      <c r="E340" s="21"/>
      <c r="F340" s="37">
        <v>1.64</v>
      </c>
      <c r="H340" s="37">
        <v>0.10199999999999999</v>
      </c>
      <c r="I340" s="53">
        <f>H340*0.2907</f>
        <v>2.9651399999999998E-2</v>
      </c>
      <c r="L340" s="68"/>
      <c r="M340" s="22">
        <v>4.2173383095489463</v>
      </c>
      <c r="O340" s="21">
        <v>0</v>
      </c>
      <c r="Q340" s="21">
        <v>0.4087378035357408</v>
      </c>
      <c r="S340" s="21">
        <v>83.842111345018068</v>
      </c>
      <c r="U340" s="21">
        <v>0</v>
      </c>
      <c r="W340" s="21">
        <v>11.531812541897235</v>
      </c>
      <c r="Y340" s="22">
        <v>0.31134712352374766</v>
      </c>
      <c r="AA340" s="21">
        <v>0</v>
      </c>
      <c r="AC340" s="21">
        <v>3.0175274086531201E-2</v>
      </c>
      <c r="AE340" s="21">
        <v>6.1896860724509972</v>
      </c>
      <c r="AG340" s="21">
        <v>0</v>
      </c>
      <c r="AI340" s="21">
        <v>0.85134186550919178</v>
      </c>
      <c r="AK340" s="22"/>
      <c r="AL340" s="22"/>
      <c r="AM340" s="22"/>
      <c r="AN340" s="22"/>
      <c r="AO340" s="37">
        <f>8*(BW340-$BW$332)/(2*($AA$332-AA340)+2*($AI$332-AI340))</f>
        <v>0.29436666058910643</v>
      </c>
      <c r="AQ340" s="37">
        <f>(BW340-$BW$332)/(($AA$332-AA340)+($AI$332-AI340))</f>
        <v>7.3591665147276608E-2</v>
      </c>
      <c r="AS340" s="37">
        <f>14*(BX340-$BX$332)/(2*($AA$332-AA340)+2*($AI$332-AI340))</f>
        <v>0</v>
      </c>
      <c r="AU340" s="37">
        <f>(BX340-$BX$332)/(($AA$332-AA340)+($AI$332-AI340))</f>
        <v>0</v>
      </c>
      <c r="BG340" s="37">
        <v>32.520000000000003</v>
      </c>
      <c r="BI340" s="2">
        <v>0</v>
      </c>
      <c r="BK340" s="2">
        <v>0</v>
      </c>
      <c r="BM340" s="2">
        <v>0</v>
      </c>
      <c r="BO340" s="22">
        <f>(BG340/1000)/60.2*1000</f>
        <v>0.54019933554817268</v>
      </c>
      <c r="BQ340" s="2">
        <f>BI340/74.08</f>
        <v>0</v>
      </c>
      <c r="BS340" s="2">
        <f>(BK340/1000)/88.12*1000</f>
        <v>0</v>
      </c>
      <c r="BU340" s="2">
        <f>BM340/88.12</f>
        <v>0</v>
      </c>
      <c r="BW340" s="52">
        <f>BO340*0.05</f>
        <v>2.7009966777408634E-2</v>
      </c>
      <c r="BX340" s="51">
        <f t="shared" si="21"/>
        <v>0</v>
      </c>
      <c r="BY340" s="51">
        <f t="shared" si="22"/>
        <v>0</v>
      </c>
      <c r="BZ340" s="67">
        <f t="shared" si="23"/>
        <v>0</v>
      </c>
    </row>
    <row r="341" spans="1:78" x14ac:dyDescent="0.3">
      <c r="A341" s="173"/>
      <c r="B341" s="70" t="s">
        <v>65</v>
      </c>
      <c r="C341" s="20">
        <v>1</v>
      </c>
      <c r="D341" s="69"/>
      <c r="E341" s="21"/>
      <c r="F341" s="37">
        <v>1.6</v>
      </c>
      <c r="H341" s="37">
        <v>0.109</v>
      </c>
      <c r="I341" s="53">
        <f>H341*0.2907</f>
        <v>3.1686300000000001E-2</v>
      </c>
      <c r="L341" s="68"/>
      <c r="M341" s="22">
        <v>4.0094942826375934</v>
      </c>
      <c r="O341" s="21">
        <v>0</v>
      </c>
      <c r="Q341" s="21">
        <v>0.17866549925697212</v>
      </c>
      <c r="S341" s="21">
        <v>84.620924304959743</v>
      </c>
      <c r="U341" s="21">
        <v>0</v>
      </c>
      <c r="W341" s="21">
        <v>11.190915913145702</v>
      </c>
      <c r="Y341" s="22">
        <v>0.2887833498707712</v>
      </c>
      <c r="AA341" s="21">
        <v>0</v>
      </c>
      <c r="AC341" s="21">
        <v>1.2868361380433417E-2</v>
      </c>
      <c r="AE341" s="21">
        <v>6.0948120304767217</v>
      </c>
      <c r="AG341" s="21">
        <v>0</v>
      </c>
      <c r="AI341" s="21">
        <v>0.80602439053594843</v>
      </c>
      <c r="AK341" s="22"/>
      <c r="AL341" s="22"/>
      <c r="AM341" s="22"/>
      <c r="AN341" s="22"/>
      <c r="AO341" s="37">
        <f>8*(BW341-$BW$333)/(2*($AA$333-AA341)+2*($AI$333-AI341))</f>
        <v>0.25463038243503999</v>
      </c>
      <c r="AQ341" s="37">
        <f>(BW341-$BW$333)/(($AA$333-AA341)+($AI$333-AI341))</f>
        <v>6.3657595608759998E-2</v>
      </c>
      <c r="AS341" s="37">
        <f>14*(BX341-$BX$333)/(2*($AA$333-AA341)+2*($AI$333-AI341))</f>
        <v>0</v>
      </c>
      <c r="AU341" s="37">
        <f>(BX341-$BX$333)/(($AA$333-AA341)+($AI$333-AI341))</f>
        <v>0</v>
      </c>
      <c r="BG341" s="37">
        <v>26.31</v>
      </c>
      <c r="BI341" s="2">
        <v>0</v>
      </c>
      <c r="BK341" s="2">
        <v>0</v>
      </c>
      <c r="BM341" s="2">
        <v>0</v>
      </c>
      <c r="BO341" s="22">
        <f>(BG341/1000)/60.2*1000</f>
        <v>0.43704318936877073</v>
      </c>
      <c r="BQ341" s="2">
        <f>BI341/74.08</f>
        <v>0</v>
      </c>
      <c r="BS341" s="2">
        <f>(BK341/1000)/88.12*1000</f>
        <v>0</v>
      </c>
      <c r="BU341" s="2">
        <f>BM341/88.12</f>
        <v>0</v>
      </c>
      <c r="BW341" s="52">
        <f>BO341*0.05</f>
        <v>2.1852159468438537E-2</v>
      </c>
      <c r="BX341" s="51">
        <f t="shared" si="21"/>
        <v>0</v>
      </c>
      <c r="BY341" s="51">
        <f t="shared" si="22"/>
        <v>0</v>
      </c>
      <c r="BZ341" s="67">
        <f t="shared" si="23"/>
        <v>0</v>
      </c>
    </row>
    <row r="342" spans="1:78" x14ac:dyDescent="0.3">
      <c r="A342" s="173"/>
      <c r="B342" s="70" t="s">
        <v>64</v>
      </c>
      <c r="C342" s="20">
        <v>1</v>
      </c>
      <c r="D342" s="69"/>
      <c r="E342" s="21"/>
      <c r="F342" s="37">
        <v>1.56</v>
      </c>
      <c r="G342" s="67"/>
      <c r="H342" s="37">
        <v>0.112</v>
      </c>
      <c r="I342" s="53">
        <f>H342*0.2907</f>
        <v>3.2558400000000001E-2</v>
      </c>
      <c r="L342" s="68"/>
      <c r="M342" s="22">
        <v>4.3175709318055926</v>
      </c>
      <c r="O342" s="21">
        <v>0</v>
      </c>
      <c r="Q342" s="21">
        <v>0.33824105733795196</v>
      </c>
      <c r="S342" s="21">
        <v>84.191123767624532</v>
      </c>
      <c r="U342" s="21">
        <v>0</v>
      </c>
      <c r="W342" s="21">
        <v>11.153064243231929</v>
      </c>
      <c r="Y342" s="22">
        <v>0.30319822061623825</v>
      </c>
      <c r="AA342" s="21">
        <v>0</v>
      </c>
      <c r="AC342" s="21">
        <v>2.375272771287959E-2</v>
      </c>
      <c r="AE342" s="21">
        <v>5.9122593053381767</v>
      </c>
      <c r="AG342" s="21">
        <v>0</v>
      </c>
      <c r="AI342" s="21">
        <v>0.78321567528998159</v>
      </c>
      <c r="AK342" s="22"/>
      <c r="AL342" s="22"/>
      <c r="AM342" s="22"/>
      <c r="AN342" s="22"/>
      <c r="AO342" s="37">
        <f>8*(BW342-$BW$334)/(2*($AA$334-AA342)+2*($AI$334-AI342))</f>
        <v>0.55675815883814306</v>
      </c>
      <c r="AQ342" s="37">
        <f>(BW342-$BW$334)/(($AA$334-AA342)+($AI$334-AI342))</f>
        <v>0.13918953970953576</v>
      </c>
      <c r="AS342" s="37">
        <f>14*(BX342-$BX$334)/(2*($AA$334-AA342)+2*($AI$334-AI342))</f>
        <v>0</v>
      </c>
      <c r="AU342" s="37">
        <f>(BX342-$BX$334)/(($AA$334-AA342)+($AI$334-AI342))</f>
        <v>0</v>
      </c>
      <c r="BG342" s="37">
        <v>58.53</v>
      </c>
      <c r="BI342" s="2">
        <v>0</v>
      </c>
      <c r="BK342" s="2">
        <v>0</v>
      </c>
      <c r="BM342" s="2">
        <v>0</v>
      </c>
      <c r="BO342" s="22">
        <f>(BG342/1000)/60.2*1000</f>
        <v>0.97225913621262461</v>
      </c>
      <c r="BQ342" s="2">
        <f>BI342/74.08</f>
        <v>0</v>
      </c>
      <c r="BS342" s="2">
        <f>(BK342/1000)/88.12*1000</f>
        <v>0</v>
      </c>
      <c r="BU342" s="2">
        <f>BM342/88.12</f>
        <v>0</v>
      </c>
      <c r="BW342" s="52">
        <f>BO342*0.05</f>
        <v>4.8612956810631235E-2</v>
      </c>
      <c r="BX342" s="51">
        <f t="shared" si="21"/>
        <v>0</v>
      </c>
      <c r="BY342" s="51">
        <f t="shared" si="22"/>
        <v>0</v>
      </c>
      <c r="BZ342" s="67">
        <f t="shared" si="23"/>
        <v>0</v>
      </c>
    </row>
    <row r="343" spans="1:78" ht="15" thickBot="1" x14ac:dyDescent="0.35">
      <c r="A343" s="175"/>
      <c r="B343" s="66" t="s">
        <v>63</v>
      </c>
      <c r="C343" s="65">
        <v>1</v>
      </c>
      <c r="D343" s="64" t="e">
        <f>AVERAGE(D340:D342)</f>
        <v>#DIV/0!</v>
      </c>
      <c r="E343" s="58"/>
      <c r="F343" s="60">
        <f>AVERAGE(F340:F342)</f>
        <v>1.6000000000000003</v>
      </c>
      <c r="G343" s="55">
        <f>_xlfn.STDEV.S(F340:F342)</f>
        <v>3.9999999999999925E-2</v>
      </c>
      <c r="H343" s="60">
        <f>AVERAGE(H340:H342)</f>
        <v>0.10766666666666667</v>
      </c>
      <c r="I343" s="63">
        <f>AVERAGE(I340:I342)</f>
        <v>3.1298699999999999E-2</v>
      </c>
      <c r="J343" s="63">
        <f>_xlfn.STDEV.S(I340:I342)</f>
        <v>1.491756538447211E-3</v>
      </c>
      <c r="K343" s="63"/>
      <c r="L343" s="62" t="e">
        <f>_xlfn.STDEV.S(K340:K342)</f>
        <v>#DIV/0!</v>
      </c>
      <c r="M343" s="59">
        <f>AVERAGE(M340:M342)</f>
        <v>4.1814678413307105</v>
      </c>
      <c r="N343" s="58">
        <f>_xlfn.STDEV.S(M340:M342)</f>
        <v>0.15713950269837368</v>
      </c>
      <c r="O343" s="58">
        <f>AVERAGE(O340:O342)</f>
        <v>0</v>
      </c>
      <c r="P343" s="58">
        <f>_xlfn.STDEV.S(O340:O342)</f>
        <v>0</v>
      </c>
      <c r="Q343" s="58">
        <f>AVERAGE(Q340:Q342)</f>
        <v>0.30854812004355497</v>
      </c>
      <c r="R343" s="58">
        <f>_xlfn.STDEV.S(Q340:Q342)</f>
        <v>0.11787522722316306</v>
      </c>
      <c r="S343" s="58">
        <f>AVERAGE(S340:S342)</f>
        <v>84.218053139200791</v>
      </c>
      <c r="T343" s="58">
        <f>_xlfn.STDEV.S(S340:S342)</f>
        <v>0.39010421675931295</v>
      </c>
      <c r="U343" s="58">
        <f>AVERAGE(U340:U342)</f>
        <v>0</v>
      </c>
      <c r="V343" s="58">
        <f>_xlfn.STDEV.S(U340:U342)</f>
        <v>0</v>
      </c>
      <c r="W343" s="58">
        <f>AVERAGE(W340:W342)</f>
        <v>11.291930899424955</v>
      </c>
      <c r="X343" s="58">
        <f>_xlfn.STDEV.S(W340:W342)</f>
        <v>0.20860390462600228</v>
      </c>
      <c r="Y343" s="59">
        <f>AVERAGE(Y340:Y342)</f>
        <v>0.30110956467025235</v>
      </c>
      <c r="Z343" s="58">
        <f>_xlfn.STDEV.S(Y340:Y342)</f>
        <v>1.1425971867251175E-2</v>
      </c>
      <c r="AA343" s="58">
        <f>AVERAGE(AA340:AA342)</f>
        <v>0</v>
      </c>
      <c r="AB343" s="58">
        <f>_xlfn.STDEV.S(AA340:AA342)</f>
        <v>0</v>
      </c>
      <c r="AC343" s="58">
        <f>AVERAGE(AC340:AC342)</f>
        <v>2.2265454393281401E-2</v>
      </c>
      <c r="AD343" s="58">
        <f>_xlfn.STDEV.S(AC340:AC342)</f>
        <v>8.7487881046184775E-3</v>
      </c>
      <c r="AE343" s="58">
        <f>AVERAGE(AE340:AE342)</f>
        <v>6.0655858027552982</v>
      </c>
      <c r="AF343" s="58">
        <f>_xlfn.STDEV.S(AE340:AE342)</f>
        <v>0.14100365976734844</v>
      </c>
      <c r="AG343" s="58">
        <f>AVERAGE(AG340:AG342)</f>
        <v>0</v>
      </c>
      <c r="AH343" s="58">
        <f>_xlfn.STDEV.S(AG340:AG342)</f>
        <v>0</v>
      </c>
      <c r="AI343" s="58">
        <f>AVERAGE(AI340:AI342)</f>
        <v>0.81352731044504056</v>
      </c>
      <c r="AJ343" s="58">
        <f>_xlfn.STDEV.S(AI340:AI342)</f>
        <v>3.4677295220615044E-2</v>
      </c>
      <c r="AK343" s="77"/>
      <c r="AL343" s="77"/>
      <c r="AM343" s="77"/>
      <c r="AN343" s="77"/>
      <c r="AO343" s="60">
        <f>AVERAGE(AO340:AO342)</f>
        <v>0.36858506728742979</v>
      </c>
      <c r="AP343" s="60">
        <f>_xlfn.STDEV.S(AO340:AO342)</f>
        <v>0.1641693553565928</v>
      </c>
      <c r="AQ343" s="60">
        <f>AVERAGE(AQ340:AQ342)</f>
        <v>9.2146266821857448E-2</v>
      </c>
      <c r="AR343" s="60">
        <f>_xlfn.STDEV.S(AQ340:AQ342)</f>
        <v>4.10423388391482E-2</v>
      </c>
      <c r="AS343" s="60">
        <f>AVERAGE(AS340:AS342)</f>
        <v>0</v>
      </c>
      <c r="AT343" s="60">
        <f>_xlfn.STDEV.S(AS340:AS342)</f>
        <v>0</v>
      </c>
      <c r="AU343" s="60">
        <f>AVERAGE(AU340:AU342)</f>
        <v>0</v>
      </c>
      <c r="AV343" s="60">
        <f>_xlfn.STDEV.S(AU340:AU342)</f>
        <v>0</v>
      </c>
      <c r="AW343" s="60"/>
      <c r="AX343" s="60"/>
      <c r="AY343" s="59">
        <f>SUM(AK343,AO343,AS343)</f>
        <v>0.36858506728742979</v>
      </c>
      <c r="AZ343" s="59">
        <f>SUM(AL343,AP343,AT343)</f>
        <v>0.1641693553565928</v>
      </c>
      <c r="BA343" s="60"/>
      <c r="BB343" s="60"/>
      <c r="BC343" s="60"/>
      <c r="BD343" s="60"/>
      <c r="BE343" s="60"/>
      <c r="BF343" s="60"/>
      <c r="BG343" s="59">
        <v>39.119999999999997</v>
      </c>
      <c r="BH343" s="58">
        <v>17.093919971732653</v>
      </c>
      <c r="BI343" s="57">
        <v>0</v>
      </c>
      <c r="BJ343" s="57">
        <v>0</v>
      </c>
      <c r="BK343" s="57">
        <v>0</v>
      </c>
      <c r="BL343" s="57">
        <v>0</v>
      </c>
      <c r="BM343" s="57">
        <v>0</v>
      </c>
      <c r="BN343" s="57">
        <v>0</v>
      </c>
      <c r="BO343" s="59">
        <f>AVERAGE(BO340:BO342)</f>
        <v>0.64983388704318934</v>
      </c>
      <c r="BP343" s="58">
        <f>_xlfn.STDEV.S(BO340:BO342)</f>
        <v>0.28395215899888093</v>
      </c>
      <c r="BQ343" s="57">
        <f>AVERAGE(BQ340:BQ342)</f>
        <v>0</v>
      </c>
      <c r="BR343" s="57">
        <f>_xlfn.STDEV.S(BQ340:BQ342)</f>
        <v>0</v>
      </c>
      <c r="BS343" s="57">
        <f>AVERAGE(BS340:BS342)</f>
        <v>0</v>
      </c>
      <c r="BT343" s="57">
        <f>_xlfn.STDEV.S(BS340:BS342)</f>
        <v>0</v>
      </c>
      <c r="BU343" s="57">
        <f>AVERAGE(BU340:BU342)</f>
        <v>0</v>
      </c>
      <c r="BV343" s="57">
        <f>_xlfn.STDEV.S(BU340:BU342)</f>
        <v>0</v>
      </c>
      <c r="BW343" s="56">
        <f>AVERAGE(BW340:BW342)</f>
        <v>3.2491694352159463E-2</v>
      </c>
      <c r="BX343" s="55">
        <f t="shared" si="21"/>
        <v>0</v>
      </c>
      <c r="BY343" s="55">
        <f t="shared" si="22"/>
        <v>0</v>
      </c>
      <c r="BZ343" s="54">
        <f t="shared" si="23"/>
        <v>0</v>
      </c>
    </row>
    <row r="344" spans="1:78" x14ac:dyDescent="0.3">
      <c r="A344" s="172" t="s">
        <v>59</v>
      </c>
      <c r="B344" s="95" t="s">
        <v>69</v>
      </c>
      <c r="C344" s="94">
        <v>2</v>
      </c>
      <c r="D344" s="93"/>
      <c r="E344" s="88"/>
      <c r="F344" s="90">
        <v>1.52</v>
      </c>
      <c r="G344" s="85"/>
      <c r="H344" s="90">
        <v>0.34200000000000003</v>
      </c>
      <c r="I344" s="92">
        <f>H344*0.2907</f>
        <v>9.9419400000000019E-2</v>
      </c>
      <c r="J344" s="92"/>
      <c r="K344" s="92"/>
      <c r="L344" s="91"/>
      <c r="M344" s="89">
        <v>12.1382321162965</v>
      </c>
      <c r="O344" s="88">
        <v>0</v>
      </c>
      <c r="Q344" s="88">
        <v>0.12763751057902289</v>
      </c>
      <c r="S344" s="88">
        <v>85.814060036405294</v>
      </c>
      <c r="U344" s="88">
        <v>7.125178248949951E-2</v>
      </c>
      <c r="W344" s="88">
        <v>1.848818554229674</v>
      </c>
      <c r="X344" s="88"/>
      <c r="Y344" s="89">
        <v>0.83054199126075245</v>
      </c>
      <c r="AA344" s="88">
        <v>0</v>
      </c>
      <c r="AC344" s="88">
        <v>8.7334227241826108E-3</v>
      </c>
      <c r="AE344" s="88">
        <v>5.8717101154390932</v>
      </c>
      <c r="AG344" s="88">
        <v>4.8753061189410378E-3</v>
      </c>
      <c r="AI344" s="88">
        <v>0.12650289010771057</v>
      </c>
      <c r="AJ344" s="87"/>
      <c r="AK344" s="89">
        <f>8*(AG344-$AG$328)/(2*($AA$328-AA344)+2*($AI$328-AI344))</f>
        <v>2.4165117085312413E-2</v>
      </c>
      <c r="AL344" s="89"/>
      <c r="AM344" s="89">
        <f>(AG344-$AG$328)/(($AA$328-AA344)+($AI$328-AI344))</f>
        <v>6.0412792713281033E-3</v>
      </c>
      <c r="AN344" s="89"/>
      <c r="AO344" s="37">
        <f>8*(BW344-$BW$328)/(2*($AA$328-AA344)+2*($AI$328-AI344))</f>
        <v>0.75963326155103583</v>
      </c>
      <c r="AQ344" s="37">
        <f>(BW344-$BW$328)/(($AA$328-AA344)+($AI$328-AI344))</f>
        <v>0.18990831538775896</v>
      </c>
      <c r="AS344" s="37">
        <f>14*(BX344-$BX$328)/(2*($AA$328-AA344)+2*($AI$328-AI344))</f>
        <v>1.170911546466508E-4</v>
      </c>
      <c r="AU344" s="37">
        <f>(BX344-$BX$328)/(($AA$328-AA344)+($AI$328-AI344))</f>
        <v>1.6727307806664401E-5</v>
      </c>
      <c r="AY344" s="90"/>
      <c r="AZ344" s="90"/>
      <c r="BA344" s="90"/>
      <c r="BB344" s="90"/>
      <c r="BC344" s="90"/>
      <c r="BD344" s="90"/>
      <c r="BE344" s="90"/>
      <c r="BF344" s="90"/>
      <c r="BG344" s="90">
        <v>184.52</v>
      </c>
      <c r="BH344" s="87"/>
      <c r="BI344" s="87">
        <v>0.02</v>
      </c>
      <c r="BJ344" s="87"/>
      <c r="BK344" s="87">
        <v>0</v>
      </c>
      <c r="BL344" s="87"/>
      <c r="BM344" s="87">
        <v>0</v>
      </c>
      <c r="BN344" s="87"/>
      <c r="BO344" s="89">
        <f>(BG344/1000)/60.2*1000</f>
        <v>3.0651162790697675</v>
      </c>
      <c r="BP344" s="88"/>
      <c r="BQ344" s="87">
        <f>BI344/74.08</f>
        <v>2.6997840172786179E-4</v>
      </c>
      <c r="BR344" s="87"/>
      <c r="BS344" s="87">
        <f>(BK344/1000)/88.12*1000</f>
        <v>0</v>
      </c>
      <c r="BT344" s="87"/>
      <c r="BU344" s="87">
        <f>BM344/88.12</f>
        <v>0</v>
      </c>
      <c r="BV344" s="87"/>
      <c r="BW344" s="86">
        <f>BO344*0.05</f>
        <v>0.15325581395348839</v>
      </c>
      <c r="BX344" s="85">
        <f t="shared" si="21"/>
        <v>1.349892008639309E-5</v>
      </c>
      <c r="BY344" s="85">
        <f t="shared" si="22"/>
        <v>0</v>
      </c>
      <c r="BZ344" s="84">
        <f t="shared" si="23"/>
        <v>0</v>
      </c>
    </row>
    <row r="345" spans="1:78" x14ac:dyDescent="0.3">
      <c r="A345" s="173"/>
      <c r="B345" s="70" t="s">
        <v>68</v>
      </c>
      <c r="C345" s="20">
        <v>2</v>
      </c>
      <c r="D345" s="69"/>
      <c r="E345" s="21"/>
      <c r="F345" s="37">
        <v>1.5</v>
      </c>
      <c r="H345" s="37">
        <v>0.3</v>
      </c>
      <c r="I345" s="53">
        <f>H345*0.2907</f>
        <v>8.7209999999999996E-2</v>
      </c>
      <c r="L345" s="68"/>
      <c r="M345" s="22">
        <v>14.944950280518116</v>
      </c>
      <c r="O345" s="21">
        <v>0</v>
      </c>
      <c r="Q345" s="21">
        <v>0.54760768764573853</v>
      </c>
      <c r="S345" s="21">
        <v>81.372126110752731</v>
      </c>
      <c r="U345" s="21">
        <v>0.21012989069363516</v>
      </c>
      <c r="W345" s="21">
        <v>2.9251860303897796</v>
      </c>
      <c r="Y345" s="22">
        <v>1.009132753431613</v>
      </c>
      <c r="AA345" s="21">
        <v>0</v>
      </c>
      <c r="AC345" s="21">
        <v>3.6976292544420884E-2</v>
      </c>
      <c r="AE345" s="21">
        <v>5.4945166182166476</v>
      </c>
      <c r="AG345" s="21">
        <v>1.4188669162076364E-2</v>
      </c>
      <c r="AI345" s="21">
        <v>0.19751829064262302</v>
      </c>
      <c r="AK345" s="22">
        <f>8*(AG345-$AG$329)/(2*($AA$329-AA345)+2*($AI$329-AI345))</f>
        <v>7.9177834552305357E-2</v>
      </c>
      <c r="AL345" s="22"/>
      <c r="AM345" s="22">
        <f>(AG345-$AG$329)/(($AA$329-AA345)+($AI$329-AI345))</f>
        <v>1.9794458638076339E-2</v>
      </c>
      <c r="AN345" s="22"/>
      <c r="AO345" s="37">
        <f>8*(BW345-$BW$329)/(2*($AA$329-AA345)+2*($AI$329-AI345))</f>
        <v>0.88113090193906352</v>
      </c>
      <c r="AQ345" s="37">
        <f>(BW345-$BW$329)/(($AA$329-AA345)+($AI$329-AI345))</f>
        <v>0.22028272548476588</v>
      </c>
      <c r="AS345" s="37">
        <f>14*(BX345-$BX$329)/(2*($AA$329-AA345)+2*($AI$329-AI345))</f>
        <v>1.3841664923508017E-3</v>
      </c>
      <c r="AU345" s="37">
        <f>(BX345-$BX$329)/(($AA$329-AA345)+($AI$329-AI345))</f>
        <v>1.9773807033582881E-4</v>
      </c>
      <c r="BG345" s="37">
        <v>190.11</v>
      </c>
      <c r="BI345" s="2">
        <v>0.21</v>
      </c>
      <c r="BK345" s="2">
        <v>0</v>
      </c>
      <c r="BM345" s="2">
        <v>0</v>
      </c>
      <c r="BO345" s="22">
        <f>(BG345/1000)/60.2*1000</f>
        <v>3.15797342192691</v>
      </c>
      <c r="BQ345" s="2">
        <f>BI345/74.08</f>
        <v>2.8347732181425484E-3</v>
      </c>
      <c r="BS345" s="2">
        <f>(BK345/1000)/88.12*1000</f>
        <v>0</v>
      </c>
      <c r="BU345" s="2">
        <f>BM345/88.12</f>
        <v>0</v>
      </c>
      <c r="BW345" s="52">
        <f>BO345*0.05</f>
        <v>0.15789867109634551</v>
      </c>
      <c r="BX345" s="51">
        <f t="shared" si="21"/>
        <v>1.4173866090712742E-4</v>
      </c>
      <c r="BY345" s="51">
        <f t="shared" si="22"/>
        <v>0</v>
      </c>
      <c r="BZ345" s="67">
        <f t="shared" si="23"/>
        <v>0</v>
      </c>
    </row>
    <row r="346" spans="1:78" x14ac:dyDescent="0.3">
      <c r="A346" s="173"/>
      <c r="B346" s="70" t="s">
        <v>67</v>
      </c>
      <c r="C346" s="20">
        <v>2</v>
      </c>
      <c r="D346" s="69"/>
      <c r="E346" s="21"/>
      <c r="F346" s="37">
        <v>1.51</v>
      </c>
      <c r="H346" s="37">
        <v>0.32300000000000001</v>
      </c>
      <c r="I346" s="53">
        <f>H346*0.2907</f>
        <v>9.389610000000001E-2</v>
      </c>
      <c r="L346" s="68"/>
      <c r="M346" s="22">
        <v>14.334747613022905</v>
      </c>
      <c r="O346" s="21">
        <v>0</v>
      </c>
      <c r="Q346" s="21">
        <v>0.10046594753369993</v>
      </c>
      <c r="S346" s="21">
        <v>82.80548867967974</v>
      </c>
      <c r="U346" s="21">
        <v>0.28198041539234175</v>
      </c>
      <c r="W346" s="21">
        <v>2.4773173443713006</v>
      </c>
      <c r="Y346" s="22">
        <v>0.9743827052394437</v>
      </c>
      <c r="AA346" s="21">
        <v>0</v>
      </c>
      <c r="AC346" s="21">
        <v>6.8290202510016204E-3</v>
      </c>
      <c r="AE346" s="21">
        <v>5.6285773734223294</v>
      </c>
      <c r="AG346" s="21">
        <v>1.9167190619032558E-2</v>
      </c>
      <c r="AI346" s="21">
        <v>0.16839188529222174</v>
      </c>
      <c r="AK346" s="22">
        <f>8*(AG346-$AG$330)/(2*($AA$330-AA346)+2*($AI$330-AI346))</f>
        <v>0.10992664766186554</v>
      </c>
      <c r="AL346" s="22"/>
      <c r="AM346" s="22">
        <f>(AG346-$AG$330)/(($AA$330-AA346)+($AI$330-AI346))</f>
        <v>2.7481661915466384E-2</v>
      </c>
      <c r="AN346" s="22"/>
      <c r="AO346" s="37">
        <f>8*(BW346-$BW$330)/(2*($AA$330-AA346)+2*($AI$330-AI346))</f>
        <v>0.85760447645500659</v>
      </c>
      <c r="AQ346" s="37">
        <f>(BW346-$BW$330)/(($AA$330-AA346)+($AI$330-AI346))</f>
        <v>0.21440111911375165</v>
      </c>
      <c r="AS346" s="37">
        <f>14*(BX346-$BX$330)/(2*($AA$330-AA346)+2*($AI$330-AI346))</f>
        <v>6.0966899690548617E-4</v>
      </c>
      <c r="AU346" s="37">
        <f>(BX346-$BX$330)/(($AA$330-AA346)+($AI$330-AI346))</f>
        <v>8.7095570986498025E-5</v>
      </c>
      <c r="BG346" s="37">
        <v>180.04</v>
      </c>
      <c r="BI346" s="2">
        <v>0.09</v>
      </c>
      <c r="BK346" s="2">
        <v>0</v>
      </c>
      <c r="BM346" s="2">
        <v>0</v>
      </c>
      <c r="BO346" s="22">
        <f>(BG346/1000)/60.2*1000</f>
        <v>2.9906976744186049</v>
      </c>
      <c r="BQ346" s="2">
        <f>BI346/74.08</f>
        <v>1.214902807775378E-3</v>
      </c>
      <c r="BS346" s="2">
        <f>(BK346/1000)/88.12*1000</f>
        <v>0</v>
      </c>
      <c r="BU346" s="2">
        <f>BM346/88.12</f>
        <v>0</v>
      </c>
      <c r="BW346" s="52">
        <f>BO346*0.05</f>
        <v>0.14953488372093024</v>
      </c>
      <c r="BX346" s="51">
        <f t="shared" si="21"/>
        <v>6.0745140388768904E-5</v>
      </c>
      <c r="BY346" s="51">
        <f t="shared" si="22"/>
        <v>0</v>
      </c>
      <c r="BZ346" s="67">
        <f t="shared" si="23"/>
        <v>0</v>
      </c>
    </row>
    <row r="347" spans="1:78" x14ac:dyDescent="0.3">
      <c r="A347" s="173"/>
      <c r="B347" s="83" t="s">
        <v>63</v>
      </c>
      <c r="C347" s="80">
        <v>2</v>
      </c>
      <c r="D347" s="79" t="e">
        <f>AVERAGE(D344:D346)</f>
        <v>#DIV/0!</v>
      </c>
      <c r="E347" s="76"/>
      <c r="F347" s="78">
        <f>AVERAGE(F344:F346)</f>
        <v>1.51</v>
      </c>
      <c r="G347" s="73">
        <f>_xlfn.STDEV.S(F344:F346)</f>
        <v>1.0000000000000009E-2</v>
      </c>
      <c r="H347" s="78">
        <f>AVERAGE(H344:H346)</f>
        <v>0.32166666666666671</v>
      </c>
      <c r="I347" s="82">
        <f>AVERAGE(I344:I346)</f>
        <v>9.3508499999999994E-2</v>
      </c>
      <c r="J347" s="82">
        <f>_xlfn.STDEV.S(I344:I346)</f>
        <v>6.113921606465047E-3</v>
      </c>
      <c r="K347" s="82"/>
      <c r="L347" s="81" t="e">
        <f>_xlfn.STDEV.S(K344:K346)</f>
        <v>#DIV/0!</v>
      </c>
      <c r="M347" s="77">
        <f>AVERAGE(M344:M346)</f>
        <v>13.80597666994584</v>
      </c>
      <c r="N347" s="76">
        <f>_xlfn.STDEV.S(M344:M346)</f>
        <v>1.4761828294709454</v>
      </c>
      <c r="O347" s="76">
        <f>AVERAGE(O344:O346)</f>
        <v>0</v>
      </c>
      <c r="P347" s="76">
        <f>_xlfn.STDEV.S(O344:O346)</f>
        <v>0</v>
      </c>
      <c r="Q347" s="76">
        <f>AVERAGE(Q344:Q346)</f>
        <v>0.25857038191948711</v>
      </c>
      <c r="R347" s="76">
        <f>_xlfn.STDEV.S(Q344:Q346)</f>
        <v>0.25068206265247495</v>
      </c>
      <c r="S347" s="76">
        <f>AVERAGE(S344:S346)</f>
        <v>83.330558275612589</v>
      </c>
      <c r="T347" s="76">
        <f>_xlfn.STDEV.S(S344:S346)</f>
        <v>2.2670394373269316</v>
      </c>
      <c r="U347" s="76">
        <f>AVERAGE(U344:U346)</f>
        <v>0.18778736285849215</v>
      </c>
      <c r="V347" s="76">
        <f>_xlfn.STDEV.S(U344:U346)</f>
        <v>0.107126236720158</v>
      </c>
      <c r="W347" s="76">
        <f>AVERAGE(W344:W346)</f>
        <v>2.4171073096635847</v>
      </c>
      <c r="X347" s="76">
        <f>_xlfn.STDEV.S(W344:W346)</f>
        <v>0.54070386732799225</v>
      </c>
      <c r="Y347" s="77">
        <f>AVERAGE(Y344:Y346)</f>
        <v>0.93801914997726976</v>
      </c>
      <c r="Z347" s="76">
        <f>_xlfn.STDEV.S(Y344:Y346)</f>
        <v>9.4685776105342803E-2</v>
      </c>
      <c r="AA347" s="76">
        <f>AVERAGE(AA344:AA346)</f>
        <v>0</v>
      </c>
      <c r="AB347" s="76">
        <f>_xlfn.STDEV.S(AA344:AA346)</f>
        <v>0</v>
      </c>
      <c r="AC347" s="76">
        <f>AVERAGE(AC344:AC346)</f>
        <v>1.7512911839868372E-2</v>
      </c>
      <c r="AD347" s="76">
        <f>_xlfn.STDEV.S(AC344:AC346)</f>
        <v>1.6882656145663949E-2</v>
      </c>
      <c r="AE347" s="76">
        <f>AVERAGE(AE344:AE346)</f>
        <v>5.6649347023593561</v>
      </c>
      <c r="AF347" s="76">
        <f>_xlfn.STDEV.S(AE344:AE346)</f>
        <v>0.19120702160825884</v>
      </c>
      <c r="AG347" s="76">
        <f>AVERAGE(AG344:AG346)</f>
        <v>1.2743721966683321E-2</v>
      </c>
      <c r="AH347" s="76">
        <f>_xlfn.STDEV.S(AG344:AG346)</f>
        <v>7.2546808985023397E-3</v>
      </c>
      <c r="AI347" s="76">
        <f>AVERAGE(AI344:AI346)</f>
        <v>0.16413768868085177</v>
      </c>
      <c r="AJ347" s="76">
        <f>_xlfn.STDEV.S(AI344:AI346)</f>
        <v>3.569832516925215E-2</v>
      </c>
      <c r="AK347" s="77">
        <f>AVERAGE(AK344:AK346)</f>
        <v>7.1089866433161106E-2</v>
      </c>
      <c r="AL347" s="77">
        <f>_xlfn.STDEV.S(AK344:AK346)</f>
        <v>4.3449067342469908E-2</v>
      </c>
      <c r="AM347" s="77">
        <f>AVERAGE(AM344:AM346)</f>
        <v>1.7772466608290276E-2</v>
      </c>
      <c r="AN347" s="77">
        <f>_xlfn.STDEV.S(AM344:AM346)</f>
        <v>1.0862266835617477E-2</v>
      </c>
      <c r="AO347" s="78">
        <f>AVERAGE(AO344:AO346)</f>
        <v>0.83278954664836868</v>
      </c>
      <c r="AP347" s="78">
        <f>_xlfn.STDEV.S(AO344:AO346)</f>
        <v>6.4437991208183235E-2</v>
      </c>
      <c r="AQ347" s="78">
        <f>AVERAGE(AQ344:AQ346)</f>
        <v>0.20819738666209217</v>
      </c>
      <c r="AR347" s="78">
        <f>_xlfn.STDEV.S(AQ344:AQ346)</f>
        <v>1.6109497802045809E-2</v>
      </c>
      <c r="AS347" s="78">
        <f>AVERAGE(AS344:AS346)</f>
        <v>7.0364221463431291E-4</v>
      </c>
      <c r="AT347" s="78">
        <f>_xlfn.STDEV.S(AS344:AS346)</f>
        <v>6.387434556159884E-4</v>
      </c>
      <c r="AU347" s="78">
        <f>AVERAGE(AU344:AU346)</f>
        <v>1.005203163763304E-4</v>
      </c>
      <c r="AV347" s="80">
        <f>_xlfn.STDEV.S(AU344:AU346)</f>
        <v>9.1249065087998339E-5</v>
      </c>
      <c r="AW347" s="78"/>
      <c r="AX347" s="78"/>
      <c r="AY347" s="79">
        <f>SUM(AK347,AO347,AS347)</f>
        <v>0.90458305529616401</v>
      </c>
      <c r="AZ347" s="77">
        <f>SUM(AL347,AP347,AT347)</f>
        <v>0.10852580200626913</v>
      </c>
      <c r="BA347" s="78"/>
      <c r="BB347" s="78"/>
      <c r="BC347" s="78"/>
      <c r="BD347" s="78"/>
      <c r="BE347" s="78"/>
      <c r="BF347" s="78"/>
      <c r="BG347" s="77">
        <v>184.89</v>
      </c>
      <c r="BH347" s="76">
        <v>5.0451858241297813</v>
      </c>
      <c r="BI347" s="75">
        <v>0.10666666666666665</v>
      </c>
      <c r="BJ347" s="75">
        <v>9.6090235369330507E-2</v>
      </c>
      <c r="BK347" s="75">
        <v>0</v>
      </c>
      <c r="BL347" s="75">
        <v>0</v>
      </c>
      <c r="BM347" s="75">
        <v>0</v>
      </c>
      <c r="BN347" s="75">
        <v>0</v>
      </c>
      <c r="BO347" s="77">
        <f>AVERAGE(BO344:BO346)</f>
        <v>3.0712624584717609</v>
      </c>
      <c r="BP347" s="76">
        <f>_xlfn.STDEV.S(BO344:BO346)</f>
        <v>8.3807073490527476E-2</v>
      </c>
      <c r="BQ347" s="75">
        <f>AVERAGE(BQ344:BQ346)</f>
        <v>1.4398848092152625E-3</v>
      </c>
      <c r="BR347" s="75">
        <f>_xlfn.STDEV.S(BQ344:BQ346)</f>
        <v>1.2971144083332952E-3</v>
      </c>
      <c r="BS347" s="75">
        <f>AVERAGE(BS344:BS346)</f>
        <v>0</v>
      </c>
      <c r="BT347" s="75">
        <f>_xlfn.STDEV.S(BS344:BS346)</f>
        <v>0</v>
      </c>
      <c r="BU347" s="75">
        <f>AVERAGE(BU344:BU346)</f>
        <v>0</v>
      </c>
      <c r="BV347" s="75">
        <f>_xlfn.STDEV.S(BU344:BU346)</f>
        <v>0</v>
      </c>
      <c r="BW347" s="74">
        <f>AVERAGE(BW344:BW346)</f>
        <v>0.15356312292358806</v>
      </c>
      <c r="BX347" s="73">
        <f t="shared" si="21"/>
        <v>7.1994240460763133E-5</v>
      </c>
      <c r="BY347" s="73">
        <f t="shared" si="22"/>
        <v>0</v>
      </c>
      <c r="BZ347" s="72">
        <f t="shared" si="23"/>
        <v>0</v>
      </c>
    </row>
    <row r="348" spans="1:78" x14ac:dyDescent="0.3">
      <c r="A348" s="174" t="s">
        <v>60</v>
      </c>
      <c r="B348" s="70" t="s">
        <v>66</v>
      </c>
      <c r="C348" s="20">
        <v>2</v>
      </c>
      <c r="D348" s="69"/>
      <c r="E348" s="21"/>
      <c r="F348" s="37">
        <v>1.5349999999999999</v>
      </c>
      <c r="H348" s="37">
        <v>0.25700000000000001</v>
      </c>
      <c r="I348" s="53">
        <f>H348*0.2907</f>
        <v>7.470990000000001E-2</v>
      </c>
      <c r="L348" s="68"/>
      <c r="M348" s="22">
        <v>8.9470498060820489</v>
      </c>
      <c r="O348" s="21">
        <v>0</v>
      </c>
      <c r="Q348" s="21">
        <v>0.42402622780720073</v>
      </c>
      <c r="S348" s="21">
        <v>88.23431650464309</v>
      </c>
      <c r="U348" s="21">
        <v>0</v>
      </c>
      <c r="W348" s="21">
        <v>2.3946074614676593</v>
      </c>
      <c r="Y348" s="22">
        <v>0.61823103607667129</v>
      </c>
      <c r="AA348" s="21">
        <v>0</v>
      </c>
      <c r="AC348" s="21">
        <v>2.9299733411870126E-2</v>
      </c>
      <c r="AE348" s="21">
        <v>6.0968916114785507</v>
      </c>
      <c r="AG348" s="21">
        <v>0</v>
      </c>
      <c r="AI348" s="21">
        <v>0.16546467092356126</v>
      </c>
      <c r="AO348" s="37">
        <f>8*(BW348-$BW$332)/(2*($AA$332-AA348)+2*($AI$332-AI348))</f>
        <v>0.56360065076807786</v>
      </c>
      <c r="AQ348" s="37">
        <f>(BW348-$BW$332)/(($AA$332-AA348)+($AI$332-AI348))</f>
        <v>0.14090016269201946</v>
      </c>
      <c r="AS348" s="37">
        <f>14*(BX348-$BX$332)/(2*($AA$332-AA348)+2*($AI$332-AI348))</f>
        <v>1.7952801328556493E-4</v>
      </c>
      <c r="AU348" s="37">
        <f>(BX348-$BX$332)/(($AA$332-AA348)+($AI$332-AI348))</f>
        <v>2.5646859040794992E-5</v>
      </c>
      <c r="BG348" s="37">
        <v>178.6</v>
      </c>
      <c r="BI348" s="2">
        <v>0.04</v>
      </c>
      <c r="BK348" s="2">
        <v>0</v>
      </c>
      <c r="BM348" s="2">
        <v>0</v>
      </c>
      <c r="BO348" s="22">
        <f>(BG348/1000)/60.2*1000</f>
        <v>2.9667774086378733</v>
      </c>
      <c r="BQ348" s="2">
        <f>BI348/74.08</f>
        <v>5.3995680345572358E-4</v>
      </c>
      <c r="BS348" s="2">
        <f>(BK348/1000)/88.12*1000</f>
        <v>0</v>
      </c>
      <c r="BU348" s="2">
        <f>BM348/88.12</f>
        <v>0</v>
      </c>
      <c r="BW348" s="52">
        <f>BO348*0.05</f>
        <v>0.14833887043189367</v>
      </c>
      <c r="BX348" s="51">
        <f t="shared" si="21"/>
        <v>2.699784017278618E-5</v>
      </c>
      <c r="BY348" s="51">
        <f t="shared" si="22"/>
        <v>0</v>
      </c>
      <c r="BZ348" s="67">
        <f t="shared" si="23"/>
        <v>0</v>
      </c>
    </row>
    <row r="349" spans="1:78" x14ac:dyDescent="0.3">
      <c r="A349" s="173"/>
      <c r="B349" s="70" t="s">
        <v>65</v>
      </c>
      <c r="C349" s="20">
        <v>2</v>
      </c>
      <c r="D349" s="69"/>
      <c r="E349" s="21"/>
      <c r="F349" s="37">
        <v>1.53</v>
      </c>
      <c r="H349" s="37">
        <v>0.24399999999999999</v>
      </c>
      <c r="I349" s="53">
        <f>H349*0.2907</f>
        <v>7.0930800000000002E-2</v>
      </c>
      <c r="L349" s="68"/>
      <c r="M349" s="22">
        <v>9.13896341622638</v>
      </c>
      <c r="O349" s="21">
        <v>0</v>
      </c>
      <c r="Q349" s="21">
        <v>0.28606074115238989</v>
      </c>
      <c r="S349" s="21">
        <v>87.644301267294821</v>
      </c>
      <c r="U349" s="21">
        <v>0</v>
      </c>
      <c r="W349" s="21">
        <v>2.930674575326401</v>
      </c>
      <c r="Y349" s="22">
        <v>0.62943507241402019</v>
      </c>
      <c r="AA349" s="21">
        <v>0</v>
      </c>
      <c r="AC349" s="21">
        <v>1.9702088204267155E-2</v>
      </c>
      <c r="AE349" s="21">
        <v>6.036395442497021</v>
      </c>
      <c r="AG349" s="21">
        <v>0</v>
      </c>
      <c r="AI349" s="21">
        <v>0.20184667336202047</v>
      </c>
      <c r="AO349" s="37">
        <f>8*(BW349-$BW$333)/(2*($AA$333-AA349)+2*($AI$333-AI349))</f>
        <v>0.60641607526527896</v>
      </c>
      <c r="AQ349" s="37">
        <f>(BW349-$BW$333)/(($AA$333-AA349)+($AI$333-AI349))</f>
        <v>0.15160401881631974</v>
      </c>
      <c r="AS349" s="37">
        <f>14*(BX349-$BX$333)/(2*($AA$333-AA349)+2*($AI$333-AI349))</f>
        <v>0</v>
      </c>
      <c r="AU349" s="37">
        <f>(BX349-$BX$333)/(($AA$333-AA349)+($AI$333-AI349))</f>
        <v>0</v>
      </c>
      <c r="BG349" s="37">
        <v>172.94</v>
      </c>
      <c r="BI349" s="2">
        <v>0</v>
      </c>
      <c r="BK349" s="2">
        <v>0</v>
      </c>
      <c r="BM349" s="2">
        <v>0</v>
      </c>
      <c r="BO349" s="22">
        <f>(BG349/1000)/60.2*1000</f>
        <v>2.8727574750830565</v>
      </c>
      <c r="BQ349" s="2">
        <f>BI349/74.08</f>
        <v>0</v>
      </c>
      <c r="BS349" s="2">
        <f>(BK349/1000)/88.12*1000</f>
        <v>0</v>
      </c>
      <c r="BU349" s="2">
        <f>BM349/88.12</f>
        <v>0</v>
      </c>
      <c r="BW349" s="52">
        <f>BO349*0.05</f>
        <v>0.14363787375415282</v>
      </c>
      <c r="BX349" s="51">
        <f t="shared" si="21"/>
        <v>0</v>
      </c>
      <c r="BY349" s="51">
        <f t="shared" si="22"/>
        <v>0</v>
      </c>
      <c r="BZ349" s="67">
        <f t="shared" si="23"/>
        <v>0</v>
      </c>
    </row>
    <row r="350" spans="1:78" x14ac:dyDescent="0.3">
      <c r="A350" s="173"/>
      <c r="B350" s="70" t="s">
        <v>64</v>
      </c>
      <c r="C350" s="20">
        <v>2</v>
      </c>
      <c r="D350" s="69"/>
      <c r="E350" s="21"/>
      <c r="F350" s="37">
        <v>1.53</v>
      </c>
      <c r="G350" s="67"/>
      <c r="H350" s="37">
        <v>0.23899999999999999</v>
      </c>
      <c r="I350" s="53">
        <f>H350*0.2907</f>
        <v>6.9477300000000006E-2</v>
      </c>
      <c r="L350" s="68"/>
      <c r="M350" s="22">
        <v>8.9971356691361439</v>
      </c>
      <c r="O350" s="21">
        <v>0</v>
      </c>
      <c r="Q350" s="21">
        <v>0.15240622542515514</v>
      </c>
      <c r="S350" s="21">
        <v>88.472831871388564</v>
      </c>
      <c r="U350" s="21">
        <v>0</v>
      </c>
      <c r="W350" s="21">
        <v>2.3776262340501324</v>
      </c>
      <c r="Y350" s="22">
        <v>0.61966685755263273</v>
      </c>
      <c r="AA350" s="21">
        <v>0</v>
      </c>
      <c r="AC350" s="21">
        <v>1.0496794785993456E-2</v>
      </c>
      <c r="AE350" s="21">
        <v>6.0934594876226456</v>
      </c>
      <c r="AG350" s="21">
        <v>0</v>
      </c>
      <c r="AI350" s="21">
        <v>0.16375613651605714</v>
      </c>
      <c r="AO350" s="37">
        <f>8*(BW350-$BW$334)/(2*($AA$334-AA350)+2*($AI$334-AI350))</f>
        <v>0.60353156410364628</v>
      </c>
      <c r="AQ350" s="37">
        <f>(BW350-$BW$334)/(($AA$334-AA350)+($AI$334-AI350))</f>
        <v>0.15088289102591157</v>
      </c>
      <c r="AS350" s="37">
        <f>14*(BX350-$BX$334)/(2*($AA$334-AA350)+2*($AI$334-AI350))</f>
        <v>9.7543927223100096E-5</v>
      </c>
      <c r="AU350" s="37">
        <f>(BX350-$BX$334)/(($AA$334-AA350)+($AI$334-AI350))</f>
        <v>1.3934846746157156E-5</v>
      </c>
      <c r="BG350" s="37">
        <v>175.98</v>
      </c>
      <c r="BI350" s="2">
        <v>0.02</v>
      </c>
      <c r="BK350" s="2">
        <v>0</v>
      </c>
      <c r="BM350" s="2">
        <v>0</v>
      </c>
      <c r="BO350" s="22">
        <f>(BG350/1000)/60.2*1000</f>
        <v>2.9232558139534879</v>
      </c>
      <c r="BQ350" s="2">
        <f>BI350/74.08</f>
        <v>2.6997840172786179E-4</v>
      </c>
      <c r="BS350" s="2">
        <f>(BK350/1000)/88.12*1000</f>
        <v>0</v>
      </c>
      <c r="BU350" s="2">
        <f>BM350/88.12</f>
        <v>0</v>
      </c>
      <c r="BW350" s="52">
        <f>BO350*0.05</f>
        <v>0.14616279069767441</v>
      </c>
      <c r="BX350" s="51">
        <f t="shared" si="21"/>
        <v>1.349892008639309E-5</v>
      </c>
      <c r="BY350" s="51">
        <f t="shared" si="22"/>
        <v>0</v>
      </c>
      <c r="BZ350" s="67">
        <f t="shared" si="23"/>
        <v>0</v>
      </c>
    </row>
    <row r="351" spans="1:78" ht="15" thickBot="1" x14ac:dyDescent="0.35">
      <c r="A351" s="175"/>
      <c r="B351" s="66" t="s">
        <v>63</v>
      </c>
      <c r="C351" s="65">
        <v>2</v>
      </c>
      <c r="D351" s="64" t="e">
        <f>AVERAGE(D348:D350)</f>
        <v>#DIV/0!</v>
      </c>
      <c r="E351" s="58"/>
      <c r="F351" s="60">
        <f>AVERAGE(F348:F350)</f>
        <v>1.5316666666666665</v>
      </c>
      <c r="G351" s="55">
        <f>_xlfn.STDEV.S(F348:F350)</f>
        <v>2.8867513459480674E-3</v>
      </c>
      <c r="H351" s="60">
        <f>AVERAGE(H348:H350)</f>
        <v>0.24666666666666667</v>
      </c>
      <c r="I351" s="63">
        <f>AVERAGE(I348:I350)</f>
        <v>7.1706000000000006E-2</v>
      </c>
      <c r="J351" s="63">
        <f>_xlfn.STDEV.S(I348:I350)</f>
        <v>2.701060341791722E-3</v>
      </c>
      <c r="K351" s="63"/>
      <c r="L351" s="62" t="e">
        <f>_xlfn.STDEV.S(K348:K350)</f>
        <v>#DIV/0!</v>
      </c>
      <c r="M351" s="59">
        <f>AVERAGE(M348:M350)</f>
        <v>9.0277162971481903</v>
      </c>
      <c r="N351" s="58">
        <f>_xlfn.STDEV.S(M348:M350)</f>
        <v>9.9544409922737345E-2</v>
      </c>
      <c r="O351" s="58">
        <f>AVERAGE(O348:O350)</f>
        <v>0</v>
      </c>
      <c r="P351" s="58">
        <f>_xlfn.STDEV.S(O348:O350)</f>
        <v>0</v>
      </c>
      <c r="Q351" s="58">
        <f>AVERAGE(Q348:Q350)</f>
        <v>0.28749773146158192</v>
      </c>
      <c r="R351" s="58">
        <f>_xlfn.STDEV.S(Q348:Q350)</f>
        <v>0.13581570280850139</v>
      </c>
      <c r="S351" s="58">
        <f>AVERAGE(S348:S350)</f>
        <v>88.11714988110883</v>
      </c>
      <c r="T351" s="58">
        <f>_xlfn.STDEV.S(S348:S350)</f>
        <v>0.42651114139351703</v>
      </c>
      <c r="U351" s="58">
        <f>AVERAGE(U348:U350)</f>
        <v>0</v>
      </c>
      <c r="V351" s="58">
        <f>_xlfn.STDEV.S(U348:U350)</f>
        <v>0</v>
      </c>
      <c r="W351" s="58">
        <f>AVERAGE(W348:W350)</f>
        <v>2.5676360902813977</v>
      </c>
      <c r="X351" s="58">
        <f>_xlfn.STDEV.S(W348:W350)</f>
        <v>0.31451517727922101</v>
      </c>
      <c r="Y351" s="59">
        <f>AVERAGE(Y348:Y350)</f>
        <v>0.62244432201444144</v>
      </c>
      <c r="Z351" s="58">
        <f>_xlfn.STDEV.S(Y348:Y350)</f>
        <v>6.0965842231216847E-3</v>
      </c>
      <c r="AA351" s="58">
        <f>AVERAGE(AA348:AA350)</f>
        <v>0</v>
      </c>
      <c r="AB351" s="58">
        <f>_xlfn.STDEV.S(AA348:AA350)</f>
        <v>0</v>
      </c>
      <c r="AC351" s="58">
        <f>AVERAGE(AC348:AC350)</f>
        <v>1.983287213404358E-2</v>
      </c>
      <c r="AD351" s="58">
        <f>_xlfn.STDEV.S(AC348:AC350)</f>
        <v>9.4021515393731565E-3</v>
      </c>
      <c r="AE351" s="58">
        <f>AVERAGE(AE348:AE350)</f>
        <v>6.0755821805327388</v>
      </c>
      <c r="AF351" s="58">
        <f>_xlfn.STDEV.S(AE348:AE350)</f>
        <v>3.3980070584837901E-2</v>
      </c>
      <c r="AG351" s="58">
        <f>AVERAGE(AG348:AG350)</f>
        <v>0</v>
      </c>
      <c r="AH351" s="58">
        <f>_xlfn.STDEV.S(AG348:AG350)</f>
        <v>0</v>
      </c>
      <c r="AI351" s="58">
        <f>AVERAGE(AI348:AI350)</f>
        <v>0.17702249360054631</v>
      </c>
      <c r="AJ351" s="58">
        <f>_xlfn.STDEV.S(AI348:AI350)</f>
        <v>2.1515336345916014E-2</v>
      </c>
      <c r="AK351" s="60"/>
      <c r="AL351" s="60"/>
      <c r="AM351" s="60"/>
      <c r="AN351" s="60"/>
      <c r="AO351" s="60">
        <f>AVERAGE(AO348:AO350)</f>
        <v>0.59118276337900111</v>
      </c>
      <c r="AP351" s="60">
        <f>_xlfn.STDEV.S(AO348:AO350)</f>
        <v>2.3930311389984697E-2</v>
      </c>
      <c r="AQ351" s="60">
        <f>AVERAGE(AQ348:AQ350)</f>
        <v>0.14779569084475028</v>
      </c>
      <c r="AR351" s="60">
        <f>_xlfn.STDEV.S(AQ348:AQ350)</f>
        <v>5.9825778474961741E-3</v>
      </c>
      <c r="AS351" s="60">
        <f>AVERAGE(AS348:AS350)</f>
        <v>9.2357313502888346E-5</v>
      </c>
      <c r="AT351" s="60">
        <f>_xlfn.STDEV.S(AS348:AS350)</f>
        <v>8.9876318404669375E-5</v>
      </c>
      <c r="AU351" s="60">
        <f>AVERAGE(AU348:AU350)</f>
        <v>1.3193901928984049E-5</v>
      </c>
      <c r="AV351" s="60">
        <f>_xlfn.STDEV.S(AU348:AU350)</f>
        <v>1.2839474057809912E-5</v>
      </c>
      <c r="AW351" s="60"/>
      <c r="AX351" s="60"/>
      <c r="AY351" s="59">
        <f>SUM(AK351,AO351,AS351)</f>
        <v>0.59127512069250399</v>
      </c>
      <c r="AZ351" s="59">
        <f>SUM(AL351,AP351,AT351)</f>
        <v>2.4020187708389366E-2</v>
      </c>
      <c r="BA351" s="60"/>
      <c r="BB351" s="60"/>
      <c r="BC351" s="60"/>
      <c r="BD351" s="60"/>
      <c r="BE351" s="60"/>
      <c r="BF351" s="60"/>
      <c r="BG351" s="59">
        <v>175.84</v>
      </c>
      <c r="BH351" s="58">
        <v>2.8325959824867346</v>
      </c>
      <c r="BI351" s="57">
        <v>0.02</v>
      </c>
      <c r="BJ351" s="57">
        <v>0.02</v>
      </c>
      <c r="BK351" s="57">
        <v>0</v>
      </c>
      <c r="BL351" s="57">
        <v>0</v>
      </c>
      <c r="BM351" s="57">
        <v>0</v>
      </c>
      <c r="BN351" s="57">
        <v>0</v>
      </c>
      <c r="BO351" s="59">
        <f>AVERAGE(BO348:BO350)</f>
        <v>2.9209302325581397</v>
      </c>
      <c r="BP351" s="58">
        <f>_xlfn.STDEV.S(BO348:BO350)</f>
        <v>4.7053089410078464E-2</v>
      </c>
      <c r="BQ351" s="57">
        <f>AVERAGE(BQ348:BQ350)</f>
        <v>2.6997840172786179E-4</v>
      </c>
      <c r="BR351" s="57">
        <f>_xlfn.STDEV.S(BQ348:BQ350)</f>
        <v>2.6997840172786179E-4</v>
      </c>
      <c r="BS351" s="57">
        <f>AVERAGE(BS348:BS350)</f>
        <v>0</v>
      </c>
      <c r="BT351" s="57">
        <f>_xlfn.STDEV.S(BS348:BS350)</f>
        <v>0</v>
      </c>
      <c r="BU351" s="57">
        <f>AVERAGE(BU348:BU350)</f>
        <v>0</v>
      </c>
      <c r="BV351" s="57">
        <f>_xlfn.STDEV.S(BU348:BU350)</f>
        <v>0</v>
      </c>
      <c r="BW351" s="56">
        <f>AVERAGE(BW348:BW350)</f>
        <v>0.14604651162790697</v>
      </c>
      <c r="BX351" s="55">
        <f t="shared" si="21"/>
        <v>1.349892008639309E-5</v>
      </c>
      <c r="BY351" s="55">
        <f t="shared" si="22"/>
        <v>0</v>
      </c>
      <c r="BZ351" s="54">
        <f t="shared" si="23"/>
        <v>0</v>
      </c>
    </row>
    <row r="352" spans="1:78" x14ac:dyDescent="0.3">
      <c r="A352" s="172" t="s">
        <v>59</v>
      </c>
      <c r="B352" s="95" t="s">
        <v>69</v>
      </c>
      <c r="C352" s="94">
        <v>3</v>
      </c>
      <c r="D352" s="93"/>
      <c r="E352" s="88"/>
      <c r="F352" s="90">
        <v>1.4750000000000001</v>
      </c>
      <c r="G352" s="85"/>
      <c r="H352" s="90">
        <v>0.35899999999999999</v>
      </c>
      <c r="I352" s="92">
        <f>H352*0.2907</f>
        <v>0.1043613</v>
      </c>
      <c r="J352" s="92"/>
      <c r="K352" s="92"/>
      <c r="L352" s="91"/>
      <c r="M352" s="89">
        <v>12.865904216040303</v>
      </c>
      <c r="O352" s="88">
        <v>0</v>
      </c>
      <c r="Q352" s="88">
        <v>7.8481790169006069E-2</v>
      </c>
      <c r="S352" s="88">
        <v>86.233005153843294</v>
      </c>
      <c r="U352" s="88">
        <v>0.36600425364607386</v>
      </c>
      <c r="W352" s="88">
        <v>0.45660458630132045</v>
      </c>
      <c r="X352" s="88"/>
      <c r="Y352" s="89">
        <v>0.85426950362274479</v>
      </c>
      <c r="AA352" s="88">
        <v>0</v>
      </c>
      <c r="AC352" s="88">
        <v>5.2110289961209838E-3</v>
      </c>
      <c r="AE352" s="88">
        <v>5.7256936839953658</v>
      </c>
      <c r="AG352" s="88">
        <v>2.4301927547092605E-2</v>
      </c>
      <c r="AI352" s="88">
        <v>3.0317602769434137E-2</v>
      </c>
      <c r="AJ352" s="87"/>
      <c r="AK352" s="89">
        <f>8*(AG352-$AG$328)/(2*($AA$328-AA352)+2*($AI$328-AI352))</f>
        <v>0.10762777356003793</v>
      </c>
      <c r="AL352" s="89"/>
      <c r="AM352" s="89">
        <f>(AG352-$AG$328)/(($AA$328-AA352)+($AI$328-AI352))</f>
        <v>2.6906943390009482E-2</v>
      </c>
      <c r="AN352" s="89"/>
      <c r="AO352" s="37">
        <f>8*(BW352-$BW$328)/(2*($AA$328-AA352)+2*($AI$328-AI352))</f>
        <v>0.77400570887948239</v>
      </c>
      <c r="AQ352" s="37">
        <f>(BW352-$BW$328)/(($AA$328-AA352)+($AI$328-AI352))</f>
        <v>0.1935014272198706</v>
      </c>
      <c r="AS352" s="37">
        <f>14*(BX352-$BX$328)/(2*($AA$328-AA352)+2*($AI$328-AI352))</f>
        <v>1.5693216588739654E-3</v>
      </c>
      <c r="AU352" s="37">
        <f>(BX352-$BX$328)/(($AA$328-AA352)+($AI$328-AI352))</f>
        <v>2.2418880841056646E-4</v>
      </c>
      <c r="AY352" s="90"/>
      <c r="AZ352" s="90"/>
      <c r="BA352" s="90"/>
      <c r="BB352" s="90"/>
      <c r="BC352" s="90"/>
      <c r="BD352" s="90"/>
      <c r="BE352" s="90"/>
      <c r="BF352" s="90"/>
      <c r="BG352" s="90">
        <v>210.42</v>
      </c>
      <c r="BH352" s="87"/>
      <c r="BI352" s="87">
        <v>0.3</v>
      </c>
      <c r="BJ352" s="87"/>
      <c r="BK352" s="87">
        <v>0</v>
      </c>
      <c r="BL352" s="87"/>
      <c r="BM352" s="87">
        <v>0</v>
      </c>
      <c r="BN352" s="87"/>
      <c r="BO352" s="89">
        <f>(BG352/1000)/60.2*1000</f>
        <v>3.4953488372093018</v>
      </c>
      <c r="BP352" s="88"/>
      <c r="BQ352" s="87">
        <f>BI352/74.08</f>
        <v>4.0496760259179261E-3</v>
      </c>
      <c r="BR352" s="87"/>
      <c r="BS352" s="87">
        <f>(BK352/1000)/88.12*1000</f>
        <v>0</v>
      </c>
      <c r="BT352" s="87"/>
      <c r="BU352" s="87">
        <f>BM352/88.12</f>
        <v>0</v>
      </c>
      <c r="BV352" s="87"/>
      <c r="BW352" s="86">
        <f>BO352*0.05</f>
        <v>0.17476744186046511</v>
      </c>
      <c r="BX352" s="85">
        <f t="shared" si="21"/>
        <v>2.0248380129589633E-4</v>
      </c>
      <c r="BY352" s="85">
        <f t="shared" si="22"/>
        <v>0</v>
      </c>
      <c r="BZ352" s="84">
        <f t="shared" si="23"/>
        <v>0</v>
      </c>
    </row>
    <row r="353" spans="1:78" x14ac:dyDescent="0.3">
      <c r="A353" s="173"/>
      <c r="B353" s="70" t="s">
        <v>68</v>
      </c>
      <c r="C353" s="20">
        <v>3</v>
      </c>
      <c r="D353" s="69"/>
      <c r="E353" s="21"/>
      <c r="F353" s="37">
        <v>1.45</v>
      </c>
      <c r="H353" s="37">
        <v>0.33500000000000002</v>
      </c>
      <c r="I353" s="53">
        <f>H353*0.2907</f>
        <v>9.7384500000000013E-2</v>
      </c>
      <c r="L353" s="68"/>
      <c r="M353" s="22">
        <v>13.365726742230589</v>
      </c>
      <c r="O353" s="21">
        <v>0</v>
      </c>
      <c r="Q353" s="21">
        <v>0.14647661512536692</v>
      </c>
      <c r="S353" s="21">
        <v>85.569866459114962</v>
      </c>
      <c r="U353" s="21">
        <v>0.43042669880273449</v>
      </c>
      <c r="W353" s="21">
        <v>0.48750348472634114</v>
      </c>
      <c r="Y353" s="22">
        <v>0.87241504967497907</v>
      </c>
      <c r="AA353" s="21">
        <v>0</v>
      </c>
      <c r="AC353" s="21">
        <v>9.5609019939826585E-3</v>
      </c>
      <c r="AE353" s="21">
        <v>5.5853632755888185</v>
      </c>
      <c r="AG353" s="21">
        <v>2.8095047658796918E-2</v>
      </c>
      <c r="AI353" s="21">
        <v>3.1820594947557464E-2</v>
      </c>
      <c r="AK353" s="22">
        <f>8*(AG353-$AG$329)/(2*($AA$329-AA353)+2*($AI$329-AI353))</f>
        <v>0.12734331590572004</v>
      </c>
      <c r="AL353" s="22"/>
      <c r="AM353" s="22">
        <f>(AG353-$AG$329)/(($AA$329-AA353)+($AI$329-AI353))</f>
        <v>3.183582897643001E-2</v>
      </c>
      <c r="AN353" s="22"/>
      <c r="AO353" s="37">
        <f>8*(BW353-$BW$329)/(2*($AA$329-AA353)+2*($AI$329-AI353))</f>
        <v>0.77125547794492355</v>
      </c>
      <c r="AQ353" s="37">
        <f>(BW353-$BW$329)/(($AA$329-AA353)+($AI$329-AI353))</f>
        <v>0.19281386948623089</v>
      </c>
      <c r="AS353" s="37">
        <f>14*(BX353-$BX$329)/(2*($AA$329-AA353)+2*($AI$329-AI353))</f>
        <v>1.5525709591344343E-3</v>
      </c>
      <c r="AU353" s="37">
        <f>(BX353-$BX$329)/(($AA$329-AA353)+($AI$329-AI353))</f>
        <v>2.2179585130491919E-4</v>
      </c>
      <c r="BG353" s="37">
        <v>204.87</v>
      </c>
      <c r="BI353" s="2">
        <v>0.28999999999999998</v>
      </c>
      <c r="BK353" s="2">
        <v>0</v>
      </c>
      <c r="BM353" s="2">
        <v>0</v>
      </c>
      <c r="BO353" s="22">
        <f>(BG353/1000)/60.2*1000</f>
        <v>3.403156146179402</v>
      </c>
      <c r="BQ353" s="2">
        <f>BI353/74.08</f>
        <v>3.9146868250539953E-3</v>
      </c>
      <c r="BS353" s="2">
        <f>(BK353/1000)/88.12*1000</f>
        <v>0</v>
      </c>
      <c r="BU353" s="2">
        <f>BM353/88.12</f>
        <v>0</v>
      </c>
      <c r="BW353" s="52">
        <f>BO353*0.05</f>
        <v>0.17015780730897012</v>
      </c>
      <c r="BX353" s="51">
        <f t="shared" si="21"/>
        <v>1.9573434125269977E-4</v>
      </c>
      <c r="BY353" s="51">
        <f t="shared" si="22"/>
        <v>0</v>
      </c>
      <c r="BZ353" s="67">
        <f t="shared" si="23"/>
        <v>0</v>
      </c>
    </row>
    <row r="354" spans="1:78" x14ac:dyDescent="0.3">
      <c r="A354" s="173"/>
      <c r="B354" s="70" t="s">
        <v>67</v>
      </c>
      <c r="C354" s="20">
        <v>3</v>
      </c>
      <c r="D354" s="69"/>
      <c r="E354" s="21"/>
      <c r="F354" s="37">
        <v>1.4650000000000001</v>
      </c>
      <c r="H354" s="37">
        <v>0.35099999999999998</v>
      </c>
      <c r="I354" s="53">
        <f>H354*0.2907</f>
        <v>0.10203569999999999</v>
      </c>
      <c r="L354" s="68"/>
      <c r="M354" s="22">
        <v>13.702422930292309</v>
      </c>
      <c r="O354" s="21">
        <v>0</v>
      </c>
      <c r="Q354" s="21">
        <v>0.22326261537309161</v>
      </c>
      <c r="S354" s="21">
        <v>85.157751536528963</v>
      </c>
      <c r="U354" s="21">
        <v>0.45874600021209544</v>
      </c>
      <c r="W354" s="21">
        <v>0.45781691759353299</v>
      </c>
      <c r="Y354" s="22">
        <v>0.90364439974488708</v>
      </c>
      <c r="AA354" s="21">
        <v>0</v>
      </c>
      <c r="AC354" s="21">
        <v>1.4723674278676428E-2</v>
      </c>
      <c r="AE354" s="21">
        <v>5.6159648306235246</v>
      </c>
      <c r="AG354" s="21">
        <v>3.0253281197486982E-2</v>
      </c>
      <c r="AI354" s="21">
        <v>3.0192010259534229E-2</v>
      </c>
      <c r="AK354" s="22">
        <f>8*(AG354-$AG$330)/(2*($AA$330-AA354)+2*($AI$330-AI354))</f>
        <v>0.14481252543262535</v>
      </c>
      <c r="AL354" s="22"/>
      <c r="AM354" s="22">
        <f>(AG354-$AG$330)/(($AA$330-AA354)+($AI$330-AI354))</f>
        <v>3.6203131358156337E-2</v>
      </c>
      <c r="AN354" s="22"/>
      <c r="AO354" s="37">
        <f>8*(BW354-$BW$330)/(2*($AA$330-AA354)+2*($AI$330-AI354))</f>
        <v>0.79930261508119149</v>
      </c>
      <c r="AQ354" s="37">
        <f>(BW354-$BW$330)/(($AA$330-AA354)+($AI$330-AI354))</f>
        <v>0.19982565377029787</v>
      </c>
      <c r="AS354" s="37">
        <f>14*(BX354-$BX$330)/(2*($AA$330-AA354)+2*($AI$330-AI354))</f>
        <v>1.3569128785346181E-3</v>
      </c>
      <c r="AU354" s="37">
        <f>(BX354-$BX$330)/(($AA$330-AA354)+($AI$330-AI354))</f>
        <v>1.938446969335169E-4</v>
      </c>
      <c r="BG354" s="37">
        <v>201.05</v>
      </c>
      <c r="BI354" s="2">
        <v>0.24</v>
      </c>
      <c r="BK354" s="2">
        <v>0</v>
      </c>
      <c r="BM354" s="2">
        <v>0</v>
      </c>
      <c r="BO354" s="22">
        <f>(BG354/1000)/60.2*1000</f>
        <v>3.3397009966777409</v>
      </c>
      <c r="BQ354" s="2">
        <f>BI354/74.08</f>
        <v>3.2397408207343412E-3</v>
      </c>
      <c r="BS354" s="2">
        <f>(BK354/1000)/88.12*1000</f>
        <v>0</v>
      </c>
      <c r="BU354" s="2">
        <f>BM354/88.12</f>
        <v>0</v>
      </c>
      <c r="BW354" s="52">
        <f>BO354*0.05</f>
        <v>0.16698504983388707</v>
      </c>
      <c r="BX354" s="51">
        <f t="shared" si="21"/>
        <v>1.6198704103671707E-4</v>
      </c>
      <c r="BY354" s="51">
        <f t="shared" si="22"/>
        <v>0</v>
      </c>
      <c r="BZ354" s="67">
        <f t="shared" si="23"/>
        <v>0</v>
      </c>
    </row>
    <row r="355" spans="1:78" x14ac:dyDescent="0.3">
      <c r="A355" s="173"/>
      <c r="B355" s="83" t="s">
        <v>63</v>
      </c>
      <c r="C355" s="80">
        <v>3</v>
      </c>
      <c r="D355" s="79" t="e">
        <f>AVERAGE(D352:D354)</f>
        <v>#DIV/0!</v>
      </c>
      <c r="E355" s="76"/>
      <c r="F355" s="78">
        <f>AVERAGE(F352:F354)</f>
        <v>1.4633333333333332</v>
      </c>
      <c r="G355" s="73">
        <f>_xlfn.STDEV.S(F352:F354)</f>
        <v>1.2583057392117986E-2</v>
      </c>
      <c r="H355" s="78">
        <f>AVERAGE(H352:H354)</f>
        <v>0.34833333333333333</v>
      </c>
      <c r="I355" s="82">
        <f>AVERAGE(I352:I354)</f>
        <v>0.10126050000000002</v>
      </c>
      <c r="J355" s="82">
        <f>_xlfn.STDEV.S(I352:I354)</f>
        <v>3.5524126787297612E-3</v>
      </c>
      <c r="K355" s="82"/>
      <c r="L355" s="81" t="e">
        <f>_xlfn.STDEV.S(K352:K354)</f>
        <v>#DIV/0!</v>
      </c>
      <c r="M355" s="77">
        <f>AVERAGE(M352:M354)</f>
        <v>13.311351296187732</v>
      </c>
      <c r="N355" s="76">
        <f>_xlfn.STDEV.S(M352:M354)</f>
        <v>0.42090189673215683</v>
      </c>
      <c r="O355" s="76">
        <f>AVERAGE(O352:O354)</f>
        <v>0</v>
      </c>
      <c r="P355" s="76">
        <f>_xlfn.STDEV.S(O352:O354)</f>
        <v>0</v>
      </c>
      <c r="Q355" s="76">
        <f>AVERAGE(Q352:Q354)</f>
        <v>0.14940700688915487</v>
      </c>
      <c r="R355" s="76">
        <f>_xlfn.STDEV.S(Q352:Q354)</f>
        <v>7.2434882712757581E-2</v>
      </c>
      <c r="S355" s="76">
        <f>AVERAGE(S352:S354)</f>
        <v>85.653541049829073</v>
      </c>
      <c r="T355" s="76">
        <f>_xlfn.STDEV.S(S352:S354)</f>
        <v>0.54248839917114267</v>
      </c>
      <c r="U355" s="76">
        <f>AVERAGE(U352:U354)</f>
        <v>0.4183923175536346</v>
      </c>
      <c r="V355" s="76">
        <f>_xlfn.STDEV.S(U352:U354)</f>
        <v>4.7527651299696674E-2</v>
      </c>
      <c r="W355" s="76">
        <f>AVERAGE(W352:W354)</f>
        <v>0.46730832954039819</v>
      </c>
      <c r="X355" s="76">
        <f>_xlfn.STDEV.S(W352:W354)</f>
        <v>1.7500018757954466E-2</v>
      </c>
      <c r="Y355" s="77">
        <f>AVERAGE(Y352:Y354)</f>
        <v>0.87677631768087017</v>
      </c>
      <c r="Z355" s="76">
        <f>_xlfn.STDEV.S(Y352:Y354)</f>
        <v>2.4974698911748538E-2</v>
      </c>
      <c r="AA355" s="76">
        <f>AVERAGE(AA352:AA354)</f>
        <v>0</v>
      </c>
      <c r="AB355" s="76">
        <f>_xlfn.STDEV.S(AA352:AA354)</f>
        <v>0</v>
      </c>
      <c r="AC355" s="76">
        <f>AVERAGE(AC352:AC354)</f>
        <v>9.831868422926689E-3</v>
      </c>
      <c r="AD355" s="76">
        <f>_xlfn.STDEV.S(AC352:AC354)</f>
        <v>4.762107954692135E-3</v>
      </c>
      <c r="AE355" s="76">
        <f>AVERAGE(AE352:AE354)</f>
        <v>5.6423405967359033</v>
      </c>
      <c r="AF355" s="76">
        <f>_xlfn.STDEV.S(AE352:AE354)</f>
        <v>7.3789678542451026E-2</v>
      </c>
      <c r="AG355" s="76">
        <f>AVERAGE(AG352:AG354)</f>
        <v>2.7550085467792168E-2</v>
      </c>
      <c r="AH355" s="76">
        <f>_xlfn.STDEV.S(AG352:AG354)</f>
        <v>3.0128707921572313E-3</v>
      </c>
      <c r="AI355" s="76">
        <f>AVERAGE(AI352:AI354)</f>
        <v>3.0776735992175275E-2</v>
      </c>
      <c r="AJ355" s="76">
        <f>_xlfn.STDEV.S(AI352:AI354)</f>
        <v>9.0618679569084038E-4</v>
      </c>
      <c r="AK355" s="77">
        <f>AVERAGE(AK352:AK354)</f>
        <v>0.1265945382994611</v>
      </c>
      <c r="AL355" s="77">
        <f>_xlfn.STDEV.S(AK352:AK354)</f>
        <v>1.8603680922984235E-2</v>
      </c>
      <c r="AM355" s="77">
        <f>AVERAGE(AM352:AM354)</f>
        <v>3.1648634574865275E-2</v>
      </c>
      <c r="AN355" s="77">
        <f>_xlfn.STDEV.S(AM352:AM354)</f>
        <v>4.650920230746005E-3</v>
      </c>
      <c r="AO355" s="78">
        <f>AVERAGE(AO352:AO354)</f>
        <v>0.78152126730186577</v>
      </c>
      <c r="AP355" s="78">
        <f>_xlfn.STDEV.S(AO352:AO354)</f>
        <v>1.546037480740195E-2</v>
      </c>
      <c r="AQ355" s="78">
        <f>AVERAGE(AQ352:AQ354)</f>
        <v>0.19538031682546644</v>
      </c>
      <c r="AR355" s="78">
        <f>_xlfn.STDEV.S(AQ352:AQ354)</f>
        <v>3.8650937018504875E-3</v>
      </c>
      <c r="AS355" s="78">
        <f>AVERAGE(AS352:AS354)</f>
        <v>1.4929351655143394E-3</v>
      </c>
      <c r="AT355" s="78">
        <f>_xlfn.STDEV.S(AS352:AS354)</f>
        <v>1.1809611933436336E-4</v>
      </c>
      <c r="AU355" s="78">
        <f>AVERAGE(AU352:AU354)</f>
        <v>2.1327645221633421E-4</v>
      </c>
      <c r="AV355" s="80">
        <f>_xlfn.STDEV.S(AU352:AU354)</f>
        <v>1.6870874190623318E-5</v>
      </c>
      <c r="AW355" s="78"/>
      <c r="AX355" s="78"/>
      <c r="AY355" s="79">
        <f>SUM(AK355,AO355,AS355)</f>
        <v>0.90960874076684117</v>
      </c>
      <c r="AZ355" s="77">
        <f>SUM(AL355,AP355,AT355)</f>
        <v>3.4182151849720545E-2</v>
      </c>
      <c r="BA355" s="78"/>
      <c r="BB355" s="78"/>
      <c r="BC355" s="78"/>
      <c r="BD355" s="78"/>
      <c r="BE355" s="78"/>
      <c r="BF355" s="78"/>
      <c r="BG355" s="77">
        <v>205.44666666666663</v>
      </c>
      <c r="BH355" s="76">
        <v>4.7115425641007658</v>
      </c>
      <c r="BI355" s="75">
        <v>0.27666666666666667</v>
      </c>
      <c r="BJ355" s="75">
        <v>3.2145502536643181E-2</v>
      </c>
      <c r="BK355" s="75">
        <v>0</v>
      </c>
      <c r="BL355" s="75">
        <v>0</v>
      </c>
      <c r="BM355" s="75">
        <v>0</v>
      </c>
      <c r="BN355" s="75">
        <v>0</v>
      </c>
      <c r="BO355" s="77">
        <f>AVERAGE(BO352:BO354)</f>
        <v>3.4127353266888147</v>
      </c>
      <c r="BP355" s="76">
        <f>_xlfn.STDEV.S(BO352:BO354)</f>
        <v>7.8264826646192026E-2</v>
      </c>
      <c r="BQ355" s="75">
        <f>AVERAGE(BQ352:BQ354)</f>
        <v>3.7347012239020874E-3</v>
      </c>
      <c r="BR355" s="75">
        <f>_xlfn.STDEV.S(BQ352:BQ354)</f>
        <v>4.3392956987909243E-4</v>
      </c>
      <c r="BS355" s="75">
        <f>AVERAGE(BS352:BS354)</f>
        <v>0</v>
      </c>
      <c r="BT355" s="75">
        <f>_xlfn.STDEV.S(BS352:BS354)</f>
        <v>0</v>
      </c>
      <c r="BU355" s="75">
        <f>AVERAGE(BU352:BU354)</f>
        <v>0</v>
      </c>
      <c r="BV355" s="75">
        <f>_xlfn.STDEV.S(BU352:BU354)</f>
        <v>0</v>
      </c>
      <c r="BW355" s="74">
        <f>AVERAGE(BW352:BW354)</f>
        <v>0.17063676633444078</v>
      </c>
      <c r="BX355" s="73">
        <f t="shared" si="21"/>
        <v>1.8673506119510437E-4</v>
      </c>
      <c r="BY355" s="73">
        <f t="shared" si="22"/>
        <v>0</v>
      </c>
      <c r="BZ355" s="72">
        <f t="shared" si="23"/>
        <v>0</v>
      </c>
    </row>
    <row r="356" spans="1:78" x14ac:dyDescent="0.3">
      <c r="A356" s="174" t="s">
        <v>60</v>
      </c>
      <c r="B356" s="70" t="s">
        <v>66</v>
      </c>
      <c r="C356" s="20">
        <v>3</v>
      </c>
      <c r="D356" s="69"/>
      <c r="E356" s="21"/>
      <c r="F356" s="37">
        <v>1.4850000000000001</v>
      </c>
      <c r="H356" s="37">
        <v>0.29099999999999998</v>
      </c>
      <c r="I356" s="53">
        <f>H356*0.2907</f>
        <v>8.4593699999999994E-2</v>
      </c>
      <c r="L356" s="68"/>
      <c r="M356" s="22">
        <v>9.3358527337805643</v>
      </c>
      <c r="O356" s="21">
        <v>0</v>
      </c>
      <c r="Q356" s="21">
        <v>0.14125584340527686</v>
      </c>
      <c r="S356" s="21">
        <v>89.921422809141944</v>
      </c>
      <c r="U356" s="21">
        <v>0</v>
      </c>
      <c r="W356" s="21">
        <v>0.60146861367219762</v>
      </c>
      <c r="Y356" s="22">
        <v>0.62408395157270224</v>
      </c>
      <c r="AA356" s="21">
        <v>0</v>
      </c>
      <c r="AC356" s="21">
        <v>9.4426837535815916E-3</v>
      </c>
      <c r="AE356" s="21">
        <v>6.0110756326212709</v>
      </c>
      <c r="AG356" s="21">
        <v>0</v>
      </c>
      <c r="AI356" s="21">
        <v>4.0207029809851649E-2</v>
      </c>
      <c r="AO356" s="37">
        <f>8*(BW356-$BW$332)/(2*($AA$332-AA356)+2*($AI$332-AI356))</f>
        <v>0.56131842487014805</v>
      </c>
      <c r="AQ356" s="37">
        <f>(BW356-$BW$332)/(($AA$332-AA356)+($AI$332-AI356))</f>
        <v>0.14032960621753701</v>
      </c>
      <c r="AS356" s="37">
        <f>14*(BX356-$BX$332)/(2*($AA$332-AA356)+2*($AI$332-AI356))</f>
        <v>3.60984580750097E-4</v>
      </c>
      <c r="AU356" s="37">
        <f>(BX356-$BX$332)/(($AA$332-AA356)+($AI$332-AI356))</f>
        <v>5.1569225821442431E-5</v>
      </c>
      <c r="BG356" s="37">
        <v>199.04</v>
      </c>
      <c r="BI356" s="2">
        <v>0.09</v>
      </c>
      <c r="BK356" s="2">
        <v>0</v>
      </c>
      <c r="BM356" s="2">
        <v>0</v>
      </c>
      <c r="BO356" s="22">
        <f>(BG356/1000)/60.2*1000</f>
        <v>3.306312292358804</v>
      </c>
      <c r="BQ356" s="2">
        <f>BI356/74.08</f>
        <v>1.214902807775378E-3</v>
      </c>
      <c r="BS356" s="2">
        <f>(BK356/1000)/88.12*1000</f>
        <v>0</v>
      </c>
      <c r="BU356" s="2">
        <f>BM356/88.12</f>
        <v>0</v>
      </c>
      <c r="BW356" s="52">
        <f>BO356*0.05</f>
        <v>0.1653156146179402</v>
      </c>
      <c r="BX356" s="51">
        <f t="shared" si="21"/>
        <v>6.0745140388768904E-5</v>
      </c>
      <c r="BY356" s="51">
        <f t="shared" si="22"/>
        <v>0</v>
      </c>
      <c r="BZ356" s="67">
        <f t="shared" si="23"/>
        <v>0</v>
      </c>
    </row>
    <row r="357" spans="1:78" x14ac:dyDescent="0.3">
      <c r="A357" s="173"/>
      <c r="B357" s="70" t="s">
        <v>65</v>
      </c>
      <c r="C357" s="20">
        <v>3</v>
      </c>
      <c r="D357" s="69"/>
      <c r="E357" s="21"/>
      <c r="F357" s="37">
        <v>1.46</v>
      </c>
      <c r="H357" s="37">
        <v>0.28499999999999998</v>
      </c>
      <c r="I357" s="53">
        <f>H357*0.2907</f>
        <v>8.2849499999999993E-2</v>
      </c>
      <c r="L357" s="68"/>
      <c r="M357" s="22">
        <v>9.6228878080791898</v>
      </c>
      <c r="O357" s="21">
        <v>0</v>
      </c>
      <c r="Q357" s="21">
        <v>6.8994949187327834E-2</v>
      </c>
      <c r="S357" s="21">
        <v>89.744480974015033</v>
      </c>
      <c r="U357" s="21">
        <v>0</v>
      </c>
      <c r="W357" s="21">
        <v>0.56363626871843342</v>
      </c>
      <c r="Y357" s="22">
        <v>0.63244220902664827</v>
      </c>
      <c r="AA357" s="21">
        <v>0</v>
      </c>
      <c r="AC357" s="21">
        <v>4.5345346372093831E-3</v>
      </c>
      <c r="AE357" s="21">
        <v>5.8982499772576586</v>
      </c>
      <c r="AG357" s="21">
        <v>0</v>
      </c>
      <c r="AI357" s="21">
        <v>3.7043699769266823E-2</v>
      </c>
      <c r="AO357" s="37">
        <f>8*(BW357-$BW$333)/(2*($AA$333-AA357)+2*($AI$333-AI357))</f>
        <v>0.56614690969249537</v>
      </c>
      <c r="AQ357" s="37">
        <f>(BW357-$BW$333)/(($AA$333-AA357)+($AI$333-AI357))</f>
        <v>0.14153672742312384</v>
      </c>
      <c r="AS357" s="37">
        <f>14*(BX357-$BX$333)/(2*($AA$333-AA357)+2*($AI$333-AI357))</f>
        <v>2.1238890965682994E-4</v>
      </c>
      <c r="AU357" s="37">
        <f>(BX357-$BX$333)/(($AA$333-AA357)+($AI$333-AI357))</f>
        <v>3.0341272808118563E-5</v>
      </c>
      <c r="BG357" s="37">
        <v>189.54</v>
      </c>
      <c r="BI357" s="2">
        <v>0.05</v>
      </c>
      <c r="BK357" s="2">
        <v>0</v>
      </c>
      <c r="BM357" s="2">
        <v>0</v>
      </c>
      <c r="BO357" s="22">
        <f>(BG357/1000)/60.2*1000</f>
        <v>3.1485049833887042</v>
      </c>
      <c r="BQ357" s="2">
        <f>BI357/74.08</f>
        <v>6.749460043196545E-4</v>
      </c>
      <c r="BS357" s="2">
        <f>(BK357/1000)/88.12*1000</f>
        <v>0</v>
      </c>
      <c r="BU357" s="2">
        <f>BM357/88.12</f>
        <v>0</v>
      </c>
      <c r="BW357" s="52">
        <f>BO357*0.05</f>
        <v>0.15742524916943523</v>
      </c>
      <c r="BX357" s="51">
        <f t="shared" si="21"/>
        <v>3.3747300215982723E-5</v>
      </c>
      <c r="BY357" s="51">
        <f t="shared" si="22"/>
        <v>0</v>
      </c>
      <c r="BZ357" s="67">
        <f t="shared" si="23"/>
        <v>0</v>
      </c>
    </row>
    <row r="358" spans="1:78" x14ac:dyDescent="0.3">
      <c r="A358" s="173"/>
      <c r="B358" s="70" t="s">
        <v>64</v>
      </c>
      <c r="C358" s="20">
        <v>3</v>
      </c>
      <c r="D358" s="69"/>
      <c r="E358" s="21"/>
      <c r="F358" s="37">
        <v>1.4750000000000001</v>
      </c>
      <c r="G358" s="67"/>
      <c r="H358" s="37">
        <v>0.28799999999999998</v>
      </c>
      <c r="I358" s="53">
        <f>H358*0.2907</f>
        <v>8.3721599999999993E-2</v>
      </c>
      <c r="L358" s="68"/>
      <c r="M358" s="22">
        <v>10.579858559227585</v>
      </c>
      <c r="O358" s="21">
        <v>0</v>
      </c>
      <c r="Q358" s="21">
        <v>0.31879530011274576</v>
      </c>
      <c r="S358" s="21">
        <v>88.519555973910727</v>
      </c>
      <c r="U358" s="21">
        <v>0</v>
      </c>
      <c r="W358" s="21">
        <v>0.58179016674893169</v>
      </c>
      <c r="Y358" s="22">
        <v>0.70248078704971173</v>
      </c>
      <c r="AA358" s="21">
        <v>0</v>
      </c>
      <c r="AC358" s="21">
        <v>2.1167350402395244E-2</v>
      </c>
      <c r="AE358" s="21">
        <v>5.8775159423665961</v>
      </c>
      <c r="AG358" s="21">
        <v>0</v>
      </c>
      <c r="AI358" s="21">
        <v>3.8629667112053602E-2</v>
      </c>
      <c r="AO358" s="37">
        <f>8*(BW358-$BW$334)/(2*($AA$334-AA358)+2*($AI$334-AI358))</f>
        <v>0.57382482364332033</v>
      </c>
      <c r="AQ358" s="37">
        <f>(BW358-$BW$334)/(($AA$334-AA358)+($AI$334-AI358))</f>
        <v>0.14345620591083008</v>
      </c>
      <c r="AS358" s="37">
        <f>14*(BX358-$BX$334)/(2*($AA$334-AA358)+2*($AI$334-AI358))</f>
        <v>4.3192861186048284E-4</v>
      </c>
      <c r="AU358" s="37">
        <f>(BX358-$BX$334)/(($AA$334-AA358)+($AI$334-AI358))</f>
        <v>6.1704087408640402E-5</v>
      </c>
      <c r="BG358" s="37">
        <v>188.93</v>
      </c>
      <c r="BI358" s="2">
        <v>0.1</v>
      </c>
      <c r="BK358" s="2">
        <v>0</v>
      </c>
      <c r="BM358" s="2">
        <v>0</v>
      </c>
      <c r="BO358" s="22">
        <f>(BG358/1000)/60.2*1000</f>
        <v>3.1383720930232557</v>
      </c>
      <c r="BQ358" s="2">
        <f>BI358/74.08</f>
        <v>1.349892008639309E-3</v>
      </c>
      <c r="BS358" s="2">
        <f>(BK358/1000)/88.12*1000</f>
        <v>0</v>
      </c>
      <c r="BU358" s="2">
        <f>BM358/88.12</f>
        <v>0</v>
      </c>
      <c r="BW358" s="52">
        <f>BO358*0.05</f>
        <v>0.15691860465116281</v>
      </c>
      <c r="BX358" s="51">
        <f t="shared" si="21"/>
        <v>6.7494600431965447E-5</v>
      </c>
      <c r="BY358" s="51">
        <f t="shared" si="22"/>
        <v>0</v>
      </c>
      <c r="BZ358" s="67">
        <f t="shared" si="23"/>
        <v>0</v>
      </c>
    </row>
    <row r="359" spans="1:78" ht="15" thickBot="1" x14ac:dyDescent="0.35">
      <c r="A359" s="175"/>
      <c r="B359" s="66" t="s">
        <v>63</v>
      </c>
      <c r="C359" s="65">
        <v>3</v>
      </c>
      <c r="D359" s="64" t="e">
        <f>AVERAGE(D356:D358)</f>
        <v>#DIV/0!</v>
      </c>
      <c r="E359" s="58"/>
      <c r="F359" s="60">
        <f>AVERAGE(F356:F358)</f>
        <v>1.4733333333333334</v>
      </c>
      <c r="G359" s="55">
        <f>_xlfn.STDEV.S(F356:F358)</f>
        <v>1.2583057392117987E-2</v>
      </c>
      <c r="H359" s="60">
        <f>AVERAGE(H356:H358)</f>
        <v>0.28799999999999998</v>
      </c>
      <c r="I359" s="63">
        <f>AVERAGE(I356:I358)</f>
        <v>8.3721599999999993E-2</v>
      </c>
      <c r="J359" s="63">
        <f>_xlfn.STDEV.S(I356:I358)</f>
        <v>8.7210000000000065E-4</v>
      </c>
      <c r="K359" s="63"/>
      <c r="L359" s="62" t="e">
        <f>_xlfn.STDEV.S(K356:K358)</f>
        <v>#DIV/0!</v>
      </c>
      <c r="M359" s="59">
        <f>AVERAGE(M356:M358)</f>
        <v>9.8461997003624457</v>
      </c>
      <c r="N359" s="58">
        <f>_xlfn.STDEV.S(M356:M358)</f>
        <v>0.65137452695271814</v>
      </c>
      <c r="O359" s="58">
        <f>AVERAGE(O356:O358)</f>
        <v>0</v>
      </c>
      <c r="P359" s="58">
        <f>_xlfn.STDEV.S(O356:O358)</f>
        <v>0</v>
      </c>
      <c r="Q359" s="58">
        <f>AVERAGE(Q356:Q358)</f>
        <v>0.17634869756845015</v>
      </c>
      <c r="R359" s="58">
        <f>_xlfn.STDEV.S(Q356:Q358)</f>
        <v>0.12854448700976565</v>
      </c>
      <c r="S359" s="58">
        <f>AVERAGE(S356:S358)</f>
        <v>89.395153252355897</v>
      </c>
      <c r="T359" s="58">
        <f>_xlfn.STDEV.S(S356:S358)</f>
        <v>0.76343306764245378</v>
      </c>
      <c r="U359" s="58">
        <f>AVERAGE(U356:U358)</f>
        <v>0</v>
      </c>
      <c r="V359" s="58">
        <f>_xlfn.STDEV.S(U356:U358)</f>
        <v>0</v>
      </c>
      <c r="W359" s="58">
        <f>AVERAGE(W356:W358)</f>
        <v>0.58229834971318761</v>
      </c>
      <c r="X359" s="58">
        <f>_xlfn.STDEV.S(W356:W358)</f>
        <v>1.8921291409917603E-2</v>
      </c>
      <c r="Y359" s="59">
        <f>AVERAGE(Y356:Y358)</f>
        <v>0.65300231588302082</v>
      </c>
      <c r="Z359" s="58">
        <f>_xlfn.STDEV.S(Y356:Y358)</f>
        <v>4.3052926133555824E-2</v>
      </c>
      <c r="AA359" s="58">
        <f>AVERAGE(AA356:AA358)</f>
        <v>0</v>
      </c>
      <c r="AB359" s="58">
        <f>_xlfn.STDEV.S(AA356:AA358)</f>
        <v>0</v>
      </c>
      <c r="AC359" s="58">
        <f>AVERAGE(AC356:AC358)</f>
        <v>1.1714856264395406E-2</v>
      </c>
      <c r="AD359" s="58">
        <f>_xlfn.STDEV.S(AC356:AC358)</f>
        <v>8.5460351045866453E-3</v>
      </c>
      <c r="AE359" s="58">
        <f>AVERAGE(AE356:AE358)</f>
        <v>5.9289471840818422</v>
      </c>
      <c r="AF359" s="58">
        <f>_xlfn.STDEV.S(AE356:AE358)</f>
        <v>7.187688498631653E-2</v>
      </c>
      <c r="AG359" s="58">
        <f>AVERAGE(AG356:AG358)</f>
        <v>0</v>
      </c>
      <c r="AH359" s="58">
        <f>_xlfn.STDEV.S(AG356:AG358)</f>
        <v>0</v>
      </c>
      <c r="AI359" s="58">
        <f>AVERAGE(AI356:AI358)</f>
        <v>3.8626798897057356E-2</v>
      </c>
      <c r="AJ359" s="58">
        <f>_xlfn.STDEV.S(AI356:AI358)</f>
        <v>1.5816669707651948E-3</v>
      </c>
      <c r="AK359" s="60"/>
      <c r="AL359" s="60"/>
      <c r="AM359" s="60"/>
      <c r="AN359" s="60"/>
      <c r="AO359" s="60">
        <f>AVERAGE(AO356:AO358)</f>
        <v>0.56709671940198791</v>
      </c>
      <c r="AP359" s="60">
        <f>_xlfn.STDEV.S(AO356:AO358)</f>
        <v>6.3070679742322422E-3</v>
      </c>
      <c r="AQ359" s="60">
        <f>AVERAGE(AQ356:AQ358)</f>
        <v>0.14177417985049698</v>
      </c>
      <c r="AR359" s="60">
        <f>_xlfn.STDEV.S(AQ356:AQ358)</f>
        <v>1.5767669935580605E-3</v>
      </c>
      <c r="AS359" s="60">
        <f>AVERAGE(AS356:AS358)</f>
        <v>3.3510070075580328E-4</v>
      </c>
      <c r="AT359" s="60">
        <f>_xlfn.STDEV.S(AS356:AS358)</f>
        <v>1.1203526964124467E-4</v>
      </c>
      <c r="AU359" s="60">
        <f>AVERAGE(AU356:AU358)</f>
        <v>4.7871528679400466E-5</v>
      </c>
      <c r="AV359" s="60">
        <f>_xlfn.STDEV.S(AU356:AU358)</f>
        <v>1.6005038520177808E-5</v>
      </c>
      <c r="AW359" s="60"/>
      <c r="AX359" s="60"/>
      <c r="AY359" s="59">
        <f>SUM(AK359,AO359,AS359)</f>
        <v>0.56743182010274373</v>
      </c>
      <c r="AZ359" s="59">
        <f>SUM(AL359,AP359,AT359)</f>
        <v>6.4191032438734872E-3</v>
      </c>
      <c r="BA359" s="60"/>
      <c r="BB359" s="60"/>
      <c r="BC359" s="60"/>
      <c r="BD359" s="60"/>
      <c r="BE359" s="60"/>
      <c r="BF359" s="60"/>
      <c r="BG359" s="59">
        <v>192.50333333333333</v>
      </c>
      <c r="BH359" s="58">
        <v>5.6691298568063582</v>
      </c>
      <c r="BI359" s="57">
        <v>0.08</v>
      </c>
      <c r="BJ359" s="57">
        <v>2.6457513110645859E-2</v>
      </c>
      <c r="BK359" s="57">
        <v>0</v>
      </c>
      <c r="BL359" s="57">
        <v>0</v>
      </c>
      <c r="BM359" s="57">
        <v>0</v>
      </c>
      <c r="BN359" s="57">
        <v>0</v>
      </c>
      <c r="BO359" s="59">
        <f>AVERAGE(BO356:BO358)</f>
        <v>3.1977297895902548</v>
      </c>
      <c r="BP359" s="58">
        <f>_xlfn.STDEV.S(BO356:BO358)</f>
        <v>9.4171592305753588E-2</v>
      </c>
      <c r="BQ359" s="57">
        <f>AVERAGE(BQ356:BQ358)</f>
        <v>1.0799136069114472E-3</v>
      </c>
      <c r="BR359" s="57">
        <f>_xlfn.STDEV.S(BQ356:BQ358)</f>
        <v>3.571478551653065E-4</v>
      </c>
      <c r="BS359" s="57">
        <f>AVERAGE(BS356:BS358)</f>
        <v>0</v>
      </c>
      <c r="BT359" s="57">
        <f>_xlfn.STDEV.S(BS356:BS358)</f>
        <v>0</v>
      </c>
      <c r="BU359" s="57">
        <f>AVERAGE(BU356:BU358)</f>
        <v>0</v>
      </c>
      <c r="BV359" s="57">
        <f>_xlfn.STDEV.S(BU356:BU358)</f>
        <v>0</v>
      </c>
      <c r="BW359" s="56">
        <f>AVERAGE(BW356:BW358)</f>
        <v>0.15988648947951276</v>
      </c>
      <c r="BX359" s="55">
        <f t="shared" si="21"/>
        <v>5.399568034557236E-5</v>
      </c>
      <c r="BY359" s="55">
        <f t="shared" si="22"/>
        <v>0</v>
      </c>
      <c r="BZ359" s="54">
        <f t="shared" si="23"/>
        <v>0</v>
      </c>
    </row>
    <row r="360" spans="1:78" x14ac:dyDescent="0.3">
      <c r="A360" s="172" t="s">
        <v>59</v>
      </c>
      <c r="B360" s="95" t="s">
        <v>69</v>
      </c>
      <c r="C360" s="94">
        <v>4</v>
      </c>
      <c r="D360" s="93"/>
      <c r="E360" s="88"/>
      <c r="F360" s="90">
        <v>1.43</v>
      </c>
      <c r="G360" s="85"/>
      <c r="H360" s="90">
        <v>0.32500000000000001</v>
      </c>
      <c r="I360" s="92">
        <f>H360*0.2907</f>
        <v>9.4477500000000006E-2</v>
      </c>
      <c r="J360" s="92"/>
      <c r="K360" s="92"/>
      <c r="L360" s="91"/>
      <c r="M360" s="89">
        <v>13.665169934051191</v>
      </c>
      <c r="O360" s="88">
        <v>0</v>
      </c>
      <c r="Q360" s="88">
        <v>7.6469596049952002E-2</v>
      </c>
      <c r="S360" s="88">
        <v>85.842391566512759</v>
      </c>
      <c r="U360" s="88">
        <v>0.41596890338607911</v>
      </c>
      <c r="W360" s="88">
        <v>0</v>
      </c>
      <c r="X360" s="88"/>
      <c r="Y360" s="89">
        <v>0.87965756696114428</v>
      </c>
      <c r="AA360" s="88">
        <v>0</v>
      </c>
      <c r="AC360" s="88">
        <v>4.9225190123823254E-3</v>
      </c>
      <c r="AE360" s="88">
        <v>5.5258668331201743</v>
      </c>
      <c r="AG360" s="88">
        <v>2.6776849117134655E-2</v>
      </c>
      <c r="AI360" s="88">
        <v>0</v>
      </c>
      <c r="AJ360" s="87"/>
      <c r="AK360" s="89">
        <f>8*(AG360-$AG$328)/(2*($AA$328-AA360)+2*($AI$328-AI360))</f>
        <v>0.11473720795318089</v>
      </c>
      <c r="AL360" s="89"/>
      <c r="AM360" s="89">
        <f>(AG360-$AG$328)/(($AA$328-AA360)+($AI$328-AI360))</f>
        <v>2.8684301988295222E-2</v>
      </c>
      <c r="AN360" s="89"/>
      <c r="AO360" s="37">
        <f>8*(BW360-$BW$328)/(2*($AA$328-AA360)+2*($AI$328-AI360))</f>
        <v>0.81940591695297504</v>
      </c>
      <c r="AQ360" s="37">
        <f>(BW360-$BW$328)/(($AA$328-AA360)+($AI$328-AI360))</f>
        <v>0.20485147923824376</v>
      </c>
      <c r="AS360" s="37">
        <f>14*(BX360-$BX$328)/(2*($AA$328-AA360)+2*($AI$328-AI360))</f>
        <v>1.4677425452817015E-3</v>
      </c>
      <c r="AU360" s="37">
        <f>(BX360-$BX$328)/(($AA$328-AA360)+($AI$328-AI360))</f>
        <v>2.096775064688145E-4</v>
      </c>
      <c r="AY360" s="90"/>
      <c r="AZ360" s="90"/>
      <c r="BA360" s="90"/>
      <c r="BB360" s="90"/>
      <c r="BC360" s="90"/>
      <c r="BD360" s="90"/>
      <c r="BE360" s="90"/>
      <c r="BF360" s="90"/>
      <c r="BG360" s="90">
        <v>230.24</v>
      </c>
      <c r="BH360" s="87"/>
      <c r="BI360" s="87">
        <v>0.28999999999999998</v>
      </c>
      <c r="BJ360" s="87"/>
      <c r="BK360" s="87">
        <v>0</v>
      </c>
      <c r="BL360" s="87"/>
      <c r="BM360" s="87">
        <v>0</v>
      </c>
      <c r="BN360" s="87"/>
      <c r="BO360" s="89">
        <f>(BG360/1000)/60.2*1000</f>
        <v>3.8245847176079732</v>
      </c>
      <c r="BP360" s="88"/>
      <c r="BQ360" s="87">
        <f>BI360/74.08</f>
        <v>3.9146868250539953E-3</v>
      </c>
      <c r="BR360" s="87"/>
      <c r="BS360" s="87">
        <f>(BK360/1000)/88.12*1000</f>
        <v>0</v>
      </c>
      <c r="BT360" s="87"/>
      <c r="BU360" s="87">
        <f>BM360/88.12</f>
        <v>0</v>
      </c>
      <c r="BV360" s="87"/>
      <c r="BW360" s="86">
        <f>BO360*0.05</f>
        <v>0.19122923588039867</v>
      </c>
      <c r="BX360" s="85">
        <f t="shared" ref="BX360:BX391" si="24">BQ360*0.05</f>
        <v>1.9573434125269977E-4</v>
      </c>
      <c r="BY360" s="85">
        <f t="shared" ref="BY360:BY391" si="25">BS360*0.05</f>
        <v>0</v>
      </c>
      <c r="BZ360" s="84">
        <f t="shared" ref="BZ360:BZ391" si="26">BU360*0.05</f>
        <v>0</v>
      </c>
    </row>
    <row r="361" spans="1:78" x14ac:dyDescent="0.3">
      <c r="A361" s="173"/>
      <c r="B361" s="70" t="s">
        <v>68</v>
      </c>
      <c r="C361" s="20">
        <v>4</v>
      </c>
      <c r="D361" s="69"/>
      <c r="E361" s="21"/>
      <c r="F361" s="37">
        <v>1.425</v>
      </c>
      <c r="H361" s="37">
        <v>0.33300000000000002</v>
      </c>
      <c r="I361" s="53">
        <f>H361*0.2907</f>
        <v>9.6803100000000003E-2</v>
      </c>
      <c r="L361" s="68"/>
      <c r="M361" s="22">
        <v>13.599240290512382</v>
      </c>
      <c r="O361" s="21">
        <v>0</v>
      </c>
      <c r="Q361" s="21">
        <v>0.31299977399150486</v>
      </c>
      <c r="S361" s="21">
        <v>85.621083160626583</v>
      </c>
      <c r="U361" s="21">
        <v>0.46667677486953518</v>
      </c>
      <c r="W361" s="21">
        <v>0</v>
      </c>
      <c r="Y361" s="22">
        <v>0.87235264181446071</v>
      </c>
      <c r="AA361" s="21">
        <v>0</v>
      </c>
      <c r="AC361" s="21">
        <v>2.0078046559653128E-2</v>
      </c>
      <c r="AE361" s="21">
        <v>5.4923493147111708</v>
      </c>
      <c r="AG361" s="21">
        <v>2.993598971222771E-2</v>
      </c>
      <c r="AI361" s="21">
        <v>0</v>
      </c>
      <c r="AK361" s="22">
        <f>8*(AG361-$AG$329)/(2*($AA$329-AA361)+2*($AI$329-AI361))</f>
        <v>0.13096527988854834</v>
      </c>
      <c r="AL361" s="22"/>
      <c r="AM361" s="22">
        <f>(AG361-$AG$329)/(($AA$329-AA361)+($AI$329-AI361))</f>
        <v>3.2741319972137084E-2</v>
      </c>
      <c r="AN361" s="22"/>
      <c r="AO361" s="37">
        <f>8*(BW361-$BW$329)/(2*($AA$329-AA361)+2*($AI$329-AI361))</f>
        <v>0.82082825681481741</v>
      </c>
      <c r="AQ361" s="37">
        <f>(BW361-$BW$329)/(($AA$329-AA361)+($AI$329-AI361))</f>
        <v>0.20520706420370435</v>
      </c>
      <c r="AS361" s="37">
        <f>14*(BX361-$BX$329)/(2*($AA$329-AA361)+2*($AI$329-AI361))</f>
        <v>1.6018849742132212E-3</v>
      </c>
      <c r="AU361" s="37">
        <f>(BX361-$BX$329)/(($AA$329-AA361)+($AI$329-AI361))</f>
        <v>2.2884071060188873E-4</v>
      </c>
      <c r="BG361" s="37">
        <v>225.9</v>
      </c>
      <c r="BI361" s="2">
        <v>0.31</v>
      </c>
      <c r="BK361" s="2">
        <v>0</v>
      </c>
      <c r="BM361" s="2">
        <v>0</v>
      </c>
      <c r="BO361" s="22">
        <f>(BG361/1000)/60.2*1000</f>
        <v>3.7524916943521598</v>
      </c>
      <c r="BQ361" s="2">
        <f>BI361/74.08</f>
        <v>4.1846652267818578E-3</v>
      </c>
      <c r="BS361" s="2">
        <f>(BK361/1000)/88.12*1000</f>
        <v>0</v>
      </c>
      <c r="BU361" s="2">
        <f>BM361/88.12</f>
        <v>0</v>
      </c>
      <c r="BW361" s="52">
        <f>BO361*0.05</f>
        <v>0.18762458471760801</v>
      </c>
      <c r="BX361" s="51">
        <f t="shared" si="24"/>
        <v>2.0923326133909291E-4</v>
      </c>
      <c r="BY361" s="51">
        <f t="shared" si="25"/>
        <v>0</v>
      </c>
      <c r="BZ361" s="67">
        <f t="shared" si="26"/>
        <v>0</v>
      </c>
    </row>
    <row r="362" spans="1:78" x14ac:dyDescent="0.3">
      <c r="A362" s="173"/>
      <c r="B362" s="70" t="s">
        <v>67</v>
      </c>
      <c r="C362" s="20">
        <v>4</v>
      </c>
      <c r="D362" s="69"/>
      <c r="E362" s="21"/>
      <c r="F362" s="37">
        <v>1.4350000000000001</v>
      </c>
      <c r="H362" s="37">
        <v>0.33500000000000002</v>
      </c>
      <c r="I362" s="53">
        <f>H362*0.2907</f>
        <v>9.7384500000000013E-2</v>
      </c>
      <c r="L362" s="68"/>
      <c r="M362" s="22">
        <v>13.317082559823895</v>
      </c>
      <c r="O362" s="21">
        <v>0</v>
      </c>
      <c r="Q362" s="21">
        <v>0.15840196247287577</v>
      </c>
      <c r="S362" s="21">
        <v>86.033985090231781</v>
      </c>
      <c r="U362" s="21">
        <v>0.49053038747145167</v>
      </c>
      <c r="W362" s="21">
        <v>0</v>
      </c>
      <c r="Y362" s="22">
        <v>0.86024778280741609</v>
      </c>
      <c r="AA362" s="21">
        <v>0</v>
      </c>
      <c r="AC362" s="21">
        <v>1.0232341535580064E-2</v>
      </c>
      <c r="AE362" s="21">
        <v>5.5575644731106104</v>
      </c>
      <c r="AG362" s="21">
        <v>3.1686946170555182E-2</v>
      </c>
      <c r="AI362" s="21">
        <v>0</v>
      </c>
      <c r="AK362" s="22">
        <f>8*(AG362-$AG$330)/(2*($AA$330-AA362)+2*($AI$330-AI362))</f>
        <v>0.14638610672970293</v>
      </c>
      <c r="AL362" s="22"/>
      <c r="AM362" s="22">
        <f>(AG362-$AG$330)/(($AA$330-AA362)+($AI$330-AI362))</f>
        <v>3.6596526682425731E-2</v>
      </c>
      <c r="AN362" s="22"/>
      <c r="AO362" s="37">
        <f>8*(BW362-$BW$330)/(2*($AA$330-AA362)+2*($AI$330-AI362))</f>
        <v>0.79840514454438483</v>
      </c>
      <c r="AQ362" s="37">
        <f>(BW362-$BW$330)/(($AA$330-AA362)+($AI$330-AI362))</f>
        <v>0.19960128613609621</v>
      </c>
      <c r="AS362" s="37">
        <f>14*(BX362-$BX$330)/(2*($AA$330-AA362)+2*($AI$330-AI362))</f>
        <v>1.4732970454486968E-3</v>
      </c>
      <c r="AU362" s="37">
        <f>(BX362-$BX$330)/(($AA$330-AA362)+($AI$330-AI362))</f>
        <v>2.1047100649267096E-4</v>
      </c>
      <c r="BG362" s="37">
        <v>208.08</v>
      </c>
      <c r="BI362" s="2">
        <v>0.27</v>
      </c>
      <c r="BK362" s="2">
        <v>0</v>
      </c>
      <c r="BM362" s="2">
        <v>0</v>
      </c>
      <c r="BO362" s="22">
        <f>(BG362/1000)/60.2*1000</f>
        <v>3.4564784053156146</v>
      </c>
      <c r="BQ362" s="2">
        <f>BI362/74.08</f>
        <v>3.6447084233261341E-3</v>
      </c>
      <c r="BS362" s="2">
        <f>(BK362/1000)/88.12*1000</f>
        <v>0</v>
      </c>
      <c r="BU362" s="2">
        <f>BM362/88.12</f>
        <v>0</v>
      </c>
      <c r="BW362" s="52">
        <f>BO362*0.05</f>
        <v>0.17282392026578075</v>
      </c>
      <c r="BX362" s="51">
        <f t="shared" si="24"/>
        <v>1.8223542116630671E-4</v>
      </c>
      <c r="BY362" s="51">
        <f t="shared" si="25"/>
        <v>0</v>
      </c>
      <c r="BZ362" s="67">
        <f t="shared" si="26"/>
        <v>0</v>
      </c>
    </row>
    <row r="363" spans="1:78" x14ac:dyDescent="0.3">
      <c r="A363" s="173"/>
      <c r="B363" s="83" t="s">
        <v>63</v>
      </c>
      <c r="C363" s="80">
        <v>4</v>
      </c>
      <c r="D363" s="79" t="e">
        <f>AVERAGE(D360:D362)</f>
        <v>#DIV/0!</v>
      </c>
      <c r="E363" s="76"/>
      <c r="F363" s="78">
        <f>AVERAGE(F360:F362)</f>
        <v>1.43</v>
      </c>
      <c r="G363" s="73">
        <f>_xlfn.STDEV.S(F360:F362)</f>
        <v>5.0000000000000044E-3</v>
      </c>
      <c r="H363" s="78">
        <f>AVERAGE(H360:H362)</f>
        <v>0.33100000000000002</v>
      </c>
      <c r="I363" s="82">
        <f>AVERAGE(I360:I362)</f>
        <v>9.6221700000000007E-2</v>
      </c>
      <c r="J363" s="82">
        <f>_xlfn.STDEV.S(I360:I362)</f>
        <v>1.5382398122529548E-3</v>
      </c>
      <c r="K363" s="82"/>
      <c r="L363" s="81" t="e">
        <f>_xlfn.STDEV.S(K360:K362)</f>
        <v>#DIV/0!</v>
      </c>
      <c r="M363" s="77">
        <f>AVERAGE(M360:M362)</f>
        <v>13.527164261462488</v>
      </c>
      <c r="N363" s="76">
        <f>_xlfn.STDEV.S(M360:M362)</f>
        <v>0.18489840587959142</v>
      </c>
      <c r="O363" s="76">
        <f>AVERAGE(O360:O362)</f>
        <v>0</v>
      </c>
      <c r="P363" s="76">
        <f>_xlfn.STDEV.S(O360:O362)</f>
        <v>0</v>
      </c>
      <c r="Q363" s="76">
        <f>AVERAGE(Q360:Q362)</f>
        <v>0.18262377750477754</v>
      </c>
      <c r="R363" s="76">
        <f>_xlfn.STDEV.S(Q360:Q362)</f>
        <v>0.12011100495727027</v>
      </c>
      <c r="S363" s="76">
        <f>AVERAGE(S360:S362)</f>
        <v>85.832486605790379</v>
      </c>
      <c r="T363" s="76">
        <f>_xlfn.STDEV.S(S360:S362)</f>
        <v>0.2066290929494391</v>
      </c>
      <c r="U363" s="76">
        <f>AVERAGE(U360:U362)</f>
        <v>0.4577253552423553</v>
      </c>
      <c r="V363" s="76">
        <f>_xlfn.STDEV.S(U360:U362)</f>
        <v>3.8078204556671415E-2</v>
      </c>
      <c r="W363" s="76">
        <f>AVERAGE(W360:W362)</f>
        <v>0</v>
      </c>
      <c r="X363" s="76">
        <f>_xlfn.STDEV.S(W360:W362)</f>
        <v>0</v>
      </c>
      <c r="Y363" s="77">
        <f>AVERAGE(Y360:Y362)</f>
        <v>0.87075266386100703</v>
      </c>
      <c r="Z363" s="76">
        <f>_xlfn.STDEV.S(Y360:Y362)</f>
        <v>9.803309508132076E-3</v>
      </c>
      <c r="AA363" s="76">
        <f>AVERAGE(AA360:AA362)</f>
        <v>0</v>
      </c>
      <c r="AB363" s="76">
        <f>_xlfn.STDEV.S(AA360:AA362)</f>
        <v>0</v>
      </c>
      <c r="AC363" s="76">
        <f>AVERAGE(AC360:AC362)</f>
        <v>1.1744302369205172E-2</v>
      </c>
      <c r="AD363" s="76">
        <f>_xlfn.STDEV.S(AC360:AC362)</f>
        <v>7.6900600115235307E-3</v>
      </c>
      <c r="AE363" s="76">
        <f>AVERAGE(AE360:AE362)</f>
        <v>5.5252602069806516</v>
      </c>
      <c r="AF363" s="76">
        <f>_xlfn.STDEV.S(AE360:AE362)</f>
        <v>3.2611811015656016E-2</v>
      </c>
      <c r="AG363" s="76">
        <f>AVERAGE(AG360:AG362)</f>
        <v>2.9466594999972517E-2</v>
      </c>
      <c r="AH363" s="76">
        <f>_xlfn.STDEV.S(AG360:AG362)</f>
        <v>2.4884758016549182E-3</v>
      </c>
      <c r="AI363" s="76">
        <f>AVERAGE(AI360:AI362)</f>
        <v>0</v>
      </c>
      <c r="AJ363" s="76">
        <f>_xlfn.STDEV.S(AI360:AI362)</f>
        <v>0</v>
      </c>
      <c r="AK363" s="77">
        <f>AVERAGE(AK360:AK362)</f>
        <v>0.13069619819047737</v>
      </c>
      <c r="AL363" s="77">
        <f>_xlfn.STDEV.S(AK360:AK362)</f>
        <v>1.5826165112300963E-2</v>
      </c>
      <c r="AM363" s="77">
        <f>AVERAGE(AM360:AM362)</f>
        <v>3.2674049547619342E-2</v>
      </c>
      <c r="AN363" s="77">
        <f>_xlfn.STDEV.S(AM360:AM362)</f>
        <v>3.9565412780752408E-3</v>
      </c>
      <c r="AO363" s="78">
        <f>AVERAGE(AO360:AO362)</f>
        <v>0.81287977277072576</v>
      </c>
      <c r="AP363" s="78">
        <f>_xlfn.STDEV.S(AO360:AO362)</f>
        <v>1.2555552930426272E-2</v>
      </c>
      <c r="AQ363" s="78">
        <f>AVERAGE(AQ360:AQ362)</f>
        <v>0.20321994319268144</v>
      </c>
      <c r="AR363" s="78">
        <f>_xlfn.STDEV.S(AQ360:AQ362)</f>
        <v>3.138888232606568E-3</v>
      </c>
      <c r="AS363" s="78">
        <f>AVERAGE(AS360:AS362)</f>
        <v>1.51430818831454E-3</v>
      </c>
      <c r="AT363" s="78">
        <f>_xlfn.STDEV.S(AS360:AS362)</f>
        <v>7.5894553093643654E-5</v>
      </c>
      <c r="AU363" s="78">
        <f>AVERAGE(AU360:AU362)</f>
        <v>2.1632974118779139E-4</v>
      </c>
      <c r="AV363" s="80">
        <f>_xlfn.STDEV.S(AU360:AU362)</f>
        <v>1.0842079013377662E-5</v>
      </c>
      <c r="AW363" s="78"/>
      <c r="AX363" s="78"/>
      <c r="AY363" s="79">
        <f>SUM(AK363,AO363,AS363)</f>
        <v>0.94509027914951771</v>
      </c>
      <c r="AZ363" s="77">
        <f>SUM(AL363,AP363,AT363)</f>
        <v>2.8457612595820879E-2</v>
      </c>
      <c r="BA363" s="78"/>
      <c r="BB363" s="78"/>
      <c r="BC363" s="78"/>
      <c r="BD363" s="78"/>
      <c r="BE363" s="78"/>
      <c r="BF363" s="78"/>
      <c r="BG363" s="77">
        <v>221.40666666666667</v>
      </c>
      <c r="BH363" s="76">
        <v>11.743463430067523</v>
      </c>
      <c r="BI363" s="75">
        <v>0.28999999999999998</v>
      </c>
      <c r="BJ363" s="75">
        <v>1.999999999999999E-2</v>
      </c>
      <c r="BK363" s="75">
        <v>0</v>
      </c>
      <c r="BL363" s="75">
        <v>0</v>
      </c>
      <c r="BM363" s="75">
        <v>0</v>
      </c>
      <c r="BN363" s="75">
        <v>0</v>
      </c>
      <c r="BO363" s="77">
        <f>AVERAGE(BO360:BO362)</f>
        <v>3.6778516057585828</v>
      </c>
      <c r="BP363" s="76">
        <f>_xlfn.STDEV.S(BO360:BO362)</f>
        <v>0.19507414335660345</v>
      </c>
      <c r="BQ363" s="75">
        <f>AVERAGE(BQ360:BQ362)</f>
        <v>3.9146868250539953E-3</v>
      </c>
      <c r="BR363" s="75">
        <f>_xlfn.STDEV.S(BQ360:BQ362)</f>
        <v>2.6997840172786184E-4</v>
      </c>
      <c r="BS363" s="75">
        <f>AVERAGE(BS360:BS362)</f>
        <v>0</v>
      </c>
      <c r="BT363" s="75">
        <f>_xlfn.STDEV.S(BS360:BS362)</f>
        <v>0</v>
      </c>
      <c r="BU363" s="75">
        <f>AVERAGE(BU360:BU362)</f>
        <v>0</v>
      </c>
      <c r="BV363" s="75">
        <f>_xlfn.STDEV.S(BU360:BU362)</f>
        <v>0</v>
      </c>
      <c r="BW363" s="74">
        <f>AVERAGE(BW360:BW362)</f>
        <v>0.18389258028792912</v>
      </c>
      <c r="BX363" s="73">
        <f t="shared" si="24"/>
        <v>1.9573434125269977E-4</v>
      </c>
      <c r="BY363" s="73">
        <f t="shared" si="25"/>
        <v>0</v>
      </c>
      <c r="BZ363" s="72">
        <f t="shared" si="26"/>
        <v>0</v>
      </c>
    </row>
    <row r="364" spans="1:78" x14ac:dyDescent="0.3">
      <c r="A364" s="174" t="s">
        <v>60</v>
      </c>
      <c r="B364" s="70" t="s">
        <v>66</v>
      </c>
      <c r="C364" s="20">
        <v>4</v>
      </c>
      <c r="D364" s="69"/>
      <c r="E364" s="21"/>
      <c r="F364" s="37">
        <v>1.4350000000000001</v>
      </c>
      <c r="H364" s="37">
        <v>0.29699999999999999</v>
      </c>
      <c r="I364" s="53">
        <f>H364*0.2907</f>
        <v>8.6337899999999995E-2</v>
      </c>
      <c r="K364" s="53">
        <f>(I364-I332)/(AI332/1000-AI364/1000)*0.05</f>
        <v>2.3148306421335514</v>
      </c>
      <c r="L364" s="68"/>
      <c r="M364" s="22">
        <v>9.6316159920776236</v>
      </c>
      <c r="O364" s="21">
        <v>0</v>
      </c>
      <c r="Q364" s="21">
        <v>7.3845135323500996E-2</v>
      </c>
      <c r="S364" s="21">
        <v>90.294538872598878</v>
      </c>
      <c r="U364" s="21">
        <v>0</v>
      </c>
      <c r="W364" s="21">
        <v>0</v>
      </c>
      <c r="Y364" s="22">
        <v>0.62217653640098758</v>
      </c>
      <c r="AA364" s="21">
        <v>0</v>
      </c>
      <c r="AC364" s="21">
        <v>4.7701974999241423E-3</v>
      </c>
      <c r="AE364" s="21">
        <v>5.8327848097232495</v>
      </c>
      <c r="AG364" s="21">
        <v>0</v>
      </c>
      <c r="AI364" s="21">
        <v>0</v>
      </c>
      <c r="AO364" s="37">
        <f>8*(BW364-$BW$332)/(2*($AA$332-AA364)+2*($AI$332-AI364))</f>
        <v>0.54251832416351686</v>
      </c>
      <c r="AQ364" s="37">
        <f>(BW364-$BW$332)/(($AA$332-AA364)+($AI$332-AI364))</f>
        <v>0.13562958104087922</v>
      </c>
      <c r="AS364" s="37">
        <f>14*(BX364-$BX$332)/(2*($AA$332-AA364)+2*($AI$332-AI364))</f>
        <v>7.369247252943321E-4</v>
      </c>
      <c r="AU364" s="37">
        <f>(BX364-$BX$332)/(($AA$332-AA364)+($AI$332-AI364))</f>
        <v>1.0527496075633316E-4</v>
      </c>
      <c r="BG364" s="37">
        <v>198.94</v>
      </c>
      <c r="BI364" s="2">
        <v>0.19</v>
      </c>
      <c r="BK364" s="2">
        <v>0</v>
      </c>
      <c r="BM364" s="2">
        <v>0</v>
      </c>
      <c r="BO364" s="22">
        <f>(BG364/1000)/60.2*1000</f>
        <v>3.3046511627906976</v>
      </c>
      <c r="BQ364" s="2">
        <f>BI364/74.08</f>
        <v>2.5647948164146867E-3</v>
      </c>
      <c r="BS364" s="2">
        <f>(BK364/1000)/88.12*1000</f>
        <v>0</v>
      </c>
      <c r="BU364" s="2">
        <f>BM364/88.12</f>
        <v>0</v>
      </c>
      <c r="BW364" s="52">
        <f>BO364*0.05</f>
        <v>0.16523255813953489</v>
      </c>
      <c r="BX364" s="51">
        <f t="shared" si="24"/>
        <v>1.2823974082073434E-4</v>
      </c>
      <c r="BY364" s="51">
        <f t="shared" si="25"/>
        <v>0</v>
      </c>
      <c r="BZ364" s="67">
        <f t="shared" si="26"/>
        <v>0</v>
      </c>
    </row>
    <row r="365" spans="1:78" x14ac:dyDescent="0.3">
      <c r="A365" s="173"/>
      <c r="B365" s="70" t="s">
        <v>65</v>
      </c>
      <c r="C365" s="20">
        <v>4</v>
      </c>
      <c r="D365" s="69"/>
      <c r="E365" s="21"/>
      <c r="F365" s="37">
        <v>1.44</v>
      </c>
      <c r="H365" s="37">
        <v>0.28899999999999998</v>
      </c>
      <c r="I365" s="53">
        <f>H365*0.2907</f>
        <v>8.4012299999999998E-2</v>
      </c>
      <c r="K365" s="53">
        <f>(I365-I333)/(AI333/1000-AI365/1000)*0.05</f>
        <v>2.0993718232503422</v>
      </c>
      <c r="L365" s="68"/>
      <c r="M365" s="22">
        <v>9.9670279873548395</v>
      </c>
      <c r="O365" s="21">
        <v>0</v>
      </c>
      <c r="Q365" s="21">
        <v>6.3156268141867908E-2</v>
      </c>
      <c r="S365" s="21">
        <v>89.969815744503293</v>
      </c>
      <c r="U365" s="21">
        <v>0</v>
      </c>
      <c r="W365" s="21">
        <v>0</v>
      </c>
      <c r="Y365" s="22">
        <v>0.64608660713578592</v>
      </c>
      <c r="AA365" s="21">
        <v>0</v>
      </c>
      <c r="AC365" s="21">
        <v>4.0939404459289074E-3</v>
      </c>
      <c r="AE365" s="21">
        <v>5.8320587714557703</v>
      </c>
      <c r="AG365" s="21">
        <v>0</v>
      </c>
      <c r="AI365" s="21">
        <v>0</v>
      </c>
      <c r="AO365" s="37">
        <f>8*(BW365-$BW$333)/(2*($AA$333-AA365)+2*($AI$333-AI365))</f>
        <v>0.55093435437477989</v>
      </c>
      <c r="AQ365" s="37">
        <f>(BW365-$BW$333)/(($AA$333-AA365)+($AI$333-AI365))</f>
        <v>0.13773358859369497</v>
      </c>
      <c r="AS365" s="37">
        <f>14*(BX365-$BX$333)/(2*($AA$333-AA365)+2*($AI$333-AI365))</f>
        <v>9.8660781735373485E-4</v>
      </c>
      <c r="AU365" s="37">
        <f>(BX365-$BX$333)/(($AA$333-AA365)+($AI$333-AI365))</f>
        <v>1.4094397390767641E-4</v>
      </c>
      <c r="BG365" s="37">
        <v>190.59</v>
      </c>
      <c r="BI365" s="2">
        <v>0.24</v>
      </c>
      <c r="BK365" s="2">
        <v>0</v>
      </c>
      <c r="BM365" s="2">
        <v>0</v>
      </c>
      <c r="BO365" s="22">
        <f>(BG365/1000)/60.2*1000</f>
        <v>3.165946843853821</v>
      </c>
      <c r="BQ365" s="2">
        <f>BI365/74.08</f>
        <v>3.2397408207343412E-3</v>
      </c>
      <c r="BS365" s="2">
        <f>(BK365/1000)/88.12*1000</f>
        <v>0</v>
      </c>
      <c r="BU365" s="2">
        <f>BM365/88.12</f>
        <v>0</v>
      </c>
      <c r="BW365" s="52">
        <f>BO365*0.05</f>
        <v>0.15829734219269107</v>
      </c>
      <c r="BX365" s="51">
        <f t="shared" si="24"/>
        <v>1.6198704103671707E-4</v>
      </c>
      <c r="BY365" s="51">
        <f t="shared" si="25"/>
        <v>0</v>
      </c>
      <c r="BZ365" s="67">
        <f t="shared" si="26"/>
        <v>0</v>
      </c>
    </row>
    <row r="366" spans="1:78" x14ac:dyDescent="0.3">
      <c r="A366" s="173"/>
      <c r="B366" s="70" t="s">
        <v>64</v>
      </c>
      <c r="C366" s="20">
        <v>4</v>
      </c>
      <c r="D366" s="69"/>
      <c r="E366" s="21"/>
      <c r="F366" s="37">
        <v>1.45</v>
      </c>
      <c r="G366" s="67"/>
      <c r="H366" s="37">
        <v>0.29799999999999999</v>
      </c>
      <c r="I366" s="53">
        <f>H366*0.2907</f>
        <v>8.66286E-2</v>
      </c>
      <c r="K366" s="53">
        <f>(I366-I334)/(AI334/1000-AI366/1000)*0.05</f>
        <v>2.4000970999328892</v>
      </c>
      <c r="L366" s="68"/>
      <c r="M366" s="22">
        <v>10.848260386719051</v>
      </c>
      <c r="O366" s="21">
        <v>0</v>
      </c>
      <c r="Q366" s="21">
        <v>0.2507009464781198</v>
      </c>
      <c r="S366" s="21">
        <v>88.901038666802819</v>
      </c>
      <c r="U366" s="21">
        <v>0</v>
      </c>
      <c r="W366" s="21">
        <v>0</v>
      </c>
      <c r="Y366" s="22">
        <v>0.70809360438766089</v>
      </c>
      <c r="AA366" s="21">
        <v>0</v>
      </c>
      <c r="AC366" s="21">
        <v>1.6363889737788555E-2</v>
      </c>
      <c r="AE366" s="21">
        <v>5.8027973757386855</v>
      </c>
      <c r="AG366" s="21">
        <v>0</v>
      </c>
      <c r="AI366" s="21">
        <v>0</v>
      </c>
      <c r="AO366" s="37">
        <f>8*(BW366-$BW$334)/(2*($AA$334-AA366)+2*($AI$334-AI366))</f>
        <v>0.55422180808261257</v>
      </c>
      <c r="AQ366" s="37">
        <f>(BW366-$BW$334)/(($AA$334-AA366)+($AI$334-AI366))</f>
        <v>0.13855545202065314</v>
      </c>
      <c r="AS366" s="37">
        <f>14*(BX366-$BX$334)/(2*($AA$334-AA366)+2*($AI$334-AI366))</f>
        <v>9.1782930719377215E-4</v>
      </c>
      <c r="AU366" s="37">
        <f>(BX366-$BX$334)/(($AA$334-AA366)+($AI$334-AI366))</f>
        <v>1.3111847245625318E-4</v>
      </c>
      <c r="BG366" s="37">
        <v>188.92</v>
      </c>
      <c r="BI366" s="2">
        <v>0.22</v>
      </c>
      <c r="BK366" s="2">
        <v>0</v>
      </c>
      <c r="BM366" s="2">
        <v>0</v>
      </c>
      <c r="BO366" s="22">
        <f>(BG366/1000)/60.2*1000</f>
        <v>3.1382059800664446</v>
      </c>
      <c r="BQ366" s="2">
        <f>BI366/74.08</f>
        <v>2.9697624190064796E-3</v>
      </c>
      <c r="BS366" s="2">
        <f>(BK366/1000)/88.12*1000</f>
        <v>0</v>
      </c>
      <c r="BU366" s="2">
        <f>BM366/88.12</f>
        <v>0</v>
      </c>
      <c r="BW366" s="52">
        <f>BO366*0.05</f>
        <v>0.15691029900332223</v>
      </c>
      <c r="BX366" s="51">
        <f t="shared" si="24"/>
        <v>1.4848812095032398E-4</v>
      </c>
      <c r="BY366" s="51">
        <f t="shared" si="25"/>
        <v>0</v>
      </c>
      <c r="BZ366" s="67">
        <f t="shared" si="26"/>
        <v>0</v>
      </c>
    </row>
    <row r="367" spans="1:78" ht="15" thickBot="1" x14ac:dyDescent="0.35">
      <c r="A367" s="175"/>
      <c r="B367" s="66" t="s">
        <v>63</v>
      </c>
      <c r="C367" s="65">
        <v>4</v>
      </c>
      <c r="D367" s="64" t="e">
        <f>AVERAGE(D364:D366)</f>
        <v>#DIV/0!</v>
      </c>
      <c r="E367" s="58"/>
      <c r="F367" s="60">
        <f>AVERAGE(F364:F366)</f>
        <v>1.4416666666666667</v>
      </c>
      <c r="G367" s="55">
        <f>_xlfn.STDEV.S(F364:F366)</f>
        <v>7.6376261582596916E-3</v>
      </c>
      <c r="H367" s="60">
        <f>AVERAGE(H364:H366)</f>
        <v>0.29466666666666663</v>
      </c>
      <c r="I367" s="63">
        <f>AVERAGE(I364:I366)</f>
        <v>8.5659600000000002E-2</v>
      </c>
      <c r="J367" s="63">
        <f>_xlfn.STDEV.S(I364:I366)</f>
        <v>1.4339890480753331E-3</v>
      </c>
      <c r="K367" s="63">
        <f>AVERAGE(K364:K366)</f>
        <v>2.2714331884389276</v>
      </c>
      <c r="L367" s="62">
        <f>_xlfn.STDEV.S(K364:K366)</f>
        <v>0.15498847456934137</v>
      </c>
      <c r="M367" s="59">
        <f>AVERAGE(M364:M366)</f>
        <v>10.148968122050505</v>
      </c>
      <c r="N367" s="58">
        <f>_xlfn.STDEV.S(M364:M366)</f>
        <v>0.62839681349678167</v>
      </c>
      <c r="O367" s="58">
        <f>AVERAGE(O364:O366)</f>
        <v>0</v>
      </c>
      <c r="P367" s="58">
        <f>_xlfn.STDEV.S(O364:O366)</f>
        <v>0</v>
      </c>
      <c r="Q367" s="58">
        <f>AVERAGE(Q364:Q366)</f>
        <v>0.12923411664782958</v>
      </c>
      <c r="R367" s="58">
        <f>_xlfn.STDEV.S(Q364:Q366)</f>
        <v>0.10532903698492718</v>
      </c>
      <c r="S367" s="58">
        <f>AVERAGE(S364:S366)</f>
        <v>89.721797761301673</v>
      </c>
      <c r="T367" s="58">
        <f>_xlfn.STDEV.S(S364:S366)</f>
        <v>0.72910588797647735</v>
      </c>
      <c r="U367" s="58">
        <f>AVERAGE(U364:U366)</f>
        <v>0</v>
      </c>
      <c r="V367" s="58">
        <f>_xlfn.STDEV.S(U364:U366)</f>
        <v>0</v>
      </c>
      <c r="W367" s="58">
        <f>AVERAGE(W364:W366)</f>
        <v>0</v>
      </c>
      <c r="X367" s="58">
        <f>_xlfn.STDEV.S(W364:W366)</f>
        <v>0</v>
      </c>
      <c r="Y367" s="59">
        <f>AVERAGE(Y364:Y366)</f>
        <v>0.65878558264147813</v>
      </c>
      <c r="Z367" s="58">
        <f>_xlfn.STDEV.S(Y364:Y366)</f>
        <v>4.4343924353030473E-2</v>
      </c>
      <c r="AA367" s="58">
        <f>AVERAGE(AA364:AA366)</f>
        <v>0</v>
      </c>
      <c r="AB367" s="58">
        <f>_xlfn.STDEV.S(AA364:AA366)</f>
        <v>0</v>
      </c>
      <c r="AC367" s="58">
        <f>AVERAGE(AC364:AC366)</f>
        <v>8.409342561213869E-3</v>
      </c>
      <c r="AD367" s="58">
        <f>_xlfn.STDEV.S(AC364:AC366)</f>
        <v>6.897133208009964E-3</v>
      </c>
      <c r="AE367" s="58">
        <f>AVERAGE(AE364:AE366)</f>
        <v>5.8225469856392351</v>
      </c>
      <c r="AF367" s="58">
        <f>_xlfn.STDEV.S(AE364:AE366)</f>
        <v>1.7107515930414246E-2</v>
      </c>
      <c r="AG367" s="58">
        <f>AVERAGE(AG364:AG366)</f>
        <v>0</v>
      </c>
      <c r="AH367" s="58">
        <f>_xlfn.STDEV.S(AG364:AG366)</f>
        <v>0</v>
      </c>
      <c r="AI367" s="58">
        <f>AVERAGE(AI364:AI366)</f>
        <v>0</v>
      </c>
      <c r="AJ367" s="58">
        <f>_xlfn.STDEV.S(AI364:AI366)</f>
        <v>0</v>
      </c>
      <c r="AK367" s="60"/>
      <c r="AL367" s="60"/>
      <c r="AM367" s="60"/>
      <c r="AN367" s="60"/>
      <c r="AO367" s="60">
        <f>AVERAGE(AO364:AO366)</f>
        <v>0.54922482887363644</v>
      </c>
      <c r="AP367" s="60">
        <f>_xlfn.STDEV.S(AO364:AO366)</f>
        <v>6.0361197834724713E-3</v>
      </c>
      <c r="AQ367" s="60">
        <f>AVERAGE(AQ364:AQ366)</f>
        <v>0.13730620721840911</v>
      </c>
      <c r="AR367" s="60">
        <f>_xlfn.STDEV.S(AQ364:AQ366)</f>
        <v>1.5090299458681178E-3</v>
      </c>
      <c r="AS367" s="60">
        <f>AVERAGE(AS364:AS366)</f>
        <v>8.8045394994727981E-4</v>
      </c>
      <c r="AT367" s="60">
        <f>_xlfn.STDEV.S(AS364:AS366)</f>
        <v>1.2896937470602567E-4</v>
      </c>
      <c r="AU367" s="60">
        <f>AVERAGE(AU364:AU366)</f>
        <v>1.2577913570675425E-4</v>
      </c>
      <c r="AV367" s="60">
        <f>_xlfn.STDEV.S(AU364:AU366)</f>
        <v>1.8424196386575098E-5</v>
      </c>
      <c r="AW367" s="60"/>
      <c r="AX367" s="60"/>
      <c r="AY367" s="59">
        <f>SUM(AK367,AO367,AS367)</f>
        <v>0.55010528282358373</v>
      </c>
      <c r="AZ367" s="59">
        <f>SUM(AL367,AP367,AT367)</f>
        <v>6.1650891581784967E-3</v>
      </c>
      <c r="BA367" s="60"/>
      <c r="BB367" s="60"/>
      <c r="BC367" s="60"/>
      <c r="BD367" s="60"/>
      <c r="BE367" s="60"/>
      <c r="BF367" s="60"/>
      <c r="BG367" s="59">
        <v>192.81666666666663</v>
      </c>
      <c r="BH367" s="58">
        <v>5.3682989236194141</v>
      </c>
      <c r="BI367" s="57">
        <v>0.21666666666666667</v>
      </c>
      <c r="BJ367" s="57">
        <v>2.5166114784235825E-2</v>
      </c>
      <c r="BK367" s="57">
        <v>0</v>
      </c>
      <c r="BL367" s="57">
        <v>0</v>
      </c>
      <c r="BM367" s="57">
        <v>0</v>
      </c>
      <c r="BN367" s="57">
        <v>0</v>
      </c>
      <c r="BO367" s="59">
        <f>AVERAGE(BO364:BO366)</f>
        <v>3.2029346622369879</v>
      </c>
      <c r="BP367" s="58">
        <f>_xlfn.STDEV.S(BO364:BO366)</f>
        <v>8.917440072457504E-2</v>
      </c>
      <c r="BQ367" s="57">
        <f>AVERAGE(BQ364:BQ366)</f>
        <v>2.9247660187185025E-3</v>
      </c>
      <c r="BR367" s="57">
        <f>_xlfn.STDEV.S(BQ364:BQ366)</f>
        <v>3.3971537235739517E-4</v>
      </c>
      <c r="BS367" s="57">
        <f>AVERAGE(BS364:BS366)</f>
        <v>0</v>
      </c>
      <c r="BT367" s="57">
        <f>_xlfn.STDEV.S(BS364:BS366)</f>
        <v>0</v>
      </c>
      <c r="BU367" s="57">
        <f>AVERAGE(BU364:BU366)</f>
        <v>0</v>
      </c>
      <c r="BV367" s="57">
        <f>_xlfn.STDEV.S(BU364:BU366)</f>
        <v>0</v>
      </c>
      <c r="BW367" s="56">
        <f>AVERAGE(BW364:BW366)</f>
        <v>0.16014673311184938</v>
      </c>
      <c r="BX367" s="55">
        <f t="shared" si="24"/>
        <v>1.4623830093592514E-4</v>
      </c>
      <c r="BY367" s="55">
        <f t="shared" si="25"/>
        <v>0</v>
      </c>
      <c r="BZ367" s="54">
        <f t="shared" si="26"/>
        <v>0</v>
      </c>
    </row>
    <row r="368" spans="1:78" x14ac:dyDescent="0.3">
      <c r="A368" s="172" t="s">
        <v>59</v>
      </c>
      <c r="B368" s="95" t="s">
        <v>69</v>
      </c>
      <c r="C368" s="94">
        <v>5</v>
      </c>
      <c r="D368" s="93"/>
      <c r="E368" s="88"/>
      <c r="F368" s="90">
        <v>1.4</v>
      </c>
      <c r="G368" s="85"/>
      <c r="H368" s="90">
        <v>0.316</v>
      </c>
      <c r="I368" s="92">
        <f>H368*0.2907</f>
        <v>9.1861200000000004E-2</v>
      </c>
      <c r="J368" s="92"/>
      <c r="K368" s="92"/>
      <c r="L368" s="91"/>
      <c r="M368" s="89">
        <v>13.360200268032127</v>
      </c>
      <c r="O368" s="88">
        <v>0</v>
      </c>
      <c r="Q368" s="88">
        <v>0.21485960191366094</v>
      </c>
      <c r="S368" s="88">
        <v>85.956330561639987</v>
      </c>
      <c r="U368" s="88">
        <v>0.46860956841420232</v>
      </c>
      <c r="W368" s="88">
        <v>0</v>
      </c>
      <c r="X368" s="88"/>
      <c r="Y368" s="89">
        <v>0.84198348390773758</v>
      </c>
      <c r="AA368" s="88">
        <v>0</v>
      </c>
      <c r="AC368" s="88">
        <v>1.3540832662753226E-2</v>
      </c>
      <c r="AE368" s="88">
        <v>5.4171201941776719</v>
      </c>
      <c r="AG368" s="88">
        <v>2.9532604982725138E-2</v>
      </c>
      <c r="AI368" s="88">
        <v>0</v>
      </c>
      <c r="AJ368" s="87"/>
      <c r="AK368" s="89">
        <f>8*(AG368-$AG$328)/(2*($AA$328-AA368)+2*($AI$328-AI368))</f>
        <v>0.12654545814853801</v>
      </c>
      <c r="AL368" s="89"/>
      <c r="AM368" s="89">
        <f>(AG368-$AG$328)/(($AA$328-AA368)+($AI$328-AI368))</f>
        <v>3.1636364537134504E-2</v>
      </c>
      <c r="AN368" s="89"/>
      <c r="AO368" s="37">
        <f>8*(BW368-$BW$328)/(2*($AA$328-AA368)+2*($AI$328-AI368))</f>
        <v>0.81477931995836561</v>
      </c>
      <c r="AQ368" s="37">
        <f>(BW368-$BW$328)/(($AA$328-AA368)+($AI$328-AI368))</f>
        <v>0.2036948299895914</v>
      </c>
      <c r="AS368" s="37">
        <f>14*(BX368-$BX$328)/(2*($AA$328-AA368)+2*($AI$328-AI368))</f>
        <v>1.4171307333754363E-3</v>
      </c>
      <c r="AU368" s="37">
        <f>(BX368-$BX$328)/(($AA$328-AA368)+($AI$328-AI368))</f>
        <v>2.0244724762506232E-4</v>
      </c>
      <c r="AY368" s="90"/>
      <c r="AZ368" s="90"/>
      <c r="BA368" s="90"/>
      <c r="BB368" s="90"/>
      <c r="BC368" s="90"/>
      <c r="BD368" s="90"/>
      <c r="BE368" s="90"/>
      <c r="BF368" s="90"/>
      <c r="BG368" s="90">
        <v>228.94</v>
      </c>
      <c r="BH368" s="87"/>
      <c r="BI368" s="87">
        <v>0.28000000000000003</v>
      </c>
      <c r="BJ368" s="87"/>
      <c r="BK368" s="87">
        <v>0</v>
      </c>
      <c r="BL368" s="87"/>
      <c r="BM368" s="87">
        <v>0</v>
      </c>
      <c r="BN368" s="87"/>
      <c r="BO368" s="89">
        <f>(BG368/1000)/60.2*1000</f>
        <v>3.8029900332225912</v>
      </c>
      <c r="BP368" s="88"/>
      <c r="BQ368" s="87">
        <f>BI368/74.08</f>
        <v>3.7796976241900654E-3</v>
      </c>
      <c r="BR368" s="87"/>
      <c r="BS368" s="87">
        <f>(BK368/1000)/88.12*1000</f>
        <v>0</v>
      </c>
      <c r="BT368" s="87"/>
      <c r="BU368" s="87">
        <f>BM368/88.12</f>
        <v>0</v>
      </c>
      <c r="BV368" s="87"/>
      <c r="BW368" s="86">
        <f>BO368*0.05</f>
        <v>0.19014950166112957</v>
      </c>
      <c r="BX368" s="85">
        <f t="shared" si="24"/>
        <v>1.8898488120950327E-4</v>
      </c>
      <c r="BY368" s="85">
        <f t="shared" si="25"/>
        <v>0</v>
      </c>
      <c r="BZ368" s="84">
        <f t="shared" si="26"/>
        <v>0</v>
      </c>
    </row>
    <row r="369" spans="1:78" x14ac:dyDescent="0.3">
      <c r="A369" s="173"/>
      <c r="B369" s="70" t="s">
        <v>68</v>
      </c>
      <c r="C369" s="20">
        <v>5</v>
      </c>
      <c r="D369" s="69"/>
      <c r="E369" s="21"/>
      <c r="F369" s="37">
        <v>1.395</v>
      </c>
      <c r="H369" s="37">
        <v>0.32500000000000001</v>
      </c>
      <c r="I369" s="53">
        <f>H369*0.2907</f>
        <v>9.4477500000000006E-2</v>
      </c>
      <c r="L369" s="68"/>
      <c r="M369" s="22">
        <v>13.400838553158822</v>
      </c>
      <c r="O369" s="21">
        <v>0</v>
      </c>
      <c r="Q369" s="21">
        <v>7.9262813374802246E-2</v>
      </c>
      <c r="S369" s="21">
        <v>86.023434401062801</v>
      </c>
      <c r="U369" s="21">
        <v>0.49646423240356724</v>
      </c>
      <c r="W369" s="21">
        <v>0</v>
      </c>
      <c r="Y369" s="22">
        <v>0.8415283499681705</v>
      </c>
      <c r="AA369" s="21">
        <v>0</v>
      </c>
      <c r="AC369" s="21">
        <v>4.9774425897705869E-3</v>
      </c>
      <c r="AE369" s="21">
        <v>5.4019872355717338</v>
      </c>
      <c r="AG369" s="21">
        <v>3.117631218788975E-2</v>
      </c>
      <c r="AI369" s="21">
        <v>0</v>
      </c>
      <c r="AK369" s="22">
        <f>8*(AG369-$AG$329)/(2*($AA$329-AA369)+2*($AI$329-AI369))</f>
        <v>0.13639149701845288</v>
      </c>
      <c r="AL369" s="22"/>
      <c r="AM369" s="22">
        <f>(AG369-$AG$329)/(($AA$329-AA369)+($AI$329-AI369))</f>
        <v>3.409787425461322E-2</v>
      </c>
      <c r="AN369" s="22"/>
      <c r="AO369" s="37">
        <f>8*(BW369-$BW$329)/(2*($AA$329-AA369)+2*($AI$329-AI369))</f>
        <v>0.82965788348174963</v>
      </c>
      <c r="AQ369" s="37">
        <f>(BW369-$BW$329)/(($AA$329-AA369)+($AI$329-AI369))</f>
        <v>0.20741447087043741</v>
      </c>
      <c r="AS369" s="37">
        <f>14*(BX369-$BX$329)/(2*($AA$329-AA369)+2*($AI$329-AI369))</f>
        <v>1.6018849742132212E-3</v>
      </c>
      <c r="AU369" s="37">
        <f>(BX369-$BX$329)/(($AA$329-AA369)+($AI$329-AI369))</f>
        <v>2.2884071060188873E-4</v>
      </c>
      <c r="BG369" s="37">
        <v>228.33</v>
      </c>
      <c r="BI369" s="2">
        <v>0.31</v>
      </c>
      <c r="BK369" s="2">
        <v>0</v>
      </c>
      <c r="BM369" s="2">
        <v>0</v>
      </c>
      <c r="BO369" s="22">
        <f>(BG369/1000)/60.2*1000</f>
        <v>3.7928571428571431</v>
      </c>
      <c r="BQ369" s="2">
        <f>BI369/74.08</f>
        <v>4.1846652267818578E-3</v>
      </c>
      <c r="BS369" s="2">
        <f>(BK369/1000)/88.12*1000</f>
        <v>0</v>
      </c>
      <c r="BU369" s="2">
        <f>BM369/88.12</f>
        <v>0</v>
      </c>
      <c r="BW369" s="52">
        <f>BO369*0.05</f>
        <v>0.18964285714285717</v>
      </c>
      <c r="BX369" s="51">
        <f t="shared" si="24"/>
        <v>2.0923326133909291E-4</v>
      </c>
      <c r="BY369" s="51">
        <f t="shared" si="25"/>
        <v>0</v>
      </c>
      <c r="BZ369" s="67">
        <f t="shared" si="26"/>
        <v>0</v>
      </c>
    </row>
    <row r="370" spans="1:78" x14ac:dyDescent="0.3">
      <c r="A370" s="173"/>
      <c r="B370" s="70" t="s">
        <v>67</v>
      </c>
      <c r="C370" s="20">
        <v>5</v>
      </c>
      <c r="D370" s="69"/>
      <c r="E370" s="21"/>
      <c r="F370" s="37">
        <v>1.41</v>
      </c>
      <c r="H370" s="37">
        <v>0.31900000000000001</v>
      </c>
      <c r="I370" s="53">
        <f>H370*0.2907</f>
        <v>9.2733300000000005E-2</v>
      </c>
      <c r="L370" s="68"/>
      <c r="M370" s="22">
        <v>13.507064620080847</v>
      </c>
      <c r="O370" s="21">
        <v>0</v>
      </c>
      <c r="Q370" s="21">
        <v>0.13836015255000089</v>
      </c>
      <c r="S370" s="21">
        <v>85.851982818902727</v>
      </c>
      <c r="U370" s="21">
        <v>0.5025924084664144</v>
      </c>
      <c r="W370" s="21">
        <v>0</v>
      </c>
      <c r="Y370" s="22">
        <v>0.85731941503295928</v>
      </c>
      <c r="AA370" s="21">
        <v>0</v>
      </c>
      <c r="AC370" s="21">
        <v>8.7819854560914779E-3</v>
      </c>
      <c r="AE370" s="21">
        <v>5.4491907575756304</v>
      </c>
      <c r="AG370" s="21">
        <v>3.190050849285516E-2</v>
      </c>
      <c r="AI370" s="21">
        <v>0</v>
      </c>
      <c r="AK370" s="22">
        <f>8*(AG370-$AG$330)/(2*($AA$330-AA370)+2*($AI$330-AI370))</f>
        <v>0.14737271354051321</v>
      </c>
      <c r="AL370" s="22"/>
      <c r="AM370" s="22">
        <f>(AG370-$AG$330)/(($AA$330-AA370)+($AI$330-AI370))</f>
        <v>3.6843178385128302E-2</v>
      </c>
      <c r="AN370" s="22"/>
      <c r="AO370" s="37">
        <f>8*(BW370-$BW$330)/(2*($AA$330-AA370)+2*($AI$330-AI370))</f>
        <v>0.80239563546290726</v>
      </c>
      <c r="AQ370" s="37">
        <f>(BW370-$BW$330)/(($AA$330-AA370)+($AI$330-AI370))</f>
        <v>0.20059890886572682</v>
      </c>
      <c r="AS370" s="37">
        <f>14*(BX370-$BX$330)/(2*($AA$330-AA370)+2*($AI$330-AI370))</f>
        <v>1.2004642592544936E-3</v>
      </c>
      <c r="AU370" s="37">
        <f>(BX370-$BX$330)/(($AA$330-AA370)+($AI$330-AI370))</f>
        <v>1.7149489417921337E-4</v>
      </c>
      <c r="BG370" s="37">
        <v>209.12</v>
      </c>
      <c r="BI370" s="2">
        <v>0.22</v>
      </c>
      <c r="BK370" s="2">
        <v>0</v>
      </c>
      <c r="BM370" s="2">
        <v>0</v>
      </c>
      <c r="BO370" s="22">
        <f>(BG370/1000)/60.2*1000</f>
        <v>3.4737541528239202</v>
      </c>
      <c r="BQ370" s="2">
        <f>BI370/74.08</f>
        <v>2.9697624190064796E-3</v>
      </c>
      <c r="BS370" s="2">
        <f>(BK370/1000)/88.12*1000</f>
        <v>0</v>
      </c>
      <c r="BU370" s="2">
        <f>BM370/88.12</f>
        <v>0</v>
      </c>
      <c r="BW370" s="52">
        <f>BO370*0.05</f>
        <v>0.17368770764119601</v>
      </c>
      <c r="BX370" s="51">
        <f t="shared" si="24"/>
        <v>1.4848812095032398E-4</v>
      </c>
      <c r="BY370" s="51">
        <f t="shared" si="25"/>
        <v>0</v>
      </c>
      <c r="BZ370" s="67">
        <f t="shared" si="26"/>
        <v>0</v>
      </c>
    </row>
    <row r="371" spans="1:78" x14ac:dyDescent="0.3">
      <c r="A371" s="173"/>
      <c r="B371" s="83" t="s">
        <v>63</v>
      </c>
      <c r="C371" s="80">
        <v>5</v>
      </c>
      <c r="D371" s="79" t="e">
        <f>AVERAGE(D368:D370)</f>
        <v>#DIV/0!</v>
      </c>
      <c r="E371" s="76"/>
      <c r="F371" s="78">
        <f>AVERAGE(F368:F370)</f>
        <v>1.4016666666666666</v>
      </c>
      <c r="G371" s="73">
        <f>_xlfn.STDEV.S(F368:F370)</f>
        <v>7.6376261582596916E-3</v>
      </c>
      <c r="H371" s="78">
        <f>AVERAGE(H368:H370)</f>
        <v>0.32</v>
      </c>
      <c r="I371" s="82">
        <f>AVERAGE(I368:I370)</f>
        <v>9.3024000000000009E-2</v>
      </c>
      <c r="J371" s="82">
        <f>_xlfn.STDEV.S(I368:I370)</f>
        <v>1.3321547545236637E-3</v>
      </c>
      <c r="K371" s="82"/>
      <c r="L371" s="81" t="e">
        <f>_xlfn.STDEV.S(K368:K370)</f>
        <v>#DIV/0!</v>
      </c>
      <c r="M371" s="77">
        <f>AVERAGE(M368:M370)</f>
        <v>13.422701147090599</v>
      </c>
      <c r="N371" s="76">
        <f>_xlfn.STDEV.S(M368:M370)</f>
        <v>7.5833793494337956E-2</v>
      </c>
      <c r="O371" s="76">
        <f>AVERAGE(O368:O370)</f>
        <v>0</v>
      </c>
      <c r="P371" s="76">
        <f>_xlfn.STDEV.S(O368:O370)</f>
        <v>0</v>
      </c>
      <c r="Q371" s="76">
        <f>AVERAGE(Q368:Q370)</f>
        <v>0.14416085594615469</v>
      </c>
      <c r="R371" s="76">
        <f>_xlfn.STDEV.S(Q368:Q370)</f>
        <v>6.7984251010293636E-2</v>
      </c>
      <c r="S371" s="76">
        <f>AVERAGE(S368:S370)</f>
        <v>85.943915927201843</v>
      </c>
      <c r="T371" s="76">
        <f>_xlfn.STDEV.S(S368:S370)</f>
        <v>8.6397358857043915E-2</v>
      </c>
      <c r="U371" s="76">
        <f>AVERAGE(U368:U370)</f>
        <v>0.48922206976139465</v>
      </c>
      <c r="V371" s="76">
        <f>_xlfn.STDEV.S(U368:U370)</f>
        <v>1.8112013811426866E-2</v>
      </c>
      <c r="W371" s="76">
        <f>AVERAGE(W368:W370)</f>
        <v>0</v>
      </c>
      <c r="X371" s="76">
        <f>_xlfn.STDEV.S(W368:W370)</f>
        <v>0</v>
      </c>
      <c r="Y371" s="77">
        <f>AVERAGE(Y368:Y370)</f>
        <v>0.84694374963628916</v>
      </c>
      <c r="Z371" s="76">
        <f>_xlfn.STDEV.S(Y368:Y370)</f>
        <v>8.9884710069889143E-3</v>
      </c>
      <c r="AA371" s="76">
        <f>AVERAGE(AA368:AA370)</f>
        <v>0</v>
      </c>
      <c r="AB371" s="76">
        <f>_xlfn.STDEV.S(AA368:AA370)</f>
        <v>0</v>
      </c>
      <c r="AC371" s="76">
        <f>AVERAGE(AC368:AC370)</f>
        <v>9.1000869028717637E-3</v>
      </c>
      <c r="AD371" s="76">
        <f>_xlfn.STDEV.S(AC368:AC370)</f>
        <v>4.2905481914724108E-3</v>
      </c>
      <c r="AE371" s="76">
        <f>AVERAGE(AE368:AE370)</f>
        <v>5.4227660624416787</v>
      </c>
      <c r="AF371" s="76">
        <f>_xlfn.STDEV.S(AE368:AE370)</f>
        <v>2.410290425932067E-2</v>
      </c>
      <c r="AG371" s="76">
        <f>AVERAGE(AG368:AG370)</f>
        <v>3.0869808554490018E-2</v>
      </c>
      <c r="AH371" s="76">
        <f>_xlfn.STDEV.S(AG368:AG370)</f>
        <v>1.2133425387280169E-3</v>
      </c>
      <c r="AI371" s="76">
        <f>AVERAGE(AI368:AI370)</f>
        <v>0</v>
      </c>
      <c r="AJ371" s="76">
        <f>_xlfn.STDEV.S(AI368:AI370)</f>
        <v>0</v>
      </c>
      <c r="AK371" s="77">
        <f>AVERAGE(AK368:AK370)</f>
        <v>0.13676988956916802</v>
      </c>
      <c r="AL371" s="77">
        <f>_xlfn.STDEV.S(AK368:AK370)</f>
        <v>1.0418782437620408E-2</v>
      </c>
      <c r="AM371" s="77">
        <f>AVERAGE(AM368:AM370)</f>
        <v>3.4192472392292006E-2</v>
      </c>
      <c r="AN371" s="77">
        <f>_xlfn.STDEV.S(AM368:AM370)</f>
        <v>2.6046956094051021E-3</v>
      </c>
      <c r="AO371" s="78">
        <f>AVERAGE(AO368:AO370)</f>
        <v>0.81561094630100761</v>
      </c>
      <c r="AP371" s="78">
        <f>_xlfn.STDEV.S(AO368:AO370)</f>
        <v>1.3650137125338723E-2</v>
      </c>
      <c r="AQ371" s="78">
        <f>AVERAGE(AQ368:AQ370)</f>
        <v>0.2039027365752519</v>
      </c>
      <c r="AR371" s="78">
        <f>_xlfn.STDEV.S(AQ368:AQ370)</f>
        <v>3.4125342813346809E-3</v>
      </c>
      <c r="AS371" s="78">
        <f>AVERAGE(AS368:AS370)</f>
        <v>1.4064933222810506E-3</v>
      </c>
      <c r="AT371" s="78">
        <f>_xlfn.STDEV.S(AS368:AS370)</f>
        <v>2.0092166007075303E-4</v>
      </c>
      <c r="AU371" s="78">
        <f>AVERAGE(AU368:AU370)</f>
        <v>2.0092761746872147E-4</v>
      </c>
      <c r="AV371" s="80">
        <f>_xlfn.STDEV.S(AU368:AU370)</f>
        <v>2.8703094295821852E-5</v>
      </c>
      <c r="AW371" s="78"/>
      <c r="AX371" s="78"/>
      <c r="AY371" s="79">
        <f>SUM(AK371,AO371,AS371)</f>
        <v>0.95378732919245668</v>
      </c>
      <c r="AZ371" s="77">
        <f>SUM(AL371,AP371,AT371)</f>
        <v>2.4269841223029887E-2</v>
      </c>
      <c r="BA371" s="78"/>
      <c r="BB371" s="78"/>
      <c r="BC371" s="78"/>
      <c r="BD371" s="78"/>
      <c r="BE371" s="78"/>
      <c r="BF371" s="78"/>
      <c r="BG371" s="77">
        <v>222.13</v>
      </c>
      <c r="BH371" s="76">
        <v>11.271117956973034</v>
      </c>
      <c r="BI371" s="75">
        <v>0.27</v>
      </c>
      <c r="BJ371" s="75">
        <v>4.5825756949558302E-2</v>
      </c>
      <c r="BK371" s="75">
        <v>0</v>
      </c>
      <c r="BL371" s="75">
        <v>0</v>
      </c>
      <c r="BM371" s="75">
        <v>0</v>
      </c>
      <c r="BN371" s="75">
        <v>0</v>
      </c>
      <c r="BO371" s="77">
        <f>AVERAGE(BO368:BO370)</f>
        <v>3.6898671096345517</v>
      </c>
      <c r="BP371" s="76">
        <f>_xlfn.STDEV.S(BO368:BO370)</f>
        <v>0.18722787303941926</v>
      </c>
      <c r="BQ371" s="75">
        <f>AVERAGE(BQ368:BQ370)</f>
        <v>3.6447084233261345E-3</v>
      </c>
      <c r="BR371" s="75">
        <f>_xlfn.STDEV.S(BQ368:BQ370)</f>
        <v>6.185982309605617E-4</v>
      </c>
      <c r="BS371" s="75">
        <f>AVERAGE(BS368:BS370)</f>
        <v>0</v>
      </c>
      <c r="BT371" s="75">
        <f>_xlfn.STDEV.S(BS368:BS370)</f>
        <v>0</v>
      </c>
      <c r="BU371" s="75">
        <f>AVERAGE(BU368:BU370)</f>
        <v>0</v>
      </c>
      <c r="BV371" s="75">
        <f>_xlfn.STDEV.S(BU368:BU370)</f>
        <v>0</v>
      </c>
      <c r="BW371" s="74">
        <f>AVERAGE(BW368:BW370)</f>
        <v>0.1844933554817276</v>
      </c>
      <c r="BX371" s="73">
        <f t="shared" si="24"/>
        <v>1.8223542116630674E-4</v>
      </c>
      <c r="BY371" s="73">
        <f t="shared" si="25"/>
        <v>0</v>
      </c>
      <c r="BZ371" s="72">
        <f t="shared" si="26"/>
        <v>0</v>
      </c>
    </row>
    <row r="372" spans="1:78" x14ac:dyDescent="0.3">
      <c r="A372" s="174" t="s">
        <v>60</v>
      </c>
      <c r="B372" s="70" t="s">
        <v>66</v>
      </c>
      <c r="C372" s="20">
        <v>5</v>
      </c>
      <c r="D372" s="69"/>
      <c r="E372" s="21"/>
      <c r="F372" s="37">
        <v>1.39</v>
      </c>
      <c r="H372" s="37">
        <v>0.26100000000000001</v>
      </c>
      <c r="I372" s="53">
        <f>H372*0.2907</f>
        <v>7.5872700000000001E-2</v>
      </c>
      <c r="L372" s="68"/>
      <c r="M372" s="22">
        <v>10.59023721692542</v>
      </c>
      <c r="O372" s="21">
        <v>0</v>
      </c>
      <c r="Q372" s="21">
        <v>0.41802418081031656</v>
      </c>
      <c r="S372" s="21">
        <v>88.991738602264263</v>
      </c>
      <c r="U372" s="21">
        <v>0</v>
      </c>
      <c r="W372" s="21">
        <v>0</v>
      </c>
      <c r="Y372" s="22">
        <v>0.6626482527696419</v>
      </c>
      <c r="AA372" s="21">
        <v>0</v>
      </c>
      <c r="AC372" s="21">
        <v>2.6156448373668928E-2</v>
      </c>
      <c r="AE372" s="21">
        <v>5.5683568637609291</v>
      </c>
      <c r="AG372" s="21">
        <v>0</v>
      </c>
      <c r="AI372" s="21">
        <v>0</v>
      </c>
      <c r="AO372" s="37">
        <f>8*(BW372-$BW$332)/(2*($AA$332-AA372)+2*($AI$332-AI372))</f>
        <v>0.54797296245190941</v>
      </c>
      <c r="AQ372" s="37">
        <f>(BW372-$BW$332)/(($AA$332-AA372)+($AI$332-AI372))</f>
        <v>0.13699324061297735</v>
      </c>
      <c r="AS372" s="37">
        <f>14*(BX372-$BX$332)/(2*($AA$332-AA372)+2*($AI$332-AI372))</f>
        <v>6.5935370157913929E-4</v>
      </c>
      <c r="AU372" s="37">
        <f>(BX372-$BX$332)/(($AA$332-AA372)+($AI$332-AI372))</f>
        <v>9.4193385939877046E-5</v>
      </c>
      <c r="BG372" s="37">
        <v>200.94</v>
      </c>
      <c r="BI372" s="2">
        <v>0.17</v>
      </c>
      <c r="BK372" s="2">
        <v>0</v>
      </c>
      <c r="BM372" s="2">
        <v>0</v>
      </c>
      <c r="BO372" s="22">
        <f>(BG372/1000)/60.2*1000</f>
        <v>3.3378737541528238</v>
      </c>
      <c r="BQ372" s="2">
        <f>BI372/74.08</f>
        <v>2.2948164146868251E-3</v>
      </c>
      <c r="BS372" s="2">
        <f>(BK372/1000)/88.12*1000</f>
        <v>0</v>
      </c>
      <c r="BU372" s="2">
        <f>BM372/88.12</f>
        <v>0</v>
      </c>
      <c r="BW372" s="52">
        <f>BO372*0.05</f>
        <v>0.16689368770764121</v>
      </c>
      <c r="BX372" s="51">
        <f t="shared" si="24"/>
        <v>1.1474082073434126E-4</v>
      </c>
      <c r="BY372" s="51">
        <f t="shared" si="25"/>
        <v>0</v>
      </c>
      <c r="BZ372" s="67">
        <f t="shared" si="26"/>
        <v>0</v>
      </c>
    </row>
    <row r="373" spans="1:78" x14ac:dyDescent="0.3">
      <c r="A373" s="173"/>
      <c r="B373" s="70" t="s">
        <v>65</v>
      </c>
      <c r="C373" s="20">
        <v>5</v>
      </c>
      <c r="D373" s="69"/>
      <c r="E373" s="21"/>
      <c r="F373" s="37">
        <v>1.4</v>
      </c>
      <c r="H373" s="37">
        <v>0.27400000000000002</v>
      </c>
      <c r="I373" s="53">
        <f>H373*0.2907</f>
        <v>7.9651800000000009E-2</v>
      </c>
      <c r="L373" s="68"/>
      <c r="M373" s="22">
        <v>10.994889209526679</v>
      </c>
      <c r="O373" s="21">
        <v>0</v>
      </c>
      <c r="Q373" s="21">
        <v>8.8894101229362657E-2</v>
      </c>
      <c r="S373" s="21">
        <v>88.916216689243967</v>
      </c>
      <c r="U373" s="21">
        <v>0</v>
      </c>
      <c r="W373" s="21">
        <v>0</v>
      </c>
      <c r="Y373" s="22">
        <v>0.69291739166275523</v>
      </c>
      <c r="AA373" s="21">
        <v>0</v>
      </c>
      <c r="AC373" s="21">
        <v>5.6022637049115438E-3</v>
      </c>
      <c r="AE373" s="21">
        <v>5.6036574603632223</v>
      </c>
      <c r="AG373" s="21">
        <v>0</v>
      </c>
      <c r="AI373" s="21">
        <v>0</v>
      </c>
      <c r="AO373" s="37">
        <f>8*(BW373-$BW$333)/(2*($AA$333-AA373)+2*($AI$333-AI373))</f>
        <v>0.55093435437477989</v>
      </c>
      <c r="AQ373" s="37">
        <f>(BW373-$BW$333)/(($AA$333-AA373)+($AI$333-AI373))</f>
        <v>0.13773358859369497</v>
      </c>
      <c r="AS373" s="37">
        <f>14*(BX373-$BX$333)/(2*($AA$333-AA373)+2*($AI$333-AI373))</f>
        <v>8.6328184018451802E-4</v>
      </c>
      <c r="AU373" s="37">
        <f>(BX373-$BX$333)/(($AA$333-AA373)+($AI$333-AI373))</f>
        <v>1.2332597716921686E-4</v>
      </c>
      <c r="BG373" s="37">
        <v>190.59</v>
      </c>
      <c r="BI373" s="2">
        <v>0.21</v>
      </c>
      <c r="BK373" s="2">
        <v>0</v>
      </c>
      <c r="BM373" s="2">
        <v>0</v>
      </c>
      <c r="BO373" s="22">
        <f>(BG373/1000)/60.2*1000</f>
        <v>3.165946843853821</v>
      </c>
      <c r="BQ373" s="2">
        <f>BI373/74.08</f>
        <v>2.8347732181425484E-3</v>
      </c>
      <c r="BS373" s="2">
        <f>(BK373/1000)/88.12*1000</f>
        <v>0</v>
      </c>
      <c r="BU373" s="2">
        <f>BM373/88.12</f>
        <v>0</v>
      </c>
      <c r="BW373" s="52">
        <f>BO373*0.05</f>
        <v>0.15829734219269107</v>
      </c>
      <c r="BX373" s="51">
        <f t="shared" si="24"/>
        <v>1.4173866090712742E-4</v>
      </c>
      <c r="BY373" s="51">
        <f t="shared" si="25"/>
        <v>0</v>
      </c>
      <c r="BZ373" s="67">
        <f t="shared" si="26"/>
        <v>0</v>
      </c>
    </row>
    <row r="374" spans="1:78" x14ac:dyDescent="0.3">
      <c r="A374" s="173"/>
      <c r="B374" s="70" t="s">
        <v>64</v>
      </c>
      <c r="C374" s="20">
        <v>5</v>
      </c>
      <c r="D374" s="69"/>
      <c r="E374" s="21"/>
      <c r="F374" s="37">
        <v>1.45</v>
      </c>
      <c r="G374" s="67"/>
      <c r="H374" s="37">
        <v>0.28299999999999997</v>
      </c>
      <c r="I374" s="53">
        <f>H374*0.2907</f>
        <v>8.2268099999999997E-2</v>
      </c>
      <c r="L374" s="68"/>
      <c r="M374" s="22">
        <v>12.087738175243778</v>
      </c>
      <c r="O374" s="21">
        <v>0</v>
      </c>
      <c r="Q374" s="21">
        <v>0.29221676092721582</v>
      </c>
      <c r="S374" s="21">
        <v>87.620045063829011</v>
      </c>
      <c r="U374" s="21">
        <v>0</v>
      </c>
      <c r="W374" s="21">
        <v>0</v>
      </c>
      <c r="Y374" s="22">
        <v>0.78899747870002568</v>
      </c>
      <c r="AA374" s="21">
        <v>0</v>
      </c>
      <c r="AC374" s="21">
        <v>1.9073732758180934E-2</v>
      </c>
      <c r="AE374" s="21">
        <v>5.719183658405929</v>
      </c>
      <c r="AG374" s="21">
        <v>0</v>
      </c>
      <c r="AI374" s="21">
        <v>0</v>
      </c>
      <c r="AO374" s="37">
        <f>8*(BW374-$BW$334)/(2*($AA$334-AA374)+2*($AI$334-AI374))</f>
        <v>0.55422180808261257</v>
      </c>
      <c r="AQ374" s="37">
        <f>(BW374-$BW$334)/(($AA$334-AA374)+($AI$334-AI374))</f>
        <v>0.13855545202065314</v>
      </c>
      <c r="AS374" s="37">
        <f>14*(BX374-$BX$334)/(2*($AA$334-AA374)+2*($AI$334-AI374))</f>
        <v>9.5954882115712554E-4</v>
      </c>
      <c r="AU374" s="37">
        <f>(BX374-$BX$334)/(($AA$334-AA374)+($AI$334-AI374))</f>
        <v>1.370784030224465E-4</v>
      </c>
      <c r="BG374" s="37">
        <v>188.92</v>
      </c>
      <c r="BI374" s="2">
        <v>0.23</v>
      </c>
      <c r="BK374" s="2">
        <v>0</v>
      </c>
      <c r="BM374" s="2">
        <v>0</v>
      </c>
      <c r="BO374" s="22">
        <f>(BG374/1000)/60.2*1000</f>
        <v>3.1382059800664446</v>
      </c>
      <c r="BQ374" s="2">
        <f>BI374/74.08</f>
        <v>3.1047516198704104E-3</v>
      </c>
      <c r="BS374" s="2">
        <f>(BK374/1000)/88.12*1000</f>
        <v>0</v>
      </c>
      <c r="BU374" s="2">
        <f>BM374/88.12</f>
        <v>0</v>
      </c>
      <c r="BW374" s="52">
        <f>BO374*0.05</f>
        <v>0.15691029900332223</v>
      </c>
      <c r="BX374" s="51">
        <f t="shared" si="24"/>
        <v>1.5523758099352054E-4</v>
      </c>
      <c r="BY374" s="51">
        <f t="shared" si="25"/>
        <v>0</v>
      </c>
      <c r="BZ374" s="67">
        <f t="shared" si="26"/>
        <v>0</v>
      </c>
    </row>
    <row r="375" spans="1:78" ht="15" thickBot="1" x14ac:dyDescent="0.35">
      <c r="A375" s="175"/>
      <c r="B375" s="66" t="s">
        <v>63</v>
      </c>
      <c r="C375" s="65">
        <v>5</v>
      </c>
      <c r="D375" s="64" t="e">
        <f>AVERAGE(D372:D374)</f>
        <v>#DIV/0!</v>
      </c>
      <c r="E375" s="58"/>
      <c r="F375" s="60">
        <f>AVERAGE(F372:F374)</f>
        <v>1.4133333333333333</v>
      </c>
      <c r="G375" s="55">
        <f>_xlfn.STDEV.S(F372:F374)</f>
        <v>3.2145502536643208E-2</v>
      </c>
      <c r="H375" s="60">
        <f>AVERAGE(H372:H374)</f>
        <v>0.27266666666666667</v>
      </c>
      <c r="I375" s="63">
        <f>AVERAGE(I372:I374)</f>
        <v>7.9264200000000007E-2</v>
      </c>
      <c r="J375" s="63">
        <f>_xlfn.STDEV.S(I372:I374)</f>
        <v>3.2152699124645802E-3</v>
      </c>
      <c r="K375" s="63"/>
      <c r="L375" s="62" t="e">
        <f>_xlfn.STDEV.S(K372:K374)</f>
        <v>#DIV/0!</v>
      </c>
      <c r="M375" s="59">
        <f>AVERAGE(M372:M374)</f>
        <v>11.224288200565292</v>
      </c>
      <c r="N375" s="58">
        <f>_xlfn.STDEV.S(M372:M374)</f>
        <v>0.77465811998471357</v>
      </c>
      <c r="O375" s="58">
        <f>AVERAGE(O372:O374)</f>
        <v>0</v>
      </c>
      <c r="P375" s="58">
        <f>_xlfn.STDEV.S(O372:O374)</f>
        <v>0</v>
      </c>
      <c r="Q375" s="58">
        <f>AVERAGE(Q372:Q374)</f>
        <v>0.26637834765563168</v>
      </c>
      <c r="R375" s="58">
        <f>_xlfn.STDEV.S(Q372:Q374)</f>
        <v>0.16607940878247404</v>
      </c>
      <c r="S375" s="58">
        <f>AVERAGE(S372:S374)</f>
        <v>88.509333451779085</v>
      </c>
      <c r="T375" s="58">
        <f>_xlfn.STDEV.S(S372:S374)</f>
        <v>0.77107150611579878</v>
      </c>
      <c r="U375" s="58">
        <f>AVERAGE(U372:U374)</f>
        <v>0</v>
      </c>
      <c r="V375" s="58">
        <f>_xlfn.STDEV.S(U372:U374)</f>
        <v>0</v>
      </c>
      <c r="W375" s="58">
        <f>AVERAGE(W372:W374)</f>
        <v>0</v>
      </c>
      <c r="X375" s="58">
        <f>_xlfn.STDEV.S(W372:W374)</f>
        <v>0</v>
      </c>
      <c r="Y375" s="59">
        <f>AVERAGE(Y372:Y374)</f>
        <v>0.71485437437747423</v>
      </c>
      <c r="Z375" s="58">
        <f>_xlfn.STDEV.S(Y372:Y374)</f>
        <v>6.5969349938219055E-2</v>
      </c>
      <c r="AA375" s="58">
        <f>AVERAGE(AA372:AA374)</f>
        <v>0</v>
      </c>
      <c r="AB375" s="58">
        <f>_xlfn.STDEV.S(AA372:AA374)</f>
        <v>0</v>
      </c>
      <c r="AC375" s="58">
        <f>AVERAGE(AC372:AC374)</f>
        <v>1.6944148278920466E-2</v>
      </c>
      <c r="AD375" s="58">
        <f>_xlfn.STDEV.S(AC372:AC374)</f>
        <v>1.0441263064882318E-2</v>
      </c>
      <c r="AE375" s="58">
        <f>AVERAGE(AE372:AE374)</f>
        <v>5.6303993275100268</v>
      </c>
      <c r="AF375" s="58">
        <f>_xlfn.STDEV.S(AE372:AE374)</f>
        <v>7.8889328109664175E-2</v>
      </c>
      <c r="AG375" s="58">
        <f>AVERAGE(AG372:AG374)</f>
        <v>0</v>
      </c>
      <c r="AH375" s="58">
        <f>_xlfn.STDEV.S(AG372:AG374)</f>
        <v>0</v>
      </c>
      <c r="AI375" s="58">
        <f>AVERAGE(AI372:AI374)</f>
        <v>0</v>
      </c>
      <c r="AJ375" s="58">
        <f>_xlfn.STDEV.S(AI372:AI374)</f>
        <v>0</v>
      </c>
      <c r="AK375" s="60"/>
      <c r="AL375" s="60"/>
      <c r="AM375" s="60"/>
      <c r="AN375" s="60"/>
      <c r="AO375" s="60">
        <f>AVERAGE(AO372:AO374)</f>
        <v>0.55104304163643392</v>
      </c>
      <c r="AP375" s="60">
        <f>_xlfn.STDEV.S(AO372:AO374)</f>
        <v>3.125840306177506E-3</v>
      </c>
      <c r="AQ375" s="60">
        <f>AVERAGE(AQ372:AQ374)</f>
        <v>0.13776076040910848</v>
      </c>
      <c r="AR375" s="60">
        <f>_xlfn.STDEV.S(AQ372:AQ374)</f>
        <v>7.8146007654437651E-4</v>
      </c>
      <c r="AS375" s="60">
        <f>AVERAGE(AS372:AS374)</f>
        <v>8.2739478764026102E-4</v>
      </c>
      <c r="AT375" s="60">
        <f>_xlfn.STDEV.S(AS372:AS374)</f>
        <v>1.5328140089340933E-4</v>
      </c>
      <c r="AU375" s="60">
        <f>AVERAGE(AU372:AU374)</f>
        <v>1.1819925537718012E-4</v>
      </c>
      <c r="AV375" s="60">
        <f>_xlfn.STDEV.S(AU372:AU374)</f>
        <v>2.1897342984772759E-5</v>
      </c>
      <c r="AW375" s="60"/>
      <c r="AX375" s="60"/>
      <c r="AY375" s="59">
        <f>SUM(AK375,AO375,AS375)</f>
        <v>0.55187043642407418</v>
      </c>
      <c r="AZ375" s="59">
        <f>SUM(AL375,AP375,AT375)</f>
        <v>3.2791217070709156E-3</v>
      </c>
      <c r="BA375" s="60"/>
      <c r="BB375" s="60"/>
      <c r="BC375" s="60"/>
      <c r="BD375" s="60"/>
      <c r="BE375" s="60"/>
      <c r="BF375" s="60"/>
      <c r="BG375" s="59">
        <v>193.48333333333332</v>
      </c>
      <c r="BH375" s="58">
        <v>6.5114232955117703</v>
      </c>
      <c r="BI375" s="57">
        <v>0.20333333333333334</v>
      </c>
      <c r="BJ375" s="57">
        <v>3.0550504633039068E-2</v>
      </c>
      <c r="BK375" s="57">
        <v>0</v>
      </c>
      <c r="BL375" s="57">
        <v>0</v>
      </c>
      <c r="BM375" s="57">
        <v>0</v>
      </c>
      <c r="BN375" s="57">
        <v>0</v>
      </c>
      <c r="BO375" s="59">
        <f>AVERAGE(BO372:BO374)</f>
        <v>3.2140088593576963</v>
      </c>
      <c r="BP375" s="58">
        <f>_xlfn.STDEV.S(BO372:BO374)</f>
        <v>0.10816317766630852</v>
      </c>
      <c r="BQ375" s="57">
        <f>AVERAGE(BQ372:BQ374)</f>
        <v>2.7447804175665946E-3</v>
      </c>
      <c r="BR375" s="57">
        <f>_xlfn.STDEV.S(BQ372:BQ374)</f>
        <v>4.1239882064037436E-4</v>
      </c>
      <c r="BS375" s="57">
        <f>AVERAGE(BS372:BS374)</f>
        <v>0</v>
      </c>
      <c r="BT375" s="57">
        <f>_xlfn.STDEV.S(BS372:BS374)</f>
        <v>0</v>
      </c>
      <c r="BU375" s="57">
        <f>AVERAGE(BU372:BU374)</f>
        <v>0</v>
      </c>
      <c r="BV375" s="57">
        <f>_xlfn.STDEV.S(BU372:BU374)</f>
        <v>0</v>
      </c>
      <c r="BW375" s="56">
        <f>AVERAGE(BW372:BW374)</f>
        <v>0.16070044296788485</v>
      </c>
      <c r="BX375" s="55">
        <f t="shared" si="24"/>
        <v>1.3723902087832974E-4</v>
      </c>
      <c r="BY375" s="55">
        <f t="shared" si="25"/>
        <v>0</v>
      </c>
      <c r="BZ375" s="54">
        <f t="shared" si="26"/>
        <v>0</v>
      </c>
    </row>
    <row r="376" spans="1:78" x14ac:dyDescent="0.3">
      <c r="A376" s="172" t="s">
        <v>59</v>
      </c>
      <c r="B376" s="95" t="s">
        <v>69</v>
      </c>
      <c r="C376" s="94">
        <v>6</v>
      </c>
      <c r="D376" s="93"/>
      <c r="E376" s="88"/>
      <c r="F376" s="90">
        <v>1.375</v>
      </c>
      <c r="G376" s="85"/>
      <c r="H376" s="90">
        <v>0.30199999999999999</v>
      </c>
      <c r="I376" s="92">
        <f>H376*0.2907</f>
        <v>8.7791400000000006E-2</v>
      </c>
      <c r="J376" s="92"/>
      <c r="K376" s="92"/>
      <c r="L376" s="91"/>
      <c r="M376" s="89">
        <v>13.216078553459374</v>
      </c>
      <c r="O376" s="88">
        <v>0</v>
      </c>
      <c r="Q376" s="88">
        <v>8.0923572385068213E-2</v>
      </c>
      <c r="S376" s="88">
        <v>86.041483757938565</v>
      </c>
      <c r="U376" s="88">
        <v>0.6615141162169984</v>
      </c>
      <c r="W376" s="88">
        <v>0</v>
      </c>
      <c r="X376" s="88"/>
      <c r="Y376" s="89">
        <v>0.81802745179682845</v>
      </c>
      <c r="AA376" s="88">
        <v>0</v>
      </c>
      <c r="AC376" s="88">
        <v>5.0088763804393387E-3</v>
      </c>
      <c r="AE376" s="88">
        <v>5.3256565797954689</v>
      </c>
      <c r="AG376" s="88">
        <v>4.0945330691529301E-2</v>
      </c>
      <c r="AI376" s="88">
        <v>0</v>
      </c>
      <c r="AJ376" s="87"/>
      <c r="AK376" s="89">
        <f>8*(AG376-$AG$328)/(2*($AA$328-AA376)+2*($AI$328-AI376))</f>
        <v>0.17544830990811056</v>
      </c>
      <c r="AL376" s="89"/>
      <c r="AM376" s="89">
        <f>(AG376-$AG$328)/(($AA$328-AA376)+($AI$328-AI376))</f>
        <v>4.3862077477027639E-2</v>
      </c>
      <c r="AN376" s="89"/>
      <c r="AO376" s="37">
        <f>8*(BW376-$BW$328)/(2*($AA$328-AA376)+2*($AI$328-AI376))</f>
        <v>0.81648760192560599</v>
      </c>
      <c r="AQ376" s="37">
        <f>(BW376-$BW$328)/(($AA$328-AA376)+($AI$328-AI376))</f>
        <v>0.2041219004814015</v>
      </c>
      <c r="AS376" s="37">
        <f>14*(BX376-$BX$328)/(2*($AA$328-AA376)+2*($AI$328-AI376))</f>
        <v>1.4171307333754363E-3</v>
      </c>
      <c r="AU376" s="37">
        <f>(BX376-$BX$328)/(($AA$328-AA376)+($AI$328-AI376))</f>
        <v>2.0244724762506232E-4</v>
      </c>
      <c r="AY376" s="90"/>
      <c r="AZ376" s="90"/>
      <c r="BA376" s="90"/>
      <c r="BB376" s="90"/>
      <c r="BC376" s="90"/>
      <c r="BD376" s="90"/>
      <c r="BE376" s="90"/>
      <c r="BF376" s="90"/>
      <c r="BG376" s="90">
        <v>229.42</v>
      </c>
      <c r="BH376" s="87"/>
      <c r="BI376" s="87">
        <v>0.28000000000000003</v>
      </c>
      <c r="BJ376" s="87"/>
      <c r="BK376" s="87">
        <v>0</v>
      </c>
      <c r="BL376" s="87"/>
      <c r="BM376" s="87">
        <v>0</v>
      </c>
      <c r="BN376" s="87"/>
      <c r="BO376" s="89">
        <f>(BG376/1000)/60.2*1000</f>
        <v>3.8109634551495013</v>
      </c>
      <c r="BP376" s="88"/>
      <c r="BQ376" s="87">
        <f>BI376/74.08</f>
        <v>3.7796976241900654E-3</v>
      </c>
      <c r="BR376" s="87"/>
      <c r="BS376" s="87">
        <f>(BK376/1000)/88.12*1000</f>
        <v>0</v>
      </c>
      <c r="BT376" s="87"/>
      <c r="BU376" s="87">
        <f>BM376/88.12</f>
        <v>0</v>
      </c>
      <c r="BV376" s="87"/>
      <c r="BW376" s="86">
        <f>BO376*0.05</f>
        <v>0.19054817275747507</v>
      </c>
      <c r="BX376" s="85">
        <f t="shared" si="24"/>
        <v>1.8898488120950327E-4</v>
      </c>
      <c r="BY376" s="85">
        <f t="shared" si="25"/>
        <v>0</v>
      </c>
      <c r="BZ376" s="84">
        <f t="shared" si="26"/>
        <v>0</v>
      </c>
    </row>
    <row r="377" spans="1:78" x14ac:dyDescent="0.3">
      <c r="A377" s="173"/>
      <c r="B377" s="70" t="s">
        <v>68</v>
      </c>
      <c r="C377" s="20">
        <v>6</v>
      </c>
      <c r="D377" s="69"/>
      <c r="E377" s="21"/>
      <c r="F377" s="37">
        <v>1.38</v>
      </c>
      <c r="H377" s="37">
        <v>0.311</v>
      </c>
      <c r="I377" s="53">
        <f>H377*0.2907</f>
        <v>9.0407700000000008E-2</v>
      </c>
      <c r="L377" s="68"/>
      <c r="M377" s="22">
        <v>13.094084359152735</v>
      </c>
      <c r="O377" s="21">
        <v>0</v>
      </c>
      <c r="Q377" s="21">
        <v>0.26054278992559382</v>
      </c>
      <c r="S377" s="21">
        <v>86.004586832101694</v>
      </c>
      <c r="U377" s="21">
        <v>0.64078601881997743</v>
      </c>
      <c r="W377" s="21">
        <v>0</v>
      </c>
      <c r="Y377" s="22">
        <v>0.81342363959706387</v>
      </c>
      <c r="AA377" s="21">
        <v>0</v>
      </c>
      <c r="AC377" s="21">
        <v>1.6185298539329328E-2</v>
      </c>
      <c r="AE377" s="21">
        <v>5.3427305128143052</v>
      </c>
      <c r="AG377" s="21">
        <v>3.9806563126891709E-2</v>
      </c>
      <c r="AI377" s="21">
        <v>0</v>
      </c>
      <c r="AK377" s="22">
        <f>8*(AG377-$AG$329)/(2*($AA$329-AA377)+2*($AI$329-AI377))</f>
        <v>0.17414749709060445</v>
      </c>
      <c r="AL377" s="22"/>
      <c r="AM377" s="22">
        <f>(AG377-$AG$329)/(($AA$329-AA377)+($AI$329-AI377))</f>
        <v>4.3536874272651113E-2</v>
      </c>
      <c r="AN377" s="22"/>
      <c r="AO377" s="37">
        <f>8*(BW377-$BW$329)/(2*($AA$329-AA377)+2*($AI$329-AI377))</f>
        <v>0.83223773324863104</v>
      </c>
      <c r="AQ377" s="37">
        <f>(BW377-$BW$329)/(($AA$329-AA377)+($AI$329-AI377))</f>
        <v>0.20805943331215776</v>
      </c>
      <c r="AS377" s="37">
        <f>14*(BX377-$BX$329)/(2*($AA$329-AA377)+2*($AI$329-AI377))</f>
        <v>1.6018849742132212E-3</v>
      </c>
      <c r="AU377" s="37">
        <f>(BX377-$BX$329)/(($AA$329-AA377)+($AI$329-AI377))</f>
        <v>2.2884071060188873E-4</v>
      </c>
      <c r="BG377" s="37">
        <v>229.04</v>
      </c>
      <c r="BI377" s="2">
        <v>0.31</v>
      </c>
      <c r="BK377" s="2">
        <v>0</v>
      </c>
      <c r="BM377" s="2">
        <v>0</v>
      </c>
      <c r="BO377" s="22">
        <f>(BG377/1000)/60.2*1000</f>
        <v>3.8046511627906971</v>
      </c>
      <c r="BQ377" s="2">
        <f>BI377/74.08</f>
        <v>4.1846652267818578E-3</v>
      </c>
      <c r="BS377" s="2">
        <f>(BK377/1000)/88.12*1000</f>
        <v>0</v>
      </c>
      <c r="BU377" s="2">
        <f>BM377/88.12</f>
        <v>0</v>
      </c>
      <c r="BW377" s="52">
        <f>BO377*0.05</f>
        <v>0.19023255813953488</v>
      </c>
      <c r="BX377" s="51">
        <f t="shared" si="24"/>
        <v>2.0923326133909291E-4</v>
      </c>
      <c r="BY377" s="51">
        <f t="shared" si="25"/>
        <v>0</v>
      </c>
      <c r="BZ377" s="67">
        <f t="shared" si="26"/>
        <v>0</v>
      </c>
    </row>
    <row r="378" spans="1:78" x14ac:dyDescent="0.3">
      <c r="A378" s="173"/>
      <c r="B378" s="70" t="s">
        <v>67</v>
      </c>
      <c r="C378" s="20">
        <v>6</v>
      </c>
      <c r="D378" s="69"/>
      <c r="E378" s="21"/>
      <c r="F378" s="37">
        <v>1.38</v>
      </c>
      <c r="H378" s="37">
        <v>0.30499999999999999</v>
      </c>
      <c r="I378" s="53">
        <f>H378*0.2907</f>
        <v>8.8663500000000006E-2</v>
      </c>
      <c r="L378" s="68"/>
      <c r="M378" s="22">
        <v>14.347252879138031</v>
      </c>
      <c r="O378" s="21">
        <v>0</v>
      </c>
      <c r="Q378" s="21">
        <v>0.16074047021441432</v>
      </c>
      <c r="S378" s="21">
        <v>84.80807422400099</v>
      </c>
      <c r="U378" s="21">
        <v>0.68393242664657417</v>
      </c>
      <c r="W378" s="21">
        <v>0</v>
      </c>
      <c r="Y378" s="22">
        <v>0.89127229786100548</v>
      </c>
      <c r="AA378" s="21">
        <v>0</v>
      </c>
      <c r="AC378" s="21">
        <v>9.985432713434314E-3</v>
      </c>
      <c r="AE378" s="21">
        <v>5.2684014025222412</v>
      </c>
      <c r="AG378" s="21">
        <v>4.2486880980909296E-2</v>
      </c>
      <c r="AI378" s="21">
        <v>0</v>
      </c>
      <c r="AK378" s="22">
        <f>8*(AG378-$AG$330)/(2*($AA$330-AA378)+2*($AI$330-AI378))</f>
        <v>0.19627922048426932</v>
      </c>
      <c r="AL378" s="22"/>
      <c r="AM378" s="22">
        <f>(AG378-$AG$330)/(($AA$330-AA378)+($AI$330-AI378))</f>
        <v>4.9069805121067331E-2</v>
      </c>
      <c r="AN378" s="22"/>
      <c r="AO378" s="37">
        <f>8*(BW378-$BW$330)/(2*($AA$330-AA378)+2*($AI$330-AI378))</f>
        <v>0.80013179926874556</v>
      </c>
      <c r="AQ378" s="37">
        <f>(BW378-$BW$330)/(($AA$330-AA378)+($AI$330-AI378))</f>
        <v>0.20003294981718639</v>
      </c>
      <c r="AS378" s="37">
        <f>14*(BX378-$BX$330)/(2*($AA$330-AA378)+2*($AI$330-AI378))</f>
        <v>1.2004642592544936E-3</v>
      </c>
      <c r="AU378" s="37">
        <f>(BX378-$BX$330)/(($AA$330-AA378)+($AI$330-AI378))</f>
        <v>1.7149489417921337E-4</v>
      </c>
      <c r="BG378" s="37">
        <v>208.53</v>
      </c>
      <c r="BI378" s="2">
        <v>0.22</v>
      </c>
      <c r="BK378" s="2">
        <v>0</v>
      </c>
      <c r="BM378" s="2">
        <v>0</v>
      </c>
      <c r="BO378" s="22">
        <f>(BG378/1000)/60.2*1000</f>
        <v>3.463953488372093</v>
      </c>
      <c r="BQ378" s="2">
        <f>BI378/74.08</f>
        <v>2.9697624190064796E-3</v>
      </c>
      <c r="BS378" s="2">
        <f>(BK378/1000)/88.12*1000</f>
        <v>0</v>
      </c>
      <c r="BU378" s="2">
        <f>BM378/88.12</f>
        <v>0</v>
      </c>
      <c r="BW378" s="52">
        <f>BO378*0.05</f>
        <v>0.17319767441860467</v>
      </c>
      <c r="BX378" s="51">
        <f t="shared" si="24"/>
        <v>1.4848812095032398E-4</v>
      </c>
      <c r="BY378" s="51">
        <f t="shared" si="25"/>
        <v>0</v>
      </c>
      <c r="BZ378" s="67">
        <f t="shared" si="26"/>
        <v>0</v>
      </c>
    </row>
    <row r="379" spans="1:78" x14ac:dyDescent="0.3">
      <c r="A379" s="173"/>
      <c r="B379" s="83" t="s">
        <v>63</v>
      </c>
      <c r="C379" s="80">
        <v>6</v>
      </c>
      <c r="D379" s="79" t="e">
        <f>AVERAGE(D376:D378)</f>
        <v>#DIV/0!</v>
      </c>
      <c r="E379" s="76"/>
      <c r="F379" s="78">
        <f>AVERAGE(F376:F378)</f>
        <v>1.3783333333333332</v>
      </c>
      <c r="G379" s="73">
        <f>_xlfn.STDEV.S(F376:F378)</f>
        <v>2.8867513459480674E-3</v>
      </c>
      <c r="H379" s="78">
        <f>AVERAGE(H376:H378)</f>
        <v>0.30599999999999999</v>
      </c>
      <c r="I379" s="82">
        <f>AVERAGE(I376:I378)</f>
        <v>8.8954199999999997E-2</v>
      </c>
      <c r="J379" s="82">
        <f>_xlfn.STDEV.S(I376:I378)</f>
        <v>1.3321547545236637E-3</v>
      </c>
      <c r="K379" s="82"/>
      <c r="L379" s="81" t="e">
        <f>_xlfn.STDEV.S(K376:K378)</f>
        <v>#DIV/0!</v>
      </c>
      <c r="M379" s="77">
        <f>AVERAGE(M376:M378)</f>
        <v>13.55247193058338</v>
      </c>
      <c r="N379" s="76">
        <f>_xlfn.STDEV.S(M376:M378)</f>
        <v>0.69099798335465834</v>
      </c>
      <c r="O379" s="76">
        <f>AVERAGE(O376:O378)</f>
        <v>0</v>
      </c>
      <c r="P379" s="76">
        <f>_xlfn.STDEV.S(O376:O378)</f>
        <v>0</v>
      </c>
      <c r="Q379" s="76">
        <f>AVERAGE(Q376:Q378)</f>
        <v>0.16740227750835879</v>
      </c>
      <c r="R379" s="76">
        <f>_xlfn.STDEV.S(Q376:Q378)</f>
        <v>8.9994725316453444E-2</v>
      </c>
      <c r="S379" s="76">
        <f>AVERAGE(S376:S378)</f>
        <v>85.618048271347064</v>
      </c>
      <c r="T379" s="76">
        <f>_xlfn.STDEV.S(S376:S378)</f>
        <v>0.70170065826868877</v>
      </c>
      <c r="U379" s="76">
        <f>AVERAGE(U376:U378)</f>
        <v>0.66207752056118341</v>
      </c>
      <c r="V379" s="76">
        <f>_xlfn.STDEV.S(U376:U378)</f>
        <v>2.1578720894113182E-2</v>
      </c>
      <c r="W379" s="76">
        <f>AVERAGE(W376:W378)</f>
        <v>0</v>
      </c>
      <c r="X379" s="76">
        <f>_xlfn.STDEV.S(W376:W378)</f>
        <v>0</v>
      </c>
      <c r="Y379" s="77">
        <f>AVERAGE(Y376:Y378)</f>
        <v>0.84090779641829927</v>
      </c>
      <c r="Z379" s="76">
        <f>_xlfn.STDEV.S(Y376:Y378)</f>
        <v>4.3677637594905956E-2</v>
      </c>
      <c r="AA379" s="76">
        <f>AVERAGE(AA376:AA378)</f>
        <v>0</v>
      </c>
      <c r="AB379" s="76">
        <f>_xlfn.STDEV.S(AA376:AA378)</f>
        <v>0</v>
      </c>
      <c r="AC379" s="76">
        <f>AVERAGE(AC376:AC378)</f>
        <v>1.0393202544400994E-2</v>
      </c>
      <c r="AD379" s="76">
        <f>_xlfn.STDEV.S(AC376:AC378)</f>
        <v>5.5993580207660178E-3</v>
      </c>
      <c r="AE379" s="76">
        <f>AVERAGE(AE376:AE378)</f>
        <v>5.3122628317106715</v>
      </c>
      <c r="AF379" s="76">
        <f>_xlfn.STDEV.S(AE376:AE378)</f>
        <v>3.8932615183438546E-2</v>
      </c>
      <c r="AG379" s="76">
        <f>AVERAGE(AG376:AG378)</f>
        <v>4.1079591599776775E-2</v>
      </c>
      <c r="AH379" s="76">
        <f>_xlfn.STDEV.S(AG376:AG378)</f>
        <v>1.3451934594153874E-3</v>
      </c>
      <c r="AI379" s="76">
        <f>AVERAGE(AI376:AI378)</f>
        <v>0</v>
      </c>
      <c r="AJ379" s="76">
        <f>_xlfn.STDEV.S(AI376:AI378)</f>
        <v>0</v>
      </c>
      <c r="AK379" s="77">
        <f>AVERAGE(AK376:AK378)</f>
        <v>0.1819583424943281</v>
      </c>
      <c r="AL379" s="77">
        <f>_xlfn.STDEV.S(AK376:AK378)</f>
        <v>1.2419286948075323E-2</v>
      </c>
      <c r="AM379" s="77">
        <f>AVERAGE(AM376:AM378)</f>
        <v>4.5489585623582025E-2</v>
      </c>
      <c r="AN379" s="77">
        <f>_xlfn.STDEV.S(AM376:AM378)</f>
        <v>3.1048217370188307E-3</v>
      </c>
      <c r="AO379" s="78">
        <f>AVERAGE(AO376:AO378)</f>
        <v>0.81628571148099416</v>
      </c>
      <c r="AP379" s="78">
        <f>_xlfn.STDEV.S(AO376:AO378)</f>
        <v>1.605391911633762E-2</v>
      </c>
      <c r="AQ379" s="78">
        <f>AVERAGE(AQ376:AQ378)</f>
        <v>0.20407142787024854</v>
      </c>
      <c r="AR379" s="78">
        <f>_xlfn.STDEV.S(AQ376:AQ378)</f>
        <v>4.013479779084405E-3</v>
      </c>
      <c r="AS379" s="78">
        <f>AVERAGE(AS376:AS378)</f>
        <v>1.4064933222810506E-3</v>
      </c>
      <c r="AT379" s="78">
        <f>_xlfn.STDEV.S(AS376:AS378)</f>
        <v>2.0092166007075303E-4</v>
      </c>
      <c r="AU379" s="78">
        <f>AVERAGE(AU376:AU378)</f>
        <v>2.0092761746872147E-4</v>
      </c>
      <c r="AV379" s="80">
        <f>_xlfn.STDEV.S(AU376:AU378)</f>
        <v>2.8703094295821852E-5</v>
      </c>
      <c r="AW379" s="78"/>
      <c r="AX379" s="78"/>
      <c r="AY379" s="79">
        <f>SUM(AK379,AO379,AS379)</f>
        <v>0.99965054729760328</v>
      </c>
      <c r="AZ379" s="77">
        <f>SUM(AL379,AP379,AT379)</f>
        <v>2.8674127724483696E-2</v>
      </c>
      <c r="BA379" s="78"/>
      <c r="BB379" s="78"/>
      <c r="BC379" s="78"/>
      <c r="BD379" s="78"/>
      <c r="BE379" s="78"/>
      <c r="BF379" s="78"/>
      <c r="BG379" s="77">
        <v>222.33</v>
      </c>
      <c r="BH379" s="76">
        <v>11.952660791639653</v>
      </c>
      <c r="BI379" s="75">
        <v>0.27</v>
      </c>
      <c r="BJ379" s="75">
        <v>4.5825756949558302E-2</v>
      </c>
      <c r="BK379" s="75">
        <v>0</v>
      </c>
      <c r="BL379" s="75">
        <v>0</v>
      </c>
      <c r="BM379" s="75">
        <v>0</v>
      </c>
      <c r="BN379" s="75">
        <v>0</v>
      </c>
      <c r="BO379" s="77">
        <f>AVERAGE(BO376:BO378)</f>
        <v>3.6931893687707635</v>
      </c>
      <c r="BP379" s="76">
        <f>_xlfn.STDEV.S(BO376:BO378)</f>
        <v>0.19854918258537613</v>
      </c>
      <c r="BQ379" s="75">
        <f>AVERAGE(BQ376:BQ378)</f>
        <v>3.6447084233261345E-3</v>
      </c>
      <c r="BR379" s="75">
        <f>_xlfn.STDEV.S(BQ376:BQ378)</f>
        <v>6.185982309605617E-4</v>
      </c>
      <c r="BS379" s="75">
        <f>AVERAGE(BS376:BS378)</f>
        <v>0</v>
      </c>
      <c r="BT379" s="75">
        <f>_xlfn.STDEV.S(BS376:BS378)</f>
        <v>0</v>
      </c>
      <c r="BU379" s="75">
        <f>AVERAGE(BU376:BU378)</f>
        <v>0</v>
      </c>
      <c r="BV379" s="75">
        <f>_xlfn.STDEV.S(BU376:BU378)</f>
        <v>0</v>
      </c>
      <c r="BW379" s="74">
        <f>AVERAGE(BW376:BW378)</f>
        <v>0.1846594684385382</v>
      </c>
      <c r="BX379" s="73">
        <f t="shared" si="24"/>
        <v>1.8223542116630674E-4</v>
      </c>
      <c r="BY379" s="73">
        <f t="shared" si="25"/>
        <v>0</v>
      </c>
      <c r="BZ379" s="72">
        <f t="shared" si="26"/>
        <v>0</v>
      </c>
    </row>
    <row r="380" spans="1:78" x14ac:dyDescent="0.3">
      <c r="A380" s="174" t="s">
        <v>60</v>
      </c>
      <c r="B380" s="70" t="s">
        <v>66</v>
      </c>
      <c r="C380" s="20">
        <v>6</v>
      </c>
      <c r="D380" s="69"/>
      <c r="E380" s="21"/>
      <c r="F380" s="37">
        <v>1.36</v>
      </c>
      <c r="H380" s="37">
        <v>0.26400000000000001</v>
      </c>
      <c r="I380" s="53">
        <f>H380*0.2907</f>
        <v>7.6744800000000002E-2</v>
      </c>
      <c r="L380" s="68"/>
      <c r="M380" s="22">
        <v>10.638222645130604</v>
      </c>
      <c r="O380" s="21">
        <v>0</v>
      </c>
      <c r="Q380" s="21">
        <v>0.16666177507212526</v>
      </c>
      <c r="S380" s="21">
        <v>89.19511557979726</v>
      </c>
      <c r="U380" s="21">
        <v>0</v>
      </c>
      <c r="W380" s="21">
        <v>0</v>
      </c>
      <c r="Y380" s="22">
        <v>0.65128421497443878</v>
      </c>
      <c r="AA380" s="21">
        <v>0</v>
      </c>
      <c r="AC380" s="21">
        <v>1.0203225385001612E-2</v>
      </c>
      <c r="AE380" s="21">
        <v>5.4606274720648527</v>
      </c>
      <c r="AG380" s="21">
        <v>0</v>
      </c>
      <c r="AI380" s="21">
        <v>0</v>
      </c>
      <c r="AO380" s="37">
        <f>8*(BW380-$BW$332)/(2*($AA$332-AA380)+2*($AI$332-AI380))</f>
        <v>0.53837279906433855</v>
      </c>
      <c r="AQ380" s="37">
        <f>(BW380-$BW$332)/(($AA$332-AA380)+($AI$332-AI380))</f>
        <v>0.13459319976608464</v>
      </c>
      <c r="AS380" s="37">
        <f>14*(BX380-$BX$332)/(2*($AA$332-AA380)+2*($AI$332-AI380))</f>
        <v>4.2664063043356071E-4</v>
      </c>
      <c r="AU380" s="37">
        <f>(BX380-$BX$332)/(($AA$332-AA380)+($AI$332-AI380))</f>
        <v>6.0948661490508677E-5</v>
      </c>
      <c r="BG380" s="37">
        <v>197.42</v>
      </c>
      <c r="BI380" s="2">
        <v>0.11</v>
      </c>
      <c r="BK380" s="2">
        <v>0</v>
      </c>
      <c r="BM380" s="2">
        <v>0</v>
      </c>
      <c r="BO380" s="22">
        <f>(BG380/1000)/60.2*1000</f>
        <v>3.279401993355481</v>
      </c>
      <c r="BQ380" s="2">
        <f>BI380/74.08</f>
        <v>1.4848812095032398E-3</v>
      </c>
      <c r="BS380" s="2">
        <f>(BK380/1000)/88.12*1000</f>
        <v>0</v>
      </c>
      <c r="BU380" s="2">
        <f>BM380/88.12</f>
        <v>0</v>
      </c>
      <c r="BW380" s="52">
        <f>BO380*0.05</f>
        <v>0.16397009966777407</v>
      </c>
      <c r="BX380" s="51">
        <f t="shared" si="24"/>
        <v>7.424406047516199E-5</v>
      </c>
      <c r="BY380" s="51">
        <f t="shared" si="25"/>
        <v>0</v>
      </c>
      <c r="BZ380" s="67">
        <f t="shared" si="26"/>
        <v>0</v>
      </c>
    </row>
    <row r="381" spans="1:78" x14ac:dyDescent="0.3">
      <c r="A381" s="173"/>
      <c r="B381" s="70" t="s">
        <v>65</v>
      </c>
      <c r="C381" s="20">
        <v>6</v>
      </c>
      <c r="D381" s="69"/>
      <c r="E381" s="21"/>
      <c r="F381" s="37">
        <v>1.365</v>
      </c>
      <c r="H381" s="37">
        <v>0.26600000000000001</v>
      </c>
      <c r="I381" s="53">
        <f>H381*0.2907</f>
        <v>7.7326200000000012E-2</v>
      </c>
      <c r="L381" s="68"/>
      <c r="M381" s="22">
        <v>10.610504491872625</v>
      </c>
      <c r="O381" s="21">
        <v>0</v>
      </c>
      <c r="Q381" s="21">
        <v>8.2382988121667708E-2</v>
      </c>
      <c r="S381" s="21">
        <v>89.307112520005717</v>
      </c>
      <c r="U381" s="21">
        <v>0</v>
      </c>
      <c r="W381" s="21">
        <v>0</v>
      </c>
      <c r="Y381" s="22">
        <v>0.65197546630163483</v>
      </c>
      <c r="AA381" s="21">
        <v>0</v>
      </c>
      <c r="AC381" s="21">
        <v>5.0621237790425631E-3</v>
      </c>
      <c r="AE381" s="21">
        <v>5.4875850977569405</v>
      </c>
      <c r="AG381" s="21">
        <v>0</v>
      </c>
      <c r="AI381" s="21">
        <v>0</v>
      </c>
      <c r="AO381" s="37">
        <f>8*(BW381-$BW$333)/(2*($AA$333-AA381)+2*($AI$333-AI381))</f>
        <v>0.53546922611041625</v>
      </c>
      <c r="AQ381" s="37">
        <f>(BW381-$BW$333)/(($AA$333-AA381)+($AI$333-AI381))</f>
        <v>0.13386730652760406</v>
      </c>
      <c r="AS381" s="37">
        <f>14*(BX381-$BX$333)/(2*($AA$333-AA381)+2*($AI$333-AI381))</f>
        <v>9.043904992409237E-4</v>
      </c>
      <c r="AU381" s="37">
        <f>(BX381-$BX$333)/(($AA$333-AA381)+($AI$333-AI381))</f>
        <v>1.2919864274870337E-4</v>
      </c>
      <c r="BG381" s="37">
        <v>185.24</v>
      </c>
      <c r="BI381" s="2">
        <v>0.22</v>
      </c>
      <c r="BK381" s="2">
        <v>0</v>
      </c>
      <c r="BM381" s="2">
        <v>0</v>
      </c>
      <c r="BO381" s="22">
        <f>(BG381/1000)/60.2*1000</f>
        <v>3.077076411960133</v>
      </c>
      <c r="BQ381" s="2">
        <f>BI381/74.08</f>
        <v>2.9697624190064796E-3</v>
      </c>
      <c r="BS381" s="2">
        <f>(BK381/1000)/88.12*1000</f>
        <v>0</v>
      </c>
      <c r="BU381" s="2">
        <f>BM381/88.12</f>
        <v>0</v>
      </c>
      <c r="BW381" s="52">
        <f>BO381*0.05</f>
        <v>0.15385382059800667</v>
      </c>
      <c r="BX381" s="51">
        <f t="shared" si="24"/>
        <v>1.4848812095032398E-4</v>
      </c>
      <c r="BY381" s="51">
        <f t="shared" si="25"/>
        <v>0</v>
      </c>
      <c r="BZ381" s="67">
        <f t="shared" si="26"/>
        <v>0</v>
      </c>
    </row>
    <row r="382" spans="1:78" x14ac:dyDescent="0.3">
      <c r="A382" s="173"/>
      <c r="B382" s="70" t="s">
        <v>64</v>
      </c>
      <c r="C382" s="20">
        <v>6</v>
      </c>
      <c r="D382" s="69"/>
      <c r="E382" s="21"/>
      <c r="F382" s="37">
        <v>1.37</v>
      </c>
      <c r="G382" s="67"/>
      <c r="H382" s="37">
        <v>0.25900000000000001</v>
      </c>
      <c r="I382" s="53">
        <f>H382*0.2907</f>
        <v>7.5291300000000005E-2</v>
      </c>
      <c r="L382" s="68"/>
      <c r="M382" s="22">
        <v>11.773265726995866</v>
      </c>
      <c r="O382" s="21">
        <v>0</v>
      </c>
      <c r="Q382" s="21">
        <v>0.15103845148565037</v>
      </c>
      <c r="S382" s="21">
        <v>88.07569582151848</v>
      </c>
      <c r="U382" s="21">
        <v>0</v>
      </c>
      <c r="W382" s="21">
        <v>0</v>
      </c>
      <c r="Y382" s="22">
        <v>0.72607265716904468</v>
      </c>
      <c r="AA382" s="21">
        <v>0</v>
      </c>
      <c r="AC382" s="21">
        <v>9.3147383527940383E-3</v>
      </c>
      <c r="AE382" s="21">
        <v>5.4317430677291032</v>
      </c>
      <c r="AG382" s="21">
        <v>0</v>
      </c>
      <c r="AI382" s="21">
        <v>0</v>
      </c>
      <c r="AO382" s="37">
        <f>8*(BW382-$BW$334)/(2*($AA$334-AA382)+2*($AI$334-AI382))</f>
        <v>0.55454450763209973</v>
      </c>
      <c r="AQ382" s="37">
        <f>(BW382-$BW$334)/(($AA$334-AA382)+($AI$334-AI382))</f>
        <v>0.13863612690802493</v>
      </c>
      <c r="AS382" s="37">
        <f>14*(BX382-$BX$334)/(2*($AA$334-AA382)+2*($AI$334-AI382))</f>
        <v>1.0012683351204787E-3</v>
      </c>
      <c r="AU382" s="37">
        <f>(BX382-$BX$334)/(($AA$334-AA382)+($AI$334-AI382))</f>
        <v>1.4303833358863982E-4</v>
      </c>
      <c r="BG382" s="37">
        <v>189.03</v>
      </c>
      <c r="BI382" s="2">
        <v>0.24</v>
      </c>
      <c r="BK382" s="2">
        <v>0</v>
      </c>
      <c r="BM382" s="2">
        <v>0</v>
      </c>
      <c r="BO382" s="22">
        <f>(BG382/1000)/60.2*1000</f>
        <v>3.1400332225913621</v>
      </c>
      <c r="BQ382" s="2">
        <f>BI382/74.08</f>
        <v>3.2397408207343412E-3</v>
      </c>
      <c r="BS382" s="2">
        <f>(BK382/1000)/88.12*1000</f>
        <v>0</v>
      </c>
      <c r="BU382" s="2">
        <f>BM382/88.12</f>
        <v>0</v>
      </c>
      <c r="BW382" s="52">
        <f>BO382*0.05</f>
        <v>0.15700166112956812</v>
      </c>
      <c r="BX382" s="51">
        <f t="shared" si="24"/>
        <v>1.6198704103671707E-4</v>
      </c>
      <c r="BY382" s="51">
        <f t="shared" si="25"/>
        <v>0</v>
      </c>
      <c r="BZ382" s="67">
        <f t="shared" si="26"/>
        <v>0</v>
      </c>
    </row>
    <row r="383" spans="1:78" ht="15" thickBot="1" x14ac:dyDescent="0.35">
      <c r="A383" s="175"/>
      <c r="B383" s="66" t="s">
        <v>63</v>
      </c>
      <c r="C383" s="65">
        <v>6</v>
      </c>
      <c r="D383" s="64" t="e">
        <f>AVERAGE(D380:D382)</f>
        <v>#DIV/0!</v>
      </c>
      <c r="E383" s="58"/>
      <c r="F383" s="60">
        <f>AVERAGE(F380:F382)</f>
        <v>1.3650000000000002</v>
      </c>
      <c r="G383" s="55">
        <f>_xlfn.STDEV.S(F380:F382)</f>
        <v>5.0000000000000044E-3</v>
      </c>
      <c r="H383" s="60">
        <f>AVERAGE(H380:H382)</f>
        <v>0.26300000000000001</v>
      </c>
      <c r="I383" s="63">
        <f>AVERAGE(I380:I382)</f>
        <v>7.6454100000000011E-2</v>
      </c>
      <c r="J383" s="63">
        <f>_xlfn.STDEV.S(I380:I382)</f>
        <v>1.0481337557773837E-3</v>
      </c>
      <c r="K383" s="63"/>
      <c r="L383" s="62" t="e">
        <f>_xlfn.STDEV.S(K380:K382)</f>
        <v>#DIV/0!</v>
      </c>
      <c r="M383" s="59">
        <f>AVERAGE(M380:M382)</f>
        <v>11.007330954666365</v>
      </c>
      <c r="N383" s="58">
        <f>_xlfn.STDEV.S(M380:M382)</f>
        <v>0.66346373721748508</v>
      </c>
      <c r="O383" s="58">
        <f>AVERAGE(O380:O382)</f>
        <v>0</v>
      </c>
      <c r="P383" s="58">
        <f>_xlfn.STDEV.S(O380:O382)</f>
        <v>0</v>
      </c>
      <c r="Q383" s="58">
        <f>AVERAGE(Q380:Q382)</f>
        <v>0.13336107155981444</v>
      </c>
      <c r="R383" s="58">
        <f>_xlfn.STDEV.S(Q380:Q382)</f>
        <v>4.4834091975213576E-2</v>
      </c>
      <c r="S383" s="58">
        <f>AVERAGE(S380:S382)</f>
        <v>88.859307973773824</v>
      </c>
      <c r="T383" s="58">
        <f>_xlfn.STDEV.S(S380:S382)</f>
        <v>0.68093452881000094</v>
      </c>
      <c r="U383" s="58">
        <f>AVERAGE(U380:U382)</f>
        <v>0</v>
      </c>
      <c r="V383" s="58">
        <f>_xlfn.STDEV.S(U380:U382)</f>
        <v>0</v>
      </c>
      <c r="W383" s="58">
        <f>AVERAGE(W380:W382)</f>
        <v>0</v>
      </c>
      <c r="X383" s="58">
        <f>_xlfn.STDEV.S(W380:W382)</f>
        <v>0</v>
      </c>
      <c r="Y383" s="59">
        <f>AVERAGE(Y380:Y382)</f>
        <v>0.67644411281503947</v>
      </c>
      <c r="Z383" s="58">
        <f>_xlfn.STDEV.S(Y380:Y382)</f>
        <v>4.2980969836922442E-2</v>
      </c>
      <c r="AA383" s="58">
        <f>AVERAGE(AA380:AA382)</f>
        <v>0</v>
      </c>
      <c r="AB383" s="58">
        <f>_xlfn.STDEV.S(AA380:AA382)</f>
        <v>0</v>
      </c>
      <c r="AC383" s="58">
        <f>AVERAGE(AC380:AC382)</f>
        <v>8.1933625056127366E-3</v>
      </c>
      <c r="AD383" s="58">
        <f>_xlfn.STDEV.S(AC380:AC382)</f>
        <v>2.7478799598381043E-3</v>
      </c>
      <c r="AE383" s="58">
        <f>AVERAGE(AE380:AE382)</f>
        <v>5.4599852125169654</v>
      </c>
      <c r="AF383" s="58">
        <f>_xlfn.STDEV.S(AE380:AE382)</f>
        <v>2.7926554610309687E-2</v>
      </c>
      <c r="AG383" s="58">
        <f>AVERAGE(AG380:AG382)</f>
        <v>0</v>
      </c>
      <c r="AH383" s="58">
        <f>_xlfn.STDEV.S(AG380:AG382)</f>
        <v>0</v>
      </c>
      <c r="AI383" s="58">
        <f>AVERAGE(AI380:AI382)</f>
        <v>0</v>
      </c>
      <c r="AJ383" s="58">
        <f>_xlfn.STDEV.S(AI380:AI382)</f>
        <v>0</v>
      </c>
      <c r="AK383" s="60"/>
      <c r="AL383" s="60"/>
      <c r="AM383" s="60"/>
      <c r="AN383" s="60"/>
      <c r="AO383" s="60">
        <f>AVERAGE(AO380:AO382)</f>
        <v>0.54279551093561818</v>
      </c>
      <c r="AP383" s="60">
        <f>_xlfn.STDEV.S(AO380:AO382)</f>
        <v>1.0277980176335137E-2</v>
      </c>
      <c r="AQ383" s="60">
        <f>AVERAGE(AQ380:AQ382)</f>
        <v>0.13569887773390454</v>
      </c>
      <c r="AR383" s="60">
        <f>_xlfn.STDEV.S(AQ380:AQ382)</f>
        <v>2.5694950440837841E-3</v>
      </c>
      <c r="AS383" s="60">
        <f>AVERAGE(AS380:AS382)</f>
        <v>7.7743315493165443E-4</v>
      </c>
      <c r="AT383" s="60">
        <f>_xlfn.STDEV.S(AS380:AS382)</f>
        <v>3.0763269527796575E-4</v>
      </c>
      <c r="AU383" s="60">
        <f>AVERAGE(AU380:AU382)</f>
        <v>1.1106187927595063E-4</v>
      </c>
      <c r="AV383" s="60">
        <f>_xlfn.STDEV.S(AU380:AU382)</f>
        <v>4.3947527896852247E-5</v>
      </c>
      <c r="AW383" s="60"/>
      <c r="AX383" s="60"/>
      <c r="AY383" s="59">
        <f>SUM(AK383,AO383,AS383)</f>
        <v>0.54357294409054979</v>
      </c>
      <c r="AZ383" s="59">
        <f>SUM(AL383,AP383,AT383)</f>
        <v>1.0585612871613102E-2</v>
      </c>
      <c r="BA383" s="60"/>
      <c r="BB383" s="60"/>
      <c r="BC383" s="60"/>
      <c r="BD383" s="60"/>
      <c r="BE383" s="60"/>
      <c r="BF383" s="60"/>
      <c r="BG383" s="59">
        <v>190.5633333333333</v>
      </c>
      <c r="BH383" s="58">
        <v>6.2330917956767813</v>
      </c>
      <c r="BI383" s="57">
        <v>0.19000000000000003</v>
      </c>
      <c r="BJ383" s="57">
        <v>6.999999999999991E-2</v>
      </c>
      <c r="BK383" s="57">
        <v>0</v>
      </c>
      <c r="BL383" s="57">
        <v>0</v>
      </c>
      <c r="BM383" s="57">
        <v>0</v>
      </c>
      <c r="BN383" s="57">
        <v>0</v>
      </c>
      <c r="BO383" s="59">
        <f>AVERAGE(BO380:BO382)</f>
        <v>3.1655038759689922</v>
      </c>
      <c r="BP383" s="58">
        <f>_xlfn.STDEV.S(BO380:BO382)</f>
        <v>0.10353973082519541</v>
      </c>
      <c r="BQ383" s="57">
        <f>AVERAGE(BQ380:BQ382)</f>
        <v>2.5647948164146867E-3</v>
      </c>
      <c r="BR383" s="57">
        <f>_xlfn.STDEV.S(BQ380:BQ382)</f>
        <v>9.4492440604751623E-4</v>
      </c>
      <c r="BS383" s="57">
        <f>AVERAGE(BS380:BS382)</f>
        <v>0</v>
      </c>
      <c r="BT383" s="57">
        <f>_xlfn.STDEV.S(BS380:BS382)</f>
        <v>0</v>
      </c>
      <c r="BU383" s="57">
        <f>AVERAGE(BU380:BU382)</f>
        <v>0</v>
      </c>
      <c r="BV383" s="57">
        <f>_xlfn.STDEV.S(BU380:BU382)</f>
        <v>0</v>
      </c>
      <c r="BW383" s="56">
        <f>AVERAGE(BW380:BW382)</f>
        <v>0.15827519379844965</v>
      </c>
      <c r="BX383" s="55">
        <f t="shared" si="24"/>
        <v>1.2823974082073434E-4</v>
      </c>
      <c r="BY383" s="55">
        <f t="shared" si="25"/>
        <v>0</v>
      </c>
      <c r="BZ383" s="54">
        <f t="shared" si="26"/>
        <v>0</v>
      </c>
    </row>
    <row r="384" spans="1:78" x14ac:dyDescent="0.3">
      <c r="A384" s="172" t="s">
        <v>59</v>
      </c>
      <c r="B384" s="95" t="s">
        <v>69</v>
      </c>
      <c r="C384" s="94">
        <v>7</v>
      </c>
      <c r="D384" s="93"/>
      <c r="E384" s="88"/>
      <c r="F384" s="90">
        <v>1.3</v>
      </c>
      <c r="G384" s="85"/>
      <c r="H384" s="90">
        <v>0.29899999999999999</v>
      </c>
      <c r="I384" s="92">
        <f>H384*0.2907</f>
        <v>8.6919300000000005E-2</v>
      </c>
      <c r="J384" s="92"/>
      <c r="K384" s="92"/>
      <c r="L384" s="91"/>
      <c r="M384" s="89">
        <v>13.675547651380931</v>
      </c>
      <c r="O384" s="88">
        <v>0</v>
      </c>
      <c r="Q384" s="88">
        <v>0.1053718912851173</v>
      </c>
      <c r="S384" s="88">
        <v>85.440530705881855</v>
      </c>
      <c r="U384" s="88">
        <v>0.77854975145209659</v>
      </c>
      <c r="W384" s="88">
        <v>0</v>
      </c>
      <c r="X384" s="88"/>
      <c r="Y384" s="89">
        <v>0.80029600349790198</v>
      </c>
      <c r="AA384" s="88">
        <v>0</v>
      </c>
      <c r="AC384" s="88">
        <v>6.166385846198958E-3</v>
      </c>
      <c r="AE384" s="88">
        <v>4.9999983184404595</v>
      </c>
      <c r="AG384" s="88">
        <v>4.556089967983705E-2</v>
      </c>
      <c r="AI384" s="88">
        <v>0</v>
      </c>
      <c r="AJ384" s="87"/>
      <c r="AK384" s="89">
        <f>8*(AG384-$AG$328)/(2*($AA$328-AA384)+2*($AI$328-AI384))</f>
        <v>0.1952257488635715</v>
      </c>
      <c r="AL384" s="89"/>
      <c r="AM384" s="89">
        <f>(AG384-$AG$328)/(($AA$328-AA384)+($AI$328-AI384))</f>
        <v>4.8806437215892874E-2</v>
      </c>
      <c r="AN384" s="89"/>
      <c r="AO384" s="37">
        <f>8*(BW384-$BW$328)/(2*($AA$328-AA384)+2*($AI$328-AI384))</f>
        <v>0.80164690233520519</v>
      </c>
      <c r="AQ384" s="37">
        <f>(BW384-$BW$328)/(($AA$328-AA384)+($AI$328-AI384))</f>
        <v>0.2004117255838013</v>
      </c>
      <c r="AS384" s="37">
        <f>14*(BX384-$BX$328)/(2*($AA$328-AA384)+2*($AI$328-AI384))</f>
        <v>1.5183543571879673E-3</v>
      </c>
      <c r="AU384" s="37">
        <f>(BX384-$BX$328)/(($AA$328-AA384)+($AI$328-AI384))</f>
        <v>2.1690776531256675E-4</v>
      </c>
      <c r="AY384" s="90"/>
      <c r="AZ384" s="90"/>
      <c r="BA384" s="90"/>
      <c r="BB384" s="90"/>
      <c r="BC384" s="90"/>
      <c r="BD384" s="90"/>
      <c r="BE384" s="90"/>
      <c r="BF384" s="90"/>
      <c r="BG384" s="90">
        <v>225.25</v>
      </c>
      <c r="BH384" s="87"/>
      <c r="BI384" s="87">
        <v>0.3</v>
      </c>
      <c r="BJ384" s="87"/>
      <c r="BK384" s="87">
        <v>0</v>
      </c>
      <c r="BL384" s="87"/>
      <c r="BM384" s="87">
        <v>0</v>
      </c>
      <c r="BN384" s="87"/>
      <c r="BO384" s="89">
        <f>(BG384/1000)/60.2*1000</f>
        <v>3.7416943521594686</v>
      </c>
      <c r="BP384" s="88"/>
      <c r="BQ384" s="87">
        <f>BI384/74.08</f>
        <v>4.0496760259179261E-3</v>
      </c>
      <c r="BR384" s="87"/>
      <c r="BS384" s="87">
        <f>(BK384/1000)/88.12*1000</f>
        <v>0</v>
      </c>
      <c r="BT384" s="87"/>
      <c r="BU384" s="87">
        <f>BM384/88.12</f>
        <v>0</v>
      </c>
      <c r="BV384" s="87"/>
      <c r="BW384" s="86">
        <f>BO384*0.05</f>
        <v>0.18708471760797343</v>
      </c>
      <c r="BX384" s="85">
        <f t="shared" si="24"/>
        <v>2.0248380129589633E-4</v>
      </c>
      <c r="BY384" s="85">
        <f t="shared" si="25"/>
        <v>0</v>
      </c>
      <c r="BZ384" s="84">
        <f t="shared" si="26"/>
        <v>0</v>
      </c>
    </row>
    <row r="385" spans="1:78" x14ac:dyDescent="0.3">
      <c r="A385" s="173"/>
      <c r="B385" s="70" t="s">
        <v>68</v>
      </c>
      <c r="C385" s="20">
        <v>7</v>
      </c>
      <c r="D385" s="69"/>
      <c r="E385" s="21"/>
      <c r="F385" s="37">
        <v>1.325</v>
      </c>
      <c r="H385" s="37">
        <v>0.28899999999999998</v>
      </c>
      <c r="I385" s="53">
        <f>H385*0.2907</f>
        <v>8.4012299999999998E-2</v>
      </c>
      <c r="L385" s="68"/>
      <c r="M385" s="22">
        <v>13.383190457270302</v>
      </c>
      <c r="O385" s="21">
        <v>0</v>
      </c>
      <c r="Q385" s="21">
        <v>0.17690440467327184</v>
      </c>
      <c r="S385" s="21">
        <v>85.703379958485087</v>
      </c>
      <c r="U385" s="21">
        <v>0.73652517957134578</v>
      </c>
      <c r="W385" s="21">
        <v>0</v>
      </c>
      <c r="Y385" s="22">
        <v>0.79824848958387085</v>
      </c>
      <c r="AA385" s="21">
        <v>0</v>
      </c>
      <c r="AC385" s="21">
        <v>1.0551570216536819E-2</v>
      </c>
      <c r="AE385" s="21">
        <v>5.1118299349112792</v>
      </c>
      <c r="AG385" s="21">
        <v>4.3930489819333618E-2</v>
      </c>
      <c r="AI385" s="21">
        <v>0</v>
      </c>
      <c r="AK385" s="22">
        <f>8*(AG385-$AG$329)/(2*($AA$329-AA385)+2*($AI$329-AI385))</f>
        <v>0.19218903233655302</v>
      </c>
      <c r="AL385" s="22"/>
      <c r="AM385" s="22">
        <f>(AG385-$AG$329)/(($AA$329-AA385)+($AI$329-AI385))</f>
        <v>4.8047258084138254E-2</v>
      </c>
      <c r="AN385" s="22"/>
      <c r="AO385" s="37">
        <f>8*(BW385-$BW$329)/(2*($AA$329-AA385)+2*($AI$329-AI385))</f>
        <v>0.83354582608817651</v>
      </c>
      <c r="AQ385" s="37">
        <f>(BW385-$BW$329)/(($AA$329-AA385)+($AI$329-AI385))</f>
        <v>0.20838645652204413</v>
      </c>
      <c r="AS385" s="37">
        <f>14*(BX385-$BX$329)/(2*($AA$329-AA385)+2*($AI$329-AI385))</f>
        <v>1.3435164299852823E-3</v>
      </c>
      <c r="AU385" s="37">
        <f>(BX385-$BX$329)/(($AA$329-AA385)+($AI$329-AI385))</f>
        <v>1.9193091856932603E-4</v>
      </c>
      <c r="BG385" s="37">
        <v>229.4</v>
      </c>
      <c r="BI385" s="2">
        <v>0.26</v>
      </c>
      <c r="BK385" s="2">
        <v>0</v>
      </c>
      <c r="BM385" s="2">
        <v>0</v>
      </c>
      <c r="BO385" s="22">
        <f>(BG385/1000)/60.2*1000</f>
        <v>3.8106312292358799</v>
      </c>
      <c r="BQ385" s="2">
        <f>BI385/74.08</f>
        <v>3.5097192224622033E-3</v>
      </c>
      <c r="BS385" s="2">
        <f>(BK385/1000)/88.12*1000</f>
        <v>0</v>
      </c>
      <c r="BU385" s="2">
        <f>BM385/88.12</f>
        <v>0</v>
      </c>
      <c r="BW385" s="52">
        <f>BO385*0.05</f>
        <v>0.19053156146179401</v>
      </c>
      <c r="BX385" s="51">
        <f t="shared" si="24"/>
        <v>1.7548596112311018E-4</v>
      </c>
      <c r="BY385" s="51">
        <f t="shared" si="25"/>
        <v>0</v>
      </c>
      <c r="BZ385" s="67">
        <f t="shared" si="26"/>
        <v>0</v>
      </c>
    </row>
    <row r="386" spans="1:78" x14ac:dyDescent="0.3">
      <c r="A386" s="173"/>
      <c r="B386" s="70" t="s">
        <v>67</v>
      </c>
      <c r="C386" s="20">
        <v>7</v>
      </c>
      <c r="D386" s="69"/>
      <c r="E386" s="21"/>
      <c r="F386" s="37">
        <v>1.33</v>
      </c>
      <c r="H386" s="37">
        <v>0.30099999999999999</v>
      </c>
      <c r="I386" s="53">
        <f>H386*0.2907</f>
        <v>8.7500700000000001E-2</v>
      </c>
      <c r="L386" s="68"/>
      <c r="M386" s="22">
        <v>15.763220160065023</v>
      </c>
      <c r="O386" s="21">
        <v>0</v>
      </c>
      <c r="Q386" s="21">
        <v>0.18068596913920532</v>
      </c>
      <c r="S386" s="21">
        <v>83.258615587649814</v>
      </c>
      <c r="U386" s="21">
        <v>0.79747828314595637</v>
      </c>
      <c r="W386" s="21">
        <v>0</v>
      </c>
      <c r="Y386" s="22">
        <v>0.94375475094840111</v>
      </c>
      <c r="AA386" s="21">
        <v>0</v>
      </c>
      <c r="AC386" s="21">
        <v>1.0817792308506198E-2</v>
      </c>
      <c r="AE386" s="21">
        <v>4.9847501475172571</v>
      </c>
      <c r="AG386" s="21">
        <v>4.7745569170180642E-2</v>
      </c>
      <c r="AI386" s="21">
        <v>0</v>
      </c>
      <c r="AK386" s="22">
        <f>8*(AG386-$AG$330)/(2*($AA$330-AA386)+2*($AI$330-AI386))</f>
        <v>0.22057310120062035</v>
      </c>
      <c r="AL386" s="22"/>
      <c r="AM386" s="22">
        <f>(AG386-$AG$330)/(($AA$330-AA386)+($AI$330-AI386))</f>
        <v>5.5143275300155087E-2</v>
      </c>
      <c r="AN386" s="22"/>
      <c r="AO386" s="37">
        <f>8*(BW386-$BW$330)/(2*($AA$330-AA386)+2*($AI$330-AI386))</f>
        <v>0.80953247499026482</v>
      </c>
      <c r="AQ386" s="37">
        <f>(BW386-$BW$330)/(($AA$330-AA386)+($AI$330-AI386))</f>
        <v>0.2023831187475662</v>
      </c>
      <c r="AS386" s="37">
        <f>14*(BX386-$BX$330)/(2*($AA$330-AA386)+2*($AI$330-AI386))</f>
        <v>1.145897702015653E-3</v>
      </c>
      <c r="AU386" s="37">
        <f>(BX386-$BX$330)/(($AA$330-AA386)+($AI$330-AI386))</f>
        <v>1.6369967171652185E-4</v>
      </c>
      <c r="BG386" s="37">
        <v>210.98</v>
      </c>
      <c r="BI386" s="2">
        <v>0.21</v>
      </c>
      <c r="BK386" s="2">
        <v>0</v>
      </c>
      <c r="BM386" s="2">
        <v>0</v>
      </c>
      <c r="BO386" s="22">
        <f>(BG386/1000)/60.2*1000</f>
        <v>3.5046511627906978</v>
      </c>
      <c r="BQ386" s="2">
        <f>BI386/74.08</f>
        <v>2.8347732181425484E-3</v>
      </c>
      <c r="BS386" s="2">
        <f>(BK386/1000)/88.12*1000</f>
        <v>0</v>
      </c>
      <c r="BU386" s="2">
        <f>BM386/88.12</f>
        <v>0</v>
      </c>
      <c r="BW386" s="52">
        <f>BO386*0.05</f>
        <v>0.17523255813953489</v>
      </c>
      <c r="BX386" s="51">
        <f t="shared" si="24"/>
        <v>1.4173866090712742E-4</v>
      </c>
      <c r="BY386" s="51">
        <f t="shared" si="25"/>
        <v>0</v>
      </c>
      <c r="BZ386" s="67">
        <f t="shared" si="26"/>
        <v>0</v>
      </c>
    </row>
    <row r="387" spans="1:78" x14ac:dyDescent="0.3">
      <c r="A387" s="173"/>
      <c r="B387" s="83" t="s">
        <v>63</v>
      </c>
      <c r="C387" s="80">
        <v>7</v>
      </c>
      <c r="D387" s="79" t="e">
        <f>AVERAGE(D384:D386)</f>
        <v>#DIV/0!</v>
      </c>
      <c r="E387" s="76"/>
      <c r="F387" s="78">
        <f>AVERAGE(F384:F386)</f>
        <v>1.3183333333333334</v>
      </c>
      <c r="G387" s="73">
        <f>_xlfn.STDEV.S(F384:F386)</f>
        <v>1.6072751268321583E-2</v>
      </c>
      <c r="H387" s="78">
        <f>AVERAGE(H384:H386)</f>
        <v>0.29633333333333334</v>
      </c>
      <c r="I387" s="82">
        <f>AVERAGE(I384:I386)</f>
        <v>8.6144100000000001E-2</v>
      </c>
      <c r="J387" s="82">
        <f>_xlfn.STDEV.S(I384:I386)</f>
        <v>1.868939517480437E-3</v>
      </c>
      <c r="K387" s="82"/>
      <c r="L387" s="81" t="e">
        <f>_xlfn.STDEV.S(K384:K386)</f>
        <v>#DIV/0!</v>
      </c>
      <c r="M387" s="77">
        <f>AVERAGE(M384:M386)</f>
        <v>14.273986089572086</v>
      </c>
      <c r="N387" s="76">
        <f>_xlfn.STDEV.S(M384:M386)</f>
        <v>1.2979721760402965</v>
      </c>
      <c r="O387" s="76">
        <f>AVERAGE(O384:O386)</f>
        <v>0</v>
      </c>
      <c r="P387" s="76">
        <f>_xlfn.STDEV.S(O384:O386)</f>
        <v>0</v>
      </c>
      <c r="Q387" s="76">
        <f>AVERAGE(Q384:Q386)</f>
        <v>0.15432075503253148</v>
      </c>
      <c r="R387" s="76">
        <f>_xlfn.STDEV.S(Q384:Q386)</f>
        <v>4.2433106227033238E-2</v>
      </c>
      <c r="S387" s="76">
        <f>AVERAGE(S384:S386)</f>
        <v>84.800842084005595</v>
      </c>
      <c r="T387" s="76">
        <f>_xlfn.STDEV.S(S384:S386)</f>
        <v>1.3420578813690816</v>
      </c>
      <c r="U387" s="76">
        <f>AVERAGE(U384:U386)</f>
        <v>0.77085107138979969</v>
      </c>
      <c r="V387" s="76">
        <f>_xlfn.STDEV.S(U384:U386)</f>
        <v>3.1197315026625427E-2</v>
      </c>
      <c r="W387" s="76">
        <f>AVERAGE(W384:W386)</f>
        <v>0</v>
      </c>
      <c r="X387" s="76">
        <f>_xlfn.STDEV.S(W384:W386)</f>
        <v>0</v>
      </c>
      <c r="Y387" s="77">
        <f>AVERAGE(Y384:Y386)</f>
        <v>0.84743308134339124</v>
      </c>
      <c r="Z387" s="76">
        <f>_xlfn.STDEV.S(Y384:Y386)</f>
        <v>8.3423294737918013E-2</v>
      </c>
      <c r="AA387" s="76">
        <f>AVERAGE(AA384:AA386)</f>
        <v>0</v>
      </c>
      <c r="AB387" s="76">
        <f>_xlfn.STDEV.S(AA384:AA386)</f>
        <v>0</v>
      </c>
      <c r="AC387" s="76">
        <f>AVERAGE(AC384:AC386)</f>
        <v>9.1785827904139906E-3</v>
      </c>
      <c r="AD387" s="76">
        <f>_xlfn.STDEV.S(AC384:AC386)</f>
        <v>2.6120329962726215E-3</v>
      </c>
      <c r="AE387" s="76">
        <f>AVERAGE(AE384:AE386)</f>
        <v>5.032192800289665</v>
      </c>
      <c r="AF387" s="76">
        <f>_xlfn.STDEV.S(AE384:AE386)</f>
        <v>6.9387906634957641E-2</v>
      </c>
      <c r="AG387" s="76">
        <f>AVERAGE(AG384:AG386)</f>
        <v>4.5745652889783772E-2</v>
      </c>
      <c r="AH387" s="76">
        <f>_xlfn.STDEV.S(AG384:AG386)</f>
        <v>1.914238210033968E-3</v>
      </c>
      <c r="AI387" s="76">
        <f>AVERAGE(AI384:AI386)</f>
        <v>0</v>
      </c>
      <c r="AJ387" s="76">
        <f>_xlfn.STDEV.S(AI384:AI386)</f>
        <v>0</v>
      </c>
      <c r="AK387" s="77">
        <f>AVERAGE(AK384:AK386)</f>
        <v>0.20266262746691496</v>
      </c>
      <c r="AL387" s="77">
        <f>_xlfn.STDEV.S(AK384:AK386)</f>
        <v>1.5585063806115133E-2</v>
      </c>
      <c r="AM387" s="77">
        <f>AVERAGE(AM384:AM386)</f>
        <v>5.0665656866728741E-2</v>
      </c>
      <c r="AN387" s="77">
        <f>_xlfn.STDEV.S(AM384:AM386)</f>
        <v>3.8962659515287832E-3</v>
      </c>
      <c r="AO387" s="78">
        <f>AVERAGE(AO384:AO386)</f>
        <v>0.8149084011378821</v>
      </c>
      <c r="AP387" s="78">
        <f>_xlfn.STDEV.S(AO384:AO386)</f>
        <v>1.6615076605539514E-2</v>
      </c>
      <c r="AQ387" s="78">
        <f>AVERAGE(AQ384:AQ386)</f>
        <v>0.20372710028447052</v>
      </c>
      <c r="AR387" s="78">
        <f>_xlfn.STDEV.S(AQ384:AQ386)</f>
        <v>4.1537691513848785E-3</v>
      </c>
      <c r="AS387" s="78">
        <f>AVERAGE(AS384:AS386)</f>
        <v>1.3359228297296344E-3</v>
      </c>
      <c r="AT387" s="78">
        <f>_xlfn.STDEV.S(AS384:AS386)</f>
        <v>1.8634440444823935E-4</v>
      </c>
      <c r="AU387" s="78">
        <f>AVERAGE(AU384:AU386)</f>
        <v>1.9084611853280485E-4</v>
      </c>
      <c r="AV387" s="80">
        <f>_xlfn.STDEV.S(AU384:AU386)</f>
        <v>2.6620629206891334E-5</v>
      </c>
      <c r="AW387" s="78"/>
      <c r="AX387" s="78"/>
      <c r="AY387" s="79">
        <f>SUM(AK387,AO387,AS387)</f>
        <v>1.0189069514345266</v>
      </c>
      <c r="AZ387" s="77">
        <f>SUM(AL387,AP387,AT387)</f>
        <v>3.238648481610288E-2</v>
      </c>
      <c r="BA387" s="78"/>
      <c r="BB387" s="78"/>
      <c r="BC387" s="78"/>
      <c r="BD387" s="78"/>
      <c r="BE387" s="78"/>
      <c r="BF387" s="78"/>
      <c r="BG387" s="77">
        <v>221.87666666666667</v>
      </c>
      <c r="BH387" s="76">
        <v>9.6622271414686516</v>
      </c>
      <c r="BI387" s="75">
        <v>0.25666666666666665</v>
      </c>
      <c r="BJ387" s="75">
        <v>4.5092497528229074E-2</v>
      </c>
      <c r="BK387" s="75">
        <v>0</v>
      </c>
      <c r="BL387" s="75">
        <v>0</v>
      </c>
      <c r="BM387" s="75">
        <v>0</v>
      </c>
      <c r="BN387" s="75">
        <v>0</v>
      </c>
      <c r="BO387" s="77">
        <f>AVERAGE(BO384:BO386)</f>
        <v>3.6856589147286822</v>
      </c>
      <c r="BP387" s="76">
        <f>_xlfn.STDEV.S(BO384:BO386)</f>
        <v>0.16050211198452877</v>
      </c>
      <c r="BQ387" s="75">
        <f>AVERAGE(BQ384:BQ386)</f>
        <v>3.4647228221742258E-3</v>
      </c>
      <c r="BR387" s="75">
        <f>_xlfn.STDEV.S(BQ384:BQ386)</f>
        <v>6.0870002062944021E-4</v>
      </c>
      <c r="BS387" s="75">
        <f>AVERAGE(BS384:BS386)</f>
        <v>0</v>
      </c>
      <c r="BT387" s="75">
        <f>_xlfn.STDEV.S(BS384:BS386)</f>
        <v>0</v>
      </c>
      <c r="BU387" s="75">
        <f>AVERAGE(BU384:BU386)</f>
        <v>0</v>
      </c>
      <c r="BV387" s="75">
        <f>_xlfn.STDEV.S(BU384:BU386)</f>
        <v>0</v>
      </c>
      <c r="BW387" s="74">
        <f>AVERAGE(BW384:BW386)</f>
        <v>0.18428294573643411</v>
      </c>
      <c r="BX387" s="73">
        <f t="shared" si="24"/>
        <v>1.7323614110871131E-4</v>
      </c>
      <c r="BY387" s="73">
        <f t="shared" si="25"/>
        <v>0</v>
      </c>
      <c r="BZ387" s="72">
        <f t="shared" si="26"/>
        <v>0</v>
      </c>
    </row>
    <row r="388" spans="1:78" x14ac:dyDescent="0.3">
      <c r="A388" s="174" t="s">
        <v>60</v>
      </c>
      <c r="B388" s="70" t="s">
        <v>66</v>
      </c>
      <c r="C388" s="20">
        <v>7</v>
      </c>
      <c r="D388" s="69"/>
      <c r="E388" s="21"/>
      <c r="F388" s="37">
        <v>1.29</v>
      </c>
      <c r="H388" s="37">
        <v>0.23599999999999999</v>
      </c>
      <c r="I388" s="53">
        <f>H388*0.2907</f>
        <v>6.8605200000000005E-2</v>
      </c>
      <c r="L388" s="68"/>
      <c r="M388" s="22">
        <v>10.716737018918284</v>
      </c>
      <c r="O388" s="21">
        <v>0</v>
      </c>
      <c r="Q388" s="21">
        <v>0.20293966997961452</v>
      </c>
      <c r="S388" s="21">
        <v>89.080323311102106</v>
      </c>
      <c r="U388" s="21">
        <v>0</v>
      </c>
      <c r="W388" s="21">
        <v>0</v>
      </c>
      <c r="Y388" s="22">
        <v>0.62232156776252434</v>
      </c>
      <c r="AA388" s="21">
        <v>0</v>
      </c>
      <c r="AC388" s="21">
        <v>1.178471892703687E-2</v>
      </c>
      <c r="AE388" s="21">
        <v>5.172899769948188</v>
      </c>
      <c r="AG388" s="21">
        <v>0</v>
      </c>
      <c r="AI388" s="21">
        <v>0</v>
      </c>
      <c r="AO388" s="37">
        <f>8*(BW388-$BW$332)/(2*($AA$332-AA388)+2*($AI$332-AI388))</f>
        <v>0.51554513782741607</v>
      </c>
      <c r="AQ388" s="37">
        <f>(BW388-$BW$332)/(($AA$332-AA388)+($AI$332-AI388))</f>
        <v>0.12888628445685402</v>
      </c>
      <c r="AS388" s="37">
        <f>14*(BX388-$BX$332)/(2*($AA$332-AA388)+2*($AI$332-AI388))</f>
        <v>4.2664063043356071E-4</v>
      </c>
      <c r="AU388" s="37">
        <f>(BX388-$BX$332)/(($AA$332-AA388)+($AI$332-AI388))</f>
        <v>6.0948661490508677E-5</v>
      </c>
      <c r="BG388" s="37">
        <v>189.05</v>
      </c>
      <c r="BI388" s="2">
        <v>0.11</v>
      </c>
      <c r="BK388" s="2">
        <v>0</v>
      </c>
      <c r="BM388" s="2">
        <v>0</v>
      </c>
      <c r="BO388" s="22">
        <f>(BG388/1000)/60.2*1000</f>
        <v>3.1403654485049834</v>
      </c>
      <c r="BQ388" s="2">
        <f>BI388/74.08</f>
        <v>1.4848812095032398E-3</v>
      </c>
      <c r="BS388" s="2">
        <f>(BK388/1000)/88.12*1000</f>
        <v>0</v>
      </c>
      <c r="BU388" s="2">
        <f>BM388/88.12</f>
        <v>0</v>
      </c>
      <c r="BW388" s="52">
        <f>BO388*0.05</f>
        <v>0.15701827242524918</v>
      </c>
      <c r="BX388" s="51">
        <f t="shared" si="24"/>
        <v>7.424406047516199E-5</v>
      </c>
      <c r="BY388" s="51">
        <f t="shared" si="25"/>
        <v>0</v>
      </c>
      <c r="BZ388" s="67">
        <f t="shared" si="26"/>
        <v>0</v>
      </c>
    </row>
    <row r="389" spans="1:78" x14ac:dyDescent="0.3">
      <c r="A389" s="173"/>
      <c r="B389" s="70" t="s">
        <v>65</v>
      </c>
      <c r="C389" s="20">
        <v>7</v>
      </c>
      <c r="D389" s="69"/>
      <c r="E389" s="21"/>
      <c r="F389" s="37">
        <v>1.2849999999999999</v>
      </c>
      <c r="H389" s="37">
        <v>0.255</v>
      </c>
      <c r="I389" s="53">
        <f>H389*0.2907</f>
        <v>7.41285E-2</v>
      </c>
      <c r="L389" s="68"/>
      <c r="M389" s="22">
        <v>10.798475201380956</v>
      </c>
      <c r="O389" s="21">
        <v>0</v>
      </c>
      <c r="Q389" s="21">
        <v>8.8414088915735711E-2</v>
      </c>
      <c r="S389" s="21">
        <v>89.113110709703307</v>
      </c>
      <c r="U389" s="21">
        <v>0</v>
      </c>
      <c r="W389" s="21">
        <v>0</v>
      </c>
      <c r="Y389" s="22">
        <v>0.62463761242232685</v>
      </c>
      <c r="AA389" s="21">
        <v>0</v>
      </c>
      <c r="AC389" s="21">
        <v>5.1143114536909657E-3</v>
      </c>
      <c r="AE389" s="21">
        <v>5.1547463573484062</v>
      </c>
      <c r="AG389" s="21">
        <v>0</v>
      </c>
      <c r="AI389" s="21">
        <v>0</v>
      </c>
      <c r="AO389" s="37">
        <f>8*(BW389-$BW$333)/(2*($AA$333-AA389)+2*($AI$333-AI389))</f>
        <v>0.52740423398750491</v>
      </c>
      <c r="AQ389" s="37">
        <f>(BW389-$BW$333)/(($AA$333-AA389)+($AI$333-AI389))</f>
        <v>0.13185105849687623</v>
      </c>
      <c r="AS389" s="37">
        <f>14*(BX389-$BX$333)/(2*($AA$333-AA389)+2*($AI$333-AI389))</f>
        <v>9.043904992409237E-4</v>
      </c>
      <c r="AU389" s="37">
        <f>(BX389-$BX$333)/(($AA$333-AA389)+($AI$333-AI389))</f>
        <v>1.2919864274870337E-4</v>
      </c>
      <c r="BG389" s="37">
        <v>182.45</v>
      </c>
      <c r="BI389" s="2">
        <v>0.22</v>
      </c>
      <c r="BK389" s="2">
        <v>0</v>
      </c>
      <c r="BM389" s="2">
        <v>0</v>
      </c>
      <c r="BO389" s="22">
        <f>(BG389/1000)/60.2*1000</f>
        <v>3.0307308970099665</v>
      </c>
      <c r="BQ389" s="2">
        <f>BI389/74.08</f>
        <v>2.9697624190064796E-3</v>
      </c>
      <c r="BS389" s="2">
        <f>(BK389/1000)/88.12*1000</f>
        <v>0</v>
      </c>
      <c r="BU389" s="2">
        <f>BM389/88.12</f>
        <v>0</v>
      </c>
      <c r="BW389" s="52">
        <f>BO389*0.05</f>
        <v>0.15153654485049833</v>
      </c>
      <c r="BX389" s="51">
        <f t="shared" si="24"/>
        <v>1.4848812095032398E-4</v>
      </c>
      <c r="BY389" s="51">
        <f t="shared" si="25"/>
        <v>0</v>
      </c>
      <c r="BZ389" s="67">
        <f t="shared" si="26"/>
        <v>0</v>
      </c>
    </row>
    <row r="390" spans="1:78" x14ac:dyDescent="0.3">
      <c r="A390" s="173"/>
      <c r="B390" s="70" t="s">
        <v>64</v>
      </c>
      <c r="C390" s="20">
        <v>7</v>
      </c>
      <c r="D390" s="69"/>
      <c r="E390" s="21"/>
      <c r="F390" s="37">
        <v>1.29</v>
      </c>
      <c r="G390" s="67"/>
      <c r="H390" s="37">
        <v>0.26100000000000001</v>
      </c>
      <c r="I390" s="53">
        <f>H390*0.2907</f>
        <v>7.5872700000000001E-2</v>
      </c>
      <c r="L390" s="68"/>
      <c r="M390" s="22">
        <v>12.192106425967859</v>
      </c>
      <c r="O390" s="21">
        <v>0</v>
      </c>
      <c r="Q390" s="21">
        <v>0.14912012675077782</v>
      </c>
      <c r="S390" s="21">
        <v>87.658773447281362</v>
      </c>
      <c r="U390" s="21">
        <v>0</v>
      </c>
      <c r="W390" s="21">
        <v>0</v>
      </c>
      <c r="Y390" s="22">
        <v>0.70799635858767351</v>
      </c>
      <c r="AA390" s="21">
        <v>0</v>
      </c>
      <c r="AC390" s="21">
        <v>8.659414792083554E-3</v>
      </c>
      <c r="AE390" s="21">
        <v>5.0903502832579903</v>
      </c>
      <c r="AG390" s="21">
        <v>0</v>
      </c>
      <c r="AI390" s="21">
        <v>0</v>
      </c>
      <c r="AO390" s="37">
        <f>8*(BW390-$BW$334)/(2*($AA$334-AA390)+2*($AI$334-AI390))</f>
        <v>0.56780452548374805</v>
      </c>
      <c r="AQ390" s="37">
        <f>(BW390-$BW$334)/(($AA$334-AA390)+($AI$334-AI390))</f>
        <v>0.14195113137093701</v>
      </c>
      <c r="AS390" s="37">
        <f>14*(BX390-$BX$334)/(2*($AA$334-AA390)+2*($AI$334-AI390))</f>
        <v>1.0012683351204787E-3</v>
      </c>
      <c r="AU390" s="37">
        <f>(BX390-$BX$334)/(($AA$334-AA390)+($AI$334-AI390))</f>
        <v>1.4303833358863982E-4</v>
      </c>
      <c r="BG390" s="37">
        <v>193.55</v>
      </c>
      <c r="BI390" s="2">
        <v>0.24</v>
      </c>
      <c r="BK390" s="2">
        <v>0</v>
      </c>
      <c r="BM390" s="2">
        <v>0</v>
      </c>
      <c r="BO390" s="22">
        <f>(BG390/1000)/60.2*1000</f>
        <v>3.2151162790697674</v>
      </c>
      <c r="BQ390" s="2">
        <f>BI390/74.08</f>
        <v>3.2397408207343412E-3</v>
      </c>
      <c r="BS390" s="2">
        <f>(BK390/1000)/88.12*1000</f>
        <v>0</v>
      </c>
      <c r="BU390" s="2">
        <f>BM390/88.12</f>
        <v>0</v>
      </c>
      <c r="BW390" s="52">
        <f>BO390*0.05</f>
        <v>0.16075581395348837</v>
      </c>
      <c r="BX390" s="51">
        <f t="shared" si="24"/>
        <v>1.6198704103671707E-4</v>
      </c>
      <c r="BY390" s="51">
        <f t="shared" si="25"/>
        <v>0</v>
      </c>
      <c r="BZ390" s="67">
        <f t="shared" si="26"/>
        <v>0</v>
      </c>
    </row>
    <row r="391" spans="1:78" ht="15" thickBot="1" x14ac:dyDescent="0.35">
      <c r="A391" s="175"/>
      <c r="B391" s="66" t="s">
        <v>63</v>
      </c>
      <c r="C391" s="65">
        <v>7</v>
      </c>
      <c r="D391" s="64" t="e">
        <f>AVERAGE(D388:D390)</f>
        <v>#DIV/0!</v>
      </c>
      <c r="E391" s="58"/>
      <c r="F391" s="60">
        <f>AVERAGE(F388:F390)</f>
        <v>1.2883333333333333</v>
      </c>
      <c r="G391" s="55">
        <f>_xlfn.STDEV.S(F388:F390)</f>
        <v>2.8867513459481953E-3</v>
      </c>
      <c r="H391" s="60">
        <f>AVERAGE(H388:H390)</f>
        <v>0.25066666666666665</v>
      </c>
      <c r="I391" s="63">
        <f>AVERAGE(I388:I390)</f>
        <v>7.2868800000000011E-2</v>
      </c>
      <c r="J391" s="63">
        <f>_xlfn.STDEV.S(I388:I390)</f>
        <v>3.7939784039975745E-3</v>
      </c>
      <c r="K391" s="63"/>
      <c r="L391" s="62" t="e">
        <f>_xlfn.STDEV.S(K388:K390)</f>
        <v>#DIV/0!</v>
      </c>
      <c r="M391" s="59">
        <f>AVERAGE(M388:M390)</f>
        <v>11.235772882089032</v>
      </c>
      <c r="N391" s="58">
        <f>_xlfn.STDEV.S(M388:M390)</f>
        <v>0.82921690044218888</v>
      </c>
      <c r="O391" s="58">
        <f>AVERAGE(O388:O390)</f>
        <v>0</v>
      </c>
      <c r="P391" s="58">
        <f>_xlfn.STDEV.S(O388:O390)</f>
        <v>0</v>
      </c>
      <c r="Q391" s="58">
        <f>AVERAGE(Q388:Q390)</f>
        <v>0.14682462854870934</v>
      </c>
      <c r="R391" s="58">
        <f>_xlfn.STDEV.S(Q388:Q390)</f>
        <v>5.7297287575430227E-2</v>
      </c>
      <c r="S391" s="58">
        <f>AVERAGE(S388:S390)</f>
        <v>88.617402489362249</v>
      </c>
      <c r="T391" s="58">
        <f>_xlfn.STDEV.S(S388:S390)</f>
        <v>0.83035894865862725</v>
      </c>
      <c r="U391" s="58">
        <f>AVERAGE(U388:U390)</f>
        <v>0</v>
      </c>
      <c r="V391" s="58">
        <f>_xlfn.STDEV.S(U388:U390)</f>
        <v>0</v>
      </c>
      <c r="W391" s="58">
        <f>AVERAGE(W388:W390)</f>
        <v>0</v>
      </c>
      <c r="X391" s="58">
        <f>_xlfn.STDEV.S(W388:W390)</f>
        <v>0</v>
      </c>
      <c r="Y391" s="59">
        <f>AVERAGE(Y388:Y390)</f>
        <v>0.65165184625750827</v>
      </c>
      <c r="Z391" s="58">
        <f>_xlfn.STDEV.S(Y388:Y390)</f>
        <v>4.880951821120201E-2</v>
      </c>
      <c r="AA391" s="58">
        <f>AVERAGE(AA388:AA390)</f>
        <v>0</v>
      </c>
      <c r="AB391" s="58">
        <f>_xlfn.STDEV.S(AA388:AA390)</f>
        <v>0</v>
      </c>
      <c r="AC391" s="58">
        <f>AVERAGE(AC388:AC390)</f>
        <v>8.5194817242704637E-3</v>
      </c>
      <c r="AD391" s="58">
        <f>_xlfn.STDEV.S(AC388:AC390)</f>
        <v>3.3374046672104223E-3</v>
      </c>
      <c r="AE391" s="58">
        <f>AVERAGE(AE388:AE390)</f>
        <v>5.1393321368515279</v>
      </c>
      <c r="AF391" s="58">
        <f>_xlfn.STDEV.S(AE388:AE390)</f>
        <v>4.3379754302537987E-2</v>
      </c>
      <c r="AG391" s="58">
        <f>AVERAGE(AG388:AG390)</f>
        <v>0</v>
      </c>
      <c r="AH391" s="58">
        <f>_xlfn.STDEV.S(AG388:AG390)</f>
        <v>0</v>
      </c>
      <c r="AI391" s="58">
        <f>AVERAGE(AI388:AI390)</f>
        <v>0</v>
      </c>
      <c r="AJ391" s="58">
        <f>_xlfn.STDEV.S(AI388:AI390)</f>
        <v>0</v>
      </c>
      <c r="AK391" s="60"/>
      <c r="AL391" s="60"/>
      <c r="AM391" s="60"/>
      <c r="AN391" s="60"/>
      <c r="AO391" s="60">
        <f>AVERAGE(AO388:AO390)</f>
        <v>0.53691796576622297</v>
      </c>
      <c r="AP391" s="60">
        <f>_xlfn.STDEV.S(AO388:AO390)</f>
        <v>2.7397887123311877E-2</v>
      </c>
      <c r="AQ391" s="60">
        <f>AVERAGE(AQ388:AQ390)</f>
        <v>0.13422949144155574</v>
      </c>
      <c r="AR391" s="60">
        <f>_xlfn.STDEV.S(AQ388:AQ390)</f>
        <v>6.8494717808279693E-3</v>
      </c>
      <c r="AS391" s="60">
        <f>AVERAGE(AS388:AS390)</f>
        <v>7.7743315493165443E-4</v>
      </c>
      <c r="AT391" s="60">
        <f>_xlfn.STDEV.S(AS388:AS390)</f>
        <v>3.0763269527796575E-4</v>
      </c>
      <c r="AU391" s="60">
        <f>AVERAGE(AU388:AU390)</f>
        <v>1.1106187927595063E-4</v>
      </c>
      <c r="AV391" s="60">
        <f>_xlfn.STDEV.S(AU388:AU390)</f>
        <v>4.3947527896852247E-5</v>
      </c>
      <c r="AW391" s="60"/>
      <c r="AX391" s="60"/>
      <c r="AY391" s="59">
        <f>SUM(AK391,AO391,AS391)</f>
        <v>0.53769539892115459</v>
      </c>
      <c r="AZ391" s="59">
        <f>SUM(AL391,AP391,AT391)</f>
        <v>2.7705519818589843E-2</v>
      </c>
      <c r="BA391" s="60"/>
      <c r="BB391" s="60"/>
      <c r="BC391" s="60"/>
      <c r="BD391" s="60"/>
      <c r="BE391" s="60"/>
      <c r="BF391" s="60"/>
      <c r="BG391" s="59">
        <v>188.35</v>
      </c>
      <c r="BH391" s="58">
        <v>5.5830099408831551</v>
      </c>
      <c r="BI391" s="57">
        <v>0.19000000000000003</v>
      </c>
      <c r="BJ391" s="57">
        <v>6.999999999999991E-2</v>
      </c>
      <c r="BK391" s="57">
        <v>0</v>
      </c>
      <c r="BL391" s="57">
        <v>0</v>
      </c>
      <c r="BM391" s="57">
        <v>0</v>
      </c>
      <c r="BN391" s="57">
        <v>0</v>
      </c>
      <c r="BO391" s="59">
        <f>AVERAGE(BO388:BO390)</f>
        <v>3.1287375415282397</v>
      </c>
      <c r="BP391" s="58">
        <f>_xlfn.STDEV.S(BO388:BO390)</f>
        <v>9.274102891832478E-2</v>
      </c>
      <c r="BQ391" s="57">
        <f>AVERAGE(BQ388:BQ390)</f>
        <v>2.5647948164146867E-3</v>
      </c>
      <c r="BR391" s="57">
        <f>_xlfn.STDEV.S(BQ388:BQ390)</f>
        <v>9.4492440604751623E-4</v>
      </c>
      <c r="BS391" s="57">
        <f>AVERAGE(BS388:BS390)</f>
        <v>0</v>
      </c>
      <c r="BT391" s="57">
        <f>_xlfn.STDEV.S(BS388:BS390)</f>
        <v>0</v>
      </c>
      <c r="BU391" s="57">
        <f>AVERAGE(BU388:BU390)</f>
        <v>0</v>
      </c>
      <c r="BV391" s="57">
        <f>_xlfn.STDEV.S(BU388:BU390)</f>
        <v>0</v>
      </c>
      <c r="BW391" s="56">
        <f>AVERAGE(BW388:BW390)</f>
        <v>0.15643687707641196</v>
      </c>
      <c r="BX391" s="55">
        <f t="shared" si="24"/>
        <v>1.2823974082073434E-4</v>
      </c>
      <c r="BY391" s="55">
        <f t="shared" si="25"/>
        <v>0</v>
      </c>
      <c r="BZ391" s="54">
        <f t="shared" si="26"/>
        <v>0</v>
      </c>
    </row>
    <row r="392" spans="1:78" x14ac:dyDescent="0.3">
      <c r="A392" s="172" t="s">
        <v>59</v>
      </c>
      <c r="B392" s="95" t="s">
        <v>69</v>
      </c>
      <c r="C392" s="94">
        <v>8</v>
      </c>
      <c r="D392" s="93"/>
      <c r="E392" s="88"/>
      <c r="F392" s="90">
        <v>1.3049999999999999</v>
      </c>
      <c r="G392" s="85"/>
      <c r="H392" s="90">
        <v>0.314</v>
      </c>
      <c r="I392" s="92">
        <f>H392*0.2907</f>
        <v>9.1279800000000008E-2</v>
      </c>
      <c r="J392" s="92"/>
      <c r="K392" s="92"/>
      <c r="L392" s="91"/>
      <c r="M392" s="89">
        <v>13.098016912089228</v>
      </c>
      <c r="O392" s="88">
        <v>0</v>
      </c>
      <c r="Q392" s="88">
        <v>0.25689839695240074</v>
      </c>
      <c r="S392" s="88">
        <v>85.806597379437136</v>
      </c>
      <c r="U392" s="88">
        <v>0.83848731152124811</v>
      </c>
      <c r="W392" s="88">
        <v>0</v>
      </c>
      <c r="X392" s="88"/>
      <c r="Y392" s="89">
        <v>0.76944685207497487</v>
      </c>
      <c r="AA392" s="88">
        <v>0</v>
      </c>
      <c r="AC392" s="88">
        <v>1.5091571813110627E-2</v>
      </c>
      <c r="AE392" s="88">
        <v>5.0407337755026189</v>
      </c>
      <c r="AG392" s="88">
        <v>4.9257183487017166E-2</v>
      </c>
      <c r="AI392" s="88">
        <v>0</v>
      </c>
      <c r="AJ392" s="87"/>
      <c r="AK392" s="89">
        <f>8*(AG392-$AG$328)/(2*($AA$328-AA392)+2*($AI$328-AI392))</f>
        <v>0.21106410542237269</v>
      </c>
      <c r="AL392" s="89"/>
      <c r="AM392" s="89">
        <f>(AG392-$AG$328)/(($AA$328-AA392)+($AI$328-AI392))</f>
        <v>5.2766026355593174E-2</v>
      </c>
      <c r="AN392" s="89"/>
      <c r="AO392" s="37">
        <f>8*(BW392-$BW$328)/(2*($AA$328-AA392)+2*($AI$328-AI392))</f>
        <v>0.76666271121442808</v>
      </c>
      <c r="AQ392" s="37">
        <f>(BW392-$BW$328)/(($AA$328-AA392)+($AI$328-AI392))</f>
        <v>0.19166567780360702</v>
      </c>
      <c r="AS392" s="37">
        <f>14*(BX392-$BX$328)/(2*($AA$328-AA392)+2*($AI$328-AI392))</f>
        <v>1.6195779810004986E-3</v>
      </c>
      <c r="AU392" s="37">
        <f>(BX392-$BX$328)/(($AA$328-AA392)+($AI$328-AI392))</f>
        <v>2.3136828300007121E-4</v>
      </c>
      <c r="AY392" s="90"/>
      <c r="AZ392" s="90"/>
      <c r="BA392" s="90"/>
      <c r="BB392" s="90"/>
      <c r="BC392" s="90"/>
      <c r="BD392" s="90"/>
      <c r="BE392" s="90"/>
      <c r="BF392" s="90"/>
      <c r="BG392" s="90">
        <v>215.42</v>
      </c>
      <c r="BH392" s="87"/>
      <c r="BI392" s="87">
        <v>0.32</v>
      </c>
      <c r="BJ392" s="87"/>
      <c r="BK392" s="87">
        <v>0</v>
      </c>
      <c r="BL392" s="87"/>
      <c r="BM392" s="87">
        <v>0</v>
      </c>
      <c r="BN392" s="87"/>
      <c r="BO392" s="89">
        <f>(BG392/1000)/60.2*1000</f>
        <v>3.5784053156146181</v>
      </c>
      <c r="BP392" s="88"/>
      <c r="BQ392" s="87">
        <f>BI392/74.08</f>
        <v>4.3196544276457886E-3</v>
      </c>
      <c r="BR392" s="87"/>
      <c r="BS392" s="87">
        <f>(BK392/1000)/88.12*1000</f>
        <v>0</v>
      </c>
      <c r="BT392" s="87"/>
      <c r="BU392" s="87">
        <f>BM392/88.12</f>
        <v>0</v>
      </c>
      <c r="BV392" s="87"/>
      <c r="BW392" s="86">
        <f>BO392*0.05</f>
        <v>0.17892026578073092</v>
      </c>
      <c r="BX392" s="85">
        <f t="shared" ref="BX392:BX423" si="27">BQ392*0.05</f>
        <v>2.1598272138228944E-4</v>
      </c>
      <c r="BY392" s="85">
        <f t="shared" ref="BY392:BY423" si="28">BS392*0.05</f>
        <v>0</v>
      </c>
      <c r="BZ392" s="84">
        <f t="shared" ref="BZ392:BZ423" si="29">BU392*0.05</f>
        <v>0</v>
      </c>
    </row>
    <row r="393" spans="1:78" x14ac:dyDescent="0.3">
      <c r="A393" s="173"/>
      <c r="B393" s="70" t="s">
        <v>68</v>
      </c>
      <c r="C393" s="20">
        <v>8</v>
      </c>
      <c r="D393" s="69"/>
      <c r="E393" s="21"/>
      <c r="F393" s="37">
        <v>1.3149999999999999</v>
      </c>
      <c r="H393" s="37">
        <v>0.30499999999999999</v>
      </c>
      <c r="I393" s="53">
        <f>H393*0.2907</f>
        <v>8.8663500000000006E-2</v>
      </c>
      <c r="L393" s="68"/>
      <c r="M393" s="22">
        <v>13.985079990086172</v>
      </c>
      <c r="O393" s="21">
        <v>0</v>
      </c>
      <c r="Q393" s="21">
        <v>0.17086780341060193</v>
      </c>
      <c r="S393" s="21">
        <v>85.014431836016129</v>
      </c>
      <c r="U393" s="21">
        <v>0.8296203704870948</v>
      </c>
      <c r="W393" s="21">
        <v>0</v>
      </c>
      <c r="Y393" s="22">
        <v>0.82785309402764973</v>
      </c>
      <c r="AA393" s="21">
        <v>0</v>
      </c>
      <c r="AC393" s="21">
        <v>1.0114596400124229E-2</v>
      </c>
      <c r="AE393" s="21">
        <v>5.0324674926664485</v>
      </c>
      <c r="AG393" s="21">
        <v>4.9109750610148252E-2</v>
      </c>
      <c r="AI393" s="21">
        <v>0</v>
      </c>
      <c r="AK393" s="22">
        <f>8*(AG393-$AG$329)/(2*($AA$329-AA393)+2*($AI$329-AI393))</f>
        <v>0.21484748945139368</v>
      </c>
      <c r="AL393" s="22"/>
      <c r="AM393" s="22">
        <f>(AG393-$AG$329)/(($AA$329-AA393)+($AI$329-AI393))</f>
        <v>5.3711872362848419E-2</v>
      </c>
      <c r="AN393" s="22"/>
      <c r="AO393" s="37">
        <f>8*(BW393-$BW$329)/(2*($AA$329-AA393)+2*($AI$329-AI393))</f>
        <v>0.79931739678673519</v>
      </c>
      <c r="AQ393" s="37">
        <f>(BW393-$BW$329)/(($AA$329-AA393)+($AI$329-AI393))</f>
        <v>0.1998293491966838</v>
      </c>
      <c r="AS393" s="37">
        <f>14*(BX393-$BX$329)/(2*($AA$329-AA393)+2*($AI$329-AI393))</f>
        <v>1.4985375565220451E-3</v>
      </c>
      <c r="AU393" s="37">
        <f>(BX393-$BX$329)/(($AA$329-AA393)+($AI$329-AI393))</f>
        <v>2.1407679378886361E-4</v>
      </c>
      <c r="BG393" s="37">
        <v>219.98</v>
      </c>
      <c r="BI393" s="2">
        <v>0.28999999999999998</v>
      </c>
      <c r="BK393" s="2">
        <v>0</v>
      </c>
      <c r="BM393" s="2">
        <v>0</v>
      </c>
      <c r="BO393" s="22">
        <f>(BG393/1000)/60.2*1000</f>
        <v>3.6541528239202652</v>
      </c>
      <c r="BQ393" s="2">
        <f>BI393/74.08</f>
        <v>3.9146868250539953E-3</v>
      </c>
      <c r="BS393" s="2">
        <f>(BK393/1000)/88.12*1000</f>
        <v>0</v>
      </c>
      <c r="BU393" s="2">
        <f>BM393/88.12</f>
        <v>0</v>
      </c>
      <c r="BW393" s="52">
        <f>BO393*0.05</f>
        <v>0.18270764119601327</v>
      </c>
      <c r="BX393" s="51">
        <f t="shared" si="27"/>
        <v>1.9573434125269977E-4</v>
      </c>
      <c r="BY393" s="51">
        <f t="shared" si="28"/>
        <v>0</v>
      </c>
      <c r="BZ393" s="67">
        <f t="shared" si="29"/>
        <v>0</v>
      </c>
    </row>
    <row r="394" spans="1:78" x14ac:dyDescent="0.3">
      <c r="A394" s="173"/>
      <c r="B394" s="70" t="s">
        <v>67</v>
      </c>
      <c r="C394" s="20">
        <v>8</v>
      </c>
      <c r="D394" s="69"/>
      <c r="E394" s="21"/>
      <c r="F394" s="37">
        <v>1.335</v>
      </c>
      <c r="H394" s="37">
        <v>0.309</v>
      </c>
      <c r="I394" s="53">
        <f>H394*0.2907</f>
        <v>8.9826299999999998E-2</v>
      </c>
      <c r="L394" s="68"/>
      <c r="M394" s="22">
        <v>14.495961779441668</v>
      </c>
      <c r="O394" s="21">
        <v>0</v>
      </c>
      <c r="Q394" s="21">
        <v>0.16821951337026125</v>
      </c>
      <c r="S394" s="21">
        <v>84.531638828511305</v>
      </c>
      <c r="U394" s="21">
        <v>0.80417987867675844</v>
      </c>
      <c r="W394" s="21">
        <v>0</v>
      </c>
      <c r="Y394" s="22">
        <v>0.87114584519193361</v>
      </c>
      <c r="AA394" s="21">
        <v>0</v>
      </c>
      <c r="AC394" s="21">
        <v>1.010927956229451E-2</v>
      </c>
      <c r="AE394" s="21">
        <v>5.0799931093333131</v>
      </c>
      <c r="AG394" s="21">
        <v>4.8327801270126848E-2</v>
      </c>
      <c r="AI394" s="21">
        <v>0</v>
      </c>
      <c r="AK394" s="22">
        <f>8*(AG394-$AG$330)/(2*($AA$330-AA394)+2*($AI$330-AI394))</f>
        <v>0.22326287413946494</v>
      </c>
      <c r="AL394" s="22"/>
      <c r="AM394" s="22">
        <f>(AG394-$AG$330)/(($AA$330-AA394)+($AI$330-AI394))</f>
        <v>5.5815718534866235E-2</v>
      </c>
      <c r="AN394" s="22"/>
      <c r="AO394" s="37">
        <f>8*(BW394-$BW$330)/(2*($AA$330-AA394)+2*($AI$330-AI394))</f>
        <v>0.78862076777300749</v>
      </c>
      <c r="AQ394" s="37">
        <f>(BW394-$BW$330)/(($AA$330-AA394)+($AI$330-AI394))</f>
        <v>0.19715519194325187</v>
      </c>
      <c r="AS394" s="37">
        <f>14*(BX394-$BX$330)/(2*($AA$330-AA394)+2*($AI$330-AI394))</f>
        <v>1.7461298316428999E-3</v>
      </c>
      <c r="AU394" s="37">
        <f>(BX394-$BX$330)/(($AA$330-AA394)+($AI$330-AI394))</f>
        <v>2.4944711880612854E-4</v>
      </c>
      <c r="BG394" s="37">
        <v>205.53</v>
      </c>
      <c r="BI394" s="2">
        <v>0.32</v>
      </c>
      <c r="BK394" s="2">
        <v>0</v>
      </c>
      <c r="BM394" s="2">
        <v>0</v>
      </c>
      <c r="BO394" s="22">
        <f>(BG394/1000)/60.2*1000</f>
        <v>3.4141196013289035</v>
      </c>
      <c r="BQ394" s="2">
        <f>BI394/74.08</f>
        <v>4.3196544276457886E-3</v>
      </c>
      <c r="BS394" s="2">
        <f>(BK394/1000)/88.12*1000</f>
        <v>0</v>
      </c>
      <c r="BU394" s="2">
        <f>BM394/88.12</f>
        <v>0</v>
      </c>
      <c r="BW394" s="52">
        <f>BO394*0.05</f>
        <v>0.17070598006644519</v>
      </c>
      <c r="BX394" s="51">
        <f t="shared" si="27"/>
        <v>2.1598272138228944E-4</v>
      </c>
      <c r="BY394" s="51">
        <f t="shared" si="28"/>
        <v>0</v>
      </c>
      <c r="BZ394" s="67">
        <f t="shared" si="29"/>
        <v>0</v>
      </c>
    </row>
    <row r="395" spans="1:78" x14ac:dyDescent="0.3">
      <c r="A395" s="173"/>
      <c r="B395" s="83" t="s">
        <v>63</v>
      </c>
      <c r="C395" s="80">
        <v>8</v>
      </c>
      <c r="D395" s="79" t="e">
        <f>AVERAGE(D392:D394)</f>
        <v>#DIV/0!</v>
      </c>
      <c r="E395" s="76"/>
      <c r="F395" s="78">
        <f>AVERAGE(F392:F394)</f>
        <v>1.3183333333333334</v>
      </c>
      <c r="G395" s="73">
        <f>_xlfn.STDEV.S(F392:F394)</f>
        <v>1.527525231651948E-2</v>
      </c>
      <c r="H395" s="78">
        <f>AVERAGE(H392:H394)</f>
        <v>0.30933333333333329</v>
      </c>
      <c r="I395" s="82">
        <f>AVERAGE(I392:I394)</f>
        <v>8.9923200000000023E-2</v>
      </c>
      <c r="J395" s="82">
        <f>_xlfn.STDEV.S(I392:I394)</f>
        <v>1.3108389031456166E-3</v>
      </c>
      <c r="K395" s="82"/>
      <c r="L395" s="81" t="e">
        <f>_xlfn.STDEV.S(K392:K394)</f>
        <v>#DIV/0!</v>
      </c>
      <c r="M395" s="77">
        <f>AVERAGE(M392:M394)</f>
        <v>13.859686227205691</v>
      </c>
      <c r="N395" s="76">
        <f>_xlfn.STDEV.S(M392:M394)</f>
        <v>0.70735787255550675</v>
      </c>
      <c r="O395" s="76">
        <f>AVERAGE(O392:O394)</f>
        <v>0</v>
      </c>
      <c r="P395" s="76">
        <f>_xlfn.STDEV.S(O392:O394)</f>
        <v>0</v>
      </c>
      <c r="Q395" s="76">
        <f>AVERAGE(Q392:Q394)</f>
        <v>0.19866190457775465</v>
      </c>
      <c r="R395" s="76">
        <f>_xlfn.STDEV.S(Q392:Q394)</f>
        <v>5.0451661450452795E-2</v>
      </c>
      <c r="S395" s="76">
        <f>AVERAGE(S392:S394)</f>
        <v>85.117556014654852</v>
      </c>
      <c r="T395" s="76">
        <f>_xlfn.STDEV.S(S392:S394)</f>
        <v>0.64370472563874959</v>
      </c>
      <c r="U395" s="76">
        <f>AVERAGE(U392:U394)</f>
        <v>0.82409585356170056</v>
      </c>
      <c r="V395" s="76">
        <f>_xlfn.STDEV.S(U392:U394)</f>
        <v>1.7808430659073209E-2</v>
      </c>
      <c r="W395" s="76">
        <f>AVERAGE(W392:W394)</f>
        <v>0</v>
      </c>
      <c r="X395" s="76">
        <f>_xlfn.STDEV.S(W392:W394)</f>
        <v>0</v>
      </c>
      <c r="Y395" s="77">
        <f>AVERAGE(Y392:Y394)</f>
        <v>0.82281526376485281</v>
      </c>
      <c r="Z395" s="76">
        <f>_xlfn.STDEV.S(Y392:Y394)</f>
        <v>5.1036321385542371E-2</v>
      </c>
      <c r="AA395" s="76">
        <f>AVERAGE(AA392:AA394)</f>
        <v>0</v>
      </c>
      <c r="AB395" s="76">
        <f>_xlfn.STDEV.S(AA392:AA394)</f>
        <v>0</v>
      </c>
      <c r="AC395" s="76">
        <f>AVERAGE(AC392:AC394)</f>
        <v>1.1771815925176454E-2</v>
      </c>
      <c r="AD395" s="76">
        <f>_xlfn.STDEV.S(AC392:AC394)</f>
        <v>2.8749941623934347E-3</v>
      </c>
      <c r="AE395" s="76">
        <f>AVERAGE(AE392:AE394)</f>
        <v>5.0510647925007932</v>
      </c>
      <c r="AF395" s="76">
        <f>_xlfn.STDEV.S(AE392:AE394)</f>
        <v>2.5391307450658512E-2</v>
      </c>
      <c r="AG395" s="76">
        <f>AVERAGE(AG392:AG394)</f>
        <v>4.889824512243076E-2</v>
      </c>
      <c r="AH395" s="76">
        <f>_xlfn.STDEV.S(AG392:AG394)</f>
        <v>4.9948849312967411E-4</v>
      </c>
      <c r="AI395" s="76">
        <f>AVERAGE(AI392:AI394)</f>
        <v>0</v>
      </c>
      <c r="AJ395" s="76">
        <f>_xlfn.STDEV.S(AI392:AI394)</f>
        <v>0</v>
      </c>
      <c r="AK395" s="77">
        <f>AVERAGE(AK392:AK394)</f>
        <v>0.2163914896710771</v>
      </c>
      <c r="AL395" s="77">
        <f>_xlfn.STDEV.S(AK392:AK394)</f>
        <v>6.2442327040288905E-3</v>
      </c>
      <c r="AM395" s="77">
        <f>AVERAGE(AM392:AM394)</f>
        <v>5.4097872417769276E-2</v>
      </c>
      <c r="AN395" s="77">
        <f>_xlfn.STDEV.S(AM392:AM394)</f>
        <v>1.5610581760072226E-3</v>
      </c>
      <c r="AO395" s="78">
        <f>AVERAGE(AO392:AO394)</f>
        <v>0.78486695859139033</v>
      </c>
      <c r="AP395" s="78">
        <f>_xlfn.STDEV.S(AO392:AO394)</f>
        <v>1.664783574479145E-2</v>
      </c>
      <c r="AQ395" s="78">
        <f>AVERAGE(AQ392:AQ394)</f>
        <v>0.19621673964784758</v>
      </c>
      <c r="AR395" s="78">
        <f>_xlfn.STDEV.S(AQ392:AQ394)</f>
        <v>4.1619589361978626E-3</v>
      </c>
      <c r="AS395" s="78">
        <f>AVERAGE(AS392:AS394)</f>
        <v>1.6214151230551479E-3</v>
      </c>
      <c r="AT395" s="78">
        <f>_xlfn.STDEV.S(AS392:AS394)</f>
        <v>1.2380636087486367E-4</v>
      </c>
      <c r="AU395" s="78">
        <f>AVERAGE(AU392:AU394)</f>
        <v>2.3163073186502112E-4</v>
      </c>
      <c r="AV395" s="80">
        <f>_xlfn.STDEV.S(AU392:AU394)</f>
        <v>1.7686622982123367E-5</v>
      </c>
      <c r="AW395" s="78"/>
      <c r="AX395" s="78"/>
      <c r="AY395" s="79">
        <f>SUM(AK395,AO395,AS395)</f>
        <v>1.0028798633855225</v>
      </c>
      <c r="AZ395" s="77">
        <f>SUM(AL395,AP395,AT395)</f>
        <v>2.3015874809695205E-2</v>
      </c>
      <c r="BA395" s="78"/>
      <c r="BB395" s="78"/>
      <c r="BC395" s="78"/>
      <c r="BD395" s="78"/>
      <c r="BE395" s="78"/>
      <c r="BF395" s="78"/>
      <c r="BG395" s="77">
        <v>213.64333333333332</v>
      </c>
      <c r="BH395" s="76">
        <v>7.3870178917702125</v>
      </c>
      <c r="BI395" s="75">
        <v>0.31</v>
      </c>
      <c r="BJ395" s="75">
        <v>1.7320508075688787E-2</v>
      </c>
      <c r="BK395" s="75">
        <v>0</v>
      </c>
      <c r="BL395" s="75">
        <v>0</v>
      </c>
      <c r="BM395" s="75">
        <v>0</v>
      </c>
      <c r="BN395" s="75">
        <v>0</v>
      </c>
      <c r="BO395" s="77">
        <f>AVERAGE(BO392:BO394)</f>
        <v>3.5488925802879288</v>
      </c>
      <c r="BP395" s="76">
        <f>_xlfn.STDEV.S(BO392:BO394)</f>
        <v>0.12270793840149852</v>
      </c>
      <c r="BQ395" s="75">
        <f>AVERAGE(BQ392:BQ394)</f>
        <v>4.1846652267818578E-3</v>
      </c>
      <c r="BR395" s="75">
        <f>_xlfn.STDEV.S(BQ392:BQ394)</f>
        <v>2.3380815436944925E-4</v>
      </c>
      <c r="BS395" s="75">
        <f>AVERAGE(BS392:BS394)</f>
        <v>0</v>
      </c>
      <c r="BT395" s="75">
        <f>_xlfn.STDEV.S(BS392:BS394)</f>
        <v>0</v>
      </c>
      <c r="BU395" s="75">
        <f>AVERAGE(BU392:BU394)</f>
        <v>0</v>
      </c>
      <c r="BV395" s="75">
        <f>_xlfn.STDEV.S(BU392:BU394)</f>
        <v>0</v>
      </c>
      <c r="BW395" s="74">
        <f>AVERAGE(BW392:BW394)</f>
        <v>0.17744462901439648</v>
      </c>
      <c r="BX395" s="73">
        <f t="shared" si="27"/>
        <v>2.0923326133909291E-4</v>
      </c>
      <c r="BY395" s="73">
        <f t="shared" si="28"/>
        <v>0</v>
      </c>
      <c r="BZ395" s="72">
        <f t="shared" si="29"/>
        <v>0</v>
      </c>
    </row>
    <row r="396" spans="1:78" x14ac:dyDescent="0.3">
      <c r="A396" s="174" t="s">
        <v>60</v>
      </c>
      <c r="B396" s="70" t="s">
        <v>66</v>
      </c>
      <c r="C396" s="20">
        <v>8</v>
      </c>
      <c r="D396" s="69"/>
      <c r="E396" s="21"/>
      <c r="F396" s="37">
        <v>1.2949999999999999</v>
      </c>
      <c r="H396" s="37">
        <v>0.26700000000000002</v>
      </c>
      <c r="I396" s="53">
        <f>H396*0.2907</f>
        <v>7.7616900000000003E-2</v>
      </c>
      <c r="L396" s="68"/>
      <c r="M396" s="22">
        <v>10.66522898590166</v>
      </c>
      <c r="O396" s="21">
        <v>0</v>
      </c>
      <c r="Q396" s="21">
        <v>0.16458312198033576</v>
      </c>
      <c r="S396" s="21">
        <v>89.170187892118008</v>
      </c>
      <c r="U396" s="21">
        <v>0</v>
      </c>
      <c r="W396" s="21">
        <v>0</v>
      </c>
      <c r="Y396" s="22">
        <v>0.62173099895305772</v>
      </c>
      <c r="AA396" s="21">
        <v>0</v>
      </c>
      <c r="AC396" s="21">
        <v>9.5943958610651622E-3</v>
      </c>
      <c r="AE396" s="21">
        <v>5.1981884372369489</v>
      </c>
      <c r="AG396" s="21">
        <v>0</v>
      </c>
      <c r="AI396" s="21">
        <v>0</v>
      </c>
      <c r="AO396" s="37">
        <f>8*(BW396-$BW$332)/(2*($AA$332-AA396)+2*($AI$332-AI396))</f>
        <v>0.50509950550514449</v>
      </c>
      <c r="AQ396" s="37">
        <f>(BW396-$BW$332)/(($AA$332-AA396)+($AI$332-AI396))</f>
        <v>0.12627487637628612</v>
      </c>
      <c r="AS396" s="37">
        <f>14*(BX396-$BX$332)/(2*($AA$332-AA396)+2*($AI$332-AI396))</f>
        <v>4.6542614229115711E-4</v>
      </c>
      <c r="AU396" s="37">
        <f>(BX396-$BX$332)/(($AA$332-AA396)+($AI$332-AI396))</f>
        <v>6.6489448898736738E-5</v>
      </c>
      <c r="BG396" s="37">
        <v>185.22</v>
      </c>
      <c r="BI396" s="2">
        <v>0.12</v>
      </c>
      <c r="BK396" s="2">
        <v>0</v>
      </c>
      <c r="BM396" s="2">
        <v>0</v>
      </c>
      <c r="BO396" s="22">
        <f>(BG396/1000)/60.2*1000</f>
        <v>3.0767441860465112</v>
      </c>
      <c r="BQ396" s="2">
        <f>BI396/74.08</f>
        <v>1.6198704103671706E-3</v>
      </c>
      <c r="BS396" s="2">
        <f>(BK396/1000)/88.12*1000</f>
        <v>0</v>
      </c>
      <c r="BU396" s="2">
        <f>BM396/88.12</f>
        <v>0</v>
      </c>
      <c r="BW396" s="52">
        <f>BO396*0.05</f>
        <v>0.15383720930232558</v>
      </c>
      <c r="BX396" s="51">
        <f t="shared" si="27"/>
        <v>8.0993520518358534E-5</v>
      </c>
      <c r="BY396" s="51">
        <f t="shared" si="28"/>
        <v>0</v>
      </c>
      <c r="BZ396" s="67">
        <f t="shared" si="29"/>
        <v>0</v>
      </c>
    </row>
    <row r="397" spans="1:78" x14ac:dyDescent="0.3">
      <c r="A397" s="173"/>
      <c r="B397" s="70" t="s">
        <v>65</v>
      </c>
      <c r="C397" s="20">
        <v>8</v>
      </c>
      <c r="D397" s="69"/>
      <c r="E397" s="21"/>
      <c r="F397" s="37">
        <v>1.28</v>
      </c>
      <c r="H397" s="37">
        <v>0.253</v>
      </c>
      <c r="I397" s="53">
        <f>H397*0.2907</f>
        <v>7.3547100000000004E-2</v>
      </c>
      <c r="L397" s="68"/>
      <c r="M397" s="22">
        <v>10.496787085877187</v>
      </c>
      <c r="O397" s="21">
        <v>0</v>
      </c>
      <c r="Q397" s="21">
        <v>9.1660460838691102E-2</v>
      </c>
      <c r="S397" s="21">
        <v>89.411552453284116</v>
      </c>
      <c r="U397" s="21">
        <v>0</v>
      </c>
      <c r="W397" s="21">
        <v>0</v>
      </c>
      <c r="Y397" s="22">
        <v>0.60482387530344894</v>
      </c>
      <c r="AA397" s="21">
        <v>0</v>
      </c>
      <c r="AC397" s="21">
        <v>5.2814670511080811E-3</v>
      </c>
      <c r="AE397" s="21">
        <v>5.1518851634565408</v>
      </c>
      <c r="AG397" s="21">
        <v>0</v>
      </c>
      <c r="AI397" s="21">
        <v>0</v>
      </c>
      <c r="AO397" s="37">
        <f>8*(BW397-$BW$333)/(2*($AA$333-AA397)+2*($AI$333-AI397))</f>
        <v>0.56402912653133441</v>
      </c>
      <c r="AQ397" s="37">
        <f>(BW397-$BW$333)/(($AA$333-AA397)+($AI$333-AI397))</f>
        <v>0.1410072816328336</v>
      </c>
      <c r="AS397" s="37">
        <f>14*(BX397-$BX$333)/(2*($AA$333-AA397)+2*($AI$333-AI397))</f>
        <v>9.8660781735373485E-4</v>
      </c>
      <c r="AU397" s="37">
        <f>(BX397-$BX$333)/(($AA$333-AA397)+($AI$333-AI397))</f>
        <v>1.4094397390767641E-4</v>
      </c>
      <c r="BG397" s="37">
        <v>195.12</v>
      </c>
      <c r="BI397" s="2">
        <v>0.24</v>
      </c>
      <c r="BK397" s="2">
        <v>0</v>
      </c>
      <c r="BM397" s="2">
        <v>0</v>
      </c>
      <c r="BO397" s="22">
        <f>(BG397/1000)/60.2*1000</f>
        <v>3.2411960132890365</v>
      </c>
      <c r="BQ397" s="2">
        <f>BI397/74.08</f>
        <v>3.2397408207343412E-3</v>
      </c>
      <c r="BS397" s="2">
        <f>(BK397/1000)/88.12*1000</f>
        <v>0</v>
      </c>
      <c r="BU397" s="2">
        <f>BM397/88.12</f>
        <v>0</v>
      </c>
      <c r="BW397" s="52">
        <f>BO397*0.05</f>
        <v>0.16205980066445183</v>
      </c>
      <c r="BX397" s="51">
        <f t="shared" si="27"/>
        <v>1.6198704103671707E-4</v>
      </c>
      <c r="BY397" s="51">
        <f t="shared" si="28"/>
        <v>0</v>
      </c>
      <c r="BZ397" s="67">
        <f t="shared" si="29"/>
        <v>0</v>
      </c>
    </row>
    <row r="398" spans="1:78" x14ac:dyDescent="0.3">
      <c r="A398" s="173"/>
      <c r="B398" s="70" t="s">
        <v>64</v>
      </c>
      <c r="C398" s="20">
        <v>8</v>
      </c>
      <c r="D398" s="69"/>
      <c r="E398" s="21"/>
      <c r="F398" s="37">
        <v>1.29</v>
      </c>
      <c r="G398" s="67"/>
      <c r="H398" s="37">
        <v>0.255</v>
      </c>
      <c r="I398" s="53">
        <f>H398*0.2907</f>
        <v>7.41285E-2</v>
      </c>
      <c r="L398" s="68"/>
      <c r="M398" s="22">
        <v>12.450964361767209</v>
      </c>
      <c r="O398" s="21">
        <v>0</v>
      </c>
      <c r="Q398" s="21">
        <v>0.15995354883399587</v>
      </c>
      <c r="S398" s="21">
        <v>87.389082089398798</v>
      </c>
      <c r="U398" s="21">
        <v>0</v>
      </c>
      <c r="W398" s="21">
        <v>0</v>
      </c>
      <c r="Y398" s="22">
        <v>0.72302825459762932</v>
      </c>
      <c r="AA398" s="21">
        <v>0</v>
      </c>
      <c r="AC398" s="21">
        <v>9.2885122685971589E-3</v>
      </c>
      <c r="AE398" s="21">
        <v>5.0746892897715217</v>
      </c>
      <c r="AG398" s="21">
        <v>0</v>
      </c>
      <c r="AI398" s="21">
        <v>0</v>
      </c>
      <c r="AO398" s="37">
        <f>8*(BW398-$BW$334)/(2*($AA$334-AA398)+2*($AI$334-AI398))</f>
        <v>0.56707111741673222</v>
      </c>
      <c r="AQ398" s="37">
        <f>(BW398-$BW$334)/(($AA$334-AA398)+($AI$334-AI398))</f>
        <v>0.14176777935418305</v>
      </c>
      <c r="AS398" s="37">
        <f>14*(BX398-$BX$334)/(2*($AA$334-AA398)+2*($AI$334-AI398))</f>
        <v>8.3439027926706559E-4</v>
      </c>
      <c r="AU398" s="37">
        <f>(BX398-$BX$334)/(($AA$334-AA398)+($AI$334-AI398))</f>
        <v>1.1919861132386652E-4</v>
      </c>
      <c r="BG398" s="37">
        <v>193.3</v>
      </c>
      <c r="BI398" s="2">
        <v>0.2</v>
      </c>
      <c r="BK398" s="2">
        <v>0</v>
      </c>
      <c r="BM398" s="2">
        <v>0</v>
      </c>
      <c r="BO398" s="22">
        <f>(BG398/1000)/60.2*1000</f>
        <v>3.2109634551495017</v>
      </c>
      <c r="BQ398" s="2">
        <f>BI398/74.08</f>
        <v>2.699784017278618E-3</v>
      </c>
      <c r="BS398" s="2">
        <f>(BK398/1000)/88.12*1000</f>
        <v>0</v>
      </c>
      <c r="BU398" s="2">
        <f>BM398/88.12</f>
        <v>0</v>
      </c>
      <c r="BW398" s="52">
        <f>BO398*0.05</f>
        <v>0.1605481727574751</v>
      </c>
      <c r="BX398" s="51">
        <f t="shared" si="27"/>
        <v>1.3498920086393089E-4</v>
      </c>
      <c r="BY398" s="51">
        <f t="shared" si="28"/>
        <v>0</v>
      </c>
      <c r="BZ398" s="67">
        <f t="shared" si="29"/>
        <v>0</v>
      </c>
    </row>
    <row r="399" spans="1:78" ht="15" thickBot="1" x14ac:dyDescent="0.35">
      <c r="A399" s="175"/>
      <c r="B399" s="66" t="s">
        <v>63</v>
      </c>
      <c r="C399" s="65">
        <v>8</v>
      </c>
      <c r="D399" s="64" t="e">
        <f>AVERAGE(D396:D398)</f>
        <v>#DIV/0!</v>
      </c>
      <c r="E399" s="58"/>
      <c r="F399" s="60">
        <f>AVERAGE(F396:F398)</f>
        <v>1.2883333333333333</v>
      </c>
      <c r="G399" s="55">
        <f>_xlfn.STDEV.S(F396:F398)</f>
        <v>7.6376261582596925E-3</v>
      </c>
      <c r="H399" s="60">
        <f>AVERAGE(H396:H398)</f>
        <v>0.25833333333333336</v>
      </c>
      <c r="I399" s="63">
        <f>AVERAGE(I396:I398)</f>
        <v>7.5097499999999998E-2</v>
      </c>
      <c r="J399" s="63">
        <f>_xlfn.STDEV.S(I396:I398)</f>
        <v>2.2011448748321862E-3</v>
      </c>
      <c r="K399" s="63"/>
      <c r="L399" s="62" t="e">
        <f>_xlfn.STDEV.S(K396:K398)</f>
        <v>#DIV/0!</v>
      </c>
      <c r="M399" s="59">
        <f>AVERAGE(M396:M398)</f>
        <v>11.204326811182019</v>
      </c>
      <c r="N399" s="58">
        <f>_xlfn.STDEV.S(M396:M398)</f>
        <v>1.0828998362349795</v>
      </c>
      <c r="O399" s="58">
        <f>AVERAGE(O396:O398)</f>
        <v>0</v>
      </c>
      <c r="P399" s="58">
        <f>_xlfn.STDEV.S(O396:O398)</f>
        <v>0</v>
      </c>
      <c r="Q399" s="58">
        <f>AVERAGE(Q396:Q398)</f>
        <v>0.13873237721767426</v>
      </c>
      <c r="R399" s="58">
        <f>_xlfn.STDEV.S(Q396:Q398)</f>
        <v>4.0831142778176198E-2</v>
      </c>
      <c r="S399" s="58">
        <f>AVERAGE(S396:S398)</f>
        <v>88.656940811600307</v>
      </c>
      <c r="T399" s="58">
        <f>_xlfn.STDEV.S(S396:S398)</f>
        <v>1.1046101201073437</v>
      </c>
      <c r="U399" s="58">
        <f>AVERAGE(U396:U398)</f>
        <v>0</v>
      </c>
      <c r="V399" s="58">
        <f>_xlfn.STDEV.S(U396:U398)</f>
        <v>0</v>
      </c>
      <c r="W399" s="58">
        <f>AVERAGE(W396:W398)</f>
        <v>0</v>
      </c>
      <c r="X399" s="58">
        <f>_xlfn.STDEV.S(W396:W398)</f>
        <v>0</v>
      </c>
      <c r="Y399" s="59">
        <f>AVERAGE(Y396:Y398)</f>
        <v>0.64986104295137859</v>
      </c>
      <c r="Z399" s="58">
        <f>_xlfn.STDEV.S(Y396:Y398)</f>
        <v>6.3926077250142752E-2</v>
      </c>
      <c r="AA399" s="58">
        <f>AVERAGE(AA396:AA398)</f>
        <v>0</v>
      </c>
      <c r="AB399" s="58">
        <f>_xlfn.STDEV.S(AA396:AA398)</f>
        <v>0</v>
      </c>
      <c r="AC399" s="58">
        <f>AVERAGE(AC396:AC398)</f>
        <v>8.0547917269234662E-3</v>
      </c>
      <c r="AD399" s="58">
        <f>_xlfn.STDEV.S(AC396:AC398)</f>
        <v>2.406634270334853E-3</v>
      </c>
      <c r="AE399" s="58">
        <f>AVERAGE(AE396:AE398)</f>
        <v>5.1415876301550041</v>
      </c>
      <c r="AF399" s="58">
        <f>_xlfn.STDEV.S(AE396:AE398)</f>
        <v>6.2390217584522276E-2</v>
      </c>
      <c r="AG399" s="58">
        <f>AVERAGE(AG396:AG398)</f>
        <v>0</v>
      </c>
      <c r="AH399" s="58">
        <f>_xlfn.STDEV.S(AG396:AG398)</f>
        <v>0</v>
      </c>
      <c r="AI399" s="58">
        <f>AVERAGE(AI396:AI398)</f>
        <v>0</v>
      </c>
      <c r="AJ399" s="58">
        <f>_xlfn.STDEV.S(AI396:AI398)</f>
        <v>0</v>
      </c>
      <c r="AK399" s="60"/>
      <c r="AL399" s="60"/>
      <c r="AM399" s="60"/>
      <c r="AN399" s="60"/>
      <c r="AO399" s="60">
        <f>AVERAGE(AO396:AO398)</f>
        <v>0.54539991648440367</v>
      </c>
      <c r="AP399" s="60">
        <f>_xlfn.STDEV.S(AO396:AO398)</f>
        <v>3.4934306504632501E-2</v>
      </c>
      <c r="AQ399" s="60">
        <f>AVERAGE(AQ396:AQ398)</f>
        <v>0.13634997912110092</v>
      </c>
      <c r="AR399" s="60">
        <f>_xlfn.STDEV.S(AQ396:AQ398)</f>
        <v>8.7335766261581252E-3</v>
      </c>
      <c r="AS399" s="60">
        <f>AVERAGE(AS396:AS398)</f>
        <v>7.621414129706525E-4</v>
      </c>
      <c r="AT399" s="60">
        <f>_xlfn.STDEV.S(AS396:AS398)</f>
        <v>2.6799721755289981E-4</v>
      </c>
      <c r="AU399" s="60">
        <f>AVERAGE(AU396:AU398)</f>
        <v>1.0887734471009321E-4</v>
      </c>
      <c r="AV399" s="60">
        <f>_xlfn.STDEV.S(AU396:AU398)</f>
        <v>3.8285316793271401E-5</v>
      </c>
      <c r="AW399" s="60"/>
      <c r="AX399" s="60"/>
      <c r="AY399" s="59">
        <f>SUM(AK399,AO399,AS399)</f>
        <v>0.54616205789737438</v>
      </c>
      <c r="AZ399" s="59">
        <f>SUM(AL399,AP399,AT399)</f>
        <v>3.5202303722185399E-2</v>
      </c>
      <c r="BA399" s="60"/>
      <c r="BB399" s="60"/>
      <c r="BC399" s="60"/>
      <c r="BD399" s="60"/>
      <c r="BE399" s="60"/>
      <c r="BF399" s="60"/>
      <c r="BG399" s="59">
        <v>191.21333333333337</v>
      </c>
      <c r="BH399" s="58">
        <v>5.2695477351793087</v>
      </c>
      <c r="BI399" s="57">
        <v>0.18666666666666668</v>
      </c>
      <c r="BJ399" s="57">
        <v>6.1101009266077796E-2</v>
      </c>
      <c r="BK399" s="57">
        <v>0</v>
      </c>
      <c r="BL399" s="57">
        <v>0</v>
      </c>
      <c r="BM399" s="57">
        <v>0</v>
      </c>
      <c r="BN399" s="57">
        <v>0</v>
      </c>
      <c r="BO399" s="59">
        <f>AVERAGE(BO396:BO398)</f>
        <v>3.176301218161683</v>
      </c>
      <c r="BP399" s="58">
        <f>_xlfn.STDEV.S(BO396:BO398)</f>
        <v>8.7534015534540141E-2</v>
      </c>
      <c r="BQ399" s="57">
        <f>AVERAGE(BQ396:BQ398)</f>
        <v>2.5197984161267101E-3</v>
      </c>
      <c r="BR399" s="57">
        <f>_xlfn.STDEV.S(BQ396:BQ398)</f>
        <v>8.2479764128074872E-4</v>
      </c>
      <c r="BS399" s="57">
        <f>AVERAGE(BS396:BS398)</f>
        <v>0</v>
      </c>
      <c r="BT399" s="57">
        <f>_xlfn.STDEV.S(BS396:BS398)</f>
        <v>0</v>
      </c>
      <c r="BU399" s="57">
        <f>AVERAGE(BU396:BU398)</f>
        <v>0</v>
      </c>
      <c r="BV399" s="57">
        <f>_xlfn.STDEV.S(BU396:BU398)</f>
        <v>0</v>
      </c>
      <c r="BW399" s="56">
        <f>AVERAGE(BW396:BW398)</f>
        <v>0.15881506090808417</v>
      </c>
      <c r="BX399" s="55">
        <f t="shared" si="27"/>
        <v>1.2598992080633552E-4</v>
      </c>
      <c r="BY399" s="55">
        <f t="shared" si="28"/>
        <v>0</v>
      </c>
      <c r="BZ399" s="54">
        <f t="shared" si="29"/>
        <v>0</v>
      </c>
    </row>
    <row r="400" spans="1:78" x14ac:dyDescent="0.3">
      <c r="A400" s="172" t="s">
        <v>59</v>
      </c>
      <c r="B400" s="95" t="s">
        <v>69</v>
      </c>
      <c r="C400" s="94">
        <v>9</v>
      </c>
      <c r="D400" s="93"/>
      <c r="E400" s="88"/>
      <c r="F400" s="90">
        <v>1.2749999999999999</v>
      </c>
      <c r="G400" s="85"/>
      <c r="H400" s="90">
        <v>0.32700000000000001</v>
      </c>
      <c r="I400" s="92">
        <f>H400*0.2907</f>
        <v>9.5058900000000002E-2</v>
      </c>
      <c r="J400" s="92"/>
      <c r="K400" s="92"/>
      <c r="L400" s="91"/>
      <c r="M400" s="89">
        <v>13.204927426636692</v>
      </c>
      <c r="O400" s="88">
        <v>0</v>
      </c>
      <c r="Q400" s="88">
        <v>0.13337352446039233</v>
      </c>
      <c r="S400" s="88">
        <v>85.5531470083626</v>
      </c>
      <c r="U400" s="88">
        <v>1.108552040540332</v>
      </c>
      <c r="W400" s="88">
        <v>0</v>
      </c>
      <c r="X400" s="88"/>
      <c r="Y400" s="89">
        <v>0.75789452921337197</v>
      </c>
      <c r="AA400" s="88">
        <v>0</v>
      </c>
      <c r="AC400" s="88">
        <v>7.6549504033270677E-3</v>
      </c>
      <c r="AE400" s="88">
        <v>4.9103080978567908</v>
      </c>
      <c r="AG400" s="88">
        <v>6.3625152924284487E-2</v>
      </c>
      <c r="AI400" s="88">
        <v>0</v>
      </c>
      <c r="AJ400" s="87"/>
      <c r="AK400" s="89">
        <f>8*(AG400-$AG$328)/(2*($AA$328-AA400)+2*($AI$328-AI400))</f>
        <v>0.27263000102036439</v>
      </c>
      <c r="AL400" s="89"/>
      <c r="AM400" s="89">
        <f>(AG400-$AG$328)/(($AA$328-AA400)+($AI$328-AI400))</f>
        <v>6.8157500255091097E-2</v>
      </c>
      <c r="AN400" s="89"/>
      <c r="AO400" s="37">
        <f>8*(BW400-$BW$328)/(2*($AA$328-AA400)+2*($AI$328-AI400))</f>
        <v>0.67473578785230437</v>
      </c>
      <c r="AQ400" s="37">
        <f>(BW400-$BW$328)/(($AA$328-AA400)+($AI$328-AI400))</f>
        <v>0.16868394696307609</v>
      </c>
      <c r="AS400" s="37">
        <f>14*(BX400-$BX$328)/(2*($AA$328-AA400)+2*($AI$328-AI400))</f>
        <v>0</v>
      </c>
      <c r="AU400" s="37">
        <f>(BX400-$BX$328)/(($AA$328-AA400)+($AI$328-AI400))</f>
        <v>0</v>
      </c>
      <c r="AY400" s="90"/>
      <c r="AZ400" s="90"/>
      <c r="BA400" s="90"/>
      <c r="BB400" s="90"/>
      <c r="BC400" s="90"/>
      <c r="BD400" s="90"/>
      <c r="BE400" s="90"/>
      <c r="BF400" s="90"/>
      <c r="BG400" s="90">
        <v>189.59</v>
      </c>
      <c r="BH400" s="87"/>
      <c r="BI400" s="87">
        <v>0</v>
      </c>
      <c r="BJ400" s="87"/>
      <c r="BK400" s="87">
        <v>0</v>
      </c>
      <c r="BL400" s="87"/>
      <c r="BM400" s="87">
        <v>0</v>
      </c>
      <c r="BN400" s="87"/>
      <c r="BO400" s="89">
        <f>(BG400/1000)/60.2*1000</f>
        <v>3.1493355481727572</v>
      </c>
      <c r="BP400" s="88"/>
      <c r="BQ400" s="87">
        <f>BI400/74.08</f>
        <v>0</v>
      </c>
      <c r="BR400" s="87"/>
      <c r="BS400" s="87">
        <f>(BK400/1000)/88.12*1000</f>
        <v>0</v>
      </c>
      <c r="BT400" s="87"/>
      <c r="BU400" s="87">
        <f>BM400/88.12</f>
        <v>0</v>
      </c>
      <c r="BV400" s="87"/>
      <c r="BW400" s="86">
        <f>BO400*0.05</f>
        <v>0.15746677740863788</v>
      </c>
      <c r="BX400" s="85">
        <f t="shared" si="27"/>
        <v>0</v>
      </c>
      <c r="BY400" s="85">
        <f t="shared" si="28"/>
        <v>0</v>
      </c>
      <c r="BZ400" s="84">
        <f t="shared" si="29"/>
        <v>0</v>
      </c>
    </row>
    <row r="401" spans="1:78" x14ac:dyDescent="0.3">
      <c r="A401" s="173"/>
      <c r="B401" s="70" t="s">
        <v>68</v>
      </c>
      <c r="C401" s="20">
        <v>9</v>
      </c>
      <c r="D401" s="69"/>
      <c r="E401" s="21"/>
      <c r="F401" s="37">
        <v>1.28</v>
      </c>
      <c r="H401" s="37">
        <v>0.32500000000000001</v>
      </c>
      <c r="I401" s="53">
        <f>H401*0.2907</f>
        <v>9.4477500000000006E-2</v>
      </c>
      <c r="L401" s="68"/>
      <c r="M401" s="22">
        <v>13.139569151541449</v>
      </c>
      <c r="O401" s="21">
        <v>0</v>
      </c>
      <c r="Q401" s="21">
        <v>0.33669286615212679</v>
      </c>
      <c r="S401" s="21">
        <v>85.458088665887914</v>
      </c>
      <c r="U401" s="21">
        <v>1.0656493164185079</v>
      </c>
      <c r="W401" s="21">
        <v>0</v>
      </c>
      <c r="Y401" s="22">
        <v>0.75710072701630227</v>
      </c>
      <c r="AA401" s="21">
        <v>0</v>
      </c>
      <c r="AC401" s="21">
        <v>1.9400210981428818E-2</v>
      </c>
      <c r="AE401" s="21">
        <v>4.9240869553760911</v>
      </c>
      <c r="AG401" s="21">
        <v>6.1402612437275295E-2</v>
      </c>
      <c r="AI401" s="21">
        <v>0</v>
      </c>
      <c r="AK401" s="22">
        <f>8*(AG401-$AG$329)/(2*($AA$329-AA401)+2*($AI$329-AI401))</f>
        <v>0.26862684016928046</v>
      </c>
      <c r="AL401" s="22"/>
      <c r="AM401" s="22">
        <f>(AG401-$AG$329)/(($AA$329-AA401)+($AI$329-AI401))</f>
        <v>6.7156710042320114E-2</v>
      </c>
      <c r="AN401" s="22"/>
      <c r="AO401" s="37">
        <f>8*(BW401-$BW$329)/(2*($AA$329-AA401)+2*($AI$329-AI401))</f>
        <v>0.72824435250476172</v>
      </c>
      <c r="AQ401" s="37">
        <f>(BW401-$BW$329)/(($AA$329-AA401)+($AI$329-AI401))</f>
        <v>0.18206108812619043</v>
      </c>
      <c r="AS401" s="37">
        <f>14*(BX401-$BX$329)/(2*($AA$329-AA401)+2*($AI$329-AI401))</f>
        <v>0</v>
      </c>
      <c r="AU401" s="37">
        <f>(BX401-$BX$329)/(($AA$329-AA401)+($AI$329-AI401))</f>
        <v>0</v>
      </c>
      <c r="BG401" s="37">
        <v>200.42</v>
      </c>
      <c r="BI401" s="2">
        <v>0</v>
      </c>
      <c r="BK401" s="2">
        <v>0</v>
      </c>
      <c r="BM401" s="2">
        <v>0</v>
      </c>
      <c r="BO401" s="22">
        <f>(BG401/1000)/60.2*1000</f>
        <v>3.329235880398671</v>
      </c>
      <c r="BQ401" s="2">
        <f>BI401/74.08</f>
        <v>0</v>
      </c>
      <c r="BS401" s="2">
        <f>(BK401/1000)/88.12*1000</f>
        <v>0</v>
      </c>
      <c r="BU401" s="2">
        <f>BM401/88.12</f>
        <v>0</v>
      </c>
      <c r="BW401" s="52">
        <f>BO401*0.05</f>
        <v>0.16646179401993355</v>
      </c>
      <c r="BX401" s="51">
        <f t="shared" si="27"/>
        <v>0</v>
      </c>
      <c r="BY401" s="51">
        <f t="shared" si="28"/>
        <v>0</v>
      </c>
      <c r="BZ401" s="67">
        <f t="shared" si="29"/>
        <v>0</v>
      </c>
    </row>
    <row r="402" spans="1:78" x14ac:dyDescent="0.3">
      <c r="A402" s="173"/>
      <c r="B402" s="70" t="s">
        <v>67</v>
      </c>
      <c r="C402" s="20">
        <v>9</v>
      </c>
      <c r="D402" s="69"/>
      <c r="E402" s="21"/>
      <c r="F402" s="37">
        <v>1.27</v>
      </c>
      <c r="H402" s="37">
        <v>0.32900000000000001</v>
      </c>
      <c r="I402" s="53">
        <f>H402*0.2907</f>
        <v>9.5640300000000011E-2</v>
      </c>
      <c r="L402" s="68"/>
      <c r="M402" s="22">
        <v>13.43542467313606</v>
      </c>
      <c r="O402" s="21">
        <v>0</v>
      </c>
      <c r="Q402" s="21">
        <v>0.15332963043502201</v>
      </c>
      <c r="S402" s="21">
        <v>85.452168811355648</v>
      </c>
      <c r="U402" s="21">
        <v>0.95907688507328703</v>
      </c>
      <c r="W402" s="21">
        <v>0</v>
      </c>
      <c r="Y402" s="22">
        <v>0.76809986365898975</v>
      </c>
      <c r="AA402" s="21">
        <v>0</v>
      </c>
      <c r="AC402" s="21">
        <v>8.7658165705404231E-3</v>
      </c>
      <c r="AE402" s="21">
        <v>4.885279089436235</v>
      </c>
      <c r="AG402" s="21">
        <v>5.4830185318684811E-2</v>
      </c>
      <c r="AI402" s="21">
        <v>0</v>
      </c>
      <c r="AK402" s="22">
        <f>8*(AG402-$AG$330)/(2*($AA$330-AA402)+2*($AI$330-AI402))</f>
        <v>0.25330233203503932</v>
      </c>
      <c r="AL402" s="22"/>
      <c r="AM402" s="22">
        <f>(AG402-$AG$330)/(($AA$330-AA402)+($AI$330-AI402))</f>
        <v>6.3325583008759831E-2</v>
      </c>
      <c r="AN402" s="22"/>
      <c r="AO402" s="37">
        <f>8*(BW402-$BW$330)/(2*($AA$330-AA402)+2*($AI$330-AI402))</f>
        <v>0.74637528218364924</v>
      </c>
      <c r="AQ402" s="37">
        <f>(BW402-$BW$330)/(($AA$330-AA402)+($AI$330-AI402))</f>
        <v>0.18659382054591231</v>
      </c>
      <c r="AS402" s="37">
        <f>14*(BX402-$BX$330)/(2*($AA$330-AA402)+2*($AI$330-AI402))</f>
        <v>0</v>
      </c>
      <c r="AU402" s="37">
        <f>(BX402-$BX$330)/(($AA$330-AA402)+($AI$330-AI402))</f>
        <v>0</v>
      </c>
      <c r="BG402" s="37">
        <v>194.52</v>
      </c>
      <c r="BI402" s="2">
        <v>0</v>
      </c>
      <c r="BK402" s="2">
        <v>0</v>
      </c>
      <c r="BM402" s="2">
        <v>0</v>
      </c>
      <c r="BO402" s="22">
        <f>(BG402/1000)/60.2*1000</f>
        <v>3.2312292358803987</v>
      </c>
      <c r="BQ402" s="2">
        <f>BI402/74.08</f>
        <v>0</v>
      </c>
      <c r="BS402" s="2">
        <f>(BK402/1000)/88.12*1000</f>
        <v>0</v>
      </c>
      <c r="BU402" s="2">
        <f>BM402/88.12</f>
        <v>0</v>
      </c>
      <c r="BW402" s="52">
        <f>BO402*0.05</f>
        <v>0.16156146179401995</v>
      </c>
      <c r="BX402" s="51">
        <f t="shared" si="27"/>
        <v>0</v>
      </c>
      <c r="BY402" s="51">
        <f t="shared" si="28"/>
        <v>0</v>
      </c>
      <c r="BZ402" s="67">
        <f t="shared" si="29"/>
        <v>0</v>
      </c>
    </row>
    <row r="403" spans="1:78" x14ac:dyDescent="0.3">
      <c r="A403" s="173"/>
      <c r="B403" s="83" t="s">
        <v>63</v>
      </c>
      <c r="C403" s="80">
        <v>9</v>
      </c>
      <c r="D403" s="79" t="e">
        <f>AVERAGE(D400:D402)</f>
        <v>#DIV/0!</v>
      </c>
      <c r="E403" s="76"/>
      <c r="F403" s="78">
        <f>AVERAGE(F400:F402)</f>
        <v>1.2749999999999999</v>
      </c>
      <c r="G403" s="73">
        <f>_xlfn.STDEV.S(F400:F402)</f>
        <v>5.0000000000000044E-3</v>
      </c>
      <c r="H403" s="78">
        <f>AVERAGE(H400:H402)</f>
        <v>0.32700000000000001</v>
      </c>
      <c r="I403" s="82">
        <f>AVERAGE(I400:I402)</f>
        <v>9.5058900000000002E-2</v>
      </c>
      <c r="J403" s="82">
        <f>_xlfn.STDEV.S(I400:I402)</f>
        <v>5.8140000000000275E-4</v>
      </c>
      <c r="K403" s="82"/>
      <c r="L403" s="81" t="e">
        <f>_xlfn.STDEV.S(K400:K402)</f>
        <v>#DIV/0!</v>
      </c>
      <c r="M403" s="77">
        <f>AVERAGE(M400:M402)</f>
        <v>13.259973750438066</v>
      </c>
      <c r="N403" s="76">
        <f>_xlfn.STDEV.S(M400:M402)</f>
        <v>0.15541941879166568</v>
      </c>
      <c r="O403" s="76">
        <f>AVERAGE(O400:O402)</f>
        <v>0</v>
      </c>
      <c r="P403" s="76">
        <f>_xlfn.STDEV.S(O400:O402)</f>
        <v>0</v>
      </c>
      <c r="Q403" s="76">
        <f>AVERAGE(Q400:Q402)</f>
        <v>0.2077986736825137</v>
      </c>
      <c r="R403" s="76">
        <f>_xlfn.STDEV.S(Q400:Q402)</f>
        <v>0.11207071955115179</v>
      </c>
      <c r="S403" s="76">
        <f>AVERAGE(S400:S402)</f>
        <v>85.487801495202049</v>
      </c>
      <c r="T403" s="76">
        <f>_xlfn.STDEV.S(S400:S402)</f>
        <v>5.666822952133016E-2</v>
      </c>
      <c r="U403" s="76">
        <f>AVERAGE(U400:U402)</f>
        <v>1.0444260806773757</v>
      </c>
      <c r="V403" s="76">
        <f>_xlfn.STDEV.S(U400:U402)</f>
        <v>7.696443871663762E-2</v>
      </c>
      <c r="W403" s="76">
        <f>AVERAGE(W400:W402)</f>
        <v>0</v>
      </c>
      <c r="X403" s="76">
        <f>_xlfn.STDEV.S(W400:W402)</f>
        <v>0</v>
      </c>
      <c r="Y403" s="77">
        <f>AVERAGE(Y400:Y402)</f>
        <v>0.76103170662955455</v>
      </c>
      <c r="Z403" s="76">
        <f>_xlfn.STDEV.S(Y400:Y402)</f>
        <v>6.1340576559552017E-3</v>
      </c>
      <c r="AA403" s="76">
        <f>AVERAGE(AA400:AA402)</f>
        <v>0</v>
      </c>
      <c r="AB403" s="76">
        <f>_xlfn.STDEV.S(AA400:AA402)</f>
        <v>0</v>
      </c>
      <c r="AC403" s="76">
        <f>AVERAGE(AC400:AC402)</f>
        <v>1.1940325985098768E-2</v>
      </c>
      <c r="AD403" s="76">
        <f>_xlfn.STDEV.S(AC400:AC402)</f>
        <v>6.4842824606287392E-3</v>
      </c>
      <c r="AE403" s="76">
        <f>AVERAGE(AE400:AE402)</f>
        <v>4.9065580475563726</v>
      </c>
      <c r="AF403" s="76">
        <f>_xlfn.STDEV.S(AE400:AE402)</f>
        <v>1.967383472135547E-2</v>
      </c>
      <c r="AG403" s="76">
        <f>AVERAGE(AG400:AG402)</f>
        <v>5.99526502267482E-2</v>
      </c>
      <c r="AH403" s="76">
        <f>_xlfn.STDEV.S(AG400:AG402)</f>
        <v>4.5732544872174336E-3</v>
      </c>
      <c r="AI403" s="76">
        <f>AVERAGE(AI400:AI402)</f>
        <v>0</v>
      </c>
      <c r="AJ403" s="76">
        <f>_xlfn.STDEV.S(AI400:AI402)</f>
        <v>0</v>
      </c>
      <c r="AK403" s="77">
        <f>AVERAGE(AK400:AK402)</f>
        <v>0.26485305774156137</v>
      </c>
      <c r="AL403" s="77">
        <f>_xlfn.STDEV.S(AK400:AK402)</f>
        <v>1.0201508342416577E-2</v>
      </c>
      <c r="AM403" s="77">
        <f>AVERAGE(AM400:AM402)</f>
        <v>6.6213264435390343E-2</v>
      </c>
      <c r="AN403" s="77">
        <f>_xlfn.STDEV.S(AM400:AM402)</f>
        <v>2.5503770856041444E-3</v>
      </c>
      <c r="AO403" s="78">
        <f>AVERAGE(AO400:AO402)</f>
        <v>0.71645180751357174</v>
      </c>
      <c r="AP403" s="78">
        <f>_xlfn.STDEV.S(AO400:AO402)</f>
        <v>3.7247179423946015E-2</v>
      </c>
      <c r="AQ403" s="78">
        <f>AVERAGE(AQ400:AQ402)</f>
        <v>0.17911295187839293</v>
      </c>
      <c r="AR403" s="78">
        <f>_xlfn.STDEV.S(AQ400:AQ402)</f>
        <v>9.3117948559865039E-3</v>
      </c>
      <c r="AS403" s="78">
        <f>AVERAGE(AS400:AS402)</f>
        <v>0</v>
      </c>
      <c r="AT403" s="78">
        <f>_xlfn.STDEV.S(AS400:AS402)</f>
        <v>0</v>
      </c>
      <c r="AU403" s="78">
        <f>AVERAGE(AU400:AU402)</f>
        <v>0</v>
      </c>
      <c r="AV403" s="80">
        <f>_xlfn.STDEV.S(AU400:AU402)</f>
        <v>0</v>
      </c>
      <c r="AW403" s="78"/>
      <c r="AX403" s="78"/>
      <c r="AY403" s="79">
        <f>SUM(AK403,AO403,AS403)</f>
        <v>0.98130486525513305</v>
      </c>
      <c r="AZ403" s="77">
        <f>SUM(AL403,AP403,AT403)</f>
        <v>4.7448687766362595E-2</v>
      </c>
      <c r="BA403" s="78"/>
      <c r="BB403" s="78"/>
      <c r="BC403" s="78"/>
      <c r="BD403" s="78"/>
      <c r="BE403" s="78"/>
      <c r="BF403" s="78"/>
      <c r="BG403" s="77">
        <v>194.84333333333333</v>
      </c>
      <c r="BH403" s="76">
        <v>5.4222350865056788</v>
      </c>
      <c r="BI403" s="75">
        <v>0</v>
      </c>
      <c r="BJ403" s="75">
        <v>0</v>
      </c>
      <c r="BK403" s="75">
        <v>0</v>
      </c>
      <c r="BL403" s="75">
        <v>0</v>
      </c>
      <c r="BM403" s="75">
        <v>0</v>
      </c>
      <c r="BN403" s="75">
        <v>0</v>
      </c>
      <c r="BO403" s="77">
        <f>AVERAGE(BO400:BO402)</f>
        <v>3.236600221483942</v>
      </c>
      <c r="BP403" s="76">
        <f>_xlfn.STDEV.S(BO400:BO402)</f>
        <v>9.0070350274180949E-2</v>
      </c>
      <c r="BQ403" s="75">
        <f>AVERAGE(BQ400:BQ402)</f>
        <v>0</v>
      </c>
      <c r="BR403" s="75">
        <f>_xlfn.STDEV.S(BQ400:BQ402)</f>
        <v>0</v>
      </c>
      <c r="BS403" s="75">
        <f>AVERAGE(BS400:BS402)</f>
        <v>0</v>
      </c>
      <c r="BT403" s="75">
        <f>_xlfn.STDEV.S(BS400:BS402)</f>
        <v>0</v>
      </c>
      <c r="BU403" s="75">
        <f>AVERAGE(BU400:BU402)</f>
        <v>0</v>
      </c>
      <c r="BV403" s="75">
        <f>_xlfn.STDEV.S(BU400:BU402)</f>
        <v>0</v>
      </c>
      <c r="BW403" s="74">
        <f>AVERAGE(BW400:BW402)</f>
        <v>0.16183001107419714</v>
      </c>
      <c r="BX403" s="73">
        <f t="shared" si="27"/>
        <v>0</v>
      </c>
      <c r="BY403" s="73">
        <f t="shared" si="28"/>
        <v>0</v>
      </c>
      <c r="BZ403" s="72">
        <f t="shared" si="29"/>
        <v>0</v>
      </c>
    </row>
    <row r="404" spans="1:78" x14ac:dyDescent="0.3">
      <c r="A404" s="174" t="s">
        <v>60</v>
      </c>
      <c r="B404" s="70" t="s">
        <v>66</v>
      </c>
      <c r="C404" s="20">
        <v>9</v>
      </c>
      <c r="D404" s="69"/>
      <c r="E404" s="21"/>
      <c r="F404" s="37">
        <v>1.2649999999999999</v>
      </c>
      <c r="H404" s="37">
        <v>0.252</v>
      </c>
      <c r="I404" s="53">
        <f>H404*0.2907</f>
        <v>7.3256399999999999E-2</v>
      </c>
      <c r="L404" s="68"/>
      <c r="M404" s="22">
        <v>10.672298218047018</v>
      </c>
      <c r="O404" s="21">
        <v>0</v>
      </c>
      <c r="Q404" s="21">
        <v>0.59929102938263279</v>
      </c>
      <c r="S404" s="21">
        <v>88.728410752570355</v>
      </c>
      <c r="U404" s="21">
        <v>0</v>
      </c>
      <c r="W404" s="21">
        <v>0</v>
      </c>
      <c r="Y404" s="22">
        <v>0.60773051933264144</v>
      </c>
      <c r="AA404" s="21">
        <v>0</v>
      </c>
      <c r="AC404" s="21">
        <v>3.4126430978307969E-2</v>
      </c>
      <c r="AE404" s="21">
        <v>5.052610229260174</v>
      </c>
      <c r="AG404" s="21">
        <v>0</v>
      </c>
      <c r="AI404" s="21">
        <v>0</v>
      </c>
      <c r="AO404" s="37">
        <f>8*(BW404-$BW$332)/(2*($AA$332-AA404)+2*($AI$332-AI404))</f>
        <v>0.53199087226691943</v>
      </c>
      <c r="AQ404" s="37">
        <f>(BW404-$BW$332)/(($AA$332-AA404)+($AI$332-AI404))</f>
        <v>0.13299771806672986</v>
      </c>
      <c r="AS404" s="37">
        <f>14*(BX404-$BX$332)/(2*($AA$332-AA404)+2*($AI$332-AI404))</f>
        <v>3.8785511857596431E-4</v>
      </c>
      <c r="AU404" s="37">
        <f>(BX404-$BX$332)/(($AA$332-AA404)+($AI$332-AI404))</f>
        <v>5.5407874082280615E-5</v>
      </c>
      <c r="BG404" s="37">
        <v>195.08</v>
      </c>
      <c r="BI404" s="2">
        <v>0.1</v>
      </c>
      <c r="BK404" s="2">
        <v>0</v>
      </c>
      <c r="BM404" s="2">
        <v>0</v>
      </c>
      <c r="BO404" s="22">
        <f>(BG404/1000)/60.2*1000</f>
        <v>3.2405315614617938</v>
      </c>
      <c r="BQ404" s="2">
        <f>BI404/74.08</f>
        <v>1.349892008639309E-3</v>
      </c>
      <c r="BS404" s="2">
        <f>(BK404/1000)/88.12*1000</f>
        <v>0</v>
      </c>
      <c r="BU404" s="2">
        <f>BM404/88.12</f>
        <v>0</v>
      </c>
      <c r="BW404" s="52">
        <f>BO404*0.05</f>
        <v>0.16202657807308971</v>
      </c>
      <c r="BX404" s="51">
        <f t="shared" si="27"/>
        <v>6.7494600431965447E-5</v>
      </c>
      <c r="BY404" s="51">
        <f t="shared" si="28"/>
        <v>0</v>
      </c>
      <c r="BZ404" s="67">
        <f t="shared" si="29"/>
        <v>0</v>
      </c>
    </row>
    <row r="405" spans="1:78" x14ac:dyDescent="0.3">
      <c r="A405" s="173"/>
      <c r="B405" s="70" t="s">
        <v>65</v>
      </c>
      <c r="C405" s="20">
        <v>9</v>
      </c>
      <c r="D405" s="69"/>
      <c r="E405" s="21"/>
      <c r="F405" s="37">
        <v>1.26</v>
      </c>
      <c r="H405" s="37">
        <v>0.25700000000000001</v>
      </c>
      <c r="I405" s="53">
        <f>H405*0.2907</f>
        <v>7.470990000000001E-2</v>
      </c>
      <c r="L405" s="68"/>
      <c r="M405" s="22">
        <v>11.739265870076467</v>
      </c>
      <c r="O405" s="21">
        <v>0</v>
      </c>
      <c r="Q405" s="21">
        <v>0.12745425355718887</v>
      </c>
      <c r="S405" s="21">
        <v>88.133279876366331</v>
      </c>
      <c r="U405" s="21">
        <v>0</v>
      </c>
      <c r="W405" s="21">
        <v>0</v>
      </c>
      <c r="Y405" s="22">
        <v>0.6658463944968892</v>
      </c>
      <c r="AA405" s="21">
        <v>0</v>
      </c>
      <c r="AC405" s="21">
        <v>7.2291535206361023E-3</v>
      </c>
      <c r="AE405" s="21">
        <v>4.9988838561402744</v>
      </c>
      <c r="AG405" s="21">
        <v>0</v>
      </c>
      <c r="AI405" s="21">
        <v>0</v>
      </c>
      <c r="AO405" s="37">
        <f>8*(BW405-$BW$333)/(2*($AA$333-AA405)+2*($AI$333-AI405))</f>
        <v>0.54495065054165226</v>
      </c>
      <c r="AQ405" s="37">
        <f>(BW405-$BW$333)/(($AA$333-AA405)+($AI$333-AI405))</f>
        <v>0.13623766263541306</v>
      </c>
      <c r="AS405" s="37">
        <f>14*(BX405-$BX$333)/(2*($AA$333-AA405)+2*($AI$333-AI405))</f>
        <v>9.043904992409237E-4</v>
      </c>
      <c r="AU405" s="37">
        <f>(BX405-$BX$333)/(($AA$333-AA405)+($AI$333-AI405))</f>
        <v>1.2919864274870337E-4</v>
      </c>
      <c r="BG405" s="37">
        <v>188.52</v>
      </c>
      <c r="BI405" s="2">
        <v>0.22</v>
      </c>
      <c r="BK405" s="2">
        <v>0</v>
      </c>
      <c r="BM405" s="2">
        <v>0</v>
      </c>
      <c r="BO405" s="22">
        <f>(BG405/1000)/60.2*1000</f>
        <v>3.1315614617940204</v>
      </c>
      <c r="BQ405" s="2">
        <f>BI405/74.08</f>
        <v>2.9697624190064796E-3</v>
      </c>
      <c r="BS405" s="2">
        <f>(BK405/1000)/88.12*1000</f>
        <v>0</v>
      </c>
      <c r="BU405" s="2">
        <f>BM405/88.12</f>
        <v>0</v>
      </c>
      <c r="BW405" s="52">
        <f>BO405*0.05</f>
        <v>0.15657807308970104</v>
      </c>
      <c r="BX405" s="51">
        <f t="shared" si="27"/>
        <v>1.4848812095032398E-4</v>
      </c>
      <c r="BY405" s="51">
        <f t="shared" si="28"/>
        <v>0</v>
      </c>
      <c r="BZ405" s="67">
        <f t="shared" si="29"/>
        <v>0</v>
      </c>
    </row>
    <row r="406" spans="1:78" x14ac:dyDescent="0.3">
      <c r="A406" s="173"/>
      <c r="B406" s="70" t="s">
        <v>64</v>
      </c>
      <c r="C406" s="20">
        <v>9</v>
      </c>
      <c r="D406" s="69"/>
      <c r="E406" s="21"/>
      <c r="F406" s="37">
        <v>1.28</v>
      </c>
      <c r="G406" s="67"/>
      <c r="H406" s="37">
        <v>0.25</v>
      </c>
      <c r="I406" s="53">
        <f>H406*0.2907</f>
        <v>7.2675000000000003E-2</v>
      </c>
      <c r="L406" s="68"/>
      <c r="M406" s="22">
        <v>12.494140419551632</v>
      </c>
      <c r="O406" s="21">
        <v>0</v>
      </c>
      <c r="Q406" s="21">
        <v>0.1605267609980599</v>
      </c>
      <c r="S406" s="21">
        <v>87.345332819450306</v>
      </c>
      <c r="U406" s="21">
        <v>0</v>
      </c>
      <c r="W406" s="21">
        <v>0</v>
      </c>
      <c r="Y406" s="22">
        <v>0.71991118475727212</v>
      </c>
      <c r="AA406" s="21">
        <v>0</v>
      </c>
      <c r="AC406" s="21">
        <v>9.2495367279942856E-3</v>
      </c>
      <c r="AE406" s="21">
        <v>5.0328297843258323</v>
      </c>
      <c r="AG406" s="21">
        <v>0</v>
      </c>
      <c r="AI406" s="21">
        <v>0</v>
      </c>
      <c r="AO406" s="37">
        <f>8*(BW406-$BW$334)/(2*($AA$334-AA406)+2*($AI$334-AI406))</f>
        <v>0.55565928789396402</v>
      </c>
      <c r="AQ406" s="37">
        <f>(BW406-$BW$334)/(($AA$334-AA406)+($AI$334-AI406))</f>
        <v>0.138914821973491</v>
      </c>
      <c r="AS406" s="37">
        <f>14*(BX406-$BX$334)/(2*($AA$334-AA406)+2*($AI$334-AI406))</f>
        <v>1.0012683351204787E-3</v>
      </c>
      <c r="AU406" s="37">
        <f>(BX406-$BX$334)/(($AA$334-AA406)+($AI$334-AI406))</f>
        <v>1.4303833358863982E-4</v>
      </c>
      <c r="BG406" s="37">
        <v>189.41</v>
      </c>
      <c r="BI406" s="2">
        <v>0.24</v>
      </c>
      <c r="BK406" s="2">
        <v>0</v>
      </c>
      <c r="BM406" s="2">
        <v>0</v>
      </c>
      <c r="BO406" s="22">
        <f>(BG406/1000)/60.2*1000</f>
        <v>3.1463455149501658</v>
      </c>
      <c r="BQ406" s="2">
        <f>BI406/74.08</f>
        <v>3.2397408207343412E-3</v>
      </c>
      <c r="BS406" s="2">
        <f>(BK406/1000)/88.12*1000</f>
        <v>0</v>
      </c>
      <c r="BU406" s="2">
        <f>BM406/88.12</f>
        <v>0</v>
      </c>
      <c r="BW406" s="52">
        <f>BO406*0.05</f>
        <v>0.15731727574750831</v>
      </c>
      <c r="BX406" s="51">
        <f t="shared" si="27"/>
        <v>1.6198704103671707E-4</v>
      </c>
      <c r="BY406" s="51">
        <f t="shared" si="28"/>
        <v>0</v>
      </c>
      <c r="BZ406" s="67">
        <f t="shared" si="29"/>
        <v>0</v>
      </c>
    </row>
    <row r="407" spans="1:78" ht="15" thickBot="1" x14ac:dyDescent="0.35">
      <c r="A407" s="175"/>
      <c r="B407" s="66" t="s">
        <v>63</v>
      </c>
      <c r="C407" s="65">
        <v>9</v>
      </c>
      <c r="D407" s="64" t="e">
        <f>AVERAGE(D404:D406)</f>
        <v>#DIV/0!</v>
      </c>
      <c r="E407" s="58"/>
      <c r="F407" s="60">
        <f>AVERAGE(F404:F406)</f>
        <v>1.2683333333333333</v>
      </c>
      <c r="G407" s="55">
        <f>_xlfn.STDEV.S(F404:F406)</f>
        <v>1.0408329997330691E-2</v>
      </c>
      <c r="H407" s="60">
        <f>AVERAGE(H404:H406)</f>
        <v>0.253</v>
      </c>
      <c r="I407" s="63">
        <f>AVERAGE(I404:I406)</f>
        <v>7.354709999999999E-2</v>
      </c>
      <c r="J407" s="63">
        <f>_xlfn.STDEV.S(I404:I406)</f>
        <v>1.0481337557773857E-3</v>
      </c>
      <c r="K407" s="63"/>
      <c r="L407" s="62" t="e">
        <f>_xlfn.STDEV.S(K404:K406)</f>
        <v>#DIV/0!</v>
      </c>
      <c r="M407" s="59">
        <f>AVERAGE(M404:M406)</f>
        <v>11.635234835891707</v>
      </c>
      <c r="N407" s="58">
        <f>_xlfn.STDEV.S(M404:M406)</f>
        <v>0.91536555203424486</v>
      </c>
      <c r="O407" s="58">
        <f>AVERAGE(O404:O406)</f>
        <v>0</v>
      </c>
      <c r="P407" s="58">
        <f>_xlfn.STDEV.S(O404:O406)</f>
        <v>0</v>
      </c>
      <c r="Q407" s="58">
        <f>AVERAGE(Q404:Q406)</f>
        <v>0.29575734797929387</v>
      </c>
      <c r="R407" s="58">
        <f>_xlfn.STDEV.S(Q404:Q406)</f>
        <v>0.2633874892564268</v>
      </c>
      <c r="S407" s="58">
        <f>AVERAGE(S404:S406)</f>
        <v>88.069007816128988</v>
      </c>
      <c r="T407" s="58">
        <f>_xlfn.STDEV.S(S404:S406)</f>
        <v>0.6937754071500879</v>
      </c>
      <c r="U407" s="58">
        <f>AVERAGE(U404:U406)</f>
        <v>0</v>
      </c>
      <c r="V407" s="58">
        <f>_xlfn.STDEV.S(U404:U406)</f>
        <v>0</v>
      </c>
      <c r="W407" s="58">
        <f>AVERAGE(W404:W406)</f>
        <v>0</v>
      </c>
      <c r="X407" s="58">
        <f>_xlfn.STDEV.S(W404:W406)</f>
        <v>0</v>
      </c>
      <c r="Y407" s="59">
        <f>AVERAGE(Y404:Y406)</f>
        <v>0.66449603286226755</v>
      </c>
      <c r="Z407" s="58">
        <f>_xlfn.STDEV.S(Y404:Y406)</f>
        <v>5.6102522502882397E-2</v>
      </c>
      <c r="AA407" s="58">
        <f>AVERAGE(AA404:AA406)</f>
        <v>0</v>
      </c>
      <c r="AB407" s="58">
        <f>_xlfn.STDEV.S(AA404:AA406)</f>
        <v>0</v>
      </c>
      <c r="AC407" s="58">
        <f>AVERAGE(AC404:AC406)</f>
        <v>1.6868373742312783E-2</v>
      </c>
      <c r="AD407" s="58">
        <f>_xlfn.STDEV.S(AC404:AC406)</f>
        <v>1.4980016413435871E-2</v>
      </c>
      <c r="AE407" s="58">
        <f>AVERAGE(AE404:AE406)</f>
        <v>5.0281079565754272</v>
      </c>
      <c r="AF407" s="58">
        <f>_xlfn.STDEV.S(AE404:AE406)</f>
        <v>2.7172643138514162E-2</v>
      </c>
      <c r="AG407" s="58">
        <f>AVERAGE(AG404:AG406)</f>
        <v>0</v>
      </c>
      <c r="AH407" s="58">
        <f>_xlfn.STDEV.S(AG404:AG406)</f>
        <v>0</v>
      </c>
      <c r="AI407" s="58">
        <f>AVERAGE(AI404:AI406)</f>
        <v>0</v>
      </c>
      <c r="AJ407" s="58">
        <f>_xlfn.STDEV.S(AI404:AI406)</f>
        <v>0</v>
      </c>
      <c r="AK407" s="60"/>
      <c r="AL407" s="60"/>
      <c r="AM407" s="60"/>
      <c r="AN407" s="60"/>
      <c r="AO407" s="60">
        <f>AVERAGE(AO404:AO406)</f>
        <v>0.54420027023417861</v>
      </c>
      <c r="AP407" s="60">
        <f>_xlfn.STDEV.S(AO404:AO406)</f>
        <v>1.1852036851445208E-2</v>
      </c>
      <c r="AQ407" s="60">
        <f>AVERAGE(AQ404:AQ406)</f>
        <v>0.13605006755854465</v>
      </c>
      <c r="AR407" s="60">
        <f>_xlfn.STDEV.S(AQ404:AQ406)</f>
        <v>2.9630092128613019E-3</v>
      </c>
      <c r="AS407" s="60">
        <f>AVERAGE(AS404:AS406)</f>
        <v>7.6450465097912222E-4</v>
      </c>
      <c r="AT407" s="60">
        <f>_xlfn.STDEV.S(AS404:AS406)</f>
        <v>3.2976503978714096E-4</v>
      </c>
      <c r="AU407" s="60">
        <f>AVERAGE(AU404:AU406)</f>
        <v>1.092149501398746E-4</v>
      </c>
      <c r="AV407" s="60">
        <f>_xlfn.STDEV.S(AU404:AU406)</f>
        <v>4.710929139816299E-5</v>
      </c>
      <c r="AW407" s="60"/>
      <c r="AX407" s="60"/>
      <c r="AY407" s="59">
        <f>SUM(AK407,AO407,AS407)</f>
        <v>0.54496477488515771</v>
      </c>
      <c r="AZ407" s="59">
        <f>SUM(AL407,AP407,AT407)</f>
        <v>1.2181801891232349E-2</v>
      </c>
      <c r="BA407" s="60"/>
      <c r="BB407" s="60"/>
      <c r="BC407" s="60"/>
      <c r="BD407" s="60"/>
      <c r="BE407" s="60"/>
      <c r="BF407" s="60"/>
      <c r="BG407" s="59">
        <v>191.00333333333333</v>
      </c>
      <c r="BH407" s="58">
        <v>3.5584313023203586</v>
      </c>
      <c r="BI407" s="57">
        <v>0.18666666666666668</v>
      </c>
      <c r="BJ407" s="57">
        <v>7.5718777944003557E-2</v>
      </c>
      <c r="BK407" s="57">
        <v>0</v>
      </c>
      <c r="BL407" s="57">
        <v>0</v>
      </c>
      <c r="BM407" s="57">
        <v>0</v>
      </c>
      <c r="BN407" s="57">
        <v>0</v>
      </c>
      <c r="BO407" s="59">
        <f>AVERAGE(BO404:BO406)</f>
        <v>3.1728128460686604</v>
      </c>
      <c r="BP407" s="58">
        <f>_xlfn.STDEV.S(BO404:BO406)</f>
        <v>5.9110154523593694E-2</v>
      </c>
      <c r="BQ407" s="57">
        <f>AVERAGE(BQ404:BQ406)</f>
        <v>2.5197984161267101E-3</v>
      </c>
      <c r="BR407" s="57">
        <f>_xlfn.STDEV.S(BQ404:BQ406)</f>
        <v>1.0221217325054488E-3</v>
      </c>
      <c r="BS407" s="57">
        <f>AVERAGE(BS404:BS406)</f>
        <v>0</v>
      </c>
      <c r="BT407" s="57">
        <f>_xlfn.STDEV.S(BS404:BS406)</f>
        <v>0</v>
      </c>
      <c r="BU407" s="57">
        <f>AVERAGE(BU404:BU406)</f>
        <v>0</v>
      </c>
      <c r="BV407" s="57">
        <f>_xlfn.STDEV.S(BU404:BU406)</f>
        <v>0</v>
      </c>
      <c r="BW407" s="56">
        <f>AVERAGE(BW404:BW406)</f>
        <v>0.15864064230343303</v>
      </c>
      <c r="BX407" s="55">
        <f t="shared" si="27"/>
        <v>1.2598992080633552E-4</v>
      </c>
      <c r="BY407" s="55">
        <f t="shared" si="28"/>
        <v>0</v>
      </c>
      <c r="BZ407" s="54">
        <f t="shared" si="29"/>
        <v>0</v>
      </c>
    </row>
    <row r="408" spans="1:78" x14ac:dyDescent="0.3">
      <c r="A408" s="172" t="s">
        <v>59</v>
      </c>
      <c r="B408" s="95" t="s">
        <v>69</v>
      </c>
      <c r="C408" s="94">
        <v>10</v>
      </c>
      <c r="D408" s="93"/>
      <c r="E408" s="88"/>
      <c r="F408" s="90">
        <v>1.25</v>
      </c>
      <c r="G408" s="85"/>
      <c r="H408" s="90">
        <v>0.314</v>
      </c>
      <c r="I408" s="92">
        <f>H408*0.2907</f>
        <v>9.1279800000000008E-2</v>
      </c>
      <c r="J408" s="92"/>
      <c r="K408" s="92"/>
      <c r="L408" s="91"/>
      <c r="M408" s="89">
        <v>13.404210690309956</v>
      </c>
      <c r="O408" s="88">
        <v>0</v>
      </c>
      <c r="Q408" s="88">
        <v>0.16699521472170439</v>
      </c>
      <c r="S408" s="88">
        <v>85.127112919806194</v>
      </c>
      <c r="U408" s="88">
        <v>1.3016811751621413</v>
      </c>
      <c r="W408" s="88">
        <v>0</v>
      </c>
      <c r="X408" s="88"/>
      <c r="Y408" s="89">
        <v>0.75424740952595315</v>
      </c>
      <c r="AA408" s="88">
        <v>0</v>
      </c>
      <c r="AC408" s="88">
        <v>9.396726970140103E-3</v>
      </c>
      <c r="AE408" s="88">
        <v>4.7900548479593024</v>
      </c>
      <c r="AG408" s="88">
        <v>7.3244868875754807E-2</v>
      </c>
      <c r="AI408" s="88">
        <v>0</v>
      </c>
      <c r="AJ408" s="87"/>
      <c r="AK408" s="89">
        <f>8*(AG408-$AG$328)/(2*($AA$328-AA408)+2*($AI$328-AI408))</f>
        <v>0.31384991247245875</v>
      </c>
      <c r="AL408" s="89"/>
      <c r="AM408" s="89">
        <f>(AG408-$AG$328)/(($AA$328-AA408)+($AI$328-AI408))</f>
        <v>7.8462478118114687E-2</v>
      </c>
      <c r="AN408" s="89"/>
      <c r="AO408" s="37">
        <f>8*(BW408-$BW$328)/(2*($AA$328-AA408)+2*($AI$328-AI408))</f>
        <v>0.56067237733135733</v>
      </c>
      <c r="AQ408" s="37">
        <f>(BW408-$BW$328)/(($AA$328-AA408)+($AI$328-AI408))</f>
        <v>0.14016809433283933</v>
      </c>
      <c r="AS408" s="37">
        <f>14*(BX408-$BX$328)/(2*($AA$328-AA408)+2*($AI$328-AI408))</f>
        <v>0</v>
      </c>
      <c r="AU408" s="37">
        <f>(BX408-$BX$328)/(($AA$328-AA408)+($AI$328-AI408))</f>
        <v>0</v>
      </c>
      <c r="AY408" s="90"/>
      <c r="AZ408" s="90"/>
      <c r="BA408" s="90"/>
      <c r="BB408" s="90"/>
      <c r="BC408" s="90"/>
      <c r="BD408" s="90"/>
      <c r="BE408" s="90"/>
      <c r="BF408" s="90"/>
      <c r="BG408" s="90">
        <v>157.54</v>
      </c>
      <c r="BH408" s="87"/>
      <c r="BI408" s="87">
        <v>0</v>
      </c>
      <c r="BJ408" s="87"/>
      <c r="BK408" s="87">
        <v>0</v>
      </c>
      <c r="BL408" s="87"/>
      <c r="BM408" s="87">
        <v>0</v>
      </c>
      <c r="BN408" s="87"/>
      <c r="BO408" s="89">
        <f>(BG408/1000)/60.2*1000</f>
        <v>2.6169435215946844</v>
      </c>
      <c r="BP408" s="88"/>
      <c r="BQ408" s="87">
        <f>BI408/74.08</f>
        <v>0</v>
      </c>
      <c r="BR408" s="87"/>
      <c r="BS408" s="87">
        <f>(BK408/1000)/88.12*1000</f>
        <v>0</v>
      </c>
      <c r="BT408" s="87"/>
      <c r="BU408" s="87">
        <f>BM408/88.12</f>
        <v>0</v>
      </c>
      <c r="BV408" s="87"/>
      <c r="BW408" s="86">
        <f>BO408*0.05</f>
        <v>0.13084717607973423</v>
      </c>
      <c r="BX408" s="85">
        <f t="shared" si="27"/>
        <v>0</v>
      </c>
      <c r="BY408" s="85">
        <f t="shared" si="28"/>
        <v>0</v>
      </c>
      <c r="BZ408" s="84">
        <f t="shared" si="29"/>
        <v>0</v>
      </c>
    </row>
    <row r="409" spans="1:78" x14ac:dyDescent="0.3">
      <c r="A409" s="173"/>
      <c r="B409" s="70" t="s">
        <v>68</v>
      </c>
      <c r="C409" s="20">
        <v>10</v>
      </c>
      <c r="D409" s="69"/>
      <c r="E409" s="21"/>
      <c r="F409" s="37">
        <v>1.2450000000000001</v>
      </c>
      <c r="H409" s="37">
        <v>0.31</v>
      </c>
      <c r="I409" s="53">
        <f>H409*0.2907</f>
        <v>9.0117000000000003E-2</v>
      </c>
      <c r="L409" s="68"/>
      <c r="M409" s="22">
        <v>12.523418796670734</v>
      </c>
      <c r="O409" s="21">
        <v>0</v>
      </c>
      <c r="Q409" s="21">
        <v>0.20612641955079866</v>
      </c>
      <c r="S409" s="21">
        <v>86.144944158893296</v>
      </c>
      <c r="U409" s="21">
        <v>1.1255106248851674</v>
      </c>
      <c r="W409" s="21">
        <v>0</v>
      </c>
      <c r="Y409" s="22">
        <v>0.70186700122935719</v>
      </c>
      <c r="AA409" s="21">
        <v>0</v>
      </c>
      <c r="AC409" s="21">
        <v>1.1552223423425228E-2</v>
      </c>
      <c r="AE409" s="21">
        <v>4.8279383297431817</v>
      </c>
      <c r="AG409" s="21">
        <v>6.3078523521862703E-2</v>
      </c>
      <c r="AI409" s="21">
        <v>0</v>
      </c>
      <c r="AK409" s="22">
        <f>8*(AG409-$AG$329)/(2*($AA$329-AA409)+2*($AI$329-AI409))</f>
        <v>0.27595868943737595</v>
      </c>
      <c r="AL409" s="22"/>
      <c r="AM409" s="22">
        <f>(AG409-$AG$329)/(($AA$329-AA409)+($AI$329-AI409))</f>
        <v>6.8989672359343987E-2</v>
      </c>
      <c r="AN409" s="22"/>
      <c r="AO409" s="37">
        <f>8*(BW409-$BW$329)/(2*($AA$329-AA409)+2*($AI$329-AI409))</f>
        <v>0.60960759914042462</v>
      </c>
      <c r="AQ409" s="37">
        <f>(BW409-$BW$329)/(($AA$329-AA409)+($AI$329-AI409))</f>
        <v>0.15240189978510615</v>
      </c>
      <c r="AS409" s="37">
        <f>14*(BX409-$BX$329)/(2*($AA$329-AA409)+2*($AI$329-AI409))</f>
        <v>0</v>
      </c>
      <c r="AU409" s="37">
        <f>(BX409-$BX$329)/(($AA$329-AA409)+($AI$329-AI409))</f>
        <v>0</v>
      </c>
      <c r="BG409" s="37">
        <v>167.77</v>
      </c>
      <c r="BI409" s="2">
        <v>0</v>
      </c>
      <c r="BK409" s="2">
        <v>0</v>
      </c>
      <c r="BM409" s="2">
        <v>0</v>
      </c>
      <c r="BO409" s="22">
        <f>(BG409/1000)/60.2*1000</f>
        <v>2.7868770764119604</v>
      </c>
      <c r="BQ409" s="2">
        <f>BI409/74.08</f>
        <v>0</v>
      </c>
      <c r="BS409" s="2">
        <f>(BK409/1000)/88.12*1000</f>
        <v>0</v>
      </c>
      <c r="BU409" s="2">
        <f>BM409/88.12</f>
        <v>0</v>
      </c>
      <c r="BW409" s="52">
        <f>BO409*0.05</f>
        <v>0.13934385382059802</v>
      </c>
      <c r="BX409" s="51">
        <f t="shared" si="27"/>
        <v>0</v>
      </c>
      <c r="BY409" s="51">
        <f t="shared" si="28"/>
        <v>0</v>
      </c>
      <c r="BZ409" s="67">
        <f t="shared" si="29"/>
        <v>0</v>
      </c>
    </row>
    <row r="410" spans="1:78" x14ac:dyDescent="0.3">
      <c r="A410" s="173"/>
      <c r="B410" s="70" t="s">
        <v>67</v>
      </c>
      <c r="C410" s="20">
        <v>10</v>
      </c>
      <c r="D410" s="69"/>
      <c r="E410" s="21"/>
      <c r="F410" s="37">
        <v>1.2649999999999999</v>
      </c>
      <c r="H410" s="37">
        <v>0.309</v>
      </c>
      <c r="I410" s="53">
        <f>H410*0.2907</f>
        <v>8.9826299999999998E-2</v>
      </c>
      <c r="L410" s="68"/>
      <c r="M410" s="22">
        <v>14.051017049884539</v>
      </c>
      <c r="O410" s="21">
        <v>0</v>
      </c>
      <c r="Q410" s="21">
        <v>0.15516251475410328</v>
      </c>
      <c r="S410" s="21">
        <v>84.707980393382513</v>
      </c>
      <c r="U410" s="21">
        <v>1.0858400419788194</v>
      </c>
      <c r="W410" s="21">
        <v>0</v>
      </c>
      <c r="Y410" s="22">
        <v>0.80013055430161784</v>
      </c>
      <c r="AA410" s="21">
        <v>0</v>
      </c>
      <c r="AC410" s="21">
        <v>8.8356784776696153E-3</v>
      </c>
      <c r="AE410" s="21">
        <v>4.8236681419787102</v>
      </c>
      <c r="AG410" s="21">
        <v>6.183280481312519E-2</v>
      </c>
      <c r="AI410" s="21">
        <v>0</v>
      </c>
      <c r="AK410" s="22">
        <f>8*(AG410-$AG$330)/(2*($AA$330-AA410)+2*($AI$330-AI410))</f>
        <v>0.28565275795437894</v>
      </c>
      <c r="AL410" s="22"/>
      <c r="AM410" s="22">
        <f>(AG410-$AG$330)/(($AA$330-AA410)+($AI$330-AI410))</f>
        <v>7.1413189488594736E-2</v>
      </c>
      <c r="AN410" s="22"/>
      <c r="AO410" s="37">
        <f>8*(BW410-$BW$330)/(2*($AA$330-AA410)+2*($AI$330-AI410))</f>
        <v>0.59201234982580309</v>
      </c>
      <c r="AQ410" s="37">
        <f>(BW410-$BW$330)/(($AA$330-AA410)+($AI$330-AI410))</f>
        <v>0.14800308745645077</v>
      </c>
      <c r="AS410" s="37">
        <f>14*(BX410-$BX$330)/(2*($AA$330-AA410)+2*($AI$330-AI410))</f>
        <v>0</v>
      </c>
      <c r="AU410" s="37">
        <f>(BX410-$BX$330)/(($AA$330-AA410)+($AI$330-AI410))</f>
        <v>0</v>
      </c>
      <c r="BG410" s="37">
        <v>154.29</v>
      </c>
      <c r="BI410" s="2">
        <v>0</v>
      </c>
      <c r="BK410" s="2">
        <v>0</v>
      </c>
      <c r="BM410" s="2">
        <v>0</v>
      </c>
      <c r="BO410" s="22">
        <f>(BG410/1000)/60.2*1000</f>
        <v>2.5629568106312286</v>
      </c>
      <c r="BQ410" s="2">
        <f>BI410/74.08</f>
        <v>0</v>
      </c>
      <c r="BS410" s="2">
        <f>(BK410/1000)/88.12*1000</f>
        <v>0</v>
      </c>
      <c r="BU410" s="2">
        <f>BM410/88.12</f>
        <v>0</v>
      </c>
      <c r="BW410" s="52">
        <f>BO410*0.05</f>
        <v>0.12814784053156145</v>
      </c>
      <c r="BX410" s="51">
        <f t="shared" si="27"/>
        <v>0</v>
      </c>
      <c r="BY410" s="51">
        <f t="shared" si="28"/>
        <v>0</v>
      </c>
      <c r="BZ410" s="67">
        <f t="shared" si="29"/>
        <v>0</v>
      </c>
    </row>
    <row r="411" spans="1:78" x14ac:dyDescent="0.3">
      <c r="A411" s="173"/>
      <c r="B411" s="83" t="s">
        <v>63</v>
      </c>
      <c r="C411" s="80">
        <v>10</v>
      </c>
      <c r="D411" s="79" t="e">
        <f>AVERAGE(D408:D410)</f>
        <v>#DIV/0!</v>
      </c>
      <c r="E411" s="76"/>
      <c r="F411" s="78">
        <f>AVERAGE(F408:F410)</f>
        <v>1.2533333333333332</v>
      </c>
      <c r="G411" s="73">
        <f>_xlfn.STDEV.S(F408:F410)</f>
        <v>1.0408329997330566E-2</v>
      </c>
      <c r="H411" s="78">
        <f>AVERAGE(H408:H410)</f>
        <v>0.311</v>
      </c>
      <c r="I411" s="82">
        <f>AVERAGE(I408:I410)</f>
        <v>9.0407700000000021E-2</v>
      </c>
      <c r="J411" s="82">
        <f>_xlfn.STDEV.S(I408:I410)</f>
        <v>7.6911990612648143E-4</v>
      </c>
      <c r="K411" s="82"/>
      <c r="L411" s="81" t="e">
        <f>_xlfn.STDEV.S(K408:K410)</f>
        <v>#DIV/0!</v>
      </c>
      <c r="M411" s="77">
        <f>AVERAGE(M408:M410)</f>
        <v>13.326215512288409</v>
      </c>
      <c r="N411" s="76">
        <f>_xlfn.STDEV.S(M408:M410)</f>
        <v>0.7667799825578564</v>
      </c>
      <c r="O411" s="76">
        <f>AVERAGE(O408:O410)</f>
        <v>0</v>
      </c>
      <c r="P411" s="76">
        <f>_xlfn.STDEV.S(O408:O410)</f>
        <v>0</v>
      </c>
      <c r="Q411" s="76">
        <f>AVERAGE(Q408:Q410)</f>
        <v>0.17609471634220211</v>
      </c>
      <c r="R411" s="76">
        <f>_xlfn.STDEV.S(Q408:Q410)</f>
        <v>2.6672656323241027E-2</v>
      </c>
      <c r="S411" s="76">
        <f>AVERAGE(S408:S410)</f>
        <v>85.326679157360672</v>
      </c>
      <c r="T411" s="76">
        <f>_xlfn.STDEV.S(S408:S410)</f>
        <v>0.73897647339172312</v>
      </c>
      <c r="U411" s="76">
        <f>AVERAGE(U408:U410)</f>
        <v>1.1710106140087095</v>
      </c>
      <c r="V411" s="76">
        <f>_xlfn.STDEV.S(U408:U410)</f>
        <v>0.11488923122358749</v>
      </c>
      <c r="W411" s="76">
        <f>AVERAGE(W408:W410)</f>
        <v>0</v>
      </c>
      <c r="X411" s="76">
        <f>_xlfn.STDEV.S(W408:W410)</f>
        <v>0</v>
      </c>
      <c r="Y411" s="77">
        <f>AVERAGE(Y408:Y410)</f>
        <v>0.75208165501897606</v>
      </c>
      <c r="Z411" s="76">
        <f>_xlfn.STDEV.S(Y408:Y410)</f>
        <v>4.9167563850923253E-2</v>
      </c>
      <c r="AA411" s="76">
        <f>AVERAGE(AA408:AA410)</f>
        <v>0</v>
      </c>
      <c r="AB411" s="76">
        <f>_xlfn.STDEV.S(AA408:AA410)</f>
        <v>0</v>
      </c>
      <c r="AC411" s="76">
        <f>AVERAGE(AC408:AC410)</f>
        <v>9.9282096237449814E-3</v>
      </c>
      <c r="AD411" s="76">
        <f>_xlfn.STDEV.S(AC408:AC410)</f>
        <v>1.4341406726293461E-3</v>
      </c>
      <c r="AE411" s="76">
        <f>AVERAGE(AE408:AE410)</f>
        <v>4.8138871065603981</v>
      </c>
      <c r="AF411" s="76">
        <f>_xlfn.STDEV.S(AE408:AE410)</f>
        <v>2.0749482846762382E-2</v>
      </c>
      <c r="AG411" s="76">
        <f>AVERAGE(AG408:AG410)</f>
        <v>6.6052065736914231E-2</v>
      </c>
      <c r="AH411" s="76">
        <f>_xlfn.STDEV.S(AG408:AG410)</f>
        <v>6.2602129772804669E-3</v>
      </c>
      <c r="AI411" s="76">
        <f>AVERAGE(AI408:AI410)</f>
        <v>0</v>
      </c>
      <c r="AJ411" s="76">
        <f>_xlfn.STDEV.S(AI408:AI410)</f>
        <v>0</v>
      </c>
      <c r="AK411" s="77">
        <f>AVERAGE(AK408:AK410)</f>
        <v>0.29182045328807121</v>
      </c>
      <c r="AL411" s="77">
        <f>_xlfn.STDEV.S(AK408:AK410)</f>
        <v>1.9684169910629566E-2</v>
      </c>
      <c r="AM411" s="77">
        <f>AVERAGE(AM408:AM410)</f>
        <v>7.2955113322017803E-2</v>
      </c>
      <c r="AN411" s="77">
        <f>_xlfn.STDEV.S(AM408:AM410)</f>
        <v>4.9210424776573915E-3</v>
      </c>
      <c r="AO411" s="78">
        <f>AVERAGE(AO408:AO410)</f>
        <v>0.58743077543252831</v>
      </c>
      <c r="AP411" s="78">
        <f>_xlfn.STDEV.S(AO408:AO410)</f>
        <v>2.4787236661566105E-2</v>
      </c>
      <c r="AQ411" s="78">
        <f>AVERAGE(AQ408:AQ410)</f>
        <v>0.14685769385813208</v>
      </c>
      <c r="AR411" s="78">
        <f>_xlfn.STDEV.S(AQ408:AQ410)</f>
        <v>6.1968091653915262E-3</v>
      </c>
      <c r="AS411" s="78">
        <f>AVERAGE(AS408:AS410)</f>
        <v>0</v>
      </c>
      <c r="AT411" s="78">
        <f>_xlfn.STDEV.S(AS408:AS410)</f>
        <v>0</v>
      </c>
      <c r="AU411" s="78">
        <f>AVERAGE(AU408:AU410)</f>
        <v>0</v>
      </c>
      <c r="AV411" s="80">
        <f>_xlfn.STDEV.S(AU408:AU410)</f>
        <v>0</v>
      </c>
      <c r="AW411" s="78"/>
      <c r="AX411" s="78"/>
      <c r="AY411" s="79">
        <f>SUM(AK411,AO411,AS411)</f>
        <v>0.87925122872059958</v>
      </c>
      <c r="AZ411" s="77">
        <f>SUM(AL411,AP411,AT411)</f>
        <v>4.4471406572195671E-2</v>
      </c>
      <c r="BA411" s="78"/>
      <c r="BB411" s="78"/>
      <c r="BC411" s="78"/>
      <c r="BD411" s="78"/>
      <c r="BE411" s="78"/>
      <c r="BF411" s="78"/>
      <c r="BG411" s="77">
        <v>159.86666666666667</v>
      </c>
      <c r="BH411" s="76">
        <v>7.0347447241057353</v>
      </c>
      <c r="BI411" s="75">
        <v>0</v>
      </c>
      <c r="BJ411" s="75">
        <v>0</v>
      </c>
      <c r="BK411" s="75">
        <v>0</v>
      </c>
      <c r="BL411" s="75">
        <v>0</v>
      </c>
      <c r="BM411" s="75">
        <v>0</v>
      </c>
      <c r="BN411" s="75">
        <v>0</v>
      </c>
      <c r="BO411" s="77">
        <f>AVERAGE(BO408:BO410)</f>
        <v>2.6555924695459576</v>
      </c>
      <c r="BP411" s="76">
        <f>_xlfn.STDEV.S(BO408:BO410)</f>
        <v>0.11685622465291941</v>
      </c>
      <c r="BQ411" s="75">
        <f>AVERAGE(BQ408:BQ410)</f>
        <v>0</v>
      </c>
      <c r="BR411" s="75">
        <f>_xlfn.STDEV.S(BQ408:BQ410)</f>
        <v>0</v>
      </c>
      <c r="BS411" s="75">
        <f>AVERAGE(BS408:BS410)</f>
        <v>0</v>
      </c>
      <c r="BT411" s="75">
        <f>_xlfn.STDEV.S(BS408:BS410)</f>
        <v>0</v>
      </c>
      <c r="BU411" s="75">
        <f>AVERAGE(BU408:BU410)</f>
        <v>0</v>
      </c>
      <c r="BV411" s="75">
        <f>_xlfn.STDEV.S(BU408:BU410)</f>
        <v>0</v>
      </c>
      <c r="BW411" s="74">
        <f>AVERAGE(BW408:BW410)</f>
        <v>0.13277962347729791</v>
      </c>
      <c r="BX411" s="73">
        <f t="shared" si="27"/>
        <v>0</v>
      </c>
      <c r="BY411" s="73">
        <f t="shared" si="28"/>
        <v>0</v>
      </c>
      <c r="BZ411" s="72">
        <f t="shared" si="29"/>
        <v>0</v>
      </c>
    </row>
    <row r="412" spans="1:78" x14ac:dyDescent="0.3">
      <c r="A412" s="174" t="s">
        <v>60</v>
      </c>
      <c r="B412" s="70" t="s">
        <v>66</v>
      </c>
      <c r="C412" s="20">
        <v>10</v>
      </c>
      <c r="D412" s="69"/>
      <c r="E412" s="21"/>
      <c r="F412" s="37">
        <v>1.24</v>
      </c>
      <c r="H412" s="37">
        <v>0.246</v>
      </c>
      <c r="I412" s="53">
        <f>H412*0.2907</f>
        <v>7.1512199999999998E-2</v>
      </c>
      <c r="L412" s="68"/>
      <c r="M412" s="22">
        <v>10.751530029777644</v>
      </c>
      <c r="O412" s="21">
        <v>0</v>
      </c>
      <c r="Q412" s="21">
        <v>0.54026194372671632</v>
      </c>
      <c r="S412" s="21">
        <v>88.708208026495655</v>
      </c>
      <c r="U412" s="21">
        <v>0</v>
      </c>
      <c r="W412" s="21">
        <v>0</v>
      </c>
      <c r="Y412" s="22">
        <v>0.60014269768442907</v>
      </c>
      <c r="AA412" s="21">
        <v>0</v>
      </c>
      <c r="AC412" s="21">
        <v>3.0157034344542526E-2</v>
      </c>
      <c r="AE412" s="21">
        <v>4.9516285704755321</v>
      </c>
      <c r="AG412" s="21">
        <v>0</v>
      </c>
      <c r="AI412" s="21">
        <v>0</v>
      </c>
      <c r="AO412" s="37">
        <f>8*(BW412-$BW$332)/(2*($AA$332-AA412)+2*($AI$332-AI412))</f>
        <v>0.53199087226691943</v>
      </c>
      <c r="AQ412" s="37">
        <f>(BW412-$BW$332)/(($AA$332-AA412)+($AI$332-AI412))</f>
        <v>0.13299771806672986</v>
      </c>
      <c r="AS412" s="37">
        <f>14*(BX412-$BX$332)/(2*($AA$332-AA412)+2*($AI$332-AI412))</f>
        <v>4.6542614229115711E-4</v>
      </c>
      <c r="AU412" s="37">
        <f>(BX412-$BX$332)/(($AA$332-AA412)+($AI$332-AI412))</f>
        <v>6.6489448898736738E-5</v>
      </c>
      <c r="BG412" s="37">
        <v>195.08</v>
      </c>
      <c r="BI412" s="2">
        <v>0.12</v>
      </c>
      <c r="BK412" s="2">
        <v>0</v>
      </c>
      <c r="BM412" s="2">
        <v>0</v>
      </c>
      <c r="BO412" s="22">
        <f>(BG412/1000)/60.2*1000</f>
        <v>3.2405315614617938</v>
      </c>
      <c r="BQ412" s="2">
        <f>BI412/74.08</f>
        <v>1.6198704103671706E-3</v>
      </c>
      <c r="BS412" s="2">
        <f>(BK412/1000)/88.12*1000</f>
        <v>0</v>
      </c>
      <c r="BU412" s="2">
        <f>BM412/88.12</f>
        <v>0</v>
      </c>
      <c r="BW412" s="52">
        <f>BO412*0.05</f>
        <v>0.16202657807308971</v>
      </c>
      <c r="BX412" s="51">
        <f t="shared" si="27"/>
        <v>8.0993520518358534E-5</v>
      </c>
      <c r="BY412" s="51">
        <f t="shared" si="28"/>
        <v>0</v>
      </c>
      <c r="BZ412" s="67">
        <f t="shared" si="29"/>
        <v>0</v>
      </c>
    </row>
    <row r="413" spans="1:78" x14ac:dyDescent="0.3">
      <c r="A413" s="173"/>
      <c r="B413" s="70" t="s">
        <v>65</v>
      </c>
      <c r="C413" s="20">
        <v>10</v>
      </c>
      <c r="D413" s="69"/>
      <c r="E413" s="21"/>
      <c r="F413" s="37">
        <v>1.2450000000000001</v>
      </c>
      <c r="H413" s="37">
        <v>0.245</v>
      </c>
      <c r="I413" s="53">
        <f>H413*0.2907</f>
        <v>7.1221500000000007E-2</v>
      </c>
      <c r="L413" s="68"/>
      <c r="M413" s="22">
        <v>10.822604325881658</v>
      </c>
      <c r="O413" s="21">
        <v>0</v>
      </c>
      <c r="Q413" s="21">
        <v>0.12338363156763177</v>
      </c>
      <c r="S413" s="21">
        <v>89.05401204255071</v>
      </c>
      <c r="U413" s="21">
        <v>0</v>
      </c>
      <c r="W413" s="21">
        <v>0</v>
      </c>
      <c r="Y413" s="22">
        <v>0.60654594141000706</v>
      </c>
      <c r="AA413" s="21">
        <v>0</v>
      </c>
      <c r="AC413" s="21">
        <v>6.9149567618215623E-3</v>
      </c>
      <c r="AE413" s="21">
        <v>4.9909751797459982</v>
      </c>
      <c r="AG413" s="21">
        <v>0</v>
      </c>
      <c r="AI413" s="21">
        <v>0</v>
      </c>
      <c r="AO413" s="37">
        <f>8*(BW413-$BW$333)/(2*($AA$333-AA413)+2*($AI$333-AI413))</f>
        <v>0.54495065054165226</v>
      </c>
      <c r="AQ413" s="37">
        <f>(BW413-$BW$333)/(($AA$333-AA413)+($AI$333-AI413))</f>
        <v>0.13623766263541306</v>
      </c>
      <c r="AS413" s="37">
        <f>14*(BX413-$BX$333)/(2*($AA$333-AA413)+2*($AI$333-AI413))</f>
        <v>9.8660781735373485E-4</v>
      </c>
      <c r="AU413" s="37">
        <f>(BX413-$BX$333)/(($AA$333-AA413)+($AI$333-AI413))</f>
        <v>1.4094397390767641E-4</v>
      </c>
      <c r="BG413" s="37">
        <v>188.52</v>
      </c>
      <c r="BI413" s="2">
        <v>0.24</v>
      </c>
      <c r="BK413" s="2">
        <v>0</v>
      </c>
      <c r="BM413" s="2">
        <v>0</v>
      </c>
      <c r="BO413" s="22">
        <f>(BG413/1000)/60.2*1000</f>
        <v>3.1315614617940204</v>
      </c>
      <c r="BQ413" s="2">
        <f>BI413/74.08</f>
        <v>3.2397408207343412E-3</v>
      </c>
      <c r="BS413" s="2">
        <f>(BK413/1000)/88.12*1000</f>
        <v>0</v>
      </c>
      <c r="BU413" s="2">
        <f>BM413/88.12</f>
        <v>0</v>
      </c>
      <c r="BW413" s="52">
        <f>BO413*0.05</f>
        <v>0.15657807308970104</v>
      </c>
      <c r="BX413" s="51">
        <f t="shared" si="27"/>
        <v>1.6198704103671707E-4</v>
      </c>
      <c r="BY413" s="51">
        <f t="shared" si="28"/>
        <v>0</v>
      </c>
      <c r="BZ413" s="67">
        <f t="shared" si="29"/>
        <v>0</v>
      </c>
    </row>
    <row r="414" spans="1:78" x14ac:dyDescent="0.3">
      <c r="A414" s="173"/>
      <c r="B414" s="70" t="s">
        <v>64</v>
      </c>
      <c r="C414" s="20">
        <v>10</v>
      </c>
      <c r="D414" s="69"/>
      <c r="E414" s="21"/>
      <c r="F414" s="37">
        <v>1.2549999999999999</v>
      </c>
      <c r="G414" s="67"/>
      <c r="H414" s="37">
        <v>0.25900000000000001</v>
      </c>
      <c r="I414" s="53">
        <f>H414*0.2907</f>
        <v>7.5291300000000005E-2</v>
      </c>
      <c r="L414" s="68"/>
      <c r="M414" s="22">
        <v>12.16605535964902</v>
      </c>
      <c r="O414" s="21">
        <v>0</v>
      </c>
      <c r="Q414" s="21">
        <v>0.16372020615395502</v>
      </c>
      <c r="S414" s="21">
        <v>87.670224434197024</v>
      </c>
      <c r="U414" s="21">
        <v>0</v>
      </c>
      <c r="W414" s="21">
        <v>0</v>
      </c>
      <c r="Y414" s="22">
        <v>0.68731541266964613</v>
      </c>
      <c r="AA414" s="21">
        <v>0</v>
      </c>
      <c r="AC414" s="21">
        <v>9.2492938531484256E-3</v>
      </c>
      <c r="AE414" s="21">
        <v>4.9528869222216807</v>
      </c>
      <c r="AG414" s="21">
        <v>0</v>
      </c>
      <c r="AI414" s="21">
        <v>0</v>
      </c>
      <c r="AO414" s="37">
        <f>8*(BW414-$BW$334)/(2*($AA$334-AA414)+2*($AI$334-AI414))</f>
        <v>0.55565928789396402</v>
      </c>
      <c r="AQ414" s="37">
        <f>(BW414-$BW$334)/(($AA$334-AA414)+($AI$334-AI414))</f>
        <v>0.138914821973491</v>
      </c>
      <c r="AS414" s="37">
        <f>14*(BX414-$BX$334)/(2*($AA$334-AA414)+2*($AI$334-AI414))</f>
        <v>8.3439027926706559E-4</v>
      </c>
      <c r="AU414" s="37">
        <f>(BX414-$BX$334)/(($AA$334-AA414)+($AI$334-AI414))</f>
        <v>1.1919861132386652E-4</v>
      </c>
      <c r="BG414" s="37">
        <v>189.41</v>
      </c>
      <c r="BI414" s="2">
        <v>0.2</v>
      </c>
      <c r="BK414" s="2">
        <v>0</v>
      </c>
      <c r="BM414" s="2">
        <v>0</v>
      </c>
      <c r="BO414" s="22">
        <f>(BG414/1000)/60.2*1000</f>
        <v>3.1463455149501658</v>
      </c>
      <c r="BQ414" s="2">
        <f>BI414/74.08</f>
        <v>2.699784017278618E-3</v>
      </c>
      <c r="BS414" s="2">
        <f>(BK414/1000)/88.12*1000</f>
        <v>0</v>
      </c>
      <c r="BU414" s="2">
        <f>BM414/88.12</f>
        <v>0</v>
      </c>
      <c r="BW414" s="52">
        <f>BO414*0.05</f>
        <v>0.15731727574750831</v>
      </c>
      <c r="BX414" s="51">
        <f t="shared" si="27"/>
        <v>1.3498920086393089E-4</v>
      </c>
      <c r="BY414" s="51">
        <f t="shared" si="28"/>
        <v>0</v>
      </c>
      <c r="BZ414" s="67">
        <f t="shared" si="29"/>
        <v>0</v>
      </c>
    </row>
    <row r="415" spans="1:78" ht="15" thickBot="1" x14ac:dyDescent="0.35">
      <c r="A415" s="175"/>
      <c r="B415" s="66" t="s">
        <v>63</v>
      </c>
      <c r="C415" s="65">
        <v>10</v>
      </c>
      <c r="D415" s="64" t="e">
        <f>AVERAGE(D412:D414)</f>
        <v>#DIV/0!</v>
      </c>
      <c r="E415" s="58"/>
      <c r="F415" s="60">
        <f>AVERAGE(F412:F414)</f>
        <v>1.2466666666666668</v>
      </c>
      <c r="G415" s="55">
        <f>_xlfn.STDEV.S(F412:F414)</f>
        <v>7.6376261582596673E-3</v>
      </c>
      <c r="H415" s="60">
        <f>AVERAGE(H412:H414)</f>
        <v>0.25</v>
      </c>
      <c r="I415" s="63">
        <f>AVERAGE(I412:I414)</f>
        <v>7.2675000000000003E-2</v>
      </c>
      <c r="J415" s="63">
        <f>_xlfn.STDEV.S(I412:I414)</f>
        <v>2.2704395807860659E-3</v>
      </c>
      <c r="K415" s="63"/>
      <c r="L415" s="62" t="e">
        <f>_xlfn.STDEV.S(K412:K414)</f>
        <v>#DIV/0!</v>
      </c>
      <c r="M415" s="59">
        <f>AVERAGE(M412:M414)</f>
        <v>11.246729905102775</v>
      </c>
      <c r="N415" s="58">
        <f>_xlfn.STDEV.S(M412:M414)</f>
        <v>0.79695191663246956</v>
      </c>
      <c r="O415" s="58">
        <f>AVERAGE(O412:O414)</f>
        <v>0</v>
      </c>
      <c r="P415" s="58">
        <f>_xlfn.STDEV.S(O412:O414)</f>
        <v>0</v>
      </c>
      <c r="Q415" s="58">
        <f>AVERAGE(Q412:Q414)</f>
        <v>0.27578859381610105</v>
      </c>
      <c r="R415" s="58">
        <f>_xlfn.STDEV.S(Q412:Q414)</f>
        <v>0.22992688929754723</v>
      </c>
      <c r="S415" s="58">
        <f>AVERAGE(S412:S414)</f>
        <v>88.477481501081115</v>
      </c>
      <c r="T415" s="58">
        <f>_xlfn.STDEV.S(S412:S414)</f>
        <v>0.7201687881362937</v>
      </c>
      <c r="U415" s="58">
        <f>AVERAGE(U412:U414)</f>
        <v>0</v>
      </c>
      <c r="V415" s="58">
        <f>_xlfn.STDEV.S(U412:U414)</f>
        <v>0</v>
      </c>
      <c r="W415" s="58">
        <f>AVERAGE(W412:W414)</f>
        <v>0</v>
      </c>
      <c r="X415" s="58">
        <f>_xlfn.STDEV.S(W412:W414)</f>
        <v>0</v>
      </c>
      <c r="Y415" s="59">
        <f>AVERAGE(Y412:Y414)</f>
        <v>0.63133468392136083</v>
      </c>
      <c r="Z415" s="58">
        <f>_xlfn.STDEV.S(Y412:Y414)</f>
        <v>4.8586334250940527E-2</v>
      </c>
      <c r="AA415" s="58">
        <f>AVERAGE(AA412:AA414)</f>
        <v>0</v>
      </c>
      <c r="AB415" s="58">
        <f>_xlfn.STDEV.S(AA412:AA414)</f>
        <v>0</v>
      </c>
      <c r="AC415" s="58">
        <f>AVERAGE(AC412:AC414)</f>
        <v>1.5440428319837505E-2</v>
      </c>
      <c r="AD415" s="58">
        <f>_xlfn.STDEV.S(AC412:AC414)</f>
        <v>1.2798287075963493E-2</v>
      </c>
      <c r="AE415" s="58">
        <f>AVERAGE(AE412:AE414)</f>
        <v>4.9651635574810697</v>
      </c>
      <c r="AF415" s="58">
        <f>_xlfn.STDEV.S(AE412:AE414)</f>
        <v>2.2362373425907869E-2</v>
      </c>
      <c r="AG415" s="58">
        <f>AVERAGE(AG412:AG414)</f>
        <v>0</v>
      </c>
      <c r="AH415" s="58">
        <f>_xlfn.STDEV.S(AG412:AG414)</f>
        <v>0</v>
      </c>
      <c r="AI415" s="58">
        <f>AVERAGE(AI412:AI414)</f>
        <v>0</v>
      </c>
      <c r="AJ415" s="58">
        <f>_xlfn.STDEV.S(AI412:AI414)</f>
        <v>0</v>
      </c>
      <c r="AK415" s="60"/>
      <c r="AL415" s="60"/>
      <c r="AM415" s="60"/>
      <c r="AN415" s="60"/>
      <c r="AO415" s="60">
        <f>AVERAGE(AO412:AO414)</f>
        <v>0.54420027023417861</v>
      </c>
      <c r="AP415" s="60">
        <f>_xlfn.STDEV.S(AO412:AO414)</f>
        <v>1.1852036851445208E-2</v>
      </c>
      <c r="AQ415" s="60">
        <f>AVERAGE(AQ412:AQ414)</f>
        <v>0.13605006755854465</v>
      </c>
      <c r="AR415" s="60">
        <f>_xlfn.STDEV.S(AQ412:AQ414)</f>
        <v>2.9630092128613019E-3</v>
      </c>
      <c r="AS415" s="60">
        <f>AVERAGE(AS412:AS414)</f>
        <v>7.621414129706525E-4</v>
      </c>
      <c r="AT415" s="60">
        <f>_xlfn.STDEV.S(AS412:AS414)</f>
        <v>2.6799721755289981E-4</v>
      </c>
      <c r="AU415" s="60">
        <f>AVERAGE(AU412:AU414)</f>
        <v>1.0887734471009321E-4</v>
      </c>
      <c r="AV415" s="60">
        <f>_xlfn.STDEV.S(AU412:AU414)</f>
        <v>3.8285316793271401E-5</v>
      </c>
      <c r="AW415" s="60"/>
      <c r="AX415" s="60"/>
      <c r="AY415" s="59">
        <f>SUM(AK415,AO415,AS415)</f>
        <v>0.54496241164714931</v>
      </c>
      <c r="AZ415" s="59">
        <f>SUM(AL415,AP415,AT415)</f>
        <v>1.2120034068998108E-2</v>
      </c>
      <c r="BA415" s="60"/>
      <c r="BB415" s="60"/>
      <c r="BC415" s="60"/>
      <c r="BD415" s="60"/>
      <c r="BE415" s="60"/>
      <c r="BF415" s="60"/>
      <c r="BG415" s="59">
        <v>191.00333333333333</v>
      </c>
      <c r="BH415" s="58">
        <v>3.5584313023203586</v>
      </c>
      <c r="BI415" s="57">
        <v>0.18666666666666668</v>
      </c>
      <c r="BJ415" s="57">
        <v>6.1101009266077796E-2</v>
      </c>
      <c r="BK415" s="57">
        <v>0</v>
      </c>
      <c r="BL415" s="57">
        <v>0</v>
      </c>
      <c r="BM415" s="57">
        <v>0</v>
      </c>
      <c r="BN415" s="57">
        <v>0</v>
      </c>
      <c r="BO415" s="59">
        <f>AVERAGE(BO412:BO414)</f>
        <v>3.1728128460686604</v>
      </c>
      <c r="BP415" s="58">
        <f>_xlfn.STDEV.S(BO412:BO414)</f>
        <v>5.9110154523593694E-2</v>
      </c>
      <c r="BQ415" s="57">
        <f>AVERAGE(BQ412:BQ414)</f>
        <v>2.5197984161267101E-3</v>
      </c>
      <c r="BR415" s="57">
        <f>_xlfn.STDEV.S(BQ412:BQ414)</f>
        <v>8.2479764128074872E-4</v>
      </c>
      <c r="BS415" s="57">
        <f>AVERAGE(BS412:BS414)</f>
        <v>0</v>
      </c>
      <c r="BT415" s="57">
        <f>_xlfn.STDEV.S(BS412:BS414)</f>
        <v>0</v>
      </c>
      <c r="BU415" s="57">
        <f>AVERAGE(BU412:BU414)</f>
        <v>0</v>
      </c>
      <c r="BV415" s="57">
        <f>_xlfn.STDEV.S(BU412:BU414)</f>
        <v>0</v>
      </c>
      <c r="BW415" s="56">
        <f>AVERAGE(BW412:BW414)</f>
        <v>0.15864064230343303</v>
      </c>
      <c r="BX415" s="55">
        <f t="shared" si="27"/>
        <v>1.2598992080633552E-4</v>
      </c>
      <c r="BY415" s="55">
        <f t="shared" si="28"/>
        <v>0</v>
      </c>
      <c r="BZ415" s="54">
        <f t="shared" si="29"/>
        <v>0</v>
      </c>
    </row>
    <row r="416" spans="1:78" x14ac:dyDescent="0.3">
      <c r="A416" s="172" t="s">
        <v>59</v>
      </c>
      <c r="B416" s="95" t="s">
        <v>69</v>
      </c>
      <c r="C416" s="94">
        <v>11</v>
      </c>
      <c r="D416" s="93"/>
      <c r="E416" s="88"/>
      <c r="F416" s="90">
        <v>1.25</v>
      </c>
      <c r="G416" s="85"/>
      <c r="H416" s="90">
        <v>0.32</v>
      </c>
      <c r="I416" s="92">
        <f>H416*0.2907</f>
        <v>9.3024000000000009E-2</v>
      </c>
      <c r="J416" s="92"/>
      <c r="K416" s="92"/>
      <c r="L416" s="91"/>
      <c r="M416" s="89">
        <v>13.120406300125968</v>
      </c>
      <c r="O416" s="88">
        <v>0</v>
      </c>
      <c r="Q416" s="88">
        <v>9.9577027121283065E-2</v>
      </c>
      <c r="S416" s="88">
        <v>85.032036477054689</v>
      </c>
      <c r="U416" s="88">
        <v>1.7479801956980747</v>
      </c>
      <c r="W416" s="88">
        <v>0</v>
      </c>
      <c r="X416" s="88"/>
      <c r="Y416" s="89">
        <v>0.73827789583701109</v>
      </c>
      <c r="AA416" s="88">
        <v>0</v>
      </c>
      <c r="AC416" s="88">
        <v>5.6031434069309305E-3</v>
      </c>
      <c r="AE416" s="88">
        <v>4.7847049499079306</v>
      </c>
      <c r="AG416" s="88">
        <v>9.8357864179278637E-2</v>
      </c>
      <c r="AI416" s="88">
        <v>0</v>
      </c>
      <c r="AJ416" s="87"/>
      <c r="AK416" s="89">
        <f>8*(AG416-$AG$328)/(2*($AA$328-AA416)+2*($AI$328-AI416))</f>
        <v>0.42145760566530155</v>
      </c>
      <c r="AL416" s="89"/>
      <c r="AM416" s="89">
        <f>(AG416-$AG$328)/(($AA$328-AA416)+($AI$328-AI416))</f>
        <v>0.10536440141632539</v>
      </c>
      <c r="AN416" s="89"/>
      <c r="AO416" s="37">
        <f>8*(BW416-$BW$328)/(2*($AA$328-AA416)+2*($AI$328-AI416))</f>
        <v>0.35596325492371683</v>
      </c>
      <c r="AQ416" s="37">
        <f>(BW416-$BW$328)/(($AA$328-AA416)+($AI$328-AI416))</f>
        <v>8.8990813730929208E-2</v>
      </c>
      <c r="AS416" s="37">
        <f>14*(BX416-$BX$328)/(2*($AA$328-AA416)+2*($AI$328-AI416))</f>
        <v>0</v>
      </c>
      <c r="AU416" s="37">
        <f>(BX416-$BX$328)/(($AA$328-AA416)+($AI$328-AI416))</f>
        <v>0</v>
      </c>
      <c r="AY416" s="90"/>
      <c r="AZ416" s="90"/>
      <c r="BA416" s="90"/>
      <c r="BB416" s="90"/>
      <c r="BC416" s="90"/>
      <c r="BD416" s="90"/>
      <c r="BE416" s="90"/>
      <c r="BF416" s="90"/>
      <c r="BG416" s="90">
        <v>100.02</v>
      </c>
      <c r="BH416" s="87"/>
      <c r="BI416" s="87">
        <v>0</v>
      </c>
      <c r="BJ416" s="87"/>
      <c r="BK416" s="87">
        <v>0</v>
      </c>
      <c r="BL416" s="87"/>
      <c r="BM416" s="87">
        <v>0</v>
      </c>
      <c r="BN416" s="87"/>
      <c r="BO416" s="89">
        <f>(BG416/1000)/60.2*1000</f>
        <v>1.6614617940199334</v>
      </c>
      <c r="BP416" s="88"/>
      <c r="BQ416" s="87">
        <f>BI416/74.08</f>
        <v>0</v>
      </c>
      <c r="BR416" s="87"/>
      <c r="BS416" s="87">
        <f>(BK416/1000)/88.12*1000</f>
        <v>0</v>
      </c>
      <c r="BT416" s="87"/>
      <c r="BU416" s="87">
        <f>BM416/88.12</f>
        <v>0</v>
      </c>
      <c r="BV416" s="87"/>
      <c r="BW416" s="86">
        <f>BO416*0.05</f>
        <v>8.307308970099668E-2</v>
      </c>
      <c r="BX416" s="85">
        <f t="shared" si="27"/>
        <v>0</v>
      </c>
      <c r="BY416" s="85">
        <f t="shared" si="28"/>
        <v>0</v>
      </c>
      <c r="BZ416" s="84">
        <f t="shared" si="29"/>
        <v>0</v>
      </c>
    </row>
    <row r="417" spans="1:78" x14ac:dyDescent="0.3">
      <c r="A417" s="173"/>
      <c r="B417" s="70" t="s">
        <v>68</v>
      </c>
      <c r="C417" s="20">
        <v>11</v>
      </c>
      <c r="D417" s="69"/>
      <c r="E417" s="21"/>
      <c r="F417" s="37">
        <v>1.2549999999999999</v>
      </c>
      <c r="H417" s="37">
        <v>0.313</v>
      </c>
      <c r="I417" s="53">
        <f>H417*0.2907</f>
        <v>9.0989100000000003E-2</v>
      </c>
      <c r="L417" s="68"/>
      <c r="M417" s="22">
        <v>13.04888886494675</v>
      </c>
      <c r="O417" s="21">
        <v>0</v>
      </c>
      <c r="Q417" s="21">
        <v>0.12769047524087632</v>
      </c>
      <c r="S417" s="21">
        <v>84.827634564235083</v>
      </c>
      <c r="U417" s="21">
        <v>1.9957860955772919</v>
      </c>
      <c r="W417" s="21">
        <v>0</v>
      </c>
      <c r="Y417" s="22">
        <v>0.73719066451379078</v>
      </c>
      <c r="AA417" s="21">
        <v>0</v>
      </c>
      <c r="AC417" s="21">
        <v>7.2138116332472477E-3</v>
      </c>
      <c r="AE417" s="21">
        <v>4.7922961825145896</v>
      </c>
      <c r="AG417" s="21">
        <v>0.1127509700828471</v>
      </c>
      <c r="AI417" s="21">
        <v>0</v>
      </c>
      <c r="AK417" s="22">
        <f>8*(AG417-$AG$329)/(2*($AA$329-AA417)+2*($AI$329-AI417))</f>
        <v>0.49326788579747111</v>
      </c>
      <c r="AL417" s="22"/>
      <c r="AM417" s="22">
        <f>(AG417-$AG$329)/(($AA$329-AA417)+($AI$329-AI417))</f>
        <v>0.12331697144936778</v>
      </c>
      <c r="AN417" s="22"/>
      <c r="AO417" s="37">
        <f>8*(BW417-$BW$329)/(2*($AA$329-AA417)+2*($AI$329-AI417))</f>
        <v>0.3965338099433422</v>
      </c>
      <c r="AQ417" s="37">
        <f>(BW417-$BW$329)/(($AA$329-AA417)+($AI$329-AI417))</f>
        <v>9.9133452485835549E-2</v>
      </c>
      <c r="AS417" s="37">
        <f>14*(BX417-$BX$329)/(2*($AA$329-AA417)+2*($AI$329-AI417))</f>
        <v>0</v>
      </c>
      <c r="AU417" s="37">
        <f>(BX417-$BX$329)/(($AA$329-AA417)+($AI$329-AI417))</f>
        <v>0</v>
      </c>
      <c r="BG417" s="37">
        <v>109.13</v>
      </c>
      <c r="BI417" s="2">
        <v>0</v>
      </c>
      <c r="BK417" s="2">
        <v>0</v>
      </c>
      <c r="BM417" s="2">
        <v>0</v>
      </c>
      <c r="BO417" s="22">
        <f>(BG417/1000)/60.2*1000</f>
        <v>1.8127906976744184</v>
      </c>
      <c r="BQ417" s="2">
        <f>BI417/74.08</f>
        <v>0</v>
      </c>
      <c r="BS417" s="2">
        <f>(BK417/1000)/88.12*1000</f>
        <v>0</v>
      </c>
      <c r="BU417" s="2">
        <f>BM417/88.12</f>
        <v>0</v>
      </c>
      <c r="BW417" s="52">
        <f>BO417*0.05</f>
        <v>9.0639534883720924E-2</v>
      </c>
      <c r="BX417" s="51">
        <f t="shared" si="27"/>
        <v>0</v>
      </c>
      <c r="BY417" s="51">
        <f t="shared" si="28"/>
        <v>0</v>
      </c>
      <c r="BZ417" s="67">
        <f t="shared" si="29"/>
        <v>0</v>
      </c>
    </row>
    <row r="418" spans="1:78" x14ac:dyDescent="0.3">
      <c r="A418" s="173"/>
      <c r="B418" s="70" t="s">
        <v>67</v>
      </c>
      <c r="C418" s="20">
        <v>11</v>
      </c>
      <c r="D418" s="69"/>
      <c r="E418" s="21"/>
      <c r="F418" s="37">
        <v>1.2450000000000001</v>
      </c>
      <c r="H418" s="37">
        <v>0.308</v>
      </c>
      <c r="I418" s="53">
        <f>H418*0.2907</f>
        <v>8.9535600000000007E-2</v>
      </c>
      <c r="L418" s="68"/>
      <c r="M418" s="22">
        <v>10.878652383798073</v>
      </c>
      <c r="O418" s="21">
        <v>0</v>
      </c>
      <c r="Q418" s="21">
        <v>0.19341413138234406</v>
      </c>
      <c r="S418" s="21">
        <v>87.209546273358214</v>
      </c>
      <c r="U418" s="21">
        <v>1.7183872114613692</v>
      </c>
      <c r="W418" s="21">
        <v>0</v>
      </c>
      <c r="Y418" s="22">
        <v>0.60968711898884687</v>
      </c>
      <c r="AA418" s="21">
        <v>0</v>
      </c>
      <c r="AC418" s="21">
        <v>1.0839771358983476E-2</v>
      </c>
      <c r="AE418" s="21">
        <v>4.8876032747325295</v>
      </c>
      <c r="AG418" s="21">
        <v>9.6305912837467075E-2</v>
      </c>
      <c r="AI418" s="21">
        <v>0</v>
      </c>
      <c r="AK418" s="22">
        <f>8*(AG418-$AG$330)/(2*($AA$330-AA418)+2*($AI$330-AI418))</f>
        <v>0.44491026555368168</v>
      </c>
      <c r="AL418" s="22"/>
      <c r="AM418" s="22">
        <f>(AG418-$AG$330)/(($AA$330-AA418)+($AI$330-AI418))</f>
        <v>0.11122756638842042</v>
      </c>
      <c r="AN418" s="22"/>
      <c r="AO418" s="37">
        <f>8*(BW418-$BW$330)/(2*($AA$330-AA418)+2*($AI$330-AI418))</f>
        <v>0.37763857327017658</v>
      </c>
      <c r="AQ418" s="37">
        <f>(BW418-$BW$330)/(($AA$330-AA418)+($AI$330-AI418))</f>
        <v>9.4409643317544145E-2</v>
      </c>
      <c r="AS418" s="37">
        <f>14*(BX418-$BX$330)/(2*($AA$330-AA418)+2*($AI$330-AI418))</f>
        <v>0</v>
      </c>
      <c r="AU418" s="37">
        <f>(BX418-$BX$330)/(($AA$330-AA418)+($AI$330-AI418))</f>
        <v>0</v>
      </c>
      <c r="BG418" s="37">
        <v>98.42</v>
      </c>
      <c r="BI418" s="2">
        <v>0</v>
      </c>
      <c r="BK418" s="2">
        <v>0</v>
      </c>
      <c r="BM418" s="2">
        <v>0</v>
      </c>
      <c r="BO418" s="22">
        <f>(BG418/1000)/60.2*1000</f>
        <v>1.6348837209302325</v>
      </c>
      <c r="BQ418" s="2">
        <f>BI418/74.08</f>
        <v>0</v>
      </c>
      <c r="BS418" s="2">
        <f>(BK418/1000)/88.12*1000</f>
        <v>0</v>
      </c>
      <c r="BU418" s="2">
        <f>BM418/88.12</f>
        <v>0</v>
      </c>
      <c r="BW418" s="52">
        <f>BO418*0.05</f>
        <v>8.1744186046511624E-2</v>
      </c>
      <c r="BX418" s="51">
        <f t="shared" si="27"/>
        <v>0</v>
      </c>
      <c r="BY418" s="51">
        <f t="shared" si="28"/>
        <v>0</v>
      </c>
      <c r="BZ418" s="67">
        <f t="shared" si="29"/>
        <v>0</v>
      </c>
    </row>
    <row r="419" spans="1:78" x14ac:dyDescent="0.3">
      <c r="A419" s="173"/>
      <c r="B419" s="83" t="s">
        <v>63</v>
      </c>
      <c r="C419" s="80">
        <v>11</v>
      </c>
      <c r="D419" s="79" t="e">
        <f>AVERAGE(D416:D418)</f>
        <v>#DIV/0!</v>
      </c>
      <c r="E419" s="76"/>
      <c r="F419" s="78">
        <f>AVERAGE(F416:F418)</f>
        <v>1.25</v>
      </c>
      <c r="G419" s="73">
        <f>_xlfn.STDEV.S(F416:F418)</f>
        <v>4.9999999999998934E-3</v>
      </c>
      <c r="H419" s="78">
        <f>AVERAGE(H416:H418)</f>
        <v>0.3136666666666667</v>
      </c>
      <c r="I419" s="82">
        <f>AVERAGE(I416:I418)</f>
        <v>9.1182900000000011E-2</v>
      </c>
      <c r="J419" s="82">
        <f>_xlfn.STDEV.S(I416:I418)</f>
        <v>1.7522563939104359E-3</v>
      </c>
      <c r="K419" s="82"/>
      <c r="L419" s="81" t="e">
        <f>_xlfn.STDEV.S(K416:K418)</f>
        <v>#DIV/0!</v>
      </c>
      <c r="M419" s="77">
        <f>AVERAGE(M416:M418)</f>
        <v>12.349315849623599</v>
      </c>
      <c r="N419" s="76">
        <f>_xlfn.STDEV.S(M416:M418)</f>
        <v>1.2741338070113006</v>
      </c>
      <c r="O419" s="76">
        <f>AVERAGE(O416:O418)</f>
        <v>0</v>
      </c>
      <c r="P419" s="76">
        <f>_xlfn.STDEV.S(O416:O418)</f>
        <v>0</v>
      </c>
      <c r="Q419" s="76">
        <f>AVERAGE(Q416:Q418)</f>
        <v>0.14022721124816781</v>
      </c>
      <c r="R419" s="76">
        <f>_xlfn.STDEV.S(Q416:Q418)</f>
        <v>4.8158362163934772E-2</v>
      </c>
      <c r="S419" s="76">
        <f>AVERAGE(S416:S418)</f>
        <v>85.689739104882662</v>
      </c>
      <c r="T419" s="76">
        <f>_xlfn.STDEV.S(S416:S418)</f>
        <v>1.3201535545167973</v>
      </c>
      <c r="U419" s="76">
        <f>AVERAGE(U416:U418)</f>
        <v>1.8207178342455785</v>
      </c>
      <c r="V419" s="76">
        <f>_xlfn.STDEV.S(U416:U418)</f>
        <v>0.1523338710638257</v>
      </c>
      <c r="W419" s="76">
        <f>AVERAGE(W416:W418)</f>
        <v>0</v>
      </c>
      <c r="X419" s="76">
        <f>_xlfn.STDEV.S(W416:W418)</f>
        <v>0</v>
      </c>
      <c r="Y419" s="77">
        <f>AVERAGE(Y416:Y418)</f>
        <v>0.69505189311321625</v>
      </c>
      <c r="Z419" s="76">
        <f>_xlfn.STDEV.S(Y416:Y418)</f>
        <v>7.3930061639132974E-2</v>
      </c>
      <c r="AA419" s="76">
        <f>AVERAGE(AA416:AA418)</f>
        <v>0</v>
      </c>
      <c r="AB419" s="76">
        <f>_xlfn.STDEV.S(AA416:AA418)</f>
        <v>0</v>
      </c>
      <c r="AC419" s="76">
        <f>AVERAGE(AC416:AC418)</f>
        <v>7.8855754663872176E-3</v>
      </c>
      <c r="AD419" s="76">
        <f>_xlfn.STDEV.S(AC416:AC418)</f>
        <v>2.6821666731750081E-3</v>
      </c>
      <c r="AE419" s="76">
        <f>AVERAGE(AE416:AE418)</f>
        <v>4.8215348023850169</v>
      </c>
      <c r="AF419" s="76">
        <f>_xlfn.STDEV.S(AE416:AE418)</f>
        <v>5.7342732598583621E-2</v>
      </c>
      <c r="AG419" s="76">
        <f>AVERAGE(AG416:AG418)</f>
        <v>0.10247158236653094</v>
      </c>
      <c r="AH419" s="76">
        <f>_xlfn.STDEV.S(AG416:AG418)</f>
        <v>8.9611374804794853E-3</v>
      </c>
      <c r="AI419" s="76">
        <f>AVERAGE(AI416:AI418)</f>
        <v>0</v>
      </c>
      <c r="AJ419" s="76">
        <f>_xlfn.STDEV.S(AI416:AI418)</f>
        <v>0</v>
      </c>
      <c r="AK419" s="77">
        <f>AVERAGE(AK416:AK418)</f>
        <v>0.4532119190054848</v>
      </c>
      <c r="AL419" s="77">
        <f>_xlfn.STDEV.S(AK416:AK418)</f>
        <v>3.6617853168782882E-2</v>
      </c>
      <c r="AM419" s="77">
        <f>AVERAGE(AM416:AM418)</f>
        <v>0.1133029797513712</v>
      </c>
      <c r="AN419" s="77">
        <f>_xlfn.STDEV.S(AM416:AM418)</f>
        <v>9.1544632921957206E-3</v>
      </c>
      <c r="AO419" s="78">
        <f>AVERAGE(AO416:AO418)</f>
        <v>0.37671187937907852</v>
      </c>
      <c r="AP419" s="78">
        <f>_xlfn.STDEV.S(AO416:AO418)</f>
        <v>2.0301146638206452E-2</v>
      </c>
      <c r="AQ419" s="78">
        <f>AVERAGE(AQ416:AQ418)</f>
        <v>9.417796984476963E-2</v>
      </c>
      <c r="AR419" s="78">
        <f>_xlfn.STDEV.S(AQ416:AQ418)</f>
        <v>5.075286659551613E-3</v>
      </c>
      <c r="AS419" s="78">
        <f>AVERAGE(AS416:AS418)</f>
        <v>0</v>
      </c>
      <c r="AT419" s="78">
        <f>_xlfn.STDEV.S(AS416:AS418)</f>
        <v>0</v>
      </c>
      <c r="AU419" s="78">
        <f>AVERAGE(AU416:AU418)</f>
        <v>0</v>
      </c>
      <c r="AV419" s="80">
        <f>_xlfn.STDEV.S(AU416:AU418)</f>
        <v>0</v>
      </c>
      <c r="AW419" s="78"/>
      <c r="AX419" s="78"/>
      <c r="AY419" s="79">
        <f>SUM(AK419,AO419,AS419)</f>
        <v>0.82992379838456332</v>
      </c>
      <c r="AZ419" s="77">
        <f>SUM(AL419,AP419,AT419)</f>
        <v>5.6918999806989334E-2</v>
      </c>
      <c r="BA419" s="78"/>
      <c r="BB419" s="78"/>
      <c r="BC419" s="78"/>
      <c r="BD419" s="78"/>
      <c r="BE419" s="78"/>
      <c r="BF419" s="78"/>
      <c r="BG419" s="77">
        <v>102.52333333333333</v>
      </c>
      <c r="BH419" s="76">
        <v>5.7771994368667343</v>
      </c>
      <c r="BI419" s="75">
        <v>0</v>
      </c>
      <c r="BJ419" s="75">
        <v>0</v>
      </c>
      <c r="BK419" s="75">
        <v>0</v>
      </c>
      <c r="BL419" s="75">
        <v>0</v>
      </c>
      <c r="BM419" s="75">
        <v>0</v>
      </c>
      <c r="BN419" s="75">
        <v>0</v>
      </c>
      <c r="BO419" s="77">
        <f>AVERAGE(BO416:BO418)</f>
        <v>1.7030454042081946</v>
      </c>
      <c r="BP419" s="76">
        <f>_xlfn.STDEV.S(BO416:BO418)</f>
        <v>9.5966768054264628E-2</v>
      </c>
      <c r="BQ419" s="75">
        <f>AVERAGE(BQ416:BQ418)</f>
        <v>0</v>
      </c>
      <c r="BR419" s="75">
        <f>_xlfn.STDEV.S(BQ416:BQ418)</f>
        <v>0</v>
      </c>
      <c r="BS419" s="75">
        <f>AVERAGE(BS416:BS418)</f>
        <v>0</v>
      </c>
      <c r="BT419" s="75">
        <f>_xlfn.STDEV.S(BS416:BS418)</f>
        <v>0</v>
      </c>
      <c r="BU419" s="75">
        <f>AVERAGE(BU416:BU418)</f>
        <v>0</v>
      </c>
      <c r="BV419" s="75">
        <f>_xlfn.STDEV.S(BU416:BU418)</f>
        <v>0</v>
      </c>
      <c r="BW419" s="74">
        <f>AVERAGE(BW416:BW418)</f>
        <v>8.5152270210409733E-2</v>
      </c>
      <c r="BX419" s="73">
        <f t="shared" si="27"/>
        <v>0</v>
      </c>
      <c r="BY419" s="73">
        <f t="shared" si="28"/>
        <v>0</v>
      </c>
      <c r="BZ419" s="72">
        <f t="shared" si="29"/>
        <v>0</v>
      </c>
    </row>
    <row r="420" spans="1:78" x14ac:dyDescent="0.3">
      <c r="A420" s="174" t="s">
        <v>60</v>
      </c>
      <c r="B420" s="70" t="s">
        <v>66</v>
      </c>
      <c r="C420" s="20">
        <v>11</v>
      </c>
      <c r="D420" s="69"/>
      <c r="E420" s="21"/>
      <c r="F420" s="37">
        <v>1.2350000000000001</v>
      </c>
      <c r="H420" s="37">
        <v>0.246</v>
      </c>
      <c r="I420" s="53">
        <f>H420*0.2907</f>
        <v>7.1512199999999998E-2</v>
      </c>
      <c r="L420" s="68"/>
      <c r="M420" s="22">
        <v>10.6909437723273</v>
      </c>
      <c r="O420" s="21">
        <v>0</v>
      </c>
      <c r="Q420" s="21">
        <v>0.42562821779850651</v>
      </c>
      <c r="S420" s="21">
        <v>88.883428009874194</v>
      </c>
      <c r="U420" s="21">
        <v>0</v>
      </c>
      <c r="W420" s="21">
        <v>0</v>
      </c>
      <c r="Y420" s="22">
        <v>0.59435452261853972</v>
      </c>
      <c r="AA420" s="21">
        <v>0</v>
      </c>
      <c r="AC420" s="21">
        <v>2.3662462509382517E-2</v>
      </c>
      <c r="AE420" s="21">
        <v>4.9414035419632549</v>
      </c>
      <c r="AG420" s="21">
        <v>0</v>
      </c>
      <c r="AI420" s="21">
        <v>0</v>
      </c>
      <c r="AO420" s="37">
        <f>8*(BW420-$BW$332)/(2*($AA$332-AA420)+2*($AI$332-AI420))</f>
        <v>0.54137285012295455</v>
      </c>
      <c r="AQ420" s="37">
        <f>(BW420-$BW$332)/(($AA$332-AA420)+($AI$332-AI420))</f>
        <v>0.13534321253073864</v>
      </c>
      <c r="AS420" s="37">
        <f>14*(BX420-$BX$332)/(2*($AA$332-AA420)+2*($AI$332-AI420))</f>
        <v>5.0421165414875368E-4</v>
      </c>
      <c r="AU420" s="37">
        <f>(BX420-$BX$332)/(($AA$332-AA420)+($AI$332-AI420))</f>
        <v>7.20302363069648E-5</v>
      </c>
      <c r="BG420" s="37">
        <v>198.52</v>
      </c>
      <c r="BI420" s="2">
        <v>0.13</v>
      </c>
      <c r="BK420" s="2">
        <v>0</v>
      </c>
      <c r="BM420" s="2">
        <v>0</v>
      </c>
      <c r="BO420" s="22">
        <f>(BG420/1000)/60.2*1000</f>
        <v>3.2976744186046512</v>
      </c>
      <c r="BQ420" s="2">
        <f>BI420/74.08</f>
        <v>1.7548596112311016E-3</v>
      </c>
      <c r="BS420" s="2">
        <f>(BK420/1000)/88.12*1000</f>
        <v>0</v>
      </c>
      <c r="BU420" s="2">
        <f>BM420/88.12</f>
        <v>0</v>
      </c>
      <c r="BW420" s="52">
        <f>BO420*0.05</f>
        <v>0.16488372093023257</v>
      </c>
      <c r="BX420" s="51">
        <f t="shared" si="27"/>
        <v>8.774298056155509E-5</v>
      </c>
      <c r="BY420" s="51">
        <f t="shared" si="28"/>
        <v>0</v>
      </c>
      <c r="BZ420" s="67">
        <f t="shared" si="29"/>
        <v>0</v>
      </c>
    </row>
    <row r="421" spans="1:78" x14ac:dyDescent="0.3">
      <c r="A421" s="173"/>
      <c r="B421" s="70" t="s">
        <v>65</v>
      </c>
      <c r="C421" s="20">
        <v>11</v>
      </c>
      <c r="D421" s="69"/>
      <c r="E421" s="21"/>
      <c r="F421" s="37">
        <v>1.2450000000000001</v>
      </c>
      <c r="H421" s="37">
        <v>0.252</v>
      </c>
      <c r="I421" s="53">
        <f>H421*0.2907</f>
        <v>7.3256399999999999E-2</v>
      </c>
      <c r="L421" s="68"/>
      <c r="M421" s="22">
        <v>11.671478315447967</v>
      </c>
      <c r="O421" s="21">
        <v>0</v>
      </c>
      <c r="Q421" s="21">
        <v>0.13233526460260792</v>
      </c>
      <c r="S421" s="21">
        <v>88.196186419949427</v>
      </c>
      <c r="U421" s="21">
        <v>0</v>
      </c>
      <c r="W421" s="21">
        <v>0</v>
      </c>
      <c r="Y421" s="22">
        <v>0.65412054153732158</v>
      </c>
      <c r="AA421" s="21">
        <v>0</v>
      </c>
      <c r="AC421" s="21">
        <v>7.4166453131965775E-3</v>
      </c>
      <c r="AE421" s="21">
        <v>4.9428988910673075</v>
      </c>
      <c r="AG421" s="21">
        <v>0</v>
      </c>
      <c r="AI421" s="21">
        <v>0</v>
      </c>
      <c r="AO421" s="37">
        <f>8*(BW421-$BW$333)/(2*($AA$333-AA421)+2*($AI$333-AI421))</f>
        <v>0.54931557459383706</v>
      </c>
      <c r="AQ421" s="37">
        <f>(BW421-$BW$333)/(($AA$333-AA421)+($AI$333-AI421))</f>
        <v>0.13732889364845927</v>
      </c>
      <c r="AS421" s="37">
        <f>14*(BX421-$BX$333)/(2*($AA$333-AA421)+2*($AI$333-AI421))</f>
        <v>1.0277164764101404E-3</v>
      </c>
      <c r="AU421" s="37">
        <f>(BX421-$BX$333)/(($AA$333-AA421)+($AI$333-AI421))</f>
        <v>1.4681663948716293E-4</v>
      </c>
      <c r="BG421" s="37">
        <v>190.03</v>
      </c>
      <c r="BI421" s="2">
        <v>0.25</v>
      </c>
      <c r="BK421" s="2">
        <v>0</v>
      </c>
      <c r="BM421" s="2">
        <v>0</v>
      </c>
      <c r="BO421" s="22">
        <f>(BG421/1000)/60.2*1000</f>
        <v>3.156644518272425</v>
      </c>
      <c r="BQ421" s="2">
        <f>BI421/74.08</f>
        <v>3.374730021598272E-3</v>
      </c>
      <c r="BS421" s="2">
        <f>(BK421/1000)/88.12*1000</f>
        <v>0</v>
      </c>
      <c r="BU421" s="2">
        <f>BM421/88.12</f>
        <v>0</v>
      </c>
      <c r="BW421" s="52">
        <f>BO421*0.05</f>
        <v>0.15783222591362125</v>
      </c>
      <c r="BX421" s="51">
        <f t="shared" si="27"/>
        <v>1.6873650107991362E-4</v>
      </c>
      <c r="BY421" s="51">
        <f t="shared" si="28"/>
        <v>0</v>
      </c>
      <c r="BZ421" s="67">
        <f t="shared" si="29"/>
        <v>0</v>
      </c>
    </row>
    <row r="422" spans="1:78" x14ac:dyDescent="0.3">
      <c r="A422" s="173"/>
      <c r="B422" s="70" t="s">
        <v>64</v>
      </c>
      <c r="C422" s="20">
        <v>11</v>
      </c>
      <c r="D422" s="69"/>
      <c r="E422" s="21"/>
      <c r="F422" s="37">
        <v>1.24</v>
      </c>
      <c r="G422" s="67"/>
      <c r="H422" s="37">
        <v>0.249</v>
      </c>
      <c r="I422" s="53">
        <f>H422*0.2907</f>
        <v>7.2384299999999999E-2</v>
      </c>
      <c r="L422" s="68"/>
      <c r="M422" s="22">
        <v>11.204208136303089</v>
      </c>
      <c r="O422" s="21">
        <v>0</v>
      </c>
      <c r="Q422" s="21">
        <v>0.32335635021324011</v>
      </c>
      <c r="S422" s="21">
        <v>88.472435513483674</v>
      </c>
      <c r="U422" s="21">
        <v>0</v>
      </c>
      <c r="W422" s="21">
        <v>0</v>
      </c>
      <c r="Y422" s="22">
        <v>0.62541086503181442</v>
      </c>
      <c r="AA422" s="21">
        <v>0</v>
      </c>
      <c r="AC422" s="21">
        <v>1.8049519630498428E-2</v>
      </c>
      <c r="AE422" s="21">
        <v>4.9384679178421891</v>
      </c>
      <c r="AG422" s="21">
        <v>0</v>
      </c>
      <c r="AI422" s="21">
        <v>0</v>
      </c>
      <c r="AO422" s="37">
        <f>8*(BW422-$BW$334)/(2*($AA$334-AA422)+2*($AI$334-AI422))</f>
        <v>0.52954996070819615</v>
      </c>
      <c r="AQ422" s="37">
        <f>(BW422-$BW$334)/(($AA$334-AA422)+($AI$334-AI422))</f>
        <v>0.13238749017704904</v>
      </c>
      <c r="AS422" s="37">
        <f>14*(BX422-$BX$334)/(2*($AA$334-AA422)+2*($AI$334-AI422))</f>
        <v>1.0012683351204787E-3</v>
      </c>
      <c r="AU422" s="37">
        <f>(BX422-$BX$334)/(($AA$334-AA422)+($AI$334-AI422))</f>
        <v>1.4303833358863982E-4</v>
      </c>
      <c r="BG422" s="37">
        <v>180.51</v>
      </c>
      <c r="BI422" s="2">
        <v>0.24</v>
      </c>
      <c r="BK422" s="2">
        <v>0</v>
      </c>
      <c r="BM422" s="2">
        <v>0</v>
      </c>
      <c r="BO422" s="22">
        <f>(BG422/1000)/60.2*1000</f>
        <v>2.9985049833887043</v>
      </c>
      <c r="BQ422" s="2">
        <f>BI422/74.08</f>
        <v>3.2397408207343412E-3</v>
      </c>
      <c r="BS422" s="2">
        <f>(BK422/1000)/88.12*1000</f>
        <v>0</v>
      </c>
      <c r="BU422" s="2">
        <f>BM422/88.12</f>
        <v>0</v>
      </c>
      <c r="BW422" s="52">
        <f>BO422*0.05</f>
        <v>0.14992524916943523</v>
      </c>
      <c r="BX422" s="51">
        <f t="shared" si="27"/>
        <v>1.6198704103671707E-4</v>
      </c>
      <c r="BY422" s="51">
        <f t="shared" si="28"/>
        <v>0</v>
      </c>
      <c r="BZ422" s="67">
        <f t="shared" si="29"/>
        <v>0</v>
      </c>
    </row>
    <row r="423" spans="1:78" ht="15" thickBot="1" x14ac:dyDescent="0.35">
      <c r="A423" s="175"/>
      <c r="B423" s="66" t="s">
        <v>63</v>
      </c>
      <c r="C423" s="65">
        <v>11</v>
      </c>
      <c r="D423" s="64" t="e">
        <f>AVERAGE(D420:D422)</f>
        <v>#DIV/0!</v>
      </c>
      <c r="E423" s="58"/>
      <c r="F423" s="60">
        <f>AVERAGE(F420:F422)</f>
        <v>1.2400000000000002</v>
      </c>
      <c r="G423" s="55">
        <f>_xlfn.STDEV.S(F420:F422)</f>
        <v>5.0000000000000044E-3</v>
      </c>
      <c r="H423" s="60">
        <f>AVERAGE(H420:H422)</f>
        <v>0.249</v>
      </c>
      <c r="I423" s="63">
        <f>AVERAGE(I420:I422)</f>
        <v>7.2384299999999999E-2</v>
      </c>
      <c r="J423" s="63">
        <f>_xlfn.STDEV.S(I420:I422)</f>
        <v>8.7210000000000065E-4</v>
      </c>
      <c r="K423" s="63"/>
      <c r="L423" s="62" t="e">
        <f>_xlfn.STDEV.S(K420:K422)</f>
        <v>#DIV/0!</v>
      </c>
      <c r="M423" s="59">
        <f>AVERAGE(M420:M422)</f>
        <v>11.188876741359451</v>
      </c>
      <c r="N423" s="58">
        <f>_xlfn.STDEV.S(M420:M422)</f>
        <v>0.49044702702371662</v>
      </c>
      <c r="O423" s="58">
        <f>AVERAGE(O420:O422)</f>
        <v>0</v>
      </c>
      <c r="P423" s="58">
        <f>_xlfn.STDEV.S(O420:O422)</f>
        <v>0</v>
      </c>
      <c r="Q423" s="58">
        <f>AVERAGE(Q420:Q422)</f>
        <v>0.29377327753811816</v>
      </c>
      <c r="R423" s="58">
        <f>_xlfn.STDEV.S(Q420:Q422)</f>
        <v>0.14886758458532548</v>
      </c>
      <c r="S423" s="58">
        <f>AVERAGE(S420:S422)</f>
        <v>88.517349981102427</v>
      </c>
      <c r="T423" s="58">
        <f>_xlfn.STDEV.S(S420:S422)</f>
        <v>0.34581531600218018</v>
      </c>
      <c r="U423" s="58">
        <f>AVERAGE(U420:U422)</f>
        <v>0</v>
      </c>
      <c r="V423" s="58">
        <f>_xlfn.STDEV.S(U420:U422)</f>
        <v>0</v>
      </c>
      <c r="W423" s="58">
        <f>AVERAGE(W420:W422)</f>
        <v>0</v>
      </c>
      <c r="X423" s="58">
        <f>_xlfn.STDEV.S(W420:W422)</f>
        <v>0</v>
      </c>
      <c r="Y423" s="59">
        <f>AVERAGE(Y420:Y422)</f>
        <v>0.62462864306255861</v>
      </c>
      <c r="Z423" s="58">
        <f>_xlfn.STDEV.S(Y420:Y422)</f>
        <v>2.9890686806377294E-2</v>
      </c>
      <c r="AA423" s="58">
        <f>AVERAGE(AA420:AA422)</f>
        <v>0</v>
      </c>
      <c r="AB423" s="58">
        <f>_xlfn.STDEV.S(AA420:AA422)</f>
        <v>0</v>
      </c>
      <c r="AC423" s="58">
        <f>AVERAGE(AC420:AC422)</f>
        <v>1.6376209151025844E-2</v>
      </c>
      <c r="AD423" s="58">
        <f>_xlfn.STDEV.S(AC420:AC422)</f>
        <v>8.2511587103574254E-3</v>
      </c>
      <c r="AE423" s="58">
        <f>AVERAGE(AE420:AE422)</f>
        <v>4.9409234502909172</v>
      </c>
      <c r="AF423" s="58">
        <f>_xlfn.STDEV.S(AE420:AE422)</f>
        <v>2.2541621372064499E-3</v>
      </c>
      <c r="AG423" s="58">
        <f>AVERAGE(AG420:AG422)</f>
        <v>0</v>
      </c>
      <c r="AH423" s="58">
        <f>_xlfn.STDEV.S(AG420:AG422)</f>
        <v>0</v>
      </c>
      <c r="AI423" s="58">
        <f>AVERAGE(AI420:AI422)</f>
        <v>0</v>
      </c>
      <c r="AJ423" s="58">
        <f>_xlfn.STDEV.S(AI420:AI422)</f>
        <v>0</v>
      </c>
      <c r="AK423" s="60"/>
      <c r="AL423" s="60"/>
      <c r="AM423" s="60"/>
      <c r="AN423" s="60"/>
      <c r="AO423" s="60">
        <f>AVERAGE(AO420:AO422)</f>
        <v>0.54007946180832922</v>
      </c>
      <c r="AP423" s="60">
        <f>_xlfn.STDEV.S(AO420:AO422)</f>
        <v>9.9460802866439373E-3</v>
      </c>
      <c r="AQ423" s="60">
        <f>AVERAGE(AQ420:AQ422)</f>
        <v>0.1350198654520823</v>
      </c>
      <c r="AR423" s="60">
        <f>_xlfn.STDEV.S(AQ420:AQ422)</f>
        <v>2.4865200716609843E-3</v>
      </c>
      <c r="AS423" s="60">
        <f>AVERAGE(AS420:AS422)</f>
        <v>8.4439882189312431E-4</v>
      </c>
      <c r="AT423" s="60">
        <f>_xlfn.STDEV.S(AS420:AS422)</f>
        <v>2.9490737167434773E-4</v>
      </c>
      <c r="AU423" s="60">
        <f>AVERAGE(AU420:AU422)</f>
        <v>1.206284031275892E-4</v>
      </c>
      <c r="AV423" s="60">
        <f>_xlfn.STDEV.S(AU420:AU422)</f>
        <v>4.2129624524906829E-5</v>
      </c>
      <c r="AW423" s="60"/>
      <c r="AX423" s="60"/>
      <c r="AY423" s="59">
        <f>SUM(AK423,AO423,AS423)</f>
        <v>0.54092386063022235</v>
      </c>
      <c r="AZ423" s="59">
        <f>SUM(AL423,AP423,AT423)</f>
        <v>1.0240987658318285E-2</v>
      </c>
      <c r="BA423" s="60"/>
      <c r="BB423" s="60"/>
      <c r="BC423" s="60"/>
      <c r="BD423" s="60"/>
      <c r="BE423" s="60"/>
      <c r="BF423" s="60"/>
      <c r="BG423" s="59">
        <v>189.68666666666664</v>
      </c>
      <c r="BH423" s="58">
        <v>9.0099075096991701</v>
      </c>
      <c r="BI423" s="57">
        <v>0.20666666666666667</v>
      </c>
      <c r="BJ423" s="57">
        <v>6.658328118479391E-2</v>
      </c>
      <c r="BK423" s="57">
        <v>0</v>
      </c>
      <c r="BL423" s="57">
        <v>0</v>
      </c>
      <c r="BM423" s="57">
        <v>0</v>
      </c>
      <c r="BN423" s="57">
        <v>0</v>
      </c>
      <c r="BO423" s="59">
        <f>AVERAGE(BO420:BO422)</f>
        <v>3.1509413067552603</v>
      </c>
      <c r="BP423" s="58">
        <f>_xlfn.STDEV.S(BO420:BO422)</f>
        <v>0.14966623770264387</v>
      </c>
      <c r="BQ423" s="57">
        <f>AVERAGE(BQ420:BQ422)</f>
        <v>2.7897768178545717E-3</v>
      </c>
      <c r="BR423" s="57">
        <f>_xlfn.STDEV.S(BQ420:BQ422)</f>
        <v>8.9880239180337369E-4</v>
      </c>
      <c r="BS423" s="57">
        <f>AVERAGE(BS420:BS422)</f>
        <v>0</v>
      </c>
      <c r="BT423" s="57">
        <f>_xlfn.STDEV.S(BS420:BS422)</f>
        <v>0</v>
      </c>
      <c r="BU423" s="57">
        <f>AVERAGE(BU420:BU422)</f>
        <v>0</v>
      </c>
      <c r="BV423" s="57">
        <f>_xlfn.STDEV.S(BU420:BU422)</f>
        <v>0</v>
      </c>
      <c r="BW423" s="56">
        <f>AVERAGE(BW420:BW422)</f>
        <v>0.15754706533776303</v>
      </c>
      <c r="BX423" s="55">
        <f t="shared" si="27"/>
        <v>1.3948884089272858E-4</v>
      </c>
      <c r="BY423" s="55">
        <f t="shared" si="28"/>
        <v>0</v>
      </c>
      <c r="BZ423" s="54">
        <f t="shared" si="29"/>
        <v>0</v>
      </c>
    </row>
    <row r="424" spans="1:78" x14ac:dyDescent="0.3">
      <c r="A424" s="172" t="s">
        <v>59</v>
      </c>
      <c r="B424" s="95" t="s">
        <v>69</v>
      </c>
      <c r="C424" s="94">
        <v>12</v>
      </c>
      <c r="D424" s="93"/>
      <c r="E424" s="88"/>
      <c r="F424" s="90">
        <v>1.24</v>
      </c>
      <c r="G424" s="85"/>
      <c r="H424" s="90">
        <v>0.31900000000000001</v>
      </c>
      <c r="I424" s="92">
        <f>H424*0.2907</f>
        <v>9.2733300000000005E-2</v>
      </c>
      <c r="J424" s="92"/>
      <c r="K424" s="92"/>
      <c r="L424" s="91"/>
      <c r="M424" s="89">
        <v>13.669088205203719</v>
      </c>
      <c r="O424" s="88">
        <v>0</v>
      </c>
      <c r="Q424" s="88">
        <v>0.1275160435039511</v>
      </c>
      <c r="S424" s="88">
        <v>84.025583688595887</v>
      </c>
      <c r="U424" s="88">
        <v>2.1778120626964483</v>
      </c>
      <c r="W424" s="88">
        <v>0</v>
      </c>
      <c r="X424" s="88"/>
      <c r="Y424" s="89">
        <v>0.76299870322057095</v>
      </c>
      <c r="AA424" s="88">
        <v>0</v>
      </c>
      <c r="AC424" s="88">
        <v>7.117854122580999E-3</v>
      </c>
      <c r="AE424" s="88">
        <v>4.6902478372583394</v>
      </c>
      <c r="AG424" s="88">
        <v>0.12156390790301014</v>
      </c>
      <c r="AI424" s="88">
        <v>0</v>
      </c>
      <c r="AJ424" s="87"/>
      <c r="AK424" s="89">
        <f>8*(AG424-$AG$328)/(2*($AA$328-AA424)+2*($AI$328-AI424))</f>
        <v>0.5208941246094434</v>
      </c>
      <c r="AL424" s="89"/>
      <c r="AM424" s="89">
        <f>(AG424-$AG$328)/(($AA$328-AA424)+($AI$328-AI424))</f>
        <v>0.13022353115236085</v>
      </c>
      <c r="AN424" s="89"/>
      <c r="AO424" s="37">
        <f>8*(BW424-$BW$328)/(2*($AA$328-AA424)+2*($AI$328-AI424))</f>
        <v>0.26766643074197904</v>
      </c>
      <c r="AQ424" s="37">
        <f>(BW424-$BW$328)/(($AA$328-AA424)+($AI$328-AI424))</f>
        <v>6.6916607685494761E-2</v>
      </c>
      <c r="AS424" s="37">
        <f>14*(BX424-$BX$328)/(2*($AA$328-AA424)+2*($AI$328-AI424))</f>
        <v>0</v>
      </c>
      <c r="AU424" s="37">
        <f>(BX424-$BX$328)/(($AA$328-AA424)+($AI$328-AI424))</f>
        <v>0</v>
      </c>
      <c r="AY424" s="90"/>
      <c r="AZ424" s="90"/>
      <c r="BA424" s="90"/>
      <c r="BB424" s="90"/>
      <c r="BC424" s="90"/>
      <c r="BD424" s="90"/>
      <c r="BE424" s="90"/>
      <c r="BF424" s="90"/>
      <c r="BG424" s="90">
        <v>75.209999999999994</v>
      </c>
      <c r="BH424" s="87"/>
      <c r="BI424" s="87">
        <v>0</v>
      </c>
      <c r="BJ424" s="87"/>
      <c r="BK424" s="87">
        <v>0</v>
      </c>
      <c r="BL424" s="87"/>
      <c r="BM424" s="87">
        <v>0</v>
      </c>
      <c r="BN424" s="87"/>
      <c r="BO424" s="89">
        <f>(BG424/1000)/60.2*1000</f>
        <v>1.2493355481727575</v>
      </c>
      <c r="BP424" s="88"/>
      <c r="BQ424" s="87">
        <f>BI424/74.08</f>
        <v>0</v>
      </c>
      <c r="BR424" s="87"/>
      <c r="BS424" s="87">
        <f>(BK424/1000)/88.12*1000</f>
        <v>0</v>
      </c>
      <c r="BT424" s="87"/>
      <c r="BU424" s="87">
        <f>BM424/88.12</f>
        <v>0</v>
      </c>
      <c r="BV424" s="87"/>
      <c r="BW424" s="86">
        <f>BO424*0.05</f>
        <v>6.2466777408637875E-2</v>
      </c>
      <c r="BX424" s="85">
        <f t="shared" ref="BX424:BX447" si="30">BQ424*0.05</f>
        <v>0</v>
      </c>
      <c r="BY424" s="85">
        <f t="shared" ref="BY424:BY447" si="31">BS424*0.05</f>
        <v>0</v>
      </c>
      <c r="BZ424" s="84">
        <f t="shared" ref="BZ424:BZ447" si="32">BU424*0.05</f>
        <v>0</v>
      </c>
    </row>
    <row r="425" spans="1:78" x14ac:dyDescent="0.3">
      <c r="A425" s="173"/>
      <c r="B425" s="70" t="s">
        <v>68</v>
      </c>
      <c r="C425" s="20">
        <v>12</v>
      </c>
      <c r="D425" s="69"/>
      <c r="E425" s="21"/>
      <c r="F425" s="37">
        <v>1.2450000000000001</v>
      </c>
      <c r="H425" s="37">
        <v>0.32300000000000001</v>
      </c>
      <c r="I425" s="53">
        <f>H425*0.2907</f>
        <v>9.389610000000001E-2</v>
      </c>
      <c r="L425" s="68"/>
      <c r="M425" s="22">
        <v>13.143837672044562</v>
      </c>
      <c r="O425" s="21">
        <v>0</v>
      </c>
      <c r="Q425" s="21">
        <v>0.19736272155808574</v>
      </c>
      <c r="S425" s="21">
        <v>84.507981840853049</v>
      </c>
      <c r="U425" s="21">
        <v>2.1508177655442995</v>
      </c>
      <c r="W425" s="21">
        <v>0</v>
      </c>
      <c r="Y425" s="22">
        <v>0.73663798051502005</v>
      </c>
      <c r="AA425" s="21">
        <v>0</v>
      </c>
      <c r="AC425" s="21">
        <v>1.106106757136186E-2</v>
      </c>
      <c r="AE425" s="21">
        <v>4.7361958230090133</v>
      </c>
      <c r="AG425" s="21">
        <v>0.12054120682243077</v>
      </c>
      <c r="AI425" s="21">
        <v>0</v>
      </c>
      <c r="AK425" s="22">
        <f>8*(AG425-$AG$329)/(2*($AA$329-AA425)+2*($AI$329-AI425))</f>
        <v>0.52734895493215539</v>
      </c>
      <c r="AL425" s="22"/>
      <c r="AM425" s="22">
        <f>(AG425-$AG$329)/(($AA$329-AA425)+($AI$329-AI425))</f>
        <v>0.13183723873303885</v>
      </c>
      <c r="AN425" s="22"/>
      <c r="AO425" s="37">
        <f>8*(BW425-$BW$329)/(2*($AA$329-AA425)+2*($AI$329-AI425))</f>
        <v>0.32346229048984076</v>
      </c>
      <c r="AQ425" s="37">
        <f>(BW425-$BW$329)/(($AA$329-AA425)+($AI$329-AI425))</f>
        <v>8.0865572622460191E-2</v>
      </c>
      <c r="AS425" s="37">
        <f>14*(BX425-$BX$329)/(2*($AA$329-AA425)+2*($AI$329-AI425))</f>
        <v>0</v>
      </c>
      <c r="AU425" s="37">
        <f>(BX425-$BX$329)/(($AA$329-AA425)+($AI$329-AI425))</f>
        <v>0</v>
      </c>
      <c r="BG425" s="37">
        <v>89.02</v>
      </c>
      <c r="BI425" s="2">
        <v>0</v>
      </c>
      <c r="BK425" s="2">
        <v>0</v>
      </c>
      <c r="BM425" s="2">
        <v>0</v>
      </c>
      <c r="BO425" s="22">
        <f>(BG425/1000)/60.2*1000</f>
        <v>1.4787375415282391</v>
      </c>
      <c r="BQ425" s="2">
        <f>BI425/74.08</f>
        <v>0</v>
      </c>
      <c r="BS425" s="2">
        <f>(BK425/1000)/88.12*1000</f>
        <v>0</v>
      </c>
      <c r="BU425" s="2">
        <f>BM425/88.12</f>
        <v>0</v>
      </c>
      <c r="BW425" s="52">
        <f>BO425*0.05</f>
        <v>7.3936877076411958E-2</v>
      </c>
      <c r="BX425" s="51">
        <f t="shared" si="30"/>
        <v>0</v>
      </c>
      <c r="BY425" s="51">
        <f t="shared" si="31"/>
        <v>0</v>
      </c>
      <c r="BZ425" s="67">
        <f t="shared" si="32"/>
        <v>0</v>
      </c>
    </row>
    <row r="426" spans="1:78" x14ac:dyDescent="0.3">
      <c r="A426" s="173"/>
      <c r="B426" s="70" t="s">
        <v>67</v>
      </c>
      <c r="C426" s="20">
        <v>12</v>
      </c>
      <c r="D426" s="69"/>
      <c r="E426" s="21"/>
      <c r="F426" s="37">
        <v>1.24</v>
      </c>
      <c r="H426" s="37">
        <v>0.313</v>
      </c>
      <c r="I426" s="53">
        <f>H426*0.2907</f>
        <v>9.0989100000000003E-2</v>
      </c>
      <c r="L426" s="68"/>
      <c r="M426" s="22">
        <v>11.456198750613867</v>
      </c>
      <c r="O426" s="21">
        <v>0</v>
      </c>
      <c r="Q426" s="21">
        <v>0.19307424942878534</v>
      </c>
      <c r="S426" s="21">
        <v>86.29434554738279</v>
      </c>
      <c r="U426" s="21">
        <v>2.0563814525745623</v>
      </c>
      <c r="W426" s="21">
        <v>0</v>
      </c>
      <c r="Y426" s="22">
        <v>0.63947680045168243</v>
      </c>
      <c r="AA426" s="21">
        <v>0</v>
      </c>
      <c r="AC426" s="21">
        <v>1.0777266173713504E-2</v>
      </c>
      <c r="AE426" s="21">
        <v>4.8168884975703925</v>
      </c>
      <c r="AG426" s="21">
        <v>0.11478573830871268</v>
      </c>
      <c r="AI426" s="21">
        <v>0</v>
      </c>
      <c r="AK426" s="22">
        <f>8*(AG426-$AG$330)/(2*($AA$330-AA426)+2*($AI$330-AI426))</f>
        <v>0.53028263590516156</v>
      </c>
      <c r="AL426" s="22"/>
      <c r="AM426" s="22">
        <f>(AG426-$AG$330)/(($AA$330-AA426)+($AI$330-AI426))</f>
        <v>0.13257065897629039</v>
      </c>
      <c r="AN426" s="22"/>
      <c r="AO426" s="37">
        <f>8*(BW426-$BW$330)/(2*($AA$330-AA426)+2*($AI$330-AI426))</f>
        <v>0.27077783088474255</v>
      </c>
      <c r="AQ426" s="37">
        <f>(BW426-$BW$330)/(($AA$330-AA426)+($AI$330-AI426))</f>
        <v>6.7694457721185639E-2</v>
      </c>
      <c r="AS426" s="37">
        <f>14*(BX426-$BX$330)/(2*($AA$330-AA426)+2*($AI$330-AI426))</f>
        <v>0</v>
      </c>
      <c r="AU426" s="37">
        <f>(BX426-$BX$330)/(($AA$330-AA426)+($AI$330-AI426))</f>
        <v>0</v>
      </c>
      <c r="BG426" s="37">
        <v>70.569999999999993</v>
      </c>
      <c r="BI426" s="2">
        <v>0</v>
      </c>
      <c r="BK426" s="2">
        <v>0</v>
      </c>
      <c r="BM426" s="2">
        <v>0</v>
      </c>
      <c r="BO426" s="22">
        <f>(BG426/1000)/60.2*1000</f>
        <v>1.1722591362126245</v>
      </c>
      <c r="BQ426" s="2">
        <f>BI426/74.08</f>
        <v>0</v>
      </c>
      <c r="BS426" s="2">
        <f>(BK426/1000)/88.12*1000</f>
        <v>0</v>
      </c>
      <c r="BU426" s="2">
        <f>BM426/88.12</f>
        <v>0</v>
      </c>
      <c r="BW426" s="52">
        <f>BO426*0.05</f>
        <v>5.8612956810631223E-2</v>
      </c>
      <c r="BX426" s="51">
        <f t="shared" si="30"/>
        <v>0</v>
      </c>
      <c r="BY426" s="51">
        <f t="shared" si="31"/>
        <v>0</v>
      </c>
      <c r="BZ426" s="67">
        <f t="shared" si="32"/>
        <v>0</v>
      </c>
    </row>
    <row r="427" spans="1:78" x14ac:dyDescent="0.3">
      <c r="A427" s="173"/>
      <c r="B427" s="83" t="s">
        <v>63</v>
      </c>
      <c r="C427" s="80">
        <v>12</v>
      </c>
      <c r="D427" s="79" t="e">
        <f>AVERAGE(D424:D426)</f>
        <v>#DIV/0!</v>
      </c>
      <c r="E427" s="76"/>
      <c r="F427" s="78">
        <f>AVERAGE(F424:F426)</f>
        <v>1.2416666666666669</v>
      </c>
      <c r="G427" s="73">
        <f>_xlfn.STDEV.S(F424:F426)</f>
        <v>2.8867513459481953E-3</v>
      </c>
      <c r="H427" s="78">
        <f>AVERAGE(H424:H426)</f>
        <v>0.31833333333333336</v>
      </c>
      <c r="I427" s="82">
        <f>AVERAGE(I424:I426)</f>
        <v>9.2539499999999997E-2</v>
      </c>
      <c r="J427" s="82">
        <f>_xlfn.STDEV.S(I424:I426)</f>
        <v>1.4631579135554744E-3</v>
      </c>
      <c r="K427" s="82"/>
      <c r="L427" s="81" t="e">
        <f>_xlfn.STDEV.S(K424:K426)</f>
        <v>#DIV/0!</v>
      </c>
      <c r="M427" s="77">
        <f>AVERAGE(M424:M426)</f>
        <v>12.75637487595405</v>
      </c>
      <c r="N427" s="76">
        <f>_xlfn.STDEV.S(M424:M426)</f>
        <v>1.1562073768682037</v>
      </c>
      <c r="O427" s="76">
        <f>AVERAGE(O424:O426)</f>
        <v>0</v>
      </c>
      <c r="P427" s="76">
        <f>_xlfn.STDEV.S(O424:O426)</f>
        <v>0</v>
      </c>
      <c r="Q427" s="76">
        <f>AVERAGE(Q424:Q426)</f>
        <v>0.17265100483027407</v>
      </c>
      <c r="R427" s="76">
        <f>_xlfn.STDEV.S(Q424:Q426)</f>
        <v>3.91467916788521E-2</v>
      </c>
      <c r="S427" s="76">
        <f>AVERAGE(S424:S426)</f>
        <v>84.94263702561058</v>
      </c>
      <c r="T427" s="76">
        <f>_xlfn.STDEV.S(S424:S426)</f>
        <v>1.1952045599808427</v>
      </c>
      <c r="U427" s="76">
        <f>AVERAGE(U424:U426)</f>
        <v>2.1283370936051038</v>
      </c>
      <c r="V427" s="76">
        <f>_xlfn.STDEV.S(U424:U426)</f>
        <v>6.3760361720834782E-2</v>
      </c>
      <c r="W427" s="76">
        <f>AVERAGE(W424:W426)</f>
        <v>0</v>
      </c>
      <c r="X427" s="76">
        <f>_xlfn.STDEV.S(W424:W426)</f>
        <v>0</v>
      </c>
      <c r="Y427" s="77">
        <f>AVERAGE(Y424:Y426)</f>
        <v>0.71303782806242444</v>
      </c>
      <c r="Z427" s="76">
        <f>_xlfn.STDEV.S(Y424:Y426)</f>
        <v>6.5054903833231537E-2</v>
      </c>
      <c r="AA427" s="76">
        <f>AVERAGE(AA424:AA426)</f>
        <v>0</v>
      </c>
      <c r="AB427" s="76">
        <f>_xlfn.STDEV.S(AA424:AA426)</f>
        <v>0</v>
      </c>
      <c r="AC427" s="76">
        <f>AVERAGE(AC424:AC426)</f>
        <v>9.6520626225521221E-3</v>
      </c>
      <c r="AD427" s="76">
        <f>_xlfn.STDEV.S(AC424:AC426)</f>
        <v>2.19927154970031E-3</v>
      </c>
      <c r="AE427" s="76">
        <f>AVERAGE(AE424:AE426)</f>
        <v>4.7477773859459154</v>
      </c>
      <c r="AF427" s="76">
        <f>_xlfn.STDEV.S(AE424:AE426)</f>
        <v>6.4109778202036144E-2</v>
      </c>
      <c r="AG427" s="76">
        <f>AVERAGE(AG424:AG426)</f>
        <v>0.11896361767805119</v>
      </c>
      <c r="AH427" s="76">
        <f>_xlfn.STDEV.S(AG424:AG426)</f>
        <v>3.654105416324611E-3</v>
      </c>
      <c r="AI427" s="76">
        <f>AVERAGE(AI424:AI426)</f>
        <v>0</v>
      </c>
      <c r="AJ427" s="76">
        <f>_xlfn.STDEV.S(AI424:AI426)</f>
        <v>0</v>
      </c>
      <c r="AK427" s="77">
        <f>AVERAGE(AK424:AK426)</f>
        <v>0.52617523848225345</v>
      </c>
      <c r="AL427" s="77">
        <f>_xlfn.STDEV.S(AK424:AK426)</f>
        <v>4.8030452648329981E-3</v>
      </c>
      <c r="AM427" s="77">
        <f>AVERAGE(AM424:AM426)</f>
        <v>0.13154380962056336</v>
      </c>
      <c r="AN427" s="77">
        <f>_xlfn.STDEV.S(AM424:AM426)</f>
        <v>1.2007613162082495E-3</v>
      </c>
      <c r="AO427" s="78">
        <f>AVERAGE(AO424:AO426)</f>
        <v>0.2873021840388541</v>
      </c>
      <c r="AP427" s="78">
        <f>_xlfn.STDEV.S(AO424:AO426)</f>
        <v>3.1354189139923737E-2</v>
      </c>
      <c r="AQ427" s="78">
        <f>AVERAGE(AQ424:AQ426)</f>
        <v>7.1825546009713526E-2</v>
      </c>
      <c r="AR427" s="78">
        <f>_xlfn.STDEV.S(AQ424:AQ426)</f>
        <v>7.8385472849809342E-3</v>
      </c>
      <c r="AS427" s="78">
        <f>AVERAGE(AS424:AS426)</f>
        <v>0</v>
      </c>
      <c r="AT427" s="78">
        <f>_xlfn.STDEV.S(AS424:AS426)</f>
        <v>0</v>
      </c>
      <c r="AU427" s="78">
        <f>AVERAGE(AU424:AU426)</f>
        <v>0</v>
      </c>
      <c r="AV427" s="80">
        <f>_xlfn.STDEV.S(AU424:AU426)</f>
        <v>0</v>
      </c>
      <c r="AW427" s="78"/>
      <c r="AX427" s="78"/>
      <c r="AY427" s="79">
        <f>SUM(AK427,AO427,AS427)</f>
        <v>0.81347742252110755</v>
      </c>
      <c r="AZ427" s="77">
        <f>SUM(AL427,AP427,AT427)</f>
        <v>3.6157234404756738E-2</v>
      </c>
      <c r="BA427" s="78"/>
      <c r="BB427" s="78"/>
      <c r="BC427" s="78"/>
      <c r="BD427" s="78"/>
      <c r="BE427" s="78"/>
      <c r="BF427" s="78"/>
      <c r="BG427" s="77">
        <v>78.266666666666666</v>
      </c>
      <c r="BH427" s="76">
        <v>9.5972930211249334</v>
      </c>
      <c r="BI427" s="75">
        <v>0</v>
      </c>
      <c r="BJ427" s="75">
        <v>0</v>
      </c>
      <c r="BK427" s="75">
        <v>0</v>
      </c>
      <c r="BL427" s="75">
        <v>0</v>
      </c>
      <c r="BM427" s="75">
        <v>0</v>
      </c>
      <c r="BN427" s="75">
        <v>0</v>
      </c>
      <c r="BO427" s="77">
        <f>AVERAGE(BO424:BO426)</f>
        <v>1.300110741971207</v>
      </c>
      <c r="BP427" s="76">
        <f>_xlfn.STDEV.S(BO424:BO426)</f>
        <v>0.15942347211170982</v>
      </c>
      <c r="BQ427" s="75">
        <f>AVERAGE(BQ424:BQ426)</f>
        <v>0</v>
      </c>
      <c r="BR427" s="75">
        <f>_xlfn.STDEV.S(BQ424:BQ426)</f>
        <v>0</v>
      </c>
      <c r="BS427" s="75">
        <f>AVERAGE(BS424:BS426)</f>
        <v>0</v>
      </c>
      <c r="BT427" s="75">
        <f>_xlfn.STDEV.S(BS424:BS426)</f>
        <v>0</v>
      </c>
      <c r="BU427" s="75">
        <f>AVERAGE(BU424:BU426)</f>
        <v>0</v>
      </c>
      <c r="BV427" s="75">
        <f>_xlfn.STDEV.S(BU424:BU426)</f>
        <v>0</v>
      </c>
      <c r="BW427" s="74">
        <f>AVERAGE(BW424:BW426)</f>
        <v>6.5005537098560343E-2</v>
      </c>
      <c r="BX427" s="73">
        <f t="shared" si="30"/>
        <v>0</v>
      </c>
      <c r="BY427" s="73">
        <f t="shared" si="31"/>
        <v>0</v>
      </c>
      <c r="BZ427" s="72">
        <f t="shared" si="32"/>
        <v>0</v>
      </c>
    </row>
    <row r="428" spans="1:78" x14ac:dyDescent="0.3">
      <c r="A428" s="174" t="s">
        <v>60</v>
      </c>
      <c r="B428" s="70" t="s">
        <v>66</v>
      </c>
      <c r="C428" s="20">
        <v>12</v>
      </c>
      <c r="D428" s="69">
        <v>7.15</v>
      </c>
      <c r="E428" s="21"/>
      <c r="F428" s="37">
        <v>1.2350000000000001</v>
      </c>
      <c r="H428" s="37">
        <v>0.249</v>
      </c>
      <c r="I428" s="53">
        <f>H428*0.2907</f>
        <v>7.2384299999999999E-2</v>
      </c>
      <c r="K428" s="53">
        <f>(I428-I332)/(AI332/1000-AI428/1000)*0.05</f>
        <v>1.7420890399561779</v>
      </c>
      <c r="L428" s="68"/>
      <c r="M428" s="22">
        <v>10.797044754128148</v>
      </c>
      <c r="O428" s="21">
        <v>0</v>
      </c>
      <c r="Q428" s="21">
        <v>0.11921651586045516</v>
      </c>
      <c r="S428" s="21">
        <v>89.08373873001139</v>
      </c>
      <c r="U428" s="21">
        <v>0</v>
      </c>
      <c r="W428" s="21">
        <v>0</v>
      </c>
      <c r="Y428" s="22">
        <v>0.60025312238022144</v>
      </c>
      <c r="AA428" s="21">
        <v>0</v>
      </c>
      <c r="AC428" s="21">
        <v>6.6277474544290532E-3</v>
      </c>
      <c r="AE428" s="21">
        <v>4.9525396572565263</v>
      </c>
      <c r="AG428" s="21">
        <v>0</v>
      </c>
      <c r="AI428" s="21">
        <v>0</v>
      </c>
      <c r="AO428" s="37">
        <f>8*(BW428-$BW$332)/(2*($AA$332-AA428)+2*($AI$332-AI428))</f>
        <v>0.54840933351498078</v>
      </c>
      <c r="AQ428" s="37">
        <f>(BW428-$BW$332)/(($AA$332-AA428)+($AI$332-AI428))</f>
        <v>0.13710233337874519</v>
      </c>
      <c r="AS428" s="37">
        <f>14*(BX428-$BX$332)/(2*($AA$332-AA428)+2*($AI$332-AI428))</f>
        <v>5.4299716600635008E-4</v>
      </c>
      <c r="AU428" s="37">
        <f>(BX428-$BX$332)/(($AA$332-AA428)+($AI$332-AI428))</f>
        <v>7.7571023715192861E-5</v>
      </c>
      <c r="BG428" s="37">
        <v>201.1</v>
      </c>
      <c r="BI428" s="2">
        <v>0.14000000000000001</v>
      </c>
      <c r="BK428" s="2">
        <v>0</v>
      </c>
      <c r="BM428" s="2">
        <v>0</v>
      </c>
      <c r="BO428" s="22">
        <f>(BG428/1000)/60.2*1000</f>
        <v>3.3405315614617939</v>
      </c>
      <c r="BQ428" s="2">
        <f>BI428/74.08</f>
        <v>1.8898488120950327E-3</v>
      </c>
      <c r="BS428" s="2">
        <f>(BK428/1000)/88.12*1000</f>
        <v>0</v>
      </c>
      <c r="BU428" s="2">
        <f>BM428/88.12</f>
        <v>0</v>
      </c>
      <c r="BW428" s="52">
        <f>BO428*0.05</f>
        <v>0.16702657807308971</v>
      </c>
      <c r="BX428" s="51">
        <f t="shared" si="30"/>
        <v>9.4492440604751634E-5</v>
      </c>
      <c r="BY428" s="51">
        <f t="shared" si="31"/>
        <v>0</v>
      </c>
      <c r="BZ428" s="67">
        <f t="shared" si="32"/>
        <v>0</v>
      </c>
    </row>
    <row r="429" spans="1:78" x14ac:dyDescent="0.3">
      <c r="A429" s="173"/>
      <c r="B429" s="70" t="s">
        <v>65</v>
      </c>
      <c r="C429" s="20">
        <v>12</v>
      </c>
      <c r="D429" s="69">
        <v>7.16</v>
      </c>
      <c r="E429" s="21"/>
      <c r="F429" s="37">
        <v>1.23</v>
      </c>
      <c r="H429" s="37">
        <v>0.24199999999999999</v>
      </c>
      <c r="I429" s="53">
        <f>H429*0.2907</f>
        <v>7.0349400000000006E-2</v>
      </c>
      <c r="K429" s="53">
        <f>(I429-I333)/(AI333/1000-AI429/1000)*0.05</f>
        <v>1.5049713672698242</v>
      </c>
      <c r="L429" s="68"/>
      <c r="M429" s="22">
        <v>11.713945826773383</v>
      </c>
      <c r="O429" s="21">
        <v>0</v>
      </c>
      <c r="Q429" s="21">
        <v>8.0264536599121486E-2</v>
      </c>
      <c r="S429" s="21">
        <v>88.2057896366275</v>
      </c>
      <c r="U429" s="21">
        <v>0</v>
      </c>
      <c r="W429" s="21">
        <v>0</v>
      </c>
      <c r="Y429" s="22">
        <v>0.64859096020725115</v>
      </c>
      <c r="AA429" s="21">
        <v>0</v>
      </c>
      <c r="AC429" s="21">
        <v>4.4441773620318946E-3</v>
      </c>
      <c r="AE429" s="21">
        <v>4.8838776141085702</v>
      </c>
      <c r="AG429" s="21">
        <v>0</v>
      </c>
      <c r="AI429" s="21">
        <v>0</v>
      </c>
      <c r="AO429" s="37">
        <f>8*(BW429-$BW$333)/(2*($AA$333-AA429)+2*($AI$333-AI429))</f>
        <v>0.5613697026054999</v>
      </c>
      <c r="AQ429" s="37">
        <f>(BW429-$BW$333)/(($AA$333-AA429)+($AI$333-AI429))</f>
        <v>0.14034242565137497</v>
      </c>
      <c r="AS429" s="37">
        <f>14*(BX429-$BX$333)/(2*($AA$333-AA429)+2*($AI$333-AI429))</f>
        <v>1.0277164764101404E-3</v>
      </c>
      <c r="AU429" s="37">
        <f>(BX429-$BX$333)/(($AA$333-AA429)+($AI$333-AI429))</f>
        <v>1.4681663948716293E-4</v>
      </c>
      <c r="BG429" s="37">
        <v>194.2</v>
      </c>
      <c r="BI429" s="2">
        <v>0.25</v>
      </c>
      <c r="BK429" s="2">
        <v>0</v>
      </c>
      <c r="BM429" s="2">
        <v>0</v>
      </c>
      <c r="BO429" s="22">
        <f>(BG429/1000)/60.2*1000</f>
        <v>3.2259136212624582</v>
      </c>
      <c r="BQ429" s="2">
        <f>BI429/74.08</f>
        <v>3.374730021598272E-3</v>
      </c>
      <c r="BS429" s="2">
        <f>(BK429/1000)/88.12*1000</f>
        <v>0</v>
      </c>
      <c r="BU429" s="2">
        <f>BM429/88.12</f>
        <v>0</v>
      </c>
      <c r="BW429" s="52">
        <f>BO429*0.05</f>
        <v>0.16129568106312292</v>
      </c>
      <c r="BX429" s="51">
        <f t="shared" si="30"/>
        <v>1.6873650107991362E-4</v>
      </c>
      <c r="BY429" s="51">
        <f t="shared" si="31"/>
        <v>0</v>
      </c>
      <c r="BZ429" s="67">
        <f t="shared" si="32"/>
        <v>0</v>
      </c>
    </row>
    <row r="430" spans="1:78" x14ac:dyDescent="0.3">
      <c r="A430" s="173"/>
      <c r="B430" s="70" t="s">
        <v>64</v>
      </c>
      <c r="C430" s="20">
        <v>12</v>
      </c>
      <c r="D430" s="69">
        <v>7.19</v>
      </c>
      <c r="E430" s="21"/>
      <c r="F430" s="37">
        <v>1.2549999999999999</v>
      </c>
      <c r="G430" s="67"/>
      <c r="H430" s="37">
        <v>0.251</v>
      </c>
      <c r="I430" s="53">
        <f>H430*0.2907</f>
        <v>7.2965700000000008E-2</v>
      </c>
      <c r="K430" s="53">
        <f>(I430-I334)/(AI334/1000-AI430/1000)*0.05</f>
        <v>1.79686413898719</v>
      </c>
      <c r="L430" s="68"/>
      <c r="M430" s="22">
        <v>11.436474950689833</v>
      </c>
      <c r="O430" s="21">
        <v>0</v>
      </c>
      <c r="Q430" s="21">
        <v>0.15722320206710827</v>
      </c>
      <c r="S430" s="21">
        <v>88.406301847243057</v>
      </c>
      <c r="U430" s="21">
        <v>0</v>
      </c>
      <c r="W430" s="21">
        <v>0</v>
      </c>
      <c r="Y430" s="22">
        <v>0.64609812037270065</v>
      </c>
      <c r="AA430" s="21">
        <v>0</v>
      </c>
      <c r="AC430" s="21">
        <v>8.8822487499444647E-3</v>
      </c>
      <c r="AE430" s="21">
        <v>4.9944712596218297</v>
      </c>
      <c r="AG430" s="21">
        <v>0</v>
      </c>
      <c r="AI430" s="21">
        <v>0</v>
      </c>
      <c r="AO430" s="37">
        <f>8*(BW430-$BW$334)/(2*($AA$334-AA430)+2*($AI$334-AI430))</f>
        <v>0.54278064223716405</v>
      </c>
      <c r="AQ430" s="37">
        <f>(BW430-$BW$334)/(($AA$334-AA430)+($AI$334-AI430))</f>
        <v>0.13569516055929101</v>
      </c>
      <c r="AS430" s="37">
        <f>14*(BX430-$BX$334)/(2*($AA$334-AA430)+2*($AI$334-AI430))</f>
        <v>1.168146390973892E-3</v>
      </c>
      <c r="AU430" s="37">
        <f>(BX430-$BX$334)/(($AA$334-AA430)+($AI$334-AI430))</f>
        <v>1.6687805585341315E-4</v>
      </c>
      <c r="BG430" s="37">
        <v>185.02</v>
      </c>
      <c r="BI430" s="2">
        <v>0.28000000000000003</v>
      </c>
      <c r="BK430" s="2">
        <v>0</v>
      </c>
      <c r="BM430" s="2">
        <v>0</v>
      </c>
      <c r="BO430" s="22">
        <f>(BG430/1000)/60.2*1000</f>
        <v>3.0734219269102994</v>
      </c>
      <c r="BQ430" s="2">
        <f>BI430/74.08</f>
        <v>3.7796976241900654E-3</v>
      </c>
      <c r="BS430" s="2">
        <f>(BK430/1000)/88.12*1000</f>
        <v>0</v>
      </c>
      <c r="BU430" s="2">
        <f>BM430/88.12</f>
        <v>0</v>
      </c>
      <c r="BW430" s="52">
        <f>BO430*0.05</f>
        <v>0.15367109634551498</v>
      </c>
      <c r="BX430" s="51">
        <f t="shared" si="30"/>
        <v>1.8898488120950327E-4</v>
      </c>
      <c r="BY430" s="51">
        <f t="shared" si="31"/>
        <v>0</v>
      </c>
      <c r="BZ430" s="67">
        <f t="shared" si="32"/>
        <v>0</v>
      </c>
    </row>
    <row r="431" spans="1:78" ht="15" thickBot="1" x14ac:dyDescent="0.35">
      <c r="A431" s="175"/>
      <c r="B431" s="66" t="s">
        <v>63</v>
      </c>
      <c r="C431" s="65">
        <v>12</v>
      </c>
      <c r="D431" s="64">
        <f>AVERAGE(D428:D430)</f>
        <v>7.166666666666667</v>
      </c>
      <c r="E431" s="64">
        <f>_xlfn.STDEV.S(D428:D430)</f>
        <v>2.0816659994661382E-2</v>
      </c>
      <c r="F431" s="60">
        <f>AVERAGE(F428:F430)</f>
        <v>1.24</v>
      </c>
      <c r="G431" s="55">
        <f>_xlfn.STDEV.S(F428:F430)</f>
        <v>1.3228756555322881E-2</v>
      </c>
      <c r="H431" s="60">
        <f>AVERAGE(H428:H430)</f>
        <v>0.24733333333333332</v>
      </c>
      <c r="I431" s="63">
        <f>AVERAGE(I428:I430)</f>
        <v>7.1899800000000014E-2</v>
      </c>
      <c r="J431" s="63">
        <f>_xlfn.STDEV.S(I428:I430)</f>
        <v>1.3737946025516327E-3</v>
      </c>
      <c r="K431" s="63">
        <f>AVERAGE(K428:K430)</f>
        <v>1.6813081820710642</v>
      </c>
      <c r="L431" s="62">
        <f>_xlfn.STDEV.S(K428:K430)</f>
        <v>0.15514858059018577</v>
      </c>
      <c r="M431" s="59">
        <f>AVERAGE(M428:M430)</f>
        <v>11.315821843863787</v>
      </c>
      <c r="N431" s="58">
        <f>_xlfn.STDEV.S(M428:M430)</f>
        <v>0.47020716008433816</v>
      </c>
      <c r="O431" s="58">
        <f>AVERAGE(O428:O430)</f>
        <v>0</v>
      </c>
      <c r="P431" s="58">
        <f>_xlfn.STDEV.S(O428:O430)</f>
        <v>0</v>
      </c>
      <c r="Q431" s="58">
        <f>AVERAGE(Q428:Q430)</f>
        <v>0.11890141817556164</v>
      </c>
      <c r="R431" s="58">
        <f>_xlfn.STDEV.S(Q428:Q430)</f>
        <v>3.8480300318041269E-2</v>
      </c>
      <c r="S431" s="58">
        <f>AVERAGE(S428:S430)</f>
        <v>88.565276737960644</v>
      </c>
      <c r="T431" s="58">
        <f>_xlfn.STDEV.S(S428:S430)</f>
        <v>0.46005805563254887</v>
      </c>
      <c r="U431" s="58">
        <f>AVERAGE(U428:U430)</f>
        <v>0</v>
      </c>
      <c r="V431" s="58">
        <f>_xlfn.STDEV.S(U428:U430)</f>
        <v>0</v>
      </c>
      <c r="W431" s="58">
        <f>AVERAGE(W428:W430)</f>
        <v>0</v>
      </c>
      <c r="X431" s="58">
        <f>_xlfn.STDEV.S(W428:W430)</f>
        <v>0</v>
      </c>
      <c r="Y431" s="59">
        <f>AVERAGE(Y428:Y430)</f>
        <v>0.63164740098672434</v>
      </c>
      <c r="Z431" s="58">
        <f>_xlfn.STDEV.S(Y428:Y430)</f>
        <v>2.7216798296773047E-2</v>
      </c>
      <c r="AA431" s="58">
        <f>AVERAGE(AA428:AA430)</f>
        <v>0</v>
      </c>
      <c r="AB431" s="58">
        <f>_xlfn.STDEV.S(AA428:AA430)</f>
        <v>0</v>
      </c>
      <c r="AC431" s="58">
        <f>AVERAGE(AC428:AC430)</f>
        <v>6.6513911888018045E-3</v>
      </c>
      <c r="AD431" s="58">
        <f>_xlfn.STDEV.S(AC428:AC430)</f>
        <v>2.2191301630781752E-3</v>
      </c>
      <c r="AE431" s="58">
        <f>AVERAGE(AE428:AE430)</f>
        <v>4.9436295103289751</v>
      </c>
      <c r="AF431" s="58">
        <f>_xlfn.STDEV.S(AE428:AE430)</f>
        <v>5.5832621698081057E-2</v>
      </c>
      <c r="AG431" s="58">
        <f>AVERAGE(AG428:AG430)</f>
        <v>0</v>
      </c>
      <c r="AH431" s="58">
        <f>_xlfn.STDEV.S(AG428:AG430)</f>
        <v>0</v>
      </c>
      <c r="AI431" s="58">
        <f>AVERAGE(AI428:AI430)</f>
        <v>0</v>
      </c>
      <c r="AJ431" s="58">
        <f>_xlfn.STDEV.S(AI428:AI430)</f>
        <v>0</v>
      </c>
      <c r="AK431" s="60"/>
      <c r="AL431" s="60"/>
      <c r="AM431" s="60"/>
      <c r="AN431" s="60"/>
      <c r="AO431" s="60">
        <f>AVERAGE(AO428:AO430)</f>
        <v>0.55085322611921494</v>
      </c>
      <c r="AP431" s="60">
        <f>_xlfn.STDEV.S(AO428:AO430)</f>
        <v>9.5324576914970552E-3</v>
      </c>
      <c r="AQ431" s="60">
        <f>AVERAGE(AQ428:AQ430)</f>
        <v>0.13771330652980374</v>
      </c>
      <c r="AR431" s="60">
        <f>_xlfn.STDEV.S(AQ428:AQ430)</f>
        <v>2.3831144228742638E-3</v>
      </c>
      <c r="AS431" s="60">
        <f>AVERAGE(AS428:AS430)</f>
        <v>9.1295334446346089E-4</v>
      </c>
      <c r="AT431" s="60">
        <f>_xlfn.STDEV.S(AS428:AS430)</f>
        <v>3.2799515348559319E-4</v>
      </c>
      <c r="AU431" s="60">
        <f>AVERAGE(AU428:AU430)</f>
        <v>1.3042190635192299E-4</v>
      </c>
      <c r="AV431" s="60">
        <f>_xlfn.STDEV.S(AU428:AU430)</f>
        <v>4.6856450497941888E-5</v>
      </c>
      <c r="AW431" s="60"/>
      <c r="AX431" s="60"/>
      <c r="AY431" s="59">
        <f>SUM(AK431,AO431,AS431)</f>
        <v>0.55176617946367845</v>
      </c>
      <c r="AZ431" s="59">
        <f>SUM(AL431,AP431,AT431)</f>
        <v>9.8604528449826485E-3</v>
      </c>
      <c r="BA431" s="60"/>
      <c r="BB431" s="60"/>
      <c r="BC431" s="60"/>
      <c r="BD431" s="60"/>
      <c r="BE431" s="60"/>
      <c r="BF431" s="60"/>
      <c r="BG431" s="59">
        <v>193.43999999999997</v>
      </c>
      <c r="BH431" s="58">
        <v>8.0668953135639399</v>
      </c>
      <c r="BI431" s="57">
        <v>0.22333333333333336</v>
      </c>
      <c r="BJ431" s="57">
        <v>7.3711147958319928E-2</v>
      </c>
      <c r="BK431" s="57">
        <v>0</v>
      </c>
      <c r="BL431" s="57">
        <v>0</v>
      </c>
      <c r="BM431" s="57">
        <v>0</v>
      </c>
      <c r="BN431" s="57">
        <v>0</v>
      </c>
      <c r="BO431" s="59">
        <f>AVERAGE(BO428:BO430)</f>
        <v>3.2132890365448503</v>
      </c>
      <c r="BP431" s="58">
        <f>_xlfn.STDEV.S(BO428:BO430)</f>
        <v>0.1340015832817929</v>
      </c>
      <c r="BQ431" s="57">
        <f>AVERAGE(BQ428:BQ430)</f>
        <v>3.0147588192944567E-3</v>
      </c>
      <c r="BR431" s="57">
        <f>_xlfn.STDEV.S(BQ428:BQ430)</f>
        <v>9.9502089576565794E-4</v>
      </c>
      <c r="BS431" s="57">
        <f>AVERAGE(BS428:BS430)</f>
        <v>0</v>
      </c>
      <c r="BT431" s="57">
        <f>_xlfn.STDEV.S(BS428:BS430)</f>
        <v>0</v>
      </c>
      <c r="BU431" s="57">
        <f>AVERAGE(BU428:BU430)</f>
        <v>0</v>
      </c>
      <c r="BV431" s="57">
        <f>_xlfn.STDEV.S(BU428:BU430)</f>
        <v>0</v>
      </c>
      <c r="BW431" s="56">
        <f>AVERAGE(BW428:BW430)</f>
        <v>0.16066445182724254</v>
      </c>
      <c r="BX431" s="55">
        <f t="shared" si="30"/>
        <v>1.5073794096472285E-4</v>
      </c>
      <c r="BY431" s="55">
        <f t="shared" si="31"/>
        <v>0</v>
      </c>
      <c r="BZ431" s="54">
        <f t="shared" si="32"/>
        <v>0</v>
      </c>
    </row>
    <row r="432" spans="1:78" x14ac:dyDescent="0.3">
      <c r="A432" s="172" t="s">
        <v>59</v>
      </c>
      <c r="B432" s="95" t="s">
        <v>69</v>
      </c>
      <c r="C432" s="94">
        <v>13</v>
      </c>
      <c r="D432" s="93"/>
      <c r="E432" s="88"/>
      <c r="F432" s="90">
        <v>1.2350000000000001</v>
      </c>
      <c r="G432" s="85"/>
      <c r="H432" s="90">
        <v>0.31</v>
      </c>
      <c r="I432" s="92">
        <f>H432*0.2907</f>
        <v>9.0117000000000003E-2</v>
      </c>
      <c r="J432" s="92"/>
      <c r="K432" s="92">
        <f>(I432-I328)/(AI328/1000-AI432/1000)*0.05</f>
        <v>2.0085819753216225</v>
      </c>
      <c r="L432" s="91"/>
      <c r="M432" s="89">
        <v>13.477014637305542</v>
      </c>
      <c r="O432" s="88">
        <v>0</v>
      </c>
      <c r="Q432" s="88">
        <v>0.11981689348023565</v>
      </c>
      <c r="S432" s="88">
        <v>83.057204751011852</v>
      </c>
      <c r="U432" s="88">
        <v>3.3459637182023645</v>
      </c>
      <c r="W432" s="88">
        <v>0</v>
      </c>
      <c r="X432" s="88"/>
      <c r="Y432" s="89">
        <v>0.749243918185447</v>
      </c>
      <c r="AA432" s="88">
        <v>0</v>
      </c>
      <c r="AC432" s="88">
        <v>6.6611249710631917E-3</v>
      </c>
      <c r="AE432" s="88">
        <v>4.6174992901559024</v>
      </c>
      <c r="AG432" s="88">
        <v>0.18601619377876544</v>
      </c>
      <c r="AI432" s="88">
        <v>0</v>
      </c>
      <c r="AJ432" s="87"/>
      <c r="AK432" s="89">
        <f>8*(AG432-$AG$328)/(2*($AA$328-AA432)+2*($AI$328-AI432))</f>
        <v>0.79706834119612346</v>
      </c>
      <c r="AL432" s="89"/>
      <c r="AM432" s="89">
        <f>(AG432-$AG$328)/(($AA$328-AA432)+($AI$328-AI432))</f>
        <v>0.19926708529903087</v>
      </c>
      <c r="AN432" s="89"/>
      <c r="AO432" s="37">
        <f>8*(BW432-$BW$328)/(2*($AA$328-AA432)+2*($AI$328-AI432))</f>
        <v>0.10470344890877575</v>
      </c>
      <c r="AQ432" s="37">
        <f>(BW432-$BW$328)/(($AA$328-AA432)+($AI$328-AI432))</f>
        <v>2.6175862227193938E-2</v>
      </c>
      <c r="AS432" s="37">
        <f>14*(BX432-$BX$328)/(2*($AA$328-AA432)+2*($AI$328-AI432))</f>
        <v>0</v>
      </c>
      <c r="AU432" s="37">
        <f>(BX432-$BX$328)/(($AA$328-AA432)+($AI$328-AI432))</f>
        <v>0</v>
      </c>
      <c r="AY432" s="90"/>
      <c r="AZ432" s="90"/>
      <c r="BA432" s="90"/>
      <c r="BB432" s="90"/>
      <c r="BC432" s="90"/>
      <c r="BD432" s="90"/>
      <c r="BE432" s="90"/>
      <c r="BF432" s="90"/>
      <c r="BG432" s="90">
        <v>29.42</v>
      </c>
      <c r="BH432" s="87"/>
      <c r="BI432" s="87">
        <v>0</v>
      </c>
      <c r="BJ432" s="87"/>
      <c r="BK432" s="87">
        <v>0</v>
      </c>
      <c r="BL432" s="87"/>
      <c r="BM432" s="87">
        <v>0</v>
      </c>
      <c r="BN432" s="87"/>
      <c r="BO432" s="89">
        <f>(BG432/1000)/60.2*1000</f>
        <v>0.4887043189368771</v>
      </c>
      <c r="BP432" s="88"/>
      <c r="BQ432" s="87">
        <f>BI432/74.08</f>
        <v>0</v>
      </c>
      <c r="BR432" s="87"/>
      <c r="BS432" s="87">
        <f>(BK432/1000)/88.12*1000</f>
        <v>0</v>
      </c>
      <c r="BT432" s="87"/>
      <c r="BU432" s="87">
        <f>BM432/88.12</f>
        <v>0</v>
      </c>
      <c r="BV432" s="87"/>
      <c r="BW432" s="86">
        <f>BO432*0.05</f>
        <v>2.4435215946843857E-2</v>
      </c>
      <c r="BX432" s="85">
        <f t="shared" si="30"/>
        <v>0</v>
      </c>
      <c r="BY432" s="85">
        <f t="shared" si="31"/>
        <v>0</v>
      </c>
      <c r="BZ432" s="84">
        <f t="shared" si="32"/>
        <v>0</v>
      </c>
    </row>
    <row r="433" spans="1:78" x14ac:dyDescent="0.3">
      <c r="A433" s="173"/>
      <c r="B433" s="70" t="s">
        <v>68</v>
      </c>
      <c r="C433" s="20">
        <v>13</v>
      </c>
      <c r="D433" s="69"/>
      <c r="E433" s="21"/>
      <c r="F433" s="37">
        <v>1.2450000000000001</v>
      </c>
      <c r="H433" s="37">
        <v>0.30599999999999999</v>
      </c>
      <c r="I433" s="53">
        <f>H433*0.2907</f>
        <v>8.8954199999999997E-2</v>
      </c>
      <c r="K433" s="53">
        <f>(I433-I329)/(AI329/1000-AI433/1000)*0.05</f>
        <v>2.162004072365288</v>
      </c>
      <c r="L433" s="68"/>
      <c r="M433" s="22">
        <v>13.135591588353101</v>
      </c>
      <c r="O433" s="21">
        <v>0</v>
      </c>
      <c r="Q433" s="21">
        <v>8.8969342166076104E-2</v>
      </c>
      <c r="S433" s="21">
        <v>83.588876556350741</v>
      </c>
      <c r="U433" s="21">
        <v>3.1865625131300681</v>
      </c>
      <c r="W433" s="21">
        <v>0</v>
      </c>
      <c r="Y433" s="22">
        <v>0.7361758340256005</v>
      </c>
      <c r="AA433" s="21">
        <v>0</v>
      </c>
      <c r="AC433" s="21">
        <v>4.9862299106417278E-3</v>
      </c>
      <c r="AE433" s="21">
        <v>4.6846851548503166</v>
      </c>
      <c r="AG433" s="21">
        <v>0.17858885913126651</v>
      </c>
      <c r="AI433" s="21">
        <v>0</v>
      </c>
      <c r="AK433" s="22">
        <f>8*(AG433-$AG$329)/(2*($AA$329-AA433)+2*($AI$329-AI433))</f>
        <v>0.78129836848351664</v>
      </c>
      <c r="AL433" s="22"/>
      <c r="AM433" s="22">
        <f>(AG433-$AG$329)/(($AA$329-AA433)+($AI$329-AI433))</f>
        <v>0.19532459212087916</v>
      </c>
      <c r="AN433" s="22"/>
      <c r="AO433" s="37">
        <f>8*(BW433-$BW$329)/(2*($AA$329-AA433)+2*($AI$329-AI433))</f>
        <v>0.23607442162575776</v>
      </c>
      <c r="AQ433" s="37">
        <f>(BW433-$BW$329)/(($AA$329-AA433)+($AI$329-AI433))</f>
        <v>5.9018605406439439E-2</v>
      </c>
      <c r="AS433" s="37">
        <f>14*(BX433-$BX$329)/(2*($AA$329-AA433)+2*($AI$329-AI433))</f>
        <v>0</v>
      </c>
      <c r="AU433" s="37">
        <f>(BX433-$BX$329)/(($AA$329-AA433)+($AI$329-AI433))</f>
        <v>0</v>
      </c>
      <c r="BG433" s="37">
        <v>64.97</v>
      </c>
      <c r="BI433" s="2">
        <v>0</v>
      </c>
      <c r="BK433" s="2">
        <v>0</v>
      </c>
      <c r="BM433" s="2">
        <v>0</v>
      </c>
      <c r="BO433" s="22">
        <f>(BG433/1000)/60.2*1000</f>
        <v>1.079235880398671</v>
      </c>
      <c r="BQ433" s="2">
        <f>BI433/74.08</f>
        <v>0</v>
      </c>
      <c r="BS433" s="2">
        <f>(BK433/1000)/88.12*1000</f>
        <v>0</v>
      </c>
      <c r="BU433" s="2">
        <f>BM433/88.12</f>
        <v>0</v>
      </c>
      <c r="BW433" s="52">
        <f>BO433*0.05</f>
        <v>5.3961794019933555E-2</v>
      </c>
      <c r="BX433" s="51">
        <f t="shared" si="30"/>
        <v>0</v>
      </c>
      <c r="BY433" s="51">
        <f t="shared" si="31"/>
        <v>0</v>
      </c>
      <c r="BZ433" s="67">
        <f t="shared" si="32"/>
        <v>0</v>
      </c>
    </row>
    <row r="434" spans="1:78" x14ac:dyDescent="0.3">
      <c r="A434" s="173"/>
      <c r="B434" s="70" t="s">
        <v>67</v>
      </c>
      <c r="C434" s="20">
        <v>13</v>
      </c>
      <c r="D434" s="69"/>
      <c r="E434" s="21"/>
      <c r="F434" s="37">
        <v>1.23</v>
      </c>
      <c r="H434" s="37">
        <v>0.32300000000000001</v>
      </c>
      <c r="I434" s="53">
        <f>H434*0.2907</f>
        <v>9.389610000000001E-2</v>
      </c>
      <c r="K434" s="53">
        <f>(I434-I330)/(AI330/1000-AI434/1000)*0.05</f>
        <v>2.4844841735444927</v>
      </c>
      <c r="L434" s="68"/>
      <c r="M434" s="22">
        <v>11.921442581461561</v>
      </c>
      <c r="O434" s="21">
        <v>0</v>
      </c>
      <c r="Q434" s="21">
        <v>0.22549826004428977</v>
      </c>
      <c r="S434" s="21">
        <v>84.735748756147359</v>
      </c>
      <c r="U434" s="21">
        <v>3.1173104023467828</v>
      </c>
      <c r="W434" s="21">
        <v>0</v>
      </c>
      <c r="Y434" s="22">
        <v>0.66007987447689853</v>
      </c>
      <c r="AA434" s="21">
        <v>0</v>
      </c>
      <c r="AC434" s="21">
        <v>1.2485641915203963E-2</v>
      </c>
      <c r="AE434" s="21">
        <v>4.6917444781088298</v>
      </c>
      <c r="AG434" s="21">
        <v>0.17260275717691917</v>
      </c>
      <c r="AI434" s="21">
        <v>0</v>
      </c>
      <c r="AK434" s="22">
        <f>8*(AG434-$AG$330)/(2*($AA$330-AA434)+2*($AI$330-AI434))</f>
        <v>0.7973834240113773</v>
      </c>
      <c r="AL434" s="22"/>
      <c r="AM434" s="22">
        <f>(AG434-$AG$330)/(($AA$330-AA434)+($AI$330-AI434))</f>
        <v>0.19934585600284432</v>
      </c>
      <c r="AN434" s="22"/>
      <c r="AO434" s="37">
        <f>8*(BW434-$BW$330)/(2*($AA$330-AA434)+2*($AI$330-AI434))</f>
        <v>0.16618092469347034</v>
      </c>
      <c r="AQ434" s="37">
        <f>(BW434-$BW$330)/(($AA$330-AA434)+($AI$330-AI434))</f>
        <v>4.1545231173367586E-2</v>
      </c>
      <c r="AS434" s="37">
        <f>14*(BX434-$BX$330)/(2*($AA$330-AA434)+2*($AI$330-AI434))</f>
        <v>0</v>
      </c>
      <c r="AU434" s="37">
        <f>(BX434-$BX$330)/(($AA$330-AA434)+($AI$330-AI434))</f>
        <v>0</v>
      </c>
      <c r="BG434" s="37">
        <v>43.31</v>
      </c>
      <c r="BI434" s="2">
        <v>0</v>
      </c>
      <c r="BK434" s="2">
        <v>0</v>
      </c>
      <c r="BM434" s="2">
        <v>0</v>
      </c>
      <c r="BO434" s="22">
        <f>(BG434/1000)/60.2*1000</f>
        <v>0.7194352159468439</v>
      </c>
      <c r="BQ434" s="2">
        <f>BI434/74.08</f>
        <v>0</v>
      </c>
      <c r="BS434" s="2">
        <f>(BK434/1000)/88.12*1000</f>
        <v>0</v>
      </c>
      <c r="BU434" s="2">
        <f>BM434/88.12</f>
        <v>0</v>
      </c>
      <c r="BW434" s="52">
        <f>BO434*0.05</f>
        <v>3.5971760797342198E-2</v>
      </c>
      <c r="BX434" s="51">
        <f t="shared" si="30"/>
        <v>0</v>
      </c>
      <c r="BY434" s="51">
        <f t="shared" si="31"/>
        <v>0</v>
      </c>
      <c r="BZ434" s="67">
        <f t="shared" si="32"/>
        <v>0</v>
      </c>
    </row>
    <row r="435" spans="1:78" x14ac:dyDescent="0.3">
      <c r="A435" s="173"/>
      <c r="B435" s="83" t="s">
        <v>63</v>
      </c>
      <c r="C435" s="80">
        <v>13</v>
      </c>
      <c r="D435" s="79" t="e">
        <f>AVERAGE(D432:D434)</f>
        <v>#DIV/0!</v>
      </c>
      <c r="E435" s="76"/>
      <c r="F435" s="78">
        <f>AVERAGE(F432:F434)</f>
        <v>1.2366666666666668</v>
      </c>
      <c r="G435" s="73">
        <f>_xlfn.STDEV.S(F432:F434)</f>
        <v>7.6376261582597896E-3</v>
      </c>
      <c r="H435" s="78">
        <f>AVERAGE(H432:H434)</f>
        <v>0.313</v>
      </c>
      <c r="I435" s="82">
        <f>AVERAGE(I432:I434)</f>
        <v>9.0989100000000003E-2</v>
      </c>
      <c r="J435" s="82">
        <f>_xlfn.STDEV.S(I432:I434)</f>
        <v>2.5837981171136482E-3</v>
      </c>
      <c r="K435" s="82">
        <f>AVERAGE(K432:K434)</f>
        <v>2.2183567404104676</v>
      </c>
      <c r="L435" s="81">
        <f>_xlfn.STDEV.S(K432:K434)</f>
        <v>0.24290418474204528</v>
      </c>
      <c r="M435" s="77">
        <f>AVERAGE(M432:M434)</f>
        <v>12.844682935706736</v>
      </c>
      <c r="N435" s="76">
        <f>_xlfn.STDEV.S(M432:M434)</f>
        <v>0.81757078492877988</v>
      </c>
      <c r="O435" s="76">
        <f>AVERAGE(O432:O434)</f>
        <v>0</v>
      </c>
      <c r="P435" s="76">
        <f>_xlfn.STDEV.S(O432:O434)</f>
        <v>0</v>
      </c>
      <c r="Q435" s="76">
        <f>AVERAGE(Q432:Q434)</f>
        <v>0.14476149856353385</v>
      </c>
      <c r="R435" s="76">
        <f>_xlfn.STDEV.S(Q432:Q434)</f>
        <v>7.1601056879911182E-2</v>
      </c>
      <c r="S435" s="76">
        <f>AVERAGE(S432:S434)</f>
        <v>83.793943354503313</v>
      </c>
      <c r="T435" s="76">
        <f>_xlfn.STDEV.S(S432:S434)</f>
        <v>0.85785592500868069</v>
      </c>
      <c r="U435" s="76">
        <f>AVERAGE(U432:U434)</f>
        <v>3.2166122112264053</v>
      </c>
      <c r="V435" s="76">
        <f>_xlfn.STDEV.S(U432:U434)</f>
        <v>0.1172511107823668</v>
      </c>
      <c r="W435" s="76">
        <f>AVERAGE(W432:W434)</f>
        <v>0</v>
      </c>
      <c r="X435" s="76">
        <f>_xlfn.STDEV.S(W432:W434)</f>
        <v>0</v>
      </c>
      <c r="Y435" s="77">
        <f>AVERAGE(Y432:Y434)</f>
        <v>0.71516654222931531</v>
      </c>
      <c r="Z435" s="76">
        <f>_xlfn.STDEV.S(Y432:Y434)</f>
        <v>4.8151837233392003E-2</v>
      </c>
      <c r="AA435" s="76">
        <f>AVERAGE(AA432:AA434)</f>
        <v>0</v>
      </c>
      <c r="AB435" s="76">
        <f>_xlfn.STDEV.S(AA432:AA434)</f>
        <v>0</v>
      </c>
      <c r="AC435" s="76">
        <f>AVERAGE(AC432:AC434)</f>
        <v>8.0443322656362937E-3</v>
      </c>
      <c r="AD435" s="76">
        <f>_xlfn.STDEV.S(AC432:AC434)</f>
        <v>3.9363996136524589E-3</v>
      </c>
      <c r="AE435" s="76">
        <f>AVERAGE(AE432:AE434)</f>
        <v>4.6646429743716835</v>
      </c>
      <c r="AF435" s="76">
        <f>_xlfn.STDEV.S(AE432:AE434)</f>
        <v>4.0979918646758796E-2</v>
      </c>
      <c r="AG435" s="76">
        <f>AVERAGE(AG432:AG434)</f>
        <v>0.17906927002898373</v>
      </c>
      <c r="AH435" s="76">
        <f>_xlfn.STDEV.S(AG432:AG434)</f>
        <v>6.7196105795590093E-3</v>
      </c>
      <c r="AI435" s="76">
        <f>AVERAGE(AI432:AI434)</f>
        <v>0</v>
      </c>
      <c r="AJ435" s="76">
        <f>_xlfn.STDEV.S(AI432:AI434)</f>
        <v>0</v>
      </c>
      <c r="AK435" s="77">
        <f>AVERAGE(AK432:AK434)</f>
        <v>0.79191671123033913</v>
      </c>
      <c r="AL435" s="77">
        <f>_xlfn.STDEV.S(AK432:AK434)</f>
        <v>9.1971039633063564E-3</v>
      </c>
      <c r="AM435" s="77">
        <f>AVERAGE(AM432:AM434)</f>
        <v>0.19797917780758478</v>
      </c>
      <c r="AN435" s="77">
        <f>_xlfn.STDEV.S(AM432:AM434)</f>
        <v>2.2992759908265891E-3</v>
      </c>
      <c r="AO435" s="78">
        <f>AVERAGE(AO432:AO434)</f>
        <v>0.16898626507600131</v>
      </c>
      <c r="AP435" s="78">
        <f>_xlfn.STDEV.S(AO432:AO434)</f>
        <v>6.5730400646488496E-2</v>
      </c>
      <c r="AQ435" s="78">
        <f>AVERAGE(AQ432:AQ434)</f>
        <v>4.2246566269000328E-2</v>
      </c>
      <c r="AR435" s="78">
        <f>_xlfn.STDEV.S(AQ432:AQ434)</f>
        <v>1.6432600161622124E-2</v>
      </c>
      <c r="AS435" s="78">
        <f>AVERAGE(AS432:AS434)</f>
        <v>0</v>
      </c>
      <c r="AT435" s="78">
        <f>_xlfn.STDEV.S(AS432:AS434)</f>
        <v>0</v>
      </c>
      <c r="AU435" s="78">
        <f>AVERAGE(AU432:AU434)</f>
        <v>0</v>
      </c>
      <c r="AV435" s="80">
        <f>_xlfn.STDEV.S(AU432:AU434)</f>
        <v>0</v>
      </c>
      <c r="AW435" s="78"/>
      <c r="AX435" s="78"/>
      <c r="AY435" s="79">
        <f>SUM(AK435,AO435,AS435)</f>
        <v>0.96090297630634047</v>
      </c>
      <c r="AZ435" s="77">
        <f>SUM(AL435,AP435,AT435)</f>
        <v>7.4927504609794859E-2</v>
      </c>
      <c r="BA435" s="78"/>
      <c r="BB435" s="78"/>
      <c r="BC435" s="78"/>
      <c r="BD435" s="78"/>
      <c r="BE435" s="78"/>
      <c r="BF435" s="78"/>
      <c r="BG435" s="77">
        <v>45.9</v>
      </c>
      <c r="BH435" s="76">
        <v>17.915962156691453</v>
      </c>
      <c r="BI435" s="75">
        <v>0</v>
      </c>
      <c r="BJ435" s="75">
        <v>0</v>
      </c>
      <c r="BK435" s="75">
        <v>0</v>
      </c>
      <c r="BL435" s="75">
        <v>0</v>
      </c>
      <c r="BM435" s="75">
        <v>0</v>
      </c>
      <c r="BN435" s="75">
        <v>0</v>
      </c>
      <c r="BO435" s="77">
        <f>AVERAGE(BO432:BO434)</f>
        <v>0.76245847176079729</v>
      </c>
      <c r="BP435" s="76">
        <f>_xlfn.STDEV.S(BO432:BO434)</f>
        <v>0.29760734479553902</v>
      </c>
      <c r="BQ435" s="75">
        <f>AVERAGE(BQ432:BQ434)</f>
        <v>0</v>
      </c>
      <c r="BR435" s="75">
        <f>_xlfn.STDEV.S(BQ432:BQ434)</f>
        <v>0</v>
      </c>
      <c r="BS435" s="75">
        <f>AVERAGE(BS432:BS434)</f>
        <v>0</v>
      </c>
      <c r="BT435" s="75">
        <f>_xlfn.STDEV.S(BS432:BS434)</f>
        <v>0</v>
      </c>
      <c r="BU435" s="75">
        <f>AVERAGE(BU432:BU434)</f>
        <v>0</v>
      </c>
      <c r="BV435" s="75">
        <f>_xlfn.STDEV.S(BU432:BU434)</f>
        <v>0</v>
      </c>
      <c r="BW435" s="74">
        <f>AVERAGE(BW432:BW434)</f>
        <v>3.812292358803987E-2</v>
      </c>
      <c r="BX435" s="73">
        <f t="shared" si="30"/>
        <v>0</v>
      </c>
      <c r="BY435" s="73">
        <f t="shared" si="31"/>
        <v>0</v>
      </c>
      <c r="BZ435" s="72">
        <f t="shared" si="32"/>
        <v>0</v>
      </c>
    </row>
    <row r="436" spans="1:78" x14ac:dyDescent="0.3">
      <c r="A436" s="174" t="s">
        <v>60</v>
      </c>
      <c r="B436" s="70" t="s">
        <v>66</v>
      </c>
      <c r="C436" s="20">
        <v>13</v>
      </c>
      <c r="D436" s="69"/>
      <c r="E436" s="21"/>
      <c r="L436" s="68"/>
      <c r="AI436" s="21">
        <v>0</v>
      </c>
      <c r="BO436" s="22">
        <f>(BG436/1000)/60.2*1000</f>
        <v>0</v>
      </c>
      <c r="BQ436" s="2">
        <f>BI436/74.08</f>
        <v>0</v>
      </c>
      <c r="BS436" s="2">
        <f>(BK436/1000)/88.12*1000</f>
        <v>0</v>
      </c>
      <c r="BU436" s="2">
        <f>BM436/88.12</f>
        <v>0</v>
      </c>
      <c r="BW436" s="52">
        <f>BO436*0.05</f>
        <v>0</v>
      </c>
      <c r="BX436" s="51">
        <f t="shared" si="30"/>
        <v>0</v>
      </c>
      <c r="BY436" s="51">
        <f t="shared" si="31"/>
        <v>0</v>
      </c>
      <c r="BZ436" s="67">
        <f t="shared" si="32"/>
        <v>0</v>
      </c>
    </row>
    <row r="437" spans="1:78" x14ac:dyDescent="0.3">
      <c r="A437" s="173"/>
      <c r="B437" s="70" t="s">
        <v>65</v>
      </c>
      <c r="C437" s="20">
        <v>13</v>
      </c>
      <c r="D437" s="69"/>
      <c r="E437" s="21"/>
      <c r="L437" s="68"/>
      <c r="AI437" s="21">
        <v>0</v>
      </c>
      <c r="BO437" s="22">
        <f>(BG437/1000)/60.2*1000</f>
        <v>0</v>
      </c>
      <c r="BQ437" s="2">
        <f>BI437/74.08</f>
        <v>0</v>
      </c>
      <c r="BS437" s="2">
        <f>(BK437/1000)/88.12*1000</f>
        <v>0</v>
      </c>
      <c r="BU437" s="2">
        <f>BM437/88.12</f>
        <v>0</v>
      </c>
      <c r="BW437" s="52">
        <f>BO437*0.05</f>
        <v>0</v>
      </c>
      <c r="BX437" s="51">
        <f t="shared" si="30"/>
        <v>0</v>
      </c>
      <c r="BY437" s="51">
        <f t="shared" si="31"/>
        <v>0</v>
      </c>
      <c r="BZ437" s="67">
        <f t="shared" si="32"/>
        <v>0</v>
      </c>
    </row>
    <row r="438" spans="1:78" x14ac:dyDescent="0.3">
      <c r="A438" s="173"/>
      <c r="B438" s="70" t="s">
        <v>64</v>
      </c>
      <c r="C438" s="20">
        <v>13</v>
      </c>
      <c r="D438" s="69"/>
      <c r="E438" s="21"/>
      <c r="G438" s="67"/>
      <c r="L438" s="68"/>
      <c r="AI438" s="21">
        <v>0</v>
      </c>
      <c r="BO438" s="22">
        <f>(BG438/1000)/60.2*1000</f>
        <v>0</v>
      </c>
      <c r="BQ438" s="2">
        <f>BI438/74.08</f>
        <v>0</v>
      </c>
      <c r="BS438" s="2">
        <f>(BK438/1000)/88.12*1000</f>
        <v>0</v>
      </c>
      <c r="BU438" s="2">
        <f>BM438/88.12</f>
        <v>0</v>
      </c>
      <c r="BW438" s="52">
        <f>BO438*0.05</f>
        <v>0</v>
      </c>
      <c r="BX438" s="51">
        <f t="shared" si="30"/>
        <v>0</v>
      </c>
      <c r="BY438" s="51">
        <f t="shared" si="31"/>
        <v>0</v>
      </c>
      <c r="BZ438" s="67">
        <f t="shared" si="32"/>
        <v>0</v>
      </c>
    </row>
    <row r="439" spans="1:78" ht="15" thickBot="1" x14ac:dyDescent="0.35">
      <c r="A439" s="175"/>
      <c r="B439" s="66" t="s">
        <v>63</v>
      </c>
      <c r="C439" s="65">
        <v>13</v>
      </c>
      <c r="D439" s="64" t="e">
        <f>AVERAGE(D436:D438)</f>
        <v>#DIV/0!</v>
      </c>
      <c r="E439" s="58"/>
      <c r="F439" s="60" t="e">
        <f>AVERAGE(F436:F438)</f>
        <v>#DIV/0!</v>
      </c>
      <c r="G439" s="55" t="e">
        <f>_xlfn.STDEV.S(F436:F438)</f>
        <v>#DIV/0!</v>
      </c>
      <c r="H439" s="60" t="e">
        <f>AVERAGE(H436:H438)</f>
        <v>#DIV/0!</v>
      </c>
      <c r="I439" s="63" t="e">
        <f>AVERAGE(I436:I438)</f>
        <v>#DIV/0!</v>
      </c>
      <c r="J439" s="63" t="e">
        <f>_xlfn.STDEV.S(I436:I438)</f>
        <v>#DIV/0!</v>
      </c>
      <c r="K439" s="63"/>
      <c r="L439" s="62" t="e">
        <f>_xlfn.STDEV.S(K436:K438)</f>
        <v>#DIV/0!</v>
      </c>
      <c r="M439" s="59" t="e">
        <f>AVERAGE(M436:M438)</f>
        <v>#DIV/0!</v>
      </c>
      <c r="N439" s="58" t="e">
        <f>_xlfn.STDEV.S(M436:M438)</f>
        <v>#DIV/0!</v>
      </c>
      <c r="O439" s="58" t="e">
        <f>AVERAGE(O436:O438)</f>
        <v>#DIV/0!</v>
      </c>
      <c r="P439" s="58" t="e">
        <f>_xlfn.STDEV.S(O436:O438)</f>
        <v>#DIV/0!</v>
      </c>
      <c r="Q439" s="58" t="e">
        <f>AVERAGE(Q436:Q438)</f>
        <v>#DIV/0!</v>
      </c>
      <c r="R439" s="58" t="e">
        <f>_xlfn.STDEV.S(Q436:Q438)</f>
        <v>#DIV/0!</v>
      </c>
      <c r="S439" s="58" t="e">
        <f>AVERAGE(S436:S438)</f>
        <v>#DIV/0!</v>
      </c>
      <c r="T439" s="58" t="e">
        <f>_xlfn.STDEV.S(S436:S438)</f>
        <v>#DIV/0!</v>
      </c>
      <c r="U439" s="58" t="e">
        <f>AVERAGE(U436:U438)</f>
        <v>#DIV/0!</v>
      </c>
      <c r="V439" s="58" t="e">
        <f>_xlfn.STDEV.S(U436:U438)</f>
        <v>#DIV/0!</v>
      </c>
      <c r="W439" s="58" t="e">
        <f>AVERAGE(W436:W438)</f>
        <v>#DIV/0!</v>
      </c>
      <c r="X439" s="58" t="e">
        <f>_xlfn.STDEV.S(W436:W438)</f>
        <v>#DIV/0!</v>
      </c>
      <c r="Y439" s="59" t="e">
        <v>#DIV/0!</v>
      </c>
      <c r="Z439" s="58"/>
      <c r="AA439" s="58" t="e">
        <v>#DIV/0!</v>
      </c>
      <c r="AB439" s="58"/>
      <c r="AC439" s="58" t="e">
        <v>#DIV/0!</v>
      </c>
      <c r="AD439" s="58"/>
      <c r="AE439" s="58" t="e">
        <v>#DIV/0!</v>
      </c>
      <c r="AF439" s="58"/>
      <c r="AG439" s="58" t="e">
        <v>#DIV/0!</v>
      </c>
      <c r="AH439" s="58"/>
      <c r="AI439" s="58">
        <v>0</v>
      </c>
      <c r="AJ439" s="61">
        <f>_xlfn.STDEV.S(AI436:AI438)</f>
        <v>0</v>
      </c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  <c r="BF439" s="60"/>
      <c r="BG439" s="60"/>
      <c r="BH439" s="57"/>
      <c r="BI439" s="57"/>
      <c r="BJ439" s="57"/>
      <c r="BK439" s="57"/>
      <c r="BL439" s="57"/>
      <c r="BM439" s="57"/>
      <c r="BN439" s="57"/>
      <c r="BO439" s="59">
        <f>AVERAGE(BO436:BO438)</f>
        <v>0</v>
      </c>
      <c r="BP439" s="58">
        <f>_xlfn.STDEV.S(BO436:BO438)</f>
        <v>0</v>
      </c>
      <c r="BQ439" s="57">
        <f>AVERAGE(BQ436:BQ438)</f>
        <v>0</v>
      </c>
      <c r="BR439" s="57">
        <f>_xlfn.STDEV.S(BQ436:BQ438)</f>
        <v>0</v>
      </c>
      <c r="BS439" s="57">
        <f>AVERAGE(BS436:BS438)</f>
        <v>0</v>
      </c>
      <c r="BT439" s="57">
        <f>_xlfn.STDEV.S(BS436:BS438)</f>
        <v>0</v>
      </c>
      <c r="BU439" s="57">
        <f>AVERAGE(BU436:BU438)</f>
        <v>0</v>
      </c>
      <c r="BV439" s="57">
        <f>_xlfn.STDEV.S(BU436:BU438)</f>
        <v>0</v>
      </c>
      <c r="BW439" s="56">
        <f>AVERAGE(BW436:BW438)</f>
        <v>0</v>
      </c>
      <c r="BX439" s="55">
        <f t="shared" si="30"/>
        <v>0</v>
      </c>
      <c r="BY439" s="55">
        <f t="shared" si="31"/>
        <v>0</v>
      </c>
      <c r="BZ439" s="54">
        <f t="shared" si="32"/>
        <v>0</v>
      </c>
    </row>
    <row r="440" spans="1:78" x14ac:dyDescent="0.3">
      <c r="A440" s="172" t="s">
        <v>59</v>
      </c>
      <c r="B440" s="95" t="s">
        <v>69</v>
      </c>
      <c r="C440" s="94">
        <v>14</v>
      </c>
      <c r="D440" s="93">
        <v>7.46</v>
      </c>
      <c r="E440" s="88"/>
      <c r="F440" s="90">
        <v>1.24</v>
      </c>
      <c r="G440" s="85"/>
      <c r="H440" s="90">
        <v>0.31900000000000001</v>
      </c>
      <c r="I440" s="92">
        <f>H440*0.2907</f>
        <v>9.2733300000000005E-2</v>
      </c>
      <c r="J440" s="92"/>
      <c r="K440" s="92"/>
      <c r="L440" s="91"/>
      <c r="M440" s="89">
        <v>13.811145096710334</v>
      </c>
      <c r="O440" s="88">
        <v>0</v>
      </c>
      <c r="Q440" s="88">
        <v>8.0566677664921815E-2</v>
      </c>
      <c r="S440" s="88">
        <v>82.95990987375788</v>
      </c>
      <c r="U440" s="88">
        <v>3.1483783518668798</v>
      </c>
      <c r="W440" s="88">
        <v>0</v>
      </c>
      <c r="X440" s="88"/>
      <c r="Y440" s="89">
        <v>0.77092821705323689</v>
      </c>
      <c r="AA440" s="88">
        <v>0</v>
      </c>
      <c r="AC440" s="88">
        <v>4.4971741829658435E-3</v>
      </c>
      <c r="AE440" s="88">
        <v>4.6307626889755182</v>
      </c>
      <c r="AG440" s="88">
        <v>0.17574022229278211</v>
      </c>
      <c r="AI440" s="88">
        <v>0</v>
      </c>
      <c r="AJ440" s="87"/>
      <c r="AK440" s="89">
        <f>8*(AG440-$AG$328)/(2*($AA$328-AA440)+2*($AI$328-AI440))</f>
        <v>0.75303641375945751</v>
      </c>
      <c r="AL440" s="89"/>
      <c r="AM440" s="89">
        <f>(AG440-$AG$328)/(($AA$328-AA440)+($AI$328-AI440))</f>
        <v>0.18825910343986438</v>
      </c>
      <c r="AN440" s="89"/>
      <c r="AO440" s="37">
        <f>8*(BW440-$BW$328)/(2*($AA$328-AA440)+2*($AI$328-AI440))</f>
        <v>3.2742071038774196E-3</v>
      </c>
      <c r="AQ440" s="37">
        <f>(BW440-$BW$328)/(($AA$328-AA440)+($AI$328-AI440))</f>
        <v>8.185517759693549E-4</v>
      </c>
      <c r="AS440" s="37">
        <f>14*(BX440-$BX$328)/(2*($AA$328-AA440)+2*($AI$328-AI440))</f>
        <v>0</v>
      </c>
      <c r="AU440" s="37">
        <f>(BX440-$BX$328)/(($AA$328-AA440)+($AI$328-AI440))</f>
        <v>0</v>
      </c>
      <c r="AY440" s="90"/>
      <c r="AZ440" s="90"/>
      <c r="BA440" s="90"/>
      <c r="BB440" s="90"/>
      <c r="BC440" s="90"/>
      <c r="BD440" s="90"/>
      <c r="BE440" s="90"/>
      <c r="BF440" s="90"/>
      <c r="BG440" s="90">
        <v>0.92</v>
      </c>
      <c r="BH440" s="87"/>
      <c r="BI440" s="87">
        <v>0</v>
      </c>
      <c r="BJ440" s="87"/>
      <c r="BK440" s="87">
        <v>0</v>
      </c>
      <c r="BL440" s="87"/>
      <c r="BM440" s="87">
        <v>0</v>
      </c>
      <c r="BN440" s="87"/>
      <c r="BO440" s="89">
        <f>(BG440/1000)/60.2*1000</f>
        <v>1.5282392026578074E-2</v>
      </c>
      <c r="BP440" s="88"/>
      <c r="BQ440" s="87">
        <f>BI440/74.08</f>
        <v>0</v>
      </c>
      <c r="BR440" s="87"/>
      <c r="BS440" s="87">
        <f>(BK440/1000)/88.12*1000</f>
        <v>0</v>
      </c>
      <c r="BT440" s="87"/>
      <c r="BU440" s="87">
        <f>BM440/88.12</f>
        <v>0</v>
      </c>
      <c r="BV440" s="87"/>
      <c r="BW440" s="86">
        <f>BO440*0.05</f>
        <v>7.6411960132890372E-4</v>
      </c>
      <c r="BX440" s="85">
        <f t="shared" si="30"/>
        <v>0</v>
      </c>
      <c r="BY440" s="85">
        <f t="shared" si="31"/>
        <v>0</v>
      </c>
      <c r="BZ440" s="84">
        <f t="shared" si="32"/>
        <v>0</v>
      </c>
    </row>
    <row r="441" spans="1:78" x14ac:dyDescent="0.3">
      <c r="A441" s="173"/>
      <c r="B441" s="70" t="s">
        <v>68</v>
      </c>
      <c r="C441" s="20">
        <v>14</v>
      </c>
      <c r="D441" s="69">
        <v>7.42</v>
      </c>
      <c r="E441" s="21"/>
      <c r="F441" s="37">
        <v>1.2150000000000001</v>
      </c>
      <c r="H441" s="37">
        <v>0.30299999999999999</v>
      </c>
      <c r="I441" s="53">
        <f>H441*0.2907</f>
        <v>8.8082099999999997E-2</v>
      </c>
      <c r="L441" s="68"/>
      <c r="M441" s="22">
        <v>12.784852035824438</v>
      </c>
      <c r="O441" s="21">
        <v>0</v>
      </c>
      <c r="Q441" s="21">
        <v>0.12788432797007601</v>
      </c>
      <c r="S441" s="21">
        <v>84.081563398380794</v>
      </c>
      <c r="U441" s="21">
        <v>3.005700237824688</v>
      </c>
      <c r="W441" s="21">
        <v>0</v>
      </c>
      <c r="Y441" s="22">
        <v>0.69925334530526106</v>
      </c>
      <c r="AA441" s="21">
        <v>0</v>
      </c>
      <c r="AC441" s="21">
        <v>6.9944919107876331E-3</v>
      </c>
      <c r="AE441" s="21">
        <v>4.5987481372538861</v>
      </c>
      <c r="AG441" s="21">
        <v>0.16439345096794469</v>
      </c>
      <c r="AI441" s="21">
        <v>0</v>
      </c>
      <c r="AK441" s="22">
        <f>8*(AG441-$AG$329)/(2*($AA$329-AA441)+2*($AI$329-AI441))</f>
        <v>0.71919567466537127</v>
      </c>
      <c r="AL441" s="22"/>
      <c r="AM441" s="22">
        <f>(AG441-$AG$329)/(($AA$329-AA441)+($AI$329-AI441))</f>
        <v>0.17979891866634282</v>
      </c>
      <c r="AN441" s="22"/>
      <c r="AO441" s="37">
        <f>8*(BW441-$BW$329)/(2*($AA$329-AA441)+2*($AI$329-AI441))</f>
        <v>9.1566498768186795E-3</v>
      </c>
      <c r="AQ441" s="37">
        <f>(BW441-$BW$329)/(($AA$329-AA441)+($AI$329-AI441))</f>
        <v>2.2891624692046699E-3</v>
      </c>
      <c r="AS441" s="37">
        <f>14*(BX441-$BX$329)/(2*($AA$329-AA441)+2*($AI$329-AI441))</f>
        <v>0</v>
      </c>
      <c r="AU441" s="37">
        <f>(BX441-$BX$329)/(($AA$329-AA441)+($AI$329-AI441))</f>
        <v>0</v>
      </c>
      <c r="BG441" s="37">
        <v>2.52</v>
      </c>
      <c r="BI441" s="2">
        <v>0</v>
      </c>
      <c r="BK441" s="2">
        <v>0</v>
      </c>
      <c r="BM441" s="2">
        <v>0</v>
      </c>
      <c r="BO441" s="22">
        <f>(BG441/1000)/60.2*1000</f>
        <v>4.1860465116279069E-2</v>
      </c>
      <c r="BQ441" s="2">
        <f>BI441/74.08</f>
        <v>0</v>
      </c>
      <c r="BS441" s="2">
        <f>(BK441/1000)/88.12*1000</f>
        <v>0</v>
      </c>
      <c r="BU441" s="2">
        <f>BM441/88.12</f>
        <v>0</v>
      </c>
      <c r="BW441" s="52">
        <f>BO441*0.05</f>
        <v>2.0930232558139536E-3</v>
      </c>
      <c r="BX441" s="51">
        <f t="shared" si="30"/>
        <v>0</v>
      </c>
      <c r="BY441" s="51">
        <f t="shared" si="31"/>
        <v>0</v>
      </c>
      <c r="BZ441" s="67">
        <f t="shared" si="32"/>
        <v>0</v>
      </c>
    </row>
    <row r="442" spans="1:78" x14ac:dyDescent="0.3">
      <c r="A442" s="173"/>
      <c r="B442" s="70" t="s">
        <v>67</v>
      </c>
      <c r="C442" s="20">
        <v>14</v>
      </c>
      <c r="D442" s="69">
        <v>7.58</v>
      </c>
      <c r="E442" s="21"/>
      <c r="F442" s="37">
        <v>1.2350000000000001</v>
      </c>
      <c r="H442" s="37">
        <v>0.32300000000000001</v>
      </c>
      <c r="I442" s="53">
        <f>H442*0.2907</f>
        <v>9.389610000000001E-2</v>
      </c>
      <c r="L442" s="68"/>
      <c r="M442" s="22">
        <v>11.622396571477514</v>
      </c>
      <c r="O442" s="21">
        <v>0</v>
      </c>
      <c r="Q442" s="21">
        <v>0.14991645942344328</v>
      </c>
      <c r="S442" s="21">
        <v>85.228152530637672</v>
      </c>
      <c r="U442" s="21">
        <v>2.9995344384613798</v>
      </c>
      <c r="W442" s="21">
        <v>0</v>
      </c>
      <c r="Y442" s="22">
        <v>0.64613790073466215</v>
      </c>
      <c r="AA442" s="21">
        <v>0</v>
      </c>
      <c r="AC442" s="21">
        <v>8.3344864186752233E-3</v>
      </c>
      <c r="AE442" s="21">
        <v>4.7381914066488493</v>
      </c>
      <c r="AG442" s="21">
        <v>0.16675673328899102</v>
      </c>
      <c r="AI442" s="21">
        <v>0</v>
      </c>
      <c r="AK442" s="22">
        <f>8*(AG442-$AG$330)/(2*($AA$330-AA442)+2*($AI$330-AI442))</f>
        <v>0.77037619295173454</v>
      </c>
      <c r="AL442" s="22"/>
      <c r="AM442" s="22">
        <f>(AG442-$AG$330)/(($AA$330-AA442)+($AI$330-AI442))</f>
        <v>0.19259404823793363</v>
      </c>
      <c r="AN442" s="22"/>
      <c r="AO442" s="37">
        <f>8*(BW442-$BW$330)/(2*($AA$330-AA442)+2*($AI$330-AI442))</f>
        <v>3.6144638896617183E-2</v>
      </c>
      <c r="AQ442" s="37">
        <f>(BW442-$BW$330)/(($AA$330-AA442)+($AI$330-AI442))</f>
        <v>9.0361597241542958E-3</v>
      </c>
      <c r="AS442" s="37">
        <f>14*(BX442-$BX$330)/(2*($AA$330-AA442)+2*($AI$330-AI442))</f>
        <v>0</v>
      </c>
      <c r="AU442" s="37">
        <f>(BX442-$BX$330)/(($AA$330-AA442)+($AI$330-AI442))</f>
        <v>0</v>
      </c>
      <c r="BG442" s="37">
        <v>9.42</v>
      </c>
      <c r="BI442" s="2">
        <v>0</v>
      </c>
      <c r="BK442" s="2">
        <v>0</v>
      </c>
      <c r="BM442" s="2">
        <v>0</v>
      </c>
      <c r="BO442" s="22">
        <f>(BG442/1000)/60.2*1000</f>
        <v>0.1564784053156146</v>
      </c>
      <c r="BQ442" s="2">
        <f>BI442/74.08</f>
        <v>0</v>
      </c>
      <c r="BS442" s="2">
        <f>(BK442/1000)/88.12*1000</f>
        <v>0</v>
      </c>
      <c r="BU442" s="2">
        <f>BM442/88.12</f>
        <v>0</v>
      </c>
      <c r="BW442" s="52">
        <f>BO442*0.05</f>
        <v>7.8239202657807306E-3</v>
      </c>
      <c r="BX442" s="51">
        <f t="shared" si="30"/>
        <v>0</v>
      </c>
      <c r="BY442" s="51">
        <f t="shared" si="31"/>
        <v>0</v>
      </c>
      <c r="BZ442" s="67">
        <f t="shared" si="32"/>
        <v>0</v>
      </c>
    </row>
    <row r="443" spans="1:78" x14ac:dyDescent="0.3">
      <c r="A443" s="173"/>
      <c r="B443" s="83" t="s">
        <v>63</v>
      </c>
      <c r="C443" s="80">
        <v>14</v>
      </c>
      <c r="D443" s="79">
        <f>AVERAGE(D440:D442)</f>
        <v>7.4866666666666672</v>
      </c>
      <c r="E443" s="69">
        <f>_xlfn.STDEV.S(D440:D442)</f>
        <v>8.326663997864539E-2</v>
      </c>
      <c r="F443" s="78">
        <f>AVERAGE(F440:F442)</f>
        <v>1.2300000000000002</v>
      </c>
      <c r="G443" s="73">
        <f>_xlfn.STDEV.S(F440:F442)</f>
        <v>1.3228756555322923E-2</v>
      </c>
      <c r="H443" s="78">
        <f>AVERAGE(H440:H442)</f>
        <v>0.315</v>
      </c>
      <c r="I443" s="82">
        <f>AVERAGE(I440:I442)</f>
        <v>9.1570499999999999E-2</v>
      </c>
      <c r="J443" s="82">
        <f>_xlfn.STDEV.S(I440:I442)</f>
        <v>3.0764796245059127E-3</v>
      </c>
      <c r="K443" s="82"/>
      <c r="L443" s="81" t="e">
        <f>_xlfn.STDEV.S(K440:K442)</f>
        <v>#DIV/0!</v>
      </c>
      <c r="M443" s="77">
        <f>AVERAGE(M440:M442)</f>
        <v>12.739464568004095</v>
      </c>
      <c r="N443" s="76">
        <f>_xlfn.STDEV.S(M440:M442)</f>
        <v>1.0950799255550105</v>
      </c>
      <c r="O443" s="76">
        <f>AVERAGE(O440:O442)</f>
        <v>0</v>
      </c>
      <c r="P443" s="76">
        <f>_xlfn.STDEV.S(O440:O442)</f>
        <v>0</v>
      </c>
      <c r="Q443" s="76">
        <f>AVERAGE(Q440:Q442)</f>
        <v>0.11945582168614703</v>
      </c>
      <c r="R443" s="76">
        <f>_xlfn.STDEV.S(Q440:Q442)</f>
        <v>3.543483943977048E-2</v>
      </c>
      <c r="S443" s="76">
        <f>AVERAGE(S440:S442)</f>
        <v>84.089875267592106</v>
      </c>
      <c r="T443" s="76">
        <f>_xlfn.STDEV.S(S440:S442)</f>
        <v>1.1341441720520431</v>
      </c>
      <c r="U443" s="76">
        <f>AVERAGE(U440:U442)</f>
        <v>3.0512043427176487</v>
      </c>
      <c r="V443" s="76">
        <f>_xlfn.STDEV.S(U440:U442)</f>
        <v>8.4211610310266624E-2</v>
      </c>
      <c r="W443" s="76">
        <f>AVERAGE(W440:W442)</f>
        <v>0</v>
      </c>
      <c r="X443" s="76">
        <f>_xlfn.STDEV.S(W440:W442)</f>
        <v>0</v>
      </c>
      <c r="Y443" s="77">
        <f>AVERAGE(Y440:Y442)</f>
        <v>0.7054398210310534</v>
      </c>
      <c r="Z443" s="76">
        <f>_xlfn.STDEV.S(Y440:Y442)</f>
        <v>6.2624756471796744E-2</v>
      </c>
      <c r="AA443" s="76">
        <f>AVERAGE(AA440:AA442)</f>
        <v>0</v>
      </c>
      <c r="AB443" s="76">
        <f>_xlfn.STDEV.S(AA440:AA442)</f>
        <v>0</v>
      </c>
      <c r="AC443" s="76">
        <f>AVERAGE(AC440:AC442)</f>
        <v>6.6087175041429002E-3</v>
      </c>
      <c r="AD443" s="76">
        <f>_xlfn.STDEV.S(AC440:AC442)</f>
        <v>1.947526050710953E-3</v>
      </c>
      <c r="AE443" s="76">
        <f>AVERAGE(AE440:AE442)</f>
        <v>4.6559007442927509</v>
      </c>
      <c r="AF443" s="76">
        <f>_xlfn.STDEV.S(AE440:AE442)</f>
        <v>7.3041410951173918E-2</v>
      </c>
      <c r="AG443" s="76">
        <f>AVERAGE(AG440:AG442)</f>
        <v>0.16896346884990596</v>
      </c>
      <c r="AH443" s="76">
        <f>_xlfn.STDEV.S(AG440:AG442)</f>
        <v>5.9866155924188933E-3</v>
      </c>
      <c r="AI443" s="76">
        <f>AVERAGE(AI440:AI442)</f>
        <v>0</v>
      </c>
      <c r="AJ443" s="76">
        <f>_xlfn.STDEV.S(AI440:AI442)</f>
        <v>0</v>
      </c>
      <c r="AK443" s="77">
        <f>AVERAGE(AK440:AK442)</f>
        <v>0.74753609379218788</v>
      </c>
      <c r="AL443" s="77">
        <f>_xlfn.STDEV.S(AK440:AK442)</f>
        <v>2.6029819492688594E-2</v>
      </c>
      <c r="AM443" s="77">
        <f>AVERAGE(AM440:AM442)</f>
        <v>0.18688402344804697</v>
      </c>
      <c r="AN443" s="77">
        <f>_xlfn.STDEV.S(AM440:AM442)</f>
        <v>6.5074548731721485E-3</v>
      </c>
      <c r="AO443" s="78">
        <f>AVERAGE(AO440:AO442)</f>
        <v>1.6191831959104428E-2</v>
      </c>
      <c r="AP443" s="78">
        <f>_xlfn.STDEV.S(AO440:AO442)</f>
        <v>1.752816766688621E-2</v>
      </c>
      <c r="AQ443" s="78">
        <f>AVERAGE(AQ440:AQ442)</f>
        <v>4.047957989776107E-3</v>
      </c>
      <c r="AR443" s="78">
        <f>_xlfn.STDEV.S(AQ440:AQ442)</f>
        <v>4.3820419167215525E-3</v>
      </c>
      <c r="AS443" s="78">
        <f>AVERAGE(AS440:AS442)</f>
        <v>0</v>
      </c>
      <c r="AT443" s="78">
        <f>_xlfn.STDEV.S(AS440:AS442)</f>
        <v>0</v>
      </c>
      <c r="AU443" s="78">
        <f>AVERAGE(AU440:AU442)</f>
        <v>0</v>
      </c>
      <c r="AV443" s="80">
        <f>_xlfn.STDEV.S(AU440:AU442)</f>
        <v>0</v>
      </c>
      <c r="AW443" s="78"/>
      <c r="AX443" s="78"/>
      <c r="AY443" s="79">
        <f>SUM(AK443,AO443,AS443)</f>
        <v>0.76372792575129234</v>
      </c>
      <c r="AZ443" s="77">
        <f>SUM(AL443,AP443,AT443)</f>
        <v>4.3557987159574804E-2</v>
      </c>
      <c r="BA443" s="78"/>
      <c r="BB443" s="78"/>
      <c r="BC443" s="78"/>
      <c r="BD443" s="78"/>
      <c r="BE443" s="78"/>
      <c r="BF443" s="78"/>
      <c r="BG443" s="77">
        <v>4.2866666666666662</v>
      </c>
      <c r="BH443" s="76">
        <v>4.5170049073842433</v>
      </c>
      <c r="BI443" s="75">
        <v>0</v>
      </c>
      <c r="BJ443" s="75">
        <v>0</v>
      </c>
      <c r="BK443" s="75">
        <v>0</v>
      </c>
      <c r="BL443" s="75">
        <v>0</v>
      </c>
      <c r="BM443" s="75">
        <v>0</v>
      </c>
      <c r="BN443" s="75">
        <v>0</v>
      </c>
      <c r="BO443" s="77">
        <f>AVERAGE(BO440:BO442)</f>
        <v>7.1207087486157242E-2</v>
      </c>
      <c r="BP443" s="76">
        <f>_xlfn.STDEV.S(BO440:BO442)</f>
        <v>7.5033304109372798E-2</v>
      </c>
      <c r="BQ443" s="75">
        <f>AVERAGE(BQ440:BQ442)</f>
        <v>0</v>
      </c>
      <c r="BR443" s="75">
        <f>_xlfn.STDEV.S(BQ440:BQ442)</f>
        <v>0</v>
      </c>
      <c r="BS443" s="75">
        <f>AVERAGE(BS440:BS442)</f>
        <v>0</v>
      </c>
      <c r="BT443" s="75">
        <f>_xlfn.STDEV.S(BS440:BS442)</f>
        <v>0</v>
      </c>
      <c r="BU443" s="75">
        <f>AVERAGE(BU440:BU442)</f>
        <v>0</v>
      </c>
      <c r="BV443" s="75">
        <f>_xlfn.STDEV.S(BU440:BU442)</f>
        <v>0</v>
      </c>
      <c r="BW443" s="74">
        <f>AVERAGE(BW440:BW442)</f>
        <v>3.5603543743078629E-3</v>
      </c>
      <c r="BX443" s="73">
        <f t="shared" si="30"/>
        <v>0</v>
      </c>
      <c r="BY443" s="73">
        <f t="shared" si="31"/>
        <v>0</v>
      </c>
      <c r="BZ443" s="72">
        <f t="shared" si="32"/>
        <v>0</v>
      </c>
    </row>
    <row r="444" spans="1:78" x14ac:dyDescent="0.3">
      <c r="A444" s="174" t="s">
        <v>60</v>
      </c>
      <c r="B444" s="70" t="s">
        <v>66</v>
      </c>
      <c r="C444" s="20">
        <v>14</v>
      </c>
      <c r="D444" s="69"/>
      <c r="E444" s="71"/>
      <c r="L444" s="68"/>
      <c r="AI444" s="21">
        <v>0</v>
      </c>
      <c r="BO444" s="22">
        <f>(BG444/1000)/60.2*1000</f>
        <v>0</v>
      </c>
      <c r="BQ444" s="2">
        <f>BI444/74.08</f>
        <v>0</v>
      </c>
      <c r="BS444" s="2">
        <f>(BK444/1000)/88.12*1000</f>
        <v>0</v>
      </c>
      <c r="BU444" s="2">
        <f>BM444/88.12</f>
        <v>0</v>
      </c>
      <c r="BW444" s="52">
        <f>BO444*0.05</f>
        <v>0</v>
      </c>
      <c r="BX444" s="51">
        <f t="shared" si="30"/>
        <v>0</v>
      </c>
      <c r="BY444" s="51">
        <f t="shared" si="31"/>
        <v>0</v>
      </c>
      <c r="BZ444" s="67">
        <f t="shared" si="32"/>
        <v>0</v>
      </c>
    </row>
    <row r="445" spans="1:78" x14ac:dyDescent="0.3">
      <c r="A445" s="173"/>
      <c r="B445" s="70" t="s">
        <v>65</v>
      </c>
      <c r="C445" s="20">
        <v>14</v>
      </c>
      <c r="D445" s="69"/>
      <c r="E445" s="21"/>
      <c r="L445" s="68"/>
      <c r="AI445" s="21">
        <v>0</v>
      </c>
      <c r="BO445" s="22">
        <f>(BG445/1000)/60.2*1000</f>
        <v>0</v>
      </c>
      <c r="BQ445" s="2">
        <f>BI445/74.08</f>
        <v>0</v>
      </c>
      <c r="BS445" s="2">
        <f>(BK445/1000)/88.12*1000</f>
        <v>0</v>
      </c>
      <c r="BU445" s="2">
        <f>BM445/88.12</f>
        <v>0</v>
      </c>
      <c r="BW445" s="52">
        <f>BO445*0.05</f>
        <v>0</v>
      </c>
      <c r="BX445" s="51">
        <f t="shared" si="30"/>
        <v>0</v>
      </c>
      <c r="BY445" s="51">
        <f t="shared" si="31"/>
        <v>0</v>
      </c>
      <c r="BZ445" s="67">
        <f t="shared" si="32"/>
        <v>0</v>
      </c>
    </row>
    <row r="446" spans="1:78" x14ac:dyDescent="0.3">
      <c r="A446" s="173"/>
      <c r="B446" s="70" t="s">
        <v>64</v>
      </c>
      <c r="C446" s="20">
        <v>14</v>
      </c>
      <c r="D446" s="69"/>
      <c r="E446" s="21"/>
      <c r="G446" s="67"/>
      <c r="L446" s="68"/>
      <c r="AI446" s="21">
        <v>0</v>
      </c>
      <c r="BO446" s="22">
        <f>(BG446/1000)/60.2*1000</f>
        <v>0</v>
      </c>
      <c r="BQ446" s="2">
        <f>BI446/74.08</f>
        <v>0</v>
      </c>
      <c r="BS446" s="2">
        <f>(BK446/1000)/88.12*1000</f>
        <v>0</v>
      </c>
      <c r="BU446" s="2">
        <f>BM446/88.12</f>
        <v>0</v>
      </c>
      <c r="BW446" s="52">
        <f>BO446*0.05</f>
        <v>0</v>
      </c>
      <c r="BX446" s="51">
        <f t="shared" si="30"/>
        <v>0</v>
      </c>
      <c r="BY446" s="51">
        <f t="shared" si="31"/>
        <v>0</v>
      </c>
      <c r="BZ446" s="67">
        <f t="shared" si="32"/>
        <v>0</v>
      </c>
    </row>
    <row r="447" spans="1:78" ht="15" thickBot="1" x14ac:dyDescent="0.35">
      <c r="A447" s="175"/>
      <c r="B447" s="66" t="s">
        <v>63</v>
      </c>
      <c r="C447" s="65">
        <v>14</v>
      </c>
      <c r="D447" s="64" t="e">
        <f>AVERAGE(D444:D446)</f>
        <v>#DIV/0!</v>
      </c>
      <c r="E447" s="58"/>
      <c r="F447" s="60" t="e">
        <f>AVERAGE(F444:F446)</f>
        <v>#DIV/0!</v>
      </c>
      <c r="G447" s="55" t="e">
        <f>_xlfn.STDEV.S(F444:F446)</f>
        <v>#DIV/0!</v>
      </c>
      <c r="H447" s="60" t="e">
        <f>AVERAGE(H444:H446)</f>
        <v>#DIV/0!</v>
      </c>
      <c r="I447" s="63" t="e">
        <f>AVERAGE(I444:I446)</f>
        <v>#DIV/0!</v>
      </c>
      <c r="J447" s="63" t="e">
        <f>_xlfn.STDEV.S(I444:I446)</f>
        <v>#DIV/0!</v>
      </c>
      <c r="K447" s="63"/>
      <c r="L447" s="62" t="e">
        <f>_xlfn.STDEV.S(K444:K446)</f>
        <v>#DIV/0!</v>
      </c>
      <c r="M447" s="59" t="e">
        <f>AVERAGE(M444:M446)</f>
        <v>#DIV/0!</v>
      </c>
      <c r="N447" s="58" t="e">
        <f>_xlfn.STDEV.S(M444:M446)</f>
        <v>#DIV/0!</v>
      </c>
      <c r="O447" s="58" t="e">
        <f>AVERAGE(O444:O446)</f>
        <v>#DIV/0!</v>
      </c>
      <c r="P447" s="58" t="e">
        <f>_xlfn.STDEV.S(O444:O446)</f>
        <v>#DIV/0!</v>
      </c>
      <c r="Q447" s="58" t="e">
        <f>AVERAGE(Q444:Q446)</f>
        <v>#DIV/0!</v>
      </c>
      <c r="R447" s="58" t="e">
        <f>_xlfn.STDEV.S(Q444:Q446)</f>
        <v>#DIV/0!</v>
      </c>
      <c r="S447" s="58" t="e">
        <f>AVERAGE(S444:S446)</f>
        <v>#DIV/0!</v>
      </c>
      <c r="T447" s="58" t="e">
        <f>_xlfn.STDEV.S(S444:S446)</f>
        <v>#DIV/0!</v>
      </c>
      <c r="U447" s="58" t="e">
        <f>AVERAGE(U444:U446)</f>
        <v>#DIV/0!</v>
      </c>
      <c r="V447" s="58" t="e">
        <f>_xlfn.STDEV.S(U444:U446)</f>
        <v>#DIV/0!</v>
      </c>
      <c r="W447" s="58" t="e">
        <f>AVERAGE(W444:W446)</f>
        <v>#DIV/0!</v>
      </c>
      <c r="X447" s="58" t="e">
        <f>_xlfn.STDEV.S(W444:W446)</f>
        <v>#DIV/0!</v>
      </c>
      <c r="Y447" s="59" t="e">
        <v>#DIV/0!</v>
      </c>
      <c r="Z447" s="58"/>
      <c r="AA447" s="58" t="e">
        <v>#DIV/0!</v>
      </c>
      <c r="AB447" s="58"/>
      <c r="AC447" s="58" t="e">
        <v>#DIV/0!</v>
      </c>
      <c r="AD447" s="58"/>
      <c r="AE447" s="58" t="e">
        <v>#DIV/0!</v>
      </c>
      <c r="AF447" s="58"/>
      <c r="AG447" s="58" t="e">
        <v>#DIV/0!</v>
      </c>
      <c r="AH447" s="58"/>
      <c r="AI447" s="58">
        <v>0</v>
      </c>
      <c r="AJ447" s="61">
        <f>_xlfn.STDEV.S(AI444:AI446)</f>
        <v>0</v>
      </c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  <c r="BE447" s="60"/>
      <c r="BF447" s="60"/>
      <c r="BG447" s="60"/>
      <c r="BH447" s="57"/>
      <c r="BI447" s="57"/>
      <c r="BJ447" s="57"/>
      <c r="BK447" s="57"/>
      <c r="BL447" s="57"/>
      <c r="BM447" s="57"/>
      <c r="BN447" s="57"/>
      <c r="BO447" s="59">
        <f>AVERAGE(BO444:BO446)</f>
        <v>0</v>
      </c>
      <c r="BP447" s="58">
        <f>_xlfn.STDEV.S(BO444:BO446)</f>
        <v>0</v>
      </c>
      <c r="BQ447" s="57">
        <f>AVERAGE(BQ444:BQ446)</f>
        <v>0</v>
      </c>
      <c r="BR447" s="57">
        <f>_xlfn.STDEV.S(BQ444:BQ446)</f>
        <v>0</v>
      </c>
      <c r="BS447" s="57">
        <f>AVERAGE(BS444:BS446)</f>
        <v>0</v>
      </c>
      <c r="BT447" s="57">
        <f>_xlfn.STDEV.S(BS444:BS446)</f>
        <v>0</v>
      </c>
      <c r="BU447" s="57">
        <f>AVERAGE(BU444:BU446)</f>
        <v>0</v>
      </c>
      <c r="BV447" s="57">
        <f>_xlfn.STDEV.S(BU444:BU446)</f>
        <v>0</v>
      </c>
      <c r="BW447" s="56">
        <f>AVERAGE(BW444:BW446)</f>
        <v>0</v>
      </c>
      <c r="BX447" s="55">
        <f t="shared" si="30"/>
        <v>0</v>
      </c>
      <c r="BY447" s="55">
        <f t="shared" si="31"/>
        <v>0</v>
      </c>
      <c r="BZ447" s="54">
        <f t="shared" si="32"/>
        <v>0</v>
      </c>
    </row>
  </sheetData>
  <mergeCells count="135">
    <mergeCell ref="A73:A76"/>
    <mergeCell ref="A77:A80"/>
    <mergeCell ref="A81:A84"/>
    <mergeCell ref="A85:A88"/>
    <mergeCell ref="A89:A92"/>
    <mergeCell ref="BO145:BV145"/>
    <mergeCell ref="BW145:BZ145"/>
    <mergeCell ref="A147:A150"/>
    <mergeCell ref="A151:A154"/>
    <mergeCell ref="A227:A230"/>
    <mergeCell ref="A231:A234"/>
    <mergeCell ref="A219:A222"/>
    <mergeCell ref="BG144:BN144"/>
    <mergeCell ref="I145:J145"/>
    <mergeCell ref="K145:L145"/>
    <mergeCell ref="M145:X145"/>
    <mergeCell ref="Y145:AI145"/>
    <mergeCell ref="BG145:BN145"/>
    <mergeCell ref="A215:A218"/>
    <mergeCell ref="A223:A226"/>
    <mergeCell ref="A191:A194"/>
    <mergeCell ref="A195:A198"/>
    <mergeCell ref="A199:A202"/>
    <mergeCell ref="A203:A206"/>
    <mergeCell ref="A207:A210"/>
    <mergeCell ref="A211:A214"/>
    <mergeCell ref="A21:A24"/>
    <mergeCell ref="A25:A28"/>
    <mergeCell ref="A29:A32"/>
    <mergeCell ref="A33:A36"/>
    <mergeCell ref="A49:A52"/>
    <mergeCell ref="M144:X144"/>
    <mergeCell ref="A61:A64"/>
    <mergeCell ref="A65:A68"/>
    <mergeCell ref="A53:A56"/>
    <mergeCell ref="A57:A60"/>
    <mergeCell ref="A69:A72"/>
    <mergeCell ref="A37:A40"/>
    <mergeCell ref="A93:A96"/>
    <mergeCell ref="A97:A100"/>
    <mergeCell ref="A101:A104"/>
    <mergeCell ref="A105:A108"/>
    <mergeCell ref="A133:A136"/>
    <mergeCell ref="A137:A140"/>
    <mergeCell ref="A125:A128"/>
    <mergeCell ref="A129:A132"/>
    <mergeCell ref="A109:A112"/>
    <mergeCell ref="A113:A116"/>
    <mergeCell ref="A117:A120"/>
    <mergeCell ref="A121:A124"/>
    <mergeCell ref="BO3:BV3"/>
    <mergeCell ref="BW3:BZ3"/>
    <mergeCell ref="A5:A8"/>
    <mergeCell ref="A9:A12"/>
    <mergeCell ref="A41:A44"/>
    <mergeCell ref="A13:A16"/>
    <mergeCell ref="A17:A20"/>
    <mergeCell ref="A187:A190"/>
    <mergeCell ref="BG2:BN2"/>
    <mergeCell ref="I3:J3"/>
    <mergeCell ref="K3:L3"/>
    <mergeCell ref="M3:X3"/>
    <mergeCell ref="Y3:AI3"/>
    <mergeCell ref="BG3:BN3"/>
    <mergeCell ref="M2:X2"/>
    <mergeCell ref="A45:A48"/>
    <mergeCell ref="A171:A174"/>
    <mergeCell ref="A175:A178"/>
    <mergeCell ref="A179:A182"/>
    <mergeCell ref="A183:A186"/>
    <mergeCell ref="A155:A158"/>
    <mergeCell ref="A159:A162"/>
    <mergeCell ref="A163:A166"/>
    <mergeCell ref="A167:A170"/>
    <mergeCell ref="A251:A254"/>
    <mergeCell ref="A255:A258"/>
    <mergeCell ref="A235:A238"/>
    <mergeCell ref="A239:A242"/>
    <mergeCell ref="A243:A246"/>
    <mergeCell ref="A247:A250"/>
    <mergeCell ref="A271:A274"/>
    <mergeCell ref="A267:A270"/>
    <mergeCell ref="A263:A266"/>
    <mergeCell ref="A259:A262"/>
    <mergeCell ref="A275:A278"/>
    <mergeCell ref="A279:A282"/>
    <mergeCell ref="A283:A286"/>
    <mergeCell ref="A287:A290"/>
    <mergeCell ref="A319:A322"/>
    <mergeCell ref="A291:A294"/>
    <mergeCell ref="A295:A298"/>
    <mergeCell ref="A299:A302"/>
    <mergeCell ref="A303:A306"/>
    <mergeCell ref="A336:A339"/>
    <mergeCell ref="A340:A343"/>
    <mergeCell ref="M326:X326"/>
    <mergeCell ref="BG326:BN326"/>
    <mergeCell ref="A307:A310"/>
    <mergeCell ref="A311:A314"/>
    <mergeCell ref="A315:A318"/>
    <mergeCell ref="BO326:BV326"/>
    <mergeCell ref="BW326:BZ326"/>
    <mergeCell ref="A328:A331"/>
    <mergeCell ref="A332:A335"/>
    <mergeCell ref="M325:X325"/>
    <mergeCell ref="BG325:BN325"/>
    <mergeCell ref="I326:J326"/>
    <mergeCell ref="K326:L326"/>
    <mergeCell ref="Y326:AI326"/>
    <mergeCell ref="A344:A347"/>
    <mergeCell ref="A348:A351"/>
    <mergeCell ref="A352:A355"/>
    <mergeCell ref="A356:A359"/>
    <mergeCell ref="A360:A363"/>
    <mergeCell ref="A364:A367"/>
    <mergeCell ref="A368:A371"/>
    <mergeCell ref="A372:A375"/>
    <mergeCell ref="A376:A379"/>
    <mergeCell ref="A416:A419"/>
    <mergeCell ref="A420:A423"/>
    <mergeCell ref="A440:A443"/>
    <mergeCell ref="A444:A447"/>
    <mergeCell ref="A424:A427"/>
    <mergeCell ref="A428:A431"/>
    <mergeCell ref="A432:A435"/>
    <mergeCell ref="A436:A439"/>
    <mergeCell ref="A380:A383"/>
    <mergeCell ref="A384:A387"/>
    <mergeCell ref="A388:A391"/>
    <mergeCell ref="A392:A395"/>
    <mergeCell ref="A396:A399"/>
    <mergeCell ref="A400:A403"/>
    <mergeCell ref="A404:A407"/>
    <mergeCell ref="A408:A411"/>
    <mergeCell ref="A412:A4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2B3E-9C4F-4D1E-AC13-C7F3DA5458FA}">
  <dimension ref="A1:BZ204"/>
  <sheetViews>
    <sheetView zoomScale="70" zoomScaleNormal="70" workbookViewId="0"/>
  </sheetViews>
  <sheetFormatPr baseColWidth="10" defaultRowHeight="14.4" x14ac:dyDescent="0.3"/>
  <cols>
    <col min="1" max="1" width="12.21875" customWidth="1"/>
    <col min="2" max="2" width="11.5546875" style="20"/>
    <col min="3" max="4" width="11.6640625" style="20" bestFit="1" customWidth="1"/>
    <col min="5" max="5" width="11.6640625" style="2" customWidth="1"/>
    <col min="6" max="6" width="14" style="37" bestFit="1" customWidth="1"/>
    <col min="7" max="7" width="13.5546875" style="51" customWidth="1"/>
    <col min="8" max="8" width="11.6640625" style="37" bestFit="1" customWidth="1"/>
    <col min="9" max="12" width="11.6640625" style="53" bestFit="1" customWidth="1"/>
    <col min="13" max="13" width="11.6640625" style="22" bestFit="1" customWidth="1"/>
    <col min="14" max="24" width="11.6640625" style="21" bestFit="1" customWidth="1"/>
    <col min="25" max="25" width="11.6640625" style="37" bestFit="1" customWidth="1"/>
    <col min="26" max="36" width="11.6640625" style="2" bestFit="1" customWidth="1"/>
    <col min="37" max="48" width="11.6640625" style="37" bestFit="1" customWidth="1"/>
    <col min="49" max="50" width="11.6640625" style="37" customWidth="1"/>
    <col min="51" max="51" width="13.33203125" style="37" bestFit="1" customWidth="1"/>
    <col min="52" max="56" width="11.6640625" style="37" bestFit="1" customWidth="1"/>
    <col min="57" max="57" width="14.109375" style="37" bestFit="1" customWidth="1"/>
    <col min="58" max="59" width="11.6640625" style="37" bestFit="1" customWidth="1"/>
    <col min="60" max="60" width="11.6640625" style="2" customWidth="1"/>
    <col min="61" max="61" width="13.109375" style="2" bestFit="1" customWidth="1"/>
    <col min="62" max="62" width="13.109375" style="2" customWidth="1"/>
    <col min="63" max="63" width="13.44140625" style="2" bestFit="1" customWidth="1"/>
    <col min="64" max="64" width="13.44140625" style="2" customWidth="1"/>
    <col min="65" max="65" width="10.88671875" style="2" bestFit="1" customWidth="1"/>
    <col min="66" max="66" width="10.88671875" style="2" customWidth="1"/>
    <col min="67" max="67" width="11.6640625" style="37" bestFit="1" customWidth="1"/>
    <col min="68" max="68" width="11.6640625" style="2" customWidth="1"/>
    <col min="69" max="69" width="13.109375" style="2" bestFit="1" customWidth="1"/>
    <col min="70" max="70" width="13.109375" style="2" customWidth="1"/>
    <col min="71" max="71" width="13.44140625" style="2" bestFit="1" customWidth="1"/>
    <col min="72" max="72" width="13.44140625" style="2" customWidth="1"/>
    <col min="73" max="73" width="10.88671875" style="2" bestFit="1" customWidth="1"/>
    <col min="74" max="74" width="10.88671875" style="2" customWidth="1"/>
    <col min="75" max="75" width="12.44140625" style="37" bestFit="1" customWidth="1"/>
    <col min="76" max="76" width="13.109375" style="2" bestFit="1" customWidth="1"/>
    <col min="77" max="77" width="13.44140625" style="2" bestFit="1" customWidth="1"/>
    <col min="78" max="78" width="13.6640625" style="18" bestFit="1" customWidth="1"/>
  </cols>
  <sheetData>
    <row r="1" spans="1:78" ht="15" thickBot="1" x14ac:dyDescent="0.35">
      <c r="B1" s="2"/>
      <c r="C1" s="2"/>
      <c r="D1" s="2"/>
      <c r="F1" s="2"/>
      <c r="H1" s="2"/>
      <c r="I1" s="109"/>
      <c r="J1" s="109"/>
      <c r="K1" s="109"/>
      <c r="L1" s="109"/>
      <c r="M1" s="21"/>
      <c r="Y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57"/>
      <c r="BO1" s="2"/>
      <c r="BW1" s="2"/>
      <c r="BZ1" s="2"/>
    </row>
    <row r="2" spans="1:78" ht="15" thickBot="1" x14ac:dyDescent="0.35">
      <c r="B2" s="3" t="s">
        <v>6</v>
      </c>
      <c r="C2" s="4">
        <v>55</v>
      </c>
      <c r="D2" s="2"/>
      <c r="F2" s="2"/>
      <c r="H2" s="2"/>
      <c r="I2" s="108"/>
      <c r="J2" s="108"/>
      <c r="K2" s="108"/>
      <c r="L2" s="108"/>
      <c r="M2" s="184" t="s">
        <v>8</v>
      </c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AI2" s="57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187" t="s">
        <v>10</v>
      </c>
      <c r="BH2" s="188"/>
      <c r="BI2" s="188"/>
      <c r="BJ2" s="188"/>
      <c r="BK2" s="188"/>
      <c r="BL2" s="188"/>
      <c r="BM2" s="188"/>
      <c r="BN2" s="188"/>
      <c r="BO2" s="11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</row>
    <row r="3" spans="1:78" ht="16.2" thickBot="1" x14ac:dyDescent="0.35">
      <c r="B3" s="2"/>
      <c r="C3" s="2"/>
      <c r="D3" s="2"/>
      <c r="F3" s="2"/>
      <c r="H3" s="103" t="s">
        <v>91</v>
      </c>
      <c r="I3" s="189" t="s">
        <v>90</v>
      </c>
      <c r="J3" s="190"/>
      <c r="K3" s="189" t="s">
        <v>44</v>
      </c>
      <c r="L3" s="190"/>
      <c r="M3" s="176" t="s">
        <v>89</v>
      </c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67" t="s">
        <v>88</v>
      </c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7"/>
      <c r="AK3" s="5"/>
      <c r="AL3" s="6"/>
      <c r="AM3" s="5"/>
      <c r="AN3" s="6"/>
      <c r="AO3" s="5"/>
      <c r="AP3" s="6"/>
      <c r="AQ3" s="5"/>
      <c r="AR3" s="6"/>
      <c r="AS3" s="5"/>
      <c r="AT3" s="6"/>
      <c r="AU3" s="5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178" t="s">
        <v>13</v>
      </c>
      <c r="BH3" s="179"/>
      <c r="BI3" s="179"/>
      <c r="BJ3" s="179"/>
      <c r="BK3" s="179"/>
      <c r="BL3" s="179"/>
      <c r="BM3" s="179"/>
      <c r="BN3" s="179"/>
      <c r="BO3" s="178" t="s">
        <v>87</v>
      </c>
      <c r="BP3" s="179"/>
      <c r="BQ3" s="179"/>
      <c r="BR3" s="179"/>
      <c r="BS3" s="179"/>
      <c r="BT3" s="179"/>
      <c r="BU3" s="179"/>
      <c r="BV3" s="179"/>
      <c r="BW3" s="194" t="s">
        <v>86</v>
      </c>
      <c r="BX3" s="179"/>
      <c r="BY3" s="179"/>
      <c r="BZ3" s="195"/>
    </row>
    <row r="4" spans="1:78" ht="16.2" thickBot="1" x14ac:dyDescent="0.35">
      <c r="A4" s="8" t="s">
        <v>85</v>
      </c>
      <c r="B4" s="10" t="s">
        <v>84</v>
      </c>
      <c r="C4" s="11" t="s">
        <v>16</v>
      </c>
      <c r="D4" s="12" t="s">
        <v>0</v>
      </c>
      <c r="E4" s="114" t="s">
        <v>47</v>
      </c>
      <c r="F4" s="113" t="s">
        <v>83</v>
      </c>
      <c r="G4" s="101" t="s">
        <v>47</v>
      </c>
      <c r="H4" s="14" t="s">
        <v>82</v>
      </c>
      <c r="I4" s="49" t="s">
        <v>81</v>
      </c>
      <c r="J4" s="49" t="s">
        <v>47</v>
      </c>
      <c r="K4" s="49" t="s">
        <v>49</v>
      </c>
      <c r="L4" s="49" t="s">
        <v>47</v>
      </c>
      <c r="M4" s="99" t="s">
        <v>80</v>
      </c>
      <c r="N4" s="99" t="s">
        <v>47</v>
      </c>
      <c r="O4" s="99" t="s">
        <v>79</v>
      </c>
      <c r="P4" s="99" t="s">
        <v>47</v>
      </c>
      <c r="Q4" s="99" t="s">
        <v>78</v>
      </c>
      <c r="R4" s="99" t="s">
        <v>47</v>
      </c>
      <c r="S4" s="99" t="s">
        <v>77</v>
      </c>
      <c r="T4" s="99" t="s">
        <v>47</v>
      </c>
      <c r="U4" s="99" t="s">
        <v>76</v>
      </c>
      <c r="V4" s="99" t="s">
        <v>47</v>
      </c>
      <c r="W4" s="99" t="s">
        <v>59</v>
      </c>
      <c r="X4" s="100" t="s">
        <v>47</v>
      </c>
      <c r="Y4" s="15" t="s">
        <v>80</v>
      </c>
      <c r="Z4" s="15" t="s">
        <v>47</v>
      </c>
      <c r="AA4" s="15" t="s">
        <v>79</v>
      </c>
      <c r="AB4" s="15" t="s">
        <v>47</v>
      </c>
      <c r="AC4" s="15" t="s">
        <v>78</v>
      </c>
      <c r="AD4" s="15" t="s">
        <v>47</v>
      </c>
      <c r="AE4" s="15" t="s">
        <v>77</v>
      </c>
      <c r="AF4" s="15" t="s">
        <v>47</v>
      </c>
      <c r="AG4" s="15" t="s">
        <v>76</v>
      </c>
      <c r="AH4" s="15" t="s">
        <v>47</v>
      </c>
      <c r="AI4" s="15" t="s">
        <v>59</v>
      </c>
      <c r="AJ4" s="98" t="s">
        <v>47</v>
      </c>
      <c r="AK4" s="15" t="s">
        <v>50</v>
      </c>
      <c r="AL4" s="15" t="s">
        <v>47</v>
      </c>
      <c r="AM4" s="15" t="s">
        <v>75</v>
      </c>
      <c r="AN4" s="15" t="s">
        <v>47</v>
      </c>
      <c r="AO4" s="15" t="s">
        <v>51</v>
      </c>
      <c r="AP4" s="15" t="s">
        <v>47</v>
      </c>
      <c r="AQ4" s="15" t="s">
        <v>74</v>
      </c>
      <c r="AR4" s="15" t="s">
        <v>47</v>
      </c>
      <c r="AS4" s="15" t="s">
        <v>52</v>
      </c>
      <c r="AT4" s="15" t="s">
        <v>47</v>
      </c>
      <c r="AU4" s="15" t="s">
        <v>73</v>
      </c>
      <c r="AV4" s="15" t="s">
        <v>47</v>
      </c>
      <c r="AW4" s="15" t="s">
        <v>53</v>
      </c>
      <c r="AX4" s="15" t="s">
        <v>47</v>
      </c>
      <c r="AY4" s="15" t="s">
        <v>54</v>
      </c>
      <c r="AZ4" s="15" t="s">
        <v>47</v>
      </c>
      <c r="BA4" s="15" t="s">
        <v>72</v>
      </c>
      <c r="BB4" s="15" t="s">
        <v>47</v>
      </c>
      <c r="BC4" s="15" t="s">
        <v>71</v>
      </c>
      <c r="BD4" s="15" t="s">
        <v>47</v>
      </c>
      <c r="BE4" s="15" t="s">
        <v>70</v>
      </c>
      <c r="BF4" s="15" t="s">
        <v>47</v>
      </c>
      <c r="BG4" s="17" t="s">
        <v>30</v>
      </c>
      <c r="BH4" s="17" t="s">
        <v>47</v>
      </c>
      <c r="BI4" s="17" t="s">
        <v>31</v>
      </c>
      <c r="BJ4" s="17" t="s">
        <v>47</v>
      </c>
      <c r="BK4" s="17" t="s">
        <v>32</v>
      </c>
      <c r="BL4" s="17" t="s">
        <v>47</v>
      </c>
      <c r="BM4" s="17" t="s">
        <v>33</v>
      </c>
      <c r="BN4" s="17" t="s">
        <v>47</v>
      </c>
      <c r="BO4" s="17" t="s">
        <v>30</v>
      </c>
      <c r="BP4" s="17" t="s">
        <v>47</v>
      </c>
      <c r="BQ4" s="17" t="s">
        <v>31</v>
      </c>
      <c r="BR4" s="17" t="s">
        <v>47</v>
      </c>
      <c r="BS4" s="17" t="s">
        <v>32</v>
      </c>
      <c r="BT4" s="17" t="s">
        <v>47</v>
      </c>
      <c r="BU4" s="17" t="s">
        <v>33</v>
      </c>
      <c r="BV4" s="17" t="s">
        <v>47</v>
      </c>
      <c r="BW4" s="17" t="s">
        <v>30</v>
      </c>
      <c r="BX4" s="17" t="s">
        <v>31</v>
      </c>
      <c r="BY4" s="17" t="s">
        <v>32</v>
      </c>
      <c r="BZ4" s="17" t="s">
        <v>33</v>
      </c>
    </row>
    <row r="5" spans="1:78" x14ac:dyDescent="0.3">
      <c r="A5" s="196" t="s">
        <v>105</v>
      </c>
      <c r="B5" s="70" t="s">
        <v>106</v>
      </c>
      <c r="C5" s="20">
        <v>0</v>
      </c>
      <c r="D5" s="20">
        <v>7.13</v>
      </c>
      <c r="F5" s="37">
        <v>1.5149999999999999</v>
      </c>
      <c r="H5" s="37">
        <v>0.06</v>
      </c>
      <c r="I5" s="53">
        <f>H5*0.2842</f>
        <v>1.7052000000000001E-2</v>
      </c>
      <c r="M5" s="116">
        <v>10.898589209851622</v>
      </c>
      <c r="N5" s="24"/>
      <c r="O5" s="24">
        <v>61.670931436729383</v>
      </c>
      <c r="P5" s="24"/>
      <c r="Q5" s="24">
        <v>0.25845922161632723</v>
      </c>
      <c r="R5" s="24"/>
      <c r="S5" s="24">
        <v>0.7199754685223877</v>
      </c>
      <c r="T5" s="24"/>
      <c r="U5" s="24">
        <v>6.5193595827737898</v>
      </c>
      <c r="V5" s="24"/>
      <c r="W5" s="24">
        <v>19.932685080506502</v>
      </c>
      <c r="Y5" s="86">
        <v>0.74326808471999217</v>
      </c>
      <c r="Z5" s="85"/>
      <c r="AA5" s="85">
        <v>4.2058686871545881</v>
      </c>
      <c r="AB5" s="85"/>
      <c r="AC5" s="85">
        <v>1.7626546604338243E-2</v>
      </c>
      <c r="AD5" s="85"/>
      <c r="AE5" s="85">
        <v>4.9101289830273322E-2</v>
      </c>
      <c r="AF5" s="85"/>
      <c r="AG5" s="85">
        <v>0.44461093242316752</v>
      </c>
      <c r="AH5" s="85"/>
      <c r="AI5" s="85">
        <v>1.3593804095049959</v>
      </c>
      <c r="AJ5" s="51"/>
      <c r="AK5" s="52"/>
      <c r="AL5" s="52"/>
      <c r="AM5" s="52" t="e">
        <f>(AG5-$AG$5)/(($AA$5-AA5)+($AI$5-AI5))</f>
        <v>#DIV/0!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37">
        <v>0.04</v>
      </c>
      <c r="BI5" s="2">
        <v>0</v>
      </c>
      <c r="BK5" s="2">
        <v>0</v>
      </c>
      <c r="BM5" s="2">
        <v>0</v>
      </c>
      <c r="BO5" s="37">
        <f>(BG5/1000)/60.2*1000</f>
        <v>6.6445182724252495E-4</v>
      </c>
      <c r="BQ5" s="2">
        <f>BI5/74.08</f>
        <v>0</v>
      </c>
      <c r="BS5" s="2">
        <f>(BK5/1000)/88.12*1000</f>
        <v>0</v>
      </c>
      <c r="BU5" s="2">
        <f>BM5/88.12</f>
        <v>0</v>
      </c>
      <c r="BW5" s="37">
        <f>BO5*0.05</f>
        <v>3.3222591362126248E-5</v>
      </c>
      <c r="BX5" s="2">
        <f>BQ5*0.05</f>
        <v>0</v>
      </c>
      <c r="BY5" s="2">
        <f>BS5*0.05</f>
        <v>0</v>
      </c>
      <c r="BZ5" s="18">
        <f>BU5*0.05</f>
        <v>0</v>
      </c>
    </row>
    <row r="6" spans="1:78" x14ac:dyDescent="0.3">
      <c r="A6" s="192"/>
      <c r="B6" s="70" t="s">
        <v>107</v>
      </c>
      <c r="C6" s="20">
        <v>0</v>
      </c>
      <c r="D6" s="20">
        <v>7.07</v>
      </c>
      <c r="E6" s="37"/>
      <c r="F6" s="37">
        <v>1.51</v>
      </c>
      <c r="H6" s="37">
        <v>6.6000000000000003E-2</v>
      </c>
      <c r="I6" s="53">
        <f>H6*0.2842</f>
        <v>1.8757200000000002E-2</v>
      </c>
      <c r="M6" s="38">
        <v>10.612054768321217</v>
      </c>
      <c r="N6" s="24"/>
      <c r="O6" s="24">
        <v>61.536071594952823</v>
      </c>
      <c r="P6" s="24"/>
      <c r="Q6" s="24">
        <v>0.25621811481705592</v>
      </c>
      <c r="R6" s="24"/>
      <c r="S6" s="24">
        <v>0.84109369549071245</v>
      </c>
      <c r="T6" s="24"/>
      <c r="U6" s="24">
        <v>6.5358728036332314</v>
      </c>
      <c r="V6" s="24"/>
      <c r="W6" s="24">
        <v>20.218689022784979</v>
      </c>
      <c r="Y6" s="52">
        <v>0.7213383111058087</v>
      </c>
      <c r="Z6" s="51"/>
      <c r="AA6" s="51">
        <v>4.1828210394179353</v>
      </c>
      <c r="AB6" s="51"/>
      <c r="AC6" s="51">
        <v>1.7416037351085687E-2</v>
      </c>
      <c r="AD6" s="51"/>
      <c r="AE6" s="51">
        <v>5.717206695899793E-2</v>
      </c>
      <c r="AF6" s="51"/>
      <c r="AG6" s="51">
        <v>0.44426603072658361</v>
      </c>
      <c r="AH6" s="51"/>
      <c r="AI6" s="51">
        <v>1.3743346892636215</v>
      </c>
      <c r="AJ6" s="51"/>
      <c r="AK6" s="52"/>
      <c r="AL6" s="52"/>
      <c r="AM6" s="52">
        <f>(AG6-$AG$5)/(($AA$5-AA6)+($AI$5-AI6))</f>
        <v>-4.2615348458180206E-2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37">
        <v>0</v>
      </c>
      <c r="BI6" s="2">
        <v>0</v>
      </c>
      <c r="BK6" s="2">
        <v>0</v>
      </c>
      <c r="BM6" s="2">
        <v>0</v>
      </c>
      <c r="BO6" s="37">
        <f>(BG6/1000)/60.2*1000</f>
        <v>0</v>
      </c>
      <c r="BQ6" s="2">
        <f>BI6/74.08</f>
        <v>0</v>
      </c>
      <c r="BS6" s="2">
        <f t="shared" ref="BS6:BS7" si="0">(BK6/1000)/88.12*1000</f>
        <v>0</v>
      </c>
      <c r="BU6" s="2">
        <f t="shared" ref="BU6:BU7" si="1">BM6/88.12</f>
        <v>0</v>
      </c>
      <c r="BW6" s="37">
        <f>BO6*0.05</f>
        <v>0</v>
      </c>
      <c r="BX6" s="2">
        <f t="shared" ref="BX6:BX68" si="2">BQ6*0.05</f>
        <v>0</v>
      </c>
      <c r="BY6" s="2">
        <f t="shared" ref="BY6:BY68" si="3">BS6*0.05</f>
        <v>0</v>
      </c>
      <c r="BZ6" s="18">
        <f t="shared" ref="BZ6:BZ68" si="4">BU6*0.05</f>
        <v>0</v>
      </c>
    </row>
    <row r="7" spans="1:78" x14ac:dyDescent="0.3">
      <c r="A7" s="192"/>
      <c r="B7" s="70" t="s">
        <v>108</v>
      </c>
      <c r="C7" s="20">
        <v>0</v>
      </c>
      <c r="D7" s="20">
        <v>7.1</v>
      </c>
      <c r="E7" s="37"/>
      <c r="F7" s="37">
        <v>1.54</v>
      </c>
      <c r="H7" s="37">
        <v>7.0000000000000007E-2</v>
      </c>
      <c r="I7" s="53">
        <f>H7*0.2842</f>
        <v>1.9894000000000002E-2</v>
      </c>
      <c r="M7" s="38">
        <v>10.901791552435796</v>
      </c>
      <c r="N7" s="24"/>
      <c r="O7" s="24">
        <v>60.9837313196808</v>
      </c>
      <c r="P7" s="24"/>
      <c r="Q7" s="24">
        <v>0.25518471570788165</v>
      </c>
      <c r="R7" s="24"/>
      <c r="S7" s="24">
        <v>0.83119080045308646</v>
      </c>
      <c r="T7" s="24"/>
      <c r="U7" s="24">
        <v>6.6146325383740008</v>
      </c>
      <c r="V7" s="24"/>
      <c r="W7" s="24">
        <v>20.413469073348448</v>
      </c>
      <c r="Y7" s="52">
        <v>0.75575523366452124</v>
      </c>
      <c r="Z7" s="51"/>
      <c r="AA7" s="51">
        <v>4.2276330355025076</v>
      </c>
      <c r="AB7" s="51"/>
      <c r="AC7" s="51">
        <v>1.7690412031803548E-2</v>
      </c>
      <c r="AD7" s="51"/>
      <c r="AE7" s="51">
        <v>5.7621428055636296E-2</v>
      </c>
      <c r="AF7" s="51"/>
      <c r="AG7" s="51">
        <v>0.45855244393540506</v>
      </c>
      <c r="AH7" s="51"/>
      <c r="AI7" s="51">
        <v>1.4151422741141053</v>
      </c>
      <c r="AJ7" s="51"/>
      <c r="AK7" s="52"/>
      <c r="AL7" s="52"/>
      <c r="AM7" s="52">
        <f>(AG7-$AG$5)/(($AA$5-AA7)+($AI$5-AI7))</f>
        <v>-0.17982964703777068</v>
      </c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37">
        <v>0.02</v>
      </c>
      <c r="BI7" s="2">
        <v>0</v>
      </c>
      <c r="BK7" s="2">
        <v>0</v>
      </c>
      <c r="BM7" s="2">
        <v>0</v>
      </c>
      <c r="BO7" s="37">
        <f>(BG7/1000)/60.2*1000</f>
        <v>3.3222591362126248E-4</v>
      </c>
      <c r="BQ7" s="2">
        <f>BI7/74.08</f>
        <v>0</v>
      </c>
      <c r="BS7" s="2">
        <f t="shared" si="0"/>
        <v>0</v>
      </c>
      <c r="BU7" s="2">
        <f t="shared" si="1"/>
        <v>0</v>
      </c>
      <c r="BW7" s="37">
        <f>BO7*0.05</f>
        <v>1.6611295681063124E-5</v>
      </c>
      <c r="BX7" s="2">
        <f t="shared" si="2"/>
        <v>0</v>
      </c>
      <c r="BY7" s="2">
        <f t="shared" si="3"/>
        <v>0</v>
      </c>
      <c r="BZ7" s="18">
        <f t="shared" si="4"/>
        <v>0</v>
      </c>
    </row>
    <row r="8" spans="1:78" x14ac:dyDescent="0.3">
      <c r="A8" s="197"/>
      <c r="B8" s="83" t="s">
        <v>63</v>
      </c>
      <c r="C8" s="80">
        <v>0</v>
      </c>
      <c r="D8" s="79">
        <f>AVERAGE(D5:D7)</f>
        <v>7.0999999999999988</v>
      </c>
      <c r="E8" s="77">
        <f>_xlfn.STDEV.S(D5:D7)</f>
        <v>2.9999999999999805E-2</v>
      </c>
      <c r="F8" s="77">
        <f>AVERAGE(F5:F7)</f>
        <v>1.5216666666666665</v>
      </c>
      <c r="G8" s="73">
        <f>_xlfn.STDEV.S(F5:F7)</f>
        <v>1.6072751268321629E-2</v>
      </c>
      <c r="H8" s="77">
        <f t="shared" ref="H8:I8" si="5">AVERAGE(H5:H7)</f>
        <v>6.533333333333334E-2</v>
      </c>
      <c r="I8" s="82">
        <f t="shared" si="5"/>
        <v>1.8567733333333333E-2</v>
      </c>
      <c r="J8" s="82">
        <f>_xlfn.STDEV.S(I5:I7)</f>
        <v>1.4304419643359652E-3</v>
      </c>
      <c r="K8" s="82"/>
      <c r="L8" s="82"/>
      <c r="M8" s="117">
        <f t="shared" ref="M8" si="6">AVERAGE(M5:M7)</f>
        <v>10.804145176869545</v>
      </c>
      <c r="N8" s="118">
        <f>_xlfn.STDEV.S(M5:M7)</f>
        <v>0.16636287909778508</v>
      </c>
      <c r="O8" s="118">
        <f t="shared" ref="O8" si="7">AVERAGE(O5:O7)</f>
        <v>61.396911450454333</v>
      </c>
      <c r="P8" s="118">
        <f>_xlfn.STDEV.S(O5:O7)</f>
        <v>0.3641224513546597</v>
      </c>
      <c r="Q8" s="118">
        <f t="shared" ref="Q8" si="8">AVERAGE(Q5:Q7)</f>
        <v>0.25662068404708832</v>
      </c>
      <c r="R8" s="118">
        <f>_xlfn.STDEV.S(Q5:Q7)</f>
        <v>1.6739604908234482E-3</v>
      </c>
      <c r="S8" s="118">
        <f t="shared" ref="S8" si="9">AVERAGE(S5:S7)</f>
        <v>0.7974199881553955</v>
      </c>
      <c r="T8" s="118">
        <f>_xlfn.STDEV.S(S5:S7)</f>
        <v>6.7251446441114276E-2</v>
      </c>
      <c r="U8" s="118">
        <f t="shared" ref="U8" si="10">AVERAGE(U5:U7)</f>
        <v>6.5566216415936731</v>
      </c>
      <c r="V8" s="118">
        <f>_xlfn.STDEV.S(U5:U7)</f>
        <v>5.0912864039763764E-2</v>
      </c>
      <c r="W8" s="118">
        <f t="shared" ref="W8" si="11">AVERAGE(W5:W7)</f>
        <v>20.188281058879976</v>
      </c>
      <c r="X8" s="118">
        <f>_xlfn.STDEV.S(W5:W7)</f>
        <v>0.24183009561445631</v>
      </c>
      <c r="Y8" s="74">
        <v>0.7400695013593388</v>
      </c>
      <c r="Z8" s="73">
        <f>_xlfn.STDEV.S(Y5:Y7)</f>
        <v>1.7423013602438812E-2</v>
      </c>
      <c r="AA8" s="73">
        <v>4.2056063574024201</v>
      </c>
      <c r="AB8" s="73">
        <f>_xlfn.STDEV.S(AA5:AA7)</f>
        <v>2.2409060363634721E-2</v>
      </c>
      <c r="AC8" s="73">
        <v>1.7578173800164427E-2</v>
      </c>
      <c r="AD8" s="73">
        <f>_xlfn.STDEV.S(AC5:AC7)</f>
        <v>1.4357019418464681E-4</v>
      </c>
      <c r="AE8" s="73">
        <v>5.4622203177311042E-2</v>
      </c>
      <c r="AF8" s="73">
        <f>_xlfn.STDEV.S(AE5:AE7)</f>
        <v>4.7946519553214639E-3</v>
      </c>
      <c r="AG8" s="73">
        <v>0.44911981739049794</v>
      </c>
      <c r="AH8" s="73">
        <f>_xlfn.STDEV.S(AG5:AG7)</f>
        <v>8.1505245516198394E-3</v>
      </c>
      <c r="AI8" s="73">
        <v>1.3828702643253912</v>
      </c>
      <c r="AJ8" s="73">
        <f>_xlfn.STDEV.S(AI5:AI7)</f>
        <v>2.8862533410153379E-2</v>
      </c>
      <c r="AK8" s="74"/>
      <c r="AL8" s="74"/>
      <c r="AM8" s="74" t="e">
        <f>AVERAGE(AM5:AM7)</f>
        <v>#DIV/0!</v>
      </c>
      <c r="AN8" s="74" t="e">
        <f>_xlfn.STDEV.S(AM5:AM7)</f>
        <v>#DIV/0!</v>
      </c>
      <c r="AO8" s="74"/>
      <c r="AP8" s="74"/>
      <c r="AQ8" s="74"/>
      <c r="AR8" s="74" t="e">
        <f>_xlfn.STDEV.S(AQ5:AQ7)</f>
        <v>#DIV/0!</v>
      </c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8">
        <f>AVERAGE(BG5:BG7)</f>
        <v>0.02</v>
      </c>
      <c r="BH8" s="75">
        <f>_xlfn.STDEV.S(BG5:BG7)</f>
        <v>0.02</v>
      </c>
      <c r="BI8" s="75">
        <f>AVERAGE(BI5:BI7)</f>
        <v>0</v>
      </c>
      <c r="BJ8" s="75">
        <f>_xlfn.STDEV.S(BI5:BI7)</f>
        <v>0</v>
      </c>
      <c r="BK8" s="75">
        <f>AVERAGE(BK5:BK7)</f>
        <v>0</v>
      </c>
      <c r="BL8" s="75">
        <f>_xlfn.STDEV.S(BK5:BK7)</f>
        <v>0</v>
      </c>
      <c r="BM8" s="75">
        <f>AVERAGE(BM5:BM7)</f>
        <v>0</v>
      </c>
      <c r="BN8" s="75">
        <f>_xlfn.STDEV.S(BM5:BM7)</f>
        <v>0</v>
      </c>
      <c r="BO8" s="78">
        <f>AVERAGE(BO5:BO7)</f>
        <v>3.3222591362126248E-4</v>
      </c>
      <c r="BP8" s="75">
        <f>_xlfn.STDEV.S(BO5:BO7)</f>
        <v>3.3222591362126248E-4</v>
      </c>
      <c r="BQ8" s="75">
        <f>AVERAGE(BQ5:BQ7)</f>
        <v>0</v>
      </c>
      <c r="BR8" s="75">
        <f>_xlfn.STDEV.S(BQ5:BQ7)</f>
        <v>0</v>
      </c>
      <c r="BS8" s="75">
        <f>AVERAGE(BS5:BS7)</f>
        <v>0</v>
      </c>
      <c r="BT8" s="75">
        <f>_xlfn.STDEV.S(BS5:BS7)</f>
        <v>0</v>
      </c>
      <c r="BU8" s="75">
        <f>AVERAGE(BU5:BU7)</f>
        <v>0</v>
      </c>
      <c r="BV8" s="75">
        <f>_xlfn.STDEV.S(BU5:BU7)</f>
        <v>0</v>
      </c>
      <c r="BW8" s="78">
        <f>AVERAGE(BW5:BW7)</f>
        <v>1.6611295681063124E-5</v>
      </c>
      <c r="BX8" s="75">
        <f t="shared" si="2"/>
        <v>0</v>
      </c>
      <c r="BY8" s="75">
        <f t="shared" si="3"/>
        <v>0</v>
      </c>
      <c r="BZ8" s="119">
        <f t="shared" si="4"/>
        <v>0</v>
      </c>
    </row>
    <row r="9" spans="1:78" x14ac:dyDescent="0.3">
      <c r="A9" s="192" t="s">
        <v>57</v>
      </c>
      <c r="B9" s="70" t="s">
        <v>109</v>
      </c>
      <c r="C9" s="20">
        <v>0</v>
      </c>
      <c r="D9" s="20">
        <v>7.05</v>
      </c>
      <c r="E9" s="37"/>
      <c r="F9" s="37">
        <v>1.5</v>
      </c>
      <c r="H9" s="37">
        <v>3.3000000000000002E-2</v>
      </c>
      <c r="I9" s="53">
        <f>H9*0.2842</f>
        <v>9.3786000000000008E-3</v>
      </c>
      <c r="M9" s="38">
        <v>16.852197705066882</v>
      </c>
      <c r="N9" s="24"/>
      <c r="O9" s="24">
        <v>82.3751869369828</v>
      </c>
      <c r="P9" s="24"/>
      <c r="Q9" s="24">
        <v>0.24791586867840948</v>
      </c>
      <c r="R9" s="24"/>
      <c r="S9" s="24">
        <v>0.52469948927190524</v>
      </c>
      <c r="T9" s="24"/>
      <c r="U9" s="24">
        <v>0</v>
      </c>
      <c r="V9" s="24"/>
      <c r="W9" s="24">
        <v>0</v>
      </c>
      <c r="Y9" s="52">
        <v>1.1379164434997688</v>
      </c>
      <c r="Z9" s="51"/>
      <c r="AA9" s="51">
        <v>5.5622466216247188</v>
      </c>
      <c r="AB9" s="51"/>
      <c r="AC9" s="51">
        <v>1.6740104080838748E-2</v>
      </c>
      <c r="AD9" s="51"/>
      <c r="AE9" s="51">
        <v>3.5429454792054497E-2</v>
      </c>
      <c r="AF9" s="51"/>
      <c r="AG9" s="51">
        <v>0</v>
      </c>
      <c r="AH9" s="51"/>
      <c r="AI9" s="51">
        <v>0</v>
      </c>
      <c r="AJ9" s="51"/>
      <c r="AK9" s="52"/>
      <c r="AL9" s="52"/>
      <c r="AM9" s="52" t="e">
        <f>(AG9-$AG$9)/(($AA$9-AA9)+($AI$9-AI9))</f>
        <v>#DIV/0!</v>
      </c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37">
        <v>0</v>
      </c>
      <c r="BK9" s="2">
        <v>0</v>
      </c>
      <c r="BM9" s="2">
        <v>0</v>
      </c>
      <c r="BO9" s="37">
        <f>(BG9/1000)/60.2*1000</f>
        <v>0</v>
      </c>
      <c r="BQ9" s="2">
        <f>BI9/74.08</f>
        <v>0</v>
      </c>
      <c r="BS9" s="2">
        <f>(BK9/1000)/88.12*1000</f>
        <v>0</v>
      </c>
      <c r="BU9" s="2">
        <f>BM9/88.12</f>
        <v>0</v>
      </c>
      <c r="BW9" s="37">
        <f>BO9*0.05</f>
        <v>0</v>
      </c>
      <c r="BX9" s="2">
        <f t="shared" si="2"/>
        <v>0</v>
      </c>
      <c r="BY9" s="2">
        <f t="shared" si="3"/>
        <v>0</v>
      </c>
      <c r="BZ9" s="18">
        <f t="shared" si="4"/>
        <v>0</v>
      </c>
    </row>
    <row r="10" spans="1:78" x14ac:dyDescent="0.3">
      <c r="A10" s="192"/>
      <c r="B10" s="70" t="s">
        <v>110</v>
      </c>
      <c r="C10" s="20">
        <v>0</v>
      </c>
      <c r="D10" s="20">
        <v>6.98</v>
      </c>
      <c r="E10" s="37"/>
      <c r="F10" s="37">
        <v>1.5</v>
      </c>
      <c r="H10" s="37">
        <v>3.3000000000000002E-2</v>
      </c>
      <c r="I10" s="53">
        <f>H10*0.2842</f>
        <v>9.3786000000000008E-3</v>
      </c>
      <c r="M10" s="38">
        <v>15.120937046331399</v>
      </c>
      <c r="N10" s="24"/>
      <c r="O10" s="24">
        <v>83.506504552435146</v>
      </c>
      <c r="P10" s="24"/>
      <c r="Q10" s="24">
        <v>0.75123159253357108</v>
      </c>
      <c r="R10" s="24"/>
      <c r="S10" s="24">
        <v>0.62132680869986878</v>
      </c>
      <c r="T10" s="24"/>
      <c r="U10" s="24">
        <v>0</v>
      </c>
      <c r="V10" s="24"/>
      <c r="W10" s="24">
        <v>0</v>
      </c>
      <c r="Y10" s="52">
        <v>1.0210159652335411</v>
      </c>
      <c r="Z10" s="51"/>
      <c r="AA10" s="51">
        <v>5.6386369500539359</v>
      </c>
      <c r="AB10" s="51"/>
      <c r="AC10" s="51">
        <v>5.0725655904419402E-2</v>
      </c>
      <c r="AD10" s="51"/>
      <c r="AE10" s="51">
        <v>4.195405280548304E-2</v>
      </c>
      <c r="AF10" s="51"/>
      <c r="AG10" s="51">
        <v>0</v>
      </c>
      <c r="AH10" s="51"/>
      <c r="AI10" s="51">
        <v>0</v>
      </c>
      <c r="AJ10" s="51"/>
      <c r="AK10" s="52"/>
      <c r="AL10" s="52"/>
      <c r="AM10" s="52">
        <f t="shared" ref="AM10:AM11" si="12">(AG10-$AG$9)/(($AA$9-AA10)+($AI$9-AI10))</f>
        <v>0</v>
      </c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37">
        <v>0</v>
      </c>
      <c r="BK10" s="2">
        <v>0</v>
      </c>
      <c r="BM10" s="2">
        <v>0</v>
      </c>
      <c r="BO10" s="37">
        <f>(BG10/1000)/60.2*1000</f>
        <v>0</v>
      </c>
      <c r="BQ10" s="2">
        <f>BI10/74.08</f>
        <v>0</v>
      </c>
      <c r="BS10" s="2">
        <f t="shared" ref="BS10:BS11" si="13">(BK10/1000)/88.12*1000</f>
        <v>0</v>
      </c>
      <c r="BU10" s="2">
        <f t="shared" ref="BU10:BU11" si="14">BM10/88.12</f>
        <v>0</v>
      </c>
      <c r="BW10" s="37">
        <f>BO10*0.05</f>
        <v>0</v>
      </c>
      <c r="BX10" s="2">
        <f t="shared" si="2"/>
        <v>0</v>
      </c>
      <c r="BY10" s="2">
        <f t="shared" si="3"/>
        <v>0</v>
      </c>
      <c r="BZ10" s="18">
        <f t="shared" si="4"/>
        <v>0</v>
      </c>
    </row>
    <row r="11" spans="1:78" x14ac:dyDescent="0.3">
      <c r="A11" s="192"/>
      <c r="B11" s="70" t="s">
        <v>111</v>
      </c>
      <c r="C11" s="20">
        <v>0</v>
      </c>
      <c r="D11" s="20">
        <v>7</v>
      </c>
      <c r="E11" s="37"/>
      <c r="F11" s="37">
        <v>1.52</v>
      </c>
      <c r="H11" s="37">
        <v>2.5999999999999999E-2</v>
      </c>
      <c r="I11" s="53">
        <f>H11*0.2842</f>
        <v>7.3892000000000003E-3</v>
      </c>
      <c r="M11" s="38">
        <v>16.54275404444433</v>
      </c>
      <c r="N11" s="24"/>
      <c r="O11" s="24">
        <v>82.363130485382257</v>
      </c>
      <c r="P11" s="24"/>
      <c r="Q11" s="24">
        <v>0.28922799487812229</v>
      </c>
      <c r="R11" s="24"/>
      <c r="S11" s="24">
        <v>0.80488747529529736</v>
      </c>
      <c r="T11" s="24"/>
      <c r="U11" s="24">
        <v>0</v>
      </c>
      <c r="V11" s="24"/>
      <c r="W11" s="24">
        <v>0</v>
      </c>
      <c r="Y11" s="52">
        <v>1.1319154019606694</v>
      </c>
      <c r="Z11" s="51"/>
      <c r="AA11" s="51">
        <v>5.6355849636421329</v>
      </c>
      <c r="AB11" s="51"/>
      <c r="AC11" s="51">
        <v>1.9790031405967447E-2</v>
      </c>
      <c r="AD11" s="51"/>
      <c r="AE11" s="51">
        <v>5.5073328641911008E-2</v>
      </c>
      <c r="AF11" s="51"/>
      <c r="AG11" s="51">
        <v>0</v>
      </c>
      <c r="AH11" s="51"/>
      <c r="AI11" s="51">
        <v>0</v>
      </c>
      <c r="AJ11" s="51"/>
      <c r="AK11" s="52"/>
      <c r="AL11" s="52"/>
      <c r="AM11" s="52">
        <f t="shared" si="12"/>
        <v>0</v>
      </c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37">
        <v>0.06</v>
      </c>
      <c r="BK11" s="2">
        <v>0</v>
      </c>
      <c r="BM11" s="2">
        <v>0</v>
      </c>
      <c r="BO11" s="37">
        <f>(BG11/1000)/60.2*1000</f>
        <v>9.9667774086378727E-4</v>
      </c>
      <c r="BQ11" s="2">
        <f>BI11/74.08</f>
        <v>0</v>
      </c>
      <c r="BS11" s="2">
        <f t="shared" si="13"/>
        <v>0</v>
      </c>
      <c r="BU11" s="2">
        <f t="shared" si="14"/>
        <v>0</v>
      </c>
      <c r="BW11" s="37">
        <f>BO11*0.05</f>
        <v>4.9833887043189365E-5</v>
      </c>
      <c r="BX11" s="2">
        <f t="shared" si="2"/>
        <v>0</v>
      </c>
      <c r="BY11" s="2">
        <f t="shared" si="3"/>
        <v>0</v>
      </c>
      <c r="BZ11" s="18">
        <f t="shared" si="4"/>
        <v>0</v>
      </c>
    </row>
    <row r="12" spans="1:78" ht="15" thickBot="1" x14ac:dyDescent="0.35">
      <c r="A12" s="193"/>
      <c r="B12" s="66" t="s">
        <v>63</v>
      </c>
      <c r="C12" s="65">
        <v>0</v>
      </c>
      <c r="D12" s="64">
        <f>AVERAGE(D9:D11)</f>
        <v>7.0100000000000007</v>
      </c>
      <c r="E12" s="77">
        <f>_xlfn.STDEV.S(D9:D11)</f>
        <v>3.605551275463962E-2</v>
      </c>
      <c r="F12" s="59">
        <f>AVERAGE(F9:F11)</f>
        <v>1.5066666666666666</v>
      </c>
      <c r="G12" s="54">
        <f>_xlfn.STDEV.S(F9:F11)</f>
        <v>1.1547005383792525E-2</v>
      </c>
      <c r="H12" s="64">
        <f>AVERAGE(H9:H11)</f>
        <v>3.0666666666666665E-2</v>
      </c>
      <c r="I12" s="62">
        <f t="shared" ref="I12" si="15">AVERAGE(I9:I11)</f>
        <v>8.7154666666666662E-3</v>
      </c>
      <c r="J12" s="82">
        <f>_xlfn.STDEV.S(I9:I11)</f>
        <v>1.1485806255258418E-3</v>
      </c>
      <c r="K12" s="62"/>
      <c r="L12" s="82"/>
      <c r="M12" s="38">
        <f t="shared" ref="M12" si="16">AVERAGE(M9:M11)</f>
        <v>16.171962931947537</v>
      </c>
      <c r="N12" s="118">
        <f>_xlfn.STDEV.S(M9:M11)</f>
        <v>0.92327157648833824</v>
      </c>
      <c r="O12" s="120">
        <f t="shared" ref="O12:W12" si="17">AVERAGE(O9:O11)</f>
        <v>82.748273991600072</v>
      </c>
      <c r="P12" s="118">
        <f>_xlfn.STDEV.S(O9:O11)</f>
        <v>0.65667459753252766</v>
      </c>
      <c r="Q12" s="120">
        <f t="shared" si="17"/>
        <v>0.42945848536336761</v>
      </c>
      <c r="R12" s="118">
        <f>_xlfn.STDEV.S(Q9:Q11)</f>
        <v>0.2794282060141044</v>
      </c>
      <c r="S12" s="120">
        <f t="shared" si="17"/>
        <v>0.65030459108902372</v>
      </c>
      <c r="T12" s="120">
        <f>_xlfn.STDEV.S(S9:S11)</f>
        <v>0.14232396418771578</v>
      </c>
      <c r="U12" s="120">
        <f t="shared" si="17"/>
        <v>0</v>
      </c>
      <c r="V12" s="120">
        <f>_xlfn.STDEV.S(U9:U11)</f>
        <v>0</v>
      </c>
      <c r="W12" s="120">
        <f t="shared" si="17"/>
        <v>0</v>
      </c>
      <c r="X12" s="120">
        <f>_xlfn.STDEV.S(W9:W11)</f>
        <v>0</v>
      </c>
      <c r="Y12" s="56">
        <v>1.0969492702313299</v>
      </c>
      <c r="Z12" s="73">
        <f>_xlfn.STDEV.S(Y9:Y11)</f>
        <v>6.5828589767695317E-2</v>
      </c>
      <c r="AA12" s="55">
        <v>5.6121561784402632</v>
      </c>
      <c r="AB12" s="73">
        <f>_xlfn.STDEV.S(AA9:AA11)</f>
        <v>4.324987342649049E-2</v>
      </c>
      <c r="AC12" s="55">
        <v>2.9085263797075201E-2</v>
      </c>
      <c r="AD12" s="73">
        <f>_xlfn.STDEV.S(AC9:AC11)</f>
        <v>1.8803070017735009E-2</v>
      </c>
      <c r="AE12" s="55">
        <v>4.4152278746482844E-2</v>
      </c>
      <c r="AF12" s="73">
        <f>_xlfn.STDEV.S(AE9:AE11)</f>
        <v>1.0004728528202677E-2</v>
      </c>
      <c r="AG12" s="55">
        <v>0</v>
      </c>
      <c r="AH12" s="73">
        <f>_xlfn.STDEV.S(AG9:AG11)</f>
        <v>0</v>
      </c>
      <c r="AI12" s="55">
        <v>0</v>
      </c>
      <c r="AJ12" s="51">
        <f>_xlfn.STDEV.S(AI9:AI11)</f>
        <v>0</v>
      </c>
      <c r="AK12" s="121"/>
      <c r="AL12" s="56"/>
      <c r="AM12" s="121" t="e">
        <f>AVERAGE(AM9:AM11)</f>
        <v>#DIV/0!</v>
      </c>
      <c r="AN12" s="56" t="e">
        <f>_xlfn.STDEV.S(AM9:AM11)</f>
        <v>#DIV/0!</v>
      </c>
      <c r="AO12" s="121"/>
      <c r="AP12" s="56"/>
      <c r="AQ12" s="121"/>
      <c r="AR12" s="56" t="e">
        <f>_xlfn.STDEV.S(AQ9:AQ11)</f>
        <v>#DIV/0!</v>
      </c>
      <c r="AS12" s="121"/>
      <c r="AT12" s="56"/>
      <c r="AU12" s="121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60">
        <f>AVERAGE(BG9:BG11)</f>
        <v>0.02</v>
      </c>
      <c r="BH12" s="57">
        <f>_xlfn.STDEV.S(BG9:BG11)</f>
        <v>3.4641016151377546E-2</v>
      </c>
      <c r="BI12" s="57" t="e">
        <f>AVERAGE(BI9:BI11)</f>
        <v>#DIV/0!</v>
      </c>
      <c r="BJ12" s="57" t="e">
        <f>_xlfn.STDEV.S(BI9:BI11)</f>
        <v>#DIV/0!</v>
      </c>
      <c r="BK12" s="57">
        <f>AVERAGE(BK9:BK11)</f>
        <v>0</v>
      </c>
      <c r="BL12" s="57">
        <f>_xlfn.STDEV.S(BK9:BK11)</f>
        <v>0</v>
      </c>
      <c r="BM12" s="57">
        <f>AVERAGE(BM9:BM11)</f>
        <v>0</v>
      </c>
      <c r="BN12" s="57">
        <f>_xlfn.STDEV.S(BM9:BM11)</f>
        <v>0</v>
      </c>
      <c r="BO12" s="60">
        <f>AVERAGE(BO9:BO11)</f>
        <v>3.3222591362126242E-4</v>
      </c>
      <c r="BP12" s="57">
        <f>_xlfn.STDEV.S(BO9:BO11)</f>
        <v>5.7543216198301561E-4</v>
      </c>
      <c r="BQ12" s="57">
        <f>AVERAGE(BQ9:BQ11)</f>
        <v>0</v>
      </c>
      <c r="BR12" s="57">
        <f>_xlfn.STDEV.S(BQ9:BQ11)</f>
        <v>0</v>
      </c>
      <c r="BS12" s="57">
        <f>AVERAGE(BS9:BS11)</f>
        <v>0</v>
      </c>
      <c r="BT12" s="57">
        <f>_xlfn.STDEV.S(BS9:BS11)</f>
        <v>0</v>
      </c>
      <c r="BU12" s="57">
        <f>AVERAGE(BU9:BU11)</f>
        <v>0</v>
      </c>
      <c r="BV12" s="57">
        <f>_xlfn.STDEV.S(BU9:BU11)</f>
        <v>0</v>
      </c>
      <c r="BW12" s="60">
        <f>AVERAGE(BW9:BW11)</f>
        <v>1.661129568106312E-5</v>
      </c>
      <c r="BX12" s="57">
        <f t="shared" si="2"/>
        <v>0</v>
      </c>
      <c r="BY12" s="57">
        <f t="shared" si="3"/>
        <v>0</v>
      </c>
      <c r="BZ12" s="61">
        <f t="shared" si="4"/>
        <v>0</v>
      </c>
    </row>
    <row r="13" spans="1:78" x14ac:dyDescent="0.3">
      <c r="A13" s="196" t="s">
        <v>105</v>
      </c>
      <c r="B13" s="70" t="s">
        <v>106</v>
      </c>
      <c r="C13" s="20">
        <v>1</v>
      </c>
      <c r="E13" s="37"/>
      <c r="F13" s="37">
        <v>1.42</v>
      </c>
      <c r="H13" s="37">
        <v>6.5000000000000002E-2</v>
      </c>
      <c r="I13" s="53">
        <f>H13*0.2842</f>
        <v>1.8473E-2</v>
      </c>
      <c r="J13" s="91"/>
      <c r="K13" s="53">
        <f>(I13-$I$5)/(($AA$5-AA13)+($AI$5-AI13))*1000*0.05</f>
        <v>0.14732741215248155</v>
      </c>
      <c r="L13" s="91"/>
      <c r="M13" s="116">
        <v>11.035575540284048</v>
      </c>
      <c r="N13" s="122"/>
      <c r="O13" s="24">
        <v>59.783047694854766</v>
      </c>
      <c r="P13" s="122"/>
      <c r="Q13" s="24">
        <v>5.5403986843279032E-2</v>
      </c>
      <c r="R13" s="122"/>
      <c r="S13" s="24">
        <v>0.6977853859442299</v>
      </c>
      <c r="T13" s="24"/>
      <c r="U13" s="24">
        <v>8.6927068526411233</v>
      </c>
      <c r="V13" s="24"/>
      <c r="W13" s="24">
        <v>19.735480539432562</v>
      </c>
      <c r="Y13" s="86">
        <v>0.7054169665216764</v>
      </c>
      <c r="Z13" s="85"/>
      <c r="AA13" s="85">
        <v>3.821456887353214</v>
      </c>
      <c r="AB13" s="85"/>
      <c r="AC13" s="85">
        <v>3.5415381997545357E-3</v>
      </c>
      <c r="AD13" s="85"/>
      <c r="AE13" s="85">
        <v>4.4603894780033029E-2</v>
      </c>
      <c r="AF13" s="85"/>
      <c r="AG13" s="85">
        <v>0.55565592174764422</v>
      </c>
      <c r="AH13" s="85"/>
      <c r="AI13" s="85">
        <v>1.2615330087818655</v>
      </c>
      <c r="AJ13" s="85"/>
      <c r="AK13" s="52">
        <f>(AG13-$AG$8)*8/(($AA$8-AA13)*2+2*($AI$8-AI13))</f>
        <v>0.8430378007036482</v>
      </c>
      <c r="AL13" s="52"/>
      <c r="AM13" s="52">
        <f>(AG13-$AG$5)/(($AA$5-AA13)+($AI$5-AI13))</f>
        <v>0.23025997057952302</v>
      </c>
      <c r="AN13" s="52"/>
      <c r="AO13" s="52">
        <f>(BW16-$BW$8)*8/(($AA$8-AA13)*2+2*($AI$8-AI13))</f>
        <v>1.9059949563896407E-3</v>
      </c>
      <c r="AP13" s="52"/>
      <c r="AQ13" s="52">
        <f>(BW16-$BW$8)/(($AA$5-AA13)+($AI$5-AI13))</f>
        <v>4.9944881738586244E-4</v>
      </c>
      <c r="AR13" s="52"/>
      <c r="AS13" s="52">
        <f>(BX16-$BX$8)*14/(($AA$8-AA13)*2+2*($AI$8-AI13))</f>
        <v>0</v>
      </c>
      <c r="AT13" s="52"/>
      <c r="AU13" s="52">
        <f>(BX16-$BX$8)/(($AA$5-AA13)+($AI$5-AI13))</f>
        <v>0</v>
      </c>
      <c r="AV13" s="52"/>
      <c r="AW13" s="52"/>
      <c r="AX13" s="52"/>
      <c r="AY13" s="52"/>
      <c r="AZ13" s="52"/>
      <c r="BA13" s="52">
        <f>($AA$8-AA13)/((I13*0.05)*(C13*24))</f>
        <v>17.32932162476795</v>
      </c>
      <c r="BB13" s="52"/>
      <c r="BC13" s="52">
        <f>($AI$8-AI13)/((I13*0.05)*(C13*24))</f>
        <v>5.4736306836791391</v>
      </c>
      <c r="BD13" s="52"/>
      <c r="BE13" s="52">
        <f>(AG13-$AG$8)/((I13*0.05)*(C13*24))</f>
        <v>4.8059376909158527</v>
      </c>
      <c r="BF13" s="52"/>
      <c r="BG13" s="37">
        <v>0.62</v>
      </c>
      <c r="BI13" s="2">
        <v>0</v>
      </c>
      <c r="BK13" s="2">
        <v>0</v>
      </c>
      <c r="BM13" s="2">
        <v>0</v>
      </c>
      <c r="BO13" s="37">
        <f t="shared" ref="BO13:BO15" si="18">(BG13/1000)/60.2*1000</f>
        <v>1.0299003322259135E-2</v>
      </c>
      <c r="BQ13" s="2">
        <f t="shared" ref="BQ13:BQ15" si="19">BI13/74.08</f>
        <v>0</v>
      </c>
      <c r="BS13" s="2">
        <f t="shared" ref="BS13:BS15" si="20">(BK13/1000)/88.12*1000</f>
        <v>0</v>
      </c>
      <c r="BU13" s="2">
        <f t="shared" ref="BU13:BU15" si="21">BM13/88.12</f>
        <v>0</v>
      </c>
      <c r="BW13" s="37">
        <f t="shared" ref="BW13:BW15" si="22">BO13*0.05</f>
        <v>5.1495016611295674E-4</v>
      </c>
      <c r="BX13" s="2">
        <f t="shared" si="2"/>
        <v>0</v>
      </c>
      <c r="BY13" s="2">
        <f t="shared" si="3"/>
        <v>0</v>
      </c>
      <c r="BZ13" s="18">
        <f t="shared" si="4"/>
        <v>0</v>
      </c>
    </row>
    <row r="14" spans="1:78" x14ac:dyDescent="0.3">
      <c r="A14" s="192"/>
      <c r="B14" s="70" t="s">
        <v>107</v>
      </c>
      <c r="C14" s="20">
        <v>1</v>
      </c>
      <c r="E14" s="37"/>
      <c r="F14" s="37">
        <v>1.405</v>
      </c>
      <c r="H14" s="37">
        <v>7.3999999999999996E-2</v>
      </c>
      <c r="I14" s="53">
        <f>H14*0.2842</f>
        <v>2.1030799999999999E-2</v>
      </c>
      <c r="K14" s="53">
        <f t="shared" ref="K14:K15" si="23">(I14-$I$5)/(($AA$5-AA14)+($AI$5-AI14))*1000*0.05</f>
        <v>0.37201735429235472</v>
      </c>
      <c r="M14" s="38">
        <v>10.513847085792234</v>
      </c>
      <c r="N14" s="24"/>
      <c r="O14" s="24">
        <v>59.891530537804805</v>
      </c>
      <c r="P14" s="24"/>
      <c r="Q14" s="24">
        <v>0.10757238616753501</v>
      </c>
      <c r="R14" s="24"/>
      <c r="S14" s="24">
        <v>0.96700603313574807</v>
      </c>
      <c r="T14" s="24"/>
      <c r="U14" s="24">
        <v>8.8741875062117899</v>
      </c>
      <c r="V14" s="24"/>
      <c r="W14" s="24">
        <v>19.645856450887894</v>
      </c>
      <c r="Y14" s="52">
        <v>0.66496769811310763</v>
      </c>
      <c r="Z14" s="51"/>
      <c r="AA14" s="51">
        <v>3.7879505829995632</v>
      </c>
      <c r="AB14" s="51"/>
      <c r="AC14" s="51">
        <v>6.8036144549813941E-3</v>
      </c>
      <c r="AD14" s="51"/>
      <c r="AE14" s="51">
        <v>6.1160084474189663E-2</v>
      </c>
      <c r="AF14" s="51"/>
      <c r="AG14" s="51">
        <v>0.56126439641718462</v>
      </c>
      <c r="AH14" s="51"/>
      <c r="AI14" s="51">
        <v>1.2425385146851873</v>
      </c>
      <c r="AJ14" s="51"/>
      <c r="AK14" s="52">
        <f>(AG14-$AG$8)*8/(($AA$8-AA14)*2+2*($AI$8-AI14))</f>
        <v>0.80392176666682824</v>
      </c>
      <c r="AL14" s="52"/>
      <c r="AM14" s="52">
        <f>(AG14-$AG$5)/(($AA$5-AA14)+($AI$5-AI14))</f>
        <v>0.21814171631694346</v>
      </c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>
        <f t="shared" ref="BA14:BA15" si="24">($AA$8-AA14)/((I14*0.05)*(C14*24))</f>
        <v>16.549369432881651</v>
      </c>
      <c r="BB14" s="52"/>
      <c r="BC14" s="52">
        <f t="shared" ref="BC14:BC15" si="25">($AI$8-AI14)/((I14*0.05)*(C14*24))</f>
        <v>5.5605647288819222</v>
      </c>
      <c r="BD14" s="52"/>
      <c r="BE14" s="52">
        <f t="shared" ref="BE14:BE15" si="26">(AG14-$AG$8)/((I14*0.05)*(C14*24))</f>
        <v>4.4436643330530581</v>
      </c>
      <c r="BF14" s="52"/>
      <c r="BG14" s="37">
        <v>0.22</v>
      </c>
      <c r="BI14" s="2">
        <v>0</v>
      </c>
      <c r="BK14" s="2">
        <v>0</v>
      </c>
      <c r="BM14" s="2">
        <v>0</v>
      </c>
      <c r="BO14" s="37">
        <f t="shared" si="18"/>
        <v>3.6544850498338873E-3</v>
      </c>
      <c r="BQ14" s="2">
        <f t="shared" si="19"/>
        <v>0</v>
      </c>
      <c r="BS14" s="2">
        <f t="shared" si="20"/>
        <v>0</v>
      </c>
      <c r="BU14" s="2">
        <f t="shared" si="21"/>
        <v>0</v>
      </c>
      <c r="BW14" s="37">
        <f t="shared" si="22"/>
        <v>1.8272425249169438E-4</v>
      </c>
      <c r="BX14" s="2">
        <f t="shared" si="2"/>
        <v>0</v>
      </c>
      <c r="BY14" s="2">
        <f t="shared" si="3"/>
        <v>0</v>
      </c>
      <c r="BZ14" s="18">
        <f t="shared" si="4"/>
        <v>0</v>
      </c>
    </row>
    <row r="15" spans="1:78" x14ac:dyDescent="0.3">
      <c r="A15" s="192"/>
      <c r="B15" s="70" t="s">
        <v>108</v>
      </c>
      <c r="C15" s="20">
        <v>1</v>
      </c>
      <c r="E15" s="37"/>
      <c r="F15" s="37">
        <v>1.4450000000000001</v>
      </c>
      <c r="H15" s="37">
        <v>7.5999999999999998E-2</v>
      </c>
      <c r="I15" s="53">
        <f>H15*0.2842</f>
        <v>2.1599199999999999E-2</v>
      </c>
      <c r="K15" s="53">
        <f t="shared" si="23"/>
        <v>0.45432356946851499</v>
      </c>
      <c r="M15" s="38">
        <v>12.184376788390463</v>
      </c>
      <c r="N15" s="24"/>
      <c r="O15" s="24">
        <v>57.573190848323222</v>
      </c>
      <c r="P15" s="24"/>
      <c r="Q15" s="24">
        <v>8.2829203012749278E-2</v>
      </c>
      <c r="R15" s="24"/>
      <c r="S15" s="24">
        <v>0.75672287199908206</v>
      </c>
      <c r="T15" s="24"/>
      <c r="U15" s="24">
        <v>9.112739379646138</v>
      </c>
      <c r="V15" s="24"/>
      <c r="W15" s="24">
        <v>20.290140908628359</v>
      </c>
      <c r="Y15" s="52">
        <v>0.79256289511976763</v>
      </c>
      <c r="Z15" s="51"/>
      <c r="AA15" s="51">
        <v>3.7449904588889247</v>
      </c>
      <c r="AB15" s="51"/>
      <c r="AC15" s="51">
        <v>5.387830176328573E-3</v>
      </c>
      <c r="AD15" s="51"/>
      <c r="AE15" s="51">
        <v>4.9222909029405015E-2</v>
      </c>
      <c r="AF15" s="51"/>
      <c r="AG15" s="51">
        <v>0.59276065002240697</v>
      </c>
      <c r="AH15" s="51"/>
      <c r="AI15" s="51">
        <v>1.3198223512139784</v>
      </c>
      <c r="AJ15" s="51"/>
      <c r="AK15" s="52"/>
      <c r="AL15" s="52"/>
      <c r="AM15" s="52">
        <f>(AG15-$AG$5)/(($AA$5-AA15)+($AI$5-AI15))</f>
        <v>0.29604111767874286</v>
      </c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>
        <f t="shared" si="24"/>
        <v>17.771333294500696</v>
      </c>
      <c r="BB15" s="52"/>
      <c r="BC15" s="52">
        <f t="shared" si="25"/>
        <v>2.4324941476000954</v>
      </c>
      <c r="BD15" s="52"/>
      <c r="BE15" s="52">
        <f t="shared" si="26"/>
        <v>5.5419040455166941</v>
      </c>
      <c r="BF15" s="52"/>
      <c r="BG15" s="37">
        <v>0.09</v>
      </c>
      <c r="BI15" s="2">
        <v>0</v>
      </c>
      <c r="BK15" s="2">
        <v>0</v>
      </c>
      <c r="BM15" s="2">
        <v>0</v>
      </c>
      <c r="BO15" s="37">
        <f t="shared" si="18"/>
        <v>1.4950166112956808E-3</v>
      </c>
      <c r="BQ15" s="2">
        <f t="shared" si="19"/>
        <v>0</v>
      </c>
      <c r="BS15" s="2">
        <f t="shared" si="20"/>
        <v>0</v>
      </c>
      <c r="BU15" s="2">
        <f t="shared" si="21"/>
        <v>0</v>
      </c>
      <c r="BW15" s="37">
        <f t="shared" si="22"/>
        <v>7.4750830564784051E-5</v>
      </c>
      <c r="BX15" s="2">
        <f t="shared" si="2"/>
        <v>0</v>
      </c>
      <c r="BY15" s="2">
        <f t="shared" si="3"/>
        <v>0</v>
      </c>
      <c r="BZ15" s="18">
        <f t="shared" si="4"/>
        <v>0</v>
      </c>
    </row>
    <row r="16" spans="1:78" x14ac:dyDescent="0.3">
      <c r="A16" s="197"/>
      <c r="B16" s="83" t="s">
        <v>63</v>
      </c>
      <c r="C16" s="80">
        <v>1</v>
      </c>
      <c r="D16" s="80" t="e">
        <f>AVERAGE(D13:D15)</f>
        <v>#DIV/0!</v>
      </c>
      <c r="E16" s="78"/>
      <c r="F16" s="78">
        <f>AVERAGE(F13:F15)</f>
        <v>1.4233333333333336</v>
      </c>
      <c r="G16" s="73">
        <f>_xlfn.STDEV.S(F13:F15)</f>
        <v>2.0207259421636928E-2</v>
      </c>
      <c r="H16" s="78">
        <f t="shared" ref="H16:I16" si="27">AVERAGE(H13:H15)</f>
        <v>7.166666666666667E-2</v>
      </c>
      <c r="I16" s="82">
        <f t="shared" si="27"/>
        <v>2.0367666666666666E-2</v>
      </c>
      <c r="J16" s="82">
        <f t="shared" ref="J16" si="28">_xlfn.STDEV.S(I13:I15)</f>
        <v>1.6652600317467933E-3</v>
      </c>
      <c r="K16" s="82">
        <f t="shared" ref="K16" si="29">AVERAGE(K13:K15)</f>
        <v>0.32455611197111711</v>
      </c>
      <c r="L16" s="82">
        <f t="shared" ref="L16" si="30">_xlfn.STDEV.S(K13:K15)</f>
        <v>0.15890590704473226</v>
      </c>
      <c r="M16" s="117">
        <f t="shared" ref="M16" si="31">AVERAGE(M13:M15)</f>
        <v>11.244599804822249</v>
      </c>
      <c r="N16" s="118">
        <f t="shared" ref="N16" si="32">_xlfn.STDEV.S(M13:M15)</f>
        <v>0.85465532771406338</v>
      </c>
      <c r="O16" s="118">
        <f t="shared" ref="O16" si="33">AVERAGE(O13:O15)</f>
        <v>59.082589693660928</v>
      </c>
      <c r="P16" s="118">
        <f t="shared" ref="P16" si="34">_xlfn.STDEV.S(O13:O15)</f>
        <v>1.3083026360646597</v>
      </c>
      <c r="Q16" s="118">
        <f t="shared" ref="Q16" si="35">AVERAGE(Q13:Q15)</f>
        <v>8.1935192007854429E-2</v>
      </c>
      <c r="R16" s="118">
        <f t="shared" ref="R16" si="36">_xlfn.STDEV.S(Q13:Q15)</f>
        <v>2.6095687647031136E-2</v>
      </c>
      <c r="S16" s="118">
        <f t="shared" ref="S16" si="37">AVERAGE(S13:S15)</f>
        <v>0.80717143035968675</v>
      </c>
      <c r="T16" s="118">
        <f t="shared" ref="T16" si="38">_xlfn.STDEV.S(S13:S15)</f>
        <v>0.14152290273680943</v>
      </c>
      <c r="U16" s="118">
        <f t="shared" ref="U16" si="39">AVERAGE(U13:U15)</f>
        <v>8.8932112461663504</v>
      </c>
      <c r="V16" s="118">
        <f t="shared" ref="V16" si="40">_xlfn.STDEV.S(U13:U15)</f>
        <v>0.21066147713084293</v>
      </c>
      <c r="W16" s="118">
        <f t="shared" ref="W16" si="41">AVERAGE(W13:W15)</f>
        <v>19.890492632982937</v>
      </c>
      <c r="X16" s="76">
        <f t="shared" ref="X16" si="42">_xlfn.STDEV.S(W13:W15)</f>
        <v>0.34899452356968913</v>
      </c>
      <c r="Y16" s="74">
        <v>0.72046550558261191</v>
      </c>
      <c r="Z16" s="73">
        <f t="shared" ref="Z16" si="43">_xlfn.STDEV.S(Y13:Y15)</f>
        <v>6.5206199200664491E-2</v>
      </c>
      <c r="AA16" s="73">
        <v>3.7855476045059939</v>
      </c>
      <c r="AB16" s="73">
        <f t="shared" ref="AB16" si="44">_xlfn.STDEV.S(AA13:AA15)</f>
        <v>3.8330491294192963E-2</v>
      </c>
      <c r="AC16" s="73">
        <v>5.2497626024566504E-3</v>
      </c>
      <c r="AD16" s="73">
        <f t="shared" ref="AD16" si="45">_xlfn.STDEV.S(AC13:AC15)</f>
        <v>1.6357659103794487E-3</v>
      </c>
      <c r="AE16" s="73">
        <v>5.1717196054993302E-2</v>
      </c>
      <c r="AF16" s="73">
        <f t="shared" ref="AF16" si="46">_xlfn.STDEV.S(AE13:AE15)</f>
        <v>8.5434074722790763E-3</v>
      </c>
      <c r="AG16" s="73">
        <v>0.56980702274299333</v>
      </c>
      <c r="AH16" s="73">
        <f t="shared" ref="AH16" si="47">_xlfn.STDEV.S(AG13:AG15)</f>
        <v>2.0000957642186935E-2</v>
      </c>
      <c r="AI16" s="73">
        <v>1.2744263095040225</v>
      </c>
      <c r="AJ16" s="73">
        <f>_xlfn.STDEV.S(AI13:AI15)</f>
        <v>4.0272467095535155E-2</v>
      </c>
      <c r="AK16" s="74">
        <f>AVERAGE(AK13:AK15)</f>
        <v>0.82347978368523822</v>
      </c>
      <c r="AL16" s="74">
        <f>_xlfn.STDEV.S(AK13:AK15)</f>
        <v>2.7659212920559194E-2</v>
      </c>
      <c r="AM16" s="74">
        <f>AVERAGE(AM13:AM15)</f>
        <v>0.24814760152506979</v>
      </c>
      <c r="AN16" s="74">
        <f>_xlfn.STDEV.S(AM13:AM15)</f>
        <v>4.1917236177552379E-2</v>
      </c>
      <c r="AO16" s="74">
        <f>AVERAGE(AO13:AO15)</f>
        <v>1.9059949563896407E-3</v>
      </c>
      <c r="AP16" s="74" t="e">
        <f>_xlfn.STDEV.S(AO13:AO15)</f>
        <v>#DIV/0!</v>
      </c>
      <c r="AQ16" s="74">
        <f>AVERAGE(AQ13:AQ15)</f>
        <v>4.9944881738586244E-4</v>
      </c>
      <c r="AR16" s="74" t="e">
        <f>_xlfn.STDEV.S(AQ13:AQ15)</f>
        <v>#DIV/0!</v>
      </c>
      <c r="AS16" s="74">
        <f>AVERAGE(AS13:AS15)</f>
        <v>0</v>
      </c>
      <c r="AT16" s="74" t="e">
        <f>_xlfn.STDEV.S(AS13:AS15)</f>
        <v>#DIV/0!</v>
      </c>
      <c r="AU16" s="74">
        <f>AVERAGE(AU13:AU15)</f>
        <v>0</v>
      </c>
      <c r="AV16" s="74" t="e">
        <f>_xlfn.STDEV.S(AU13:AU15)</f>
        <v>#DIV/0!</v>
      </c>
      <c r="AW16" s="74"/>
      <c r="AX16" s="74"/>
      <c r="AY16" s="74">
        <f>SUM(AK16,AO16,AS16)</f>
        <v>0.82538577864162788</v>
      </c>
      <c r="AZ16" s="74">
        <f>SUM(AL16)</f>
        <v>2.7659212920559194E-2</v>
      </c>
      <c r="BA16" s="74">
        <f>AVERAGE(BA13:BA15)</f>
        <v>17.216674784050099</v>
      </c>
      <c r="BB16" s="74">
        <f>_xlfn.STDEV.S(BA13:BA15)</f>
        <v>0.61872118342474491</v>
      </c>
      <c r="BC16" s="74">
        <f>AVERAGE(BC13:BC14)</f>
        <v>5.5170977062805306</v>
      </c>
      <c r="BD16" s="74">
        <f>_xlfn.STDEV.S(BC13:BC14)</f>
        <v>6.1471652878865808E-2</v>
      </c>
      <c r="BE16" s="74">
        <f>AVERAGE(BE13:BE14)</f>
        <v>4.6248010119844558</v>
      </c>
      <c r="BF16" s="74">
        <f>_xlfn.STDEV.S(BE13:BE14)</f>
        <v>0.25616594798800291</v>
      </c>
      <c r="BG16" s="78">
        <f>AVERAGE(BG13:BG15)</f>
        <v>0.31</v>
      </c>
      <c r="BH16" s="75">
        <f>_xlfn.STDEV.S(BG13:BG15)</f>
        <v>0.27622454633866272</v>
      </c>
      <c r="BI16" s="75">
        <f>AVERAGE(BI13:BI15)</f>
        <v>0</v>
      </c>
      <c r="BJ16" s="75">
        <f>_xlfn.STDEV.S(BI13:BI15)</f>
        <v>0</v>
      </c>
      <c r="BK16" s="75">
        <f>AVERAGE(BK13:BK15)</f>
        <v>0</v>
      </c>
      <c r="BL16" s="75">
        <f>_xlfn.STDEV.S(BK13:BK15)</f>
        <v>0</v>
      </c>
      <c r="BM16" s="75">
        <f>AVERAGE(BM13:BM15)</f>
        <v>0</v>
      </c>
      <c r="BN16" s="75">
        <f>_xlfn.STDEV.S(BM13:BM15)</f>
        <v>0</v>
      </c>
      <c r="BO16" s="78">
        <f t="shared" ref="BO16" si="48">AVERAGE(BO13:BO15)</f>
        <v>5.1495016611295677E-3</v>
      </c>
      <c r="BP16" s="75">
        <f t="shared" ref="BP16" si="49">_xlfn.STDEV.S(BO13:BO15)</f>
        <v>4.5884476135990464E-3</v>
      </c>
      <c r="BQ16" s="75">
        <f t="shared" ref="BQ16" si="50">AVERAGE(BQ13:BQ15)</f>
        <v>0</v>
      </c>
      <c r="BR16" s="75">
        <f t="shared" ref="BR16" si="51">_xlfn.STDEV.S(BQ13:BQ15)</f>
        <v>0</v>
      </c>
      <c r="BS16" s="75">
        <f t="shared" ref="BS16" si="52">AVERAGE(BS13:BS15)</f>
        <v>0</v>
      </c>
      <c r="BT16" s="75">
        <f t="shared" ref="BT16" si="53">_xlfn.STDEV.S(BS13:BS15)</f>
        <v>0</v>
      </c>
      <c r="BU16" s="75">
        <f t="shared" ref="BU16" si="54">AVERAGE(BU13:BU15)</f>
        <v>0</v>
      </c>
      <c r="BV16" s="75">
        <f t="shared" ref="BV16" si="55">_xlfn.STDEV.S(BU13:BU15)</f>
        <v>0</v>
      </c>
      <c r="BW16" s="78">
        <f t="shared" ref="BW16" si="56">AVERAGE(BW13:BW15)</f>
        <v>2.5747508305647837E-4</v>
      </c>
      <c r="BX16" s="75">
        <f t="shared" si="2"/>
        <v>0</v>
      </c>
      <c r="BY16" s="75">
        <f t="shared" si="3"/>
        <v>0</v>
      </c>
      <c r="BZ16" s="119">
        <f t="shared" si="4"/>
        <v>0</v>
      </c>
    </row>
    <row r="17" spans="1:78" x14ac:dyDescent="0.3">
      <c r="A17" s="192" t="s">
        <v>57</v>
      </c>
      <c r="B17" s="70" t="s">
        <v>109</v>
      </c>
      <c r="C17" s="20">
        <v>1</v>
      </c>
      <c r="E17" s="37"/>
      <c r="F17" s="37">
        <v>1.46</v>
      </c>
      <c r="H17" s="37">
        <v>5.1999999999999998E-2</v>
      </c>
      <c r="I17" s="53">
        <f>H17*0.2842</f>
        <v>1.4778400000000001E-2</v>
      </c>
      <c r="K17" s="53">
        <f t="shared" ref="K17:K18" si="57">(I17-$I$9)/(($AA$9-AA17)+($AI$9-AI17))*1000*0.05</f>
        <v>1.6939470485198609</v>
      </c>
      <c r="M17" s="38">
        <v>16.662648756695802</v>
      </c>
      <c r="N17" s="24"/>
      <c r="O17" s="24">
        <v>82.184933457577785</v>
      </c>
      <c r="P17" s="24"/>
      <c r="Q17" s="24">
        <v>0.10397140864856796</v>
      </c>
      <c r="R17" s="24"/>
      <c r="S17" s="24">
        <v>0.74874821788239154</v>
      </c>
      <c r="T17" s="24"/>
      <c r="U17" s="24">
        <v>0.27770572363003859</v>
      </c>
      <c r="V17" s="24"/>
      <c r="W17" s="24">
        <v>2.1992435565389181E-2</v>
      </c>
      <c r="Y17" s="52">
        <v>1.0951143355399189</v>
      </c>
      <c r="Z17" s="51"/>
      <c r="AA17" s="51">
        <v>5.4014160718967892</v>
      </c>
      <c r="AB17" s="51"/>
      <c r="AC17" s="51">
        <v>6.8332821365853728E-3</v>
      </c>
      <c r="AD17" s="51"/>
      <c r="AE17" s="51">
        <v>4.9209757649333802E-2</v>
      </c>
      <c r="AF17" s="51"/>
      <c r="AG17" s="51">
        <v>1.8251571130702322E-2</v>
      </c>
      <c r="AH17" s="51"/>
      <c r="AI17" s="51">
        <v>1.4454023374535531E-3</v>
      </c>
      <c r="AJ17" s="51"/>
      <c r="AK17" s="52">
        <f>(AG17-$AG$12)*8/(($AA$12-AA17)*2)</f>
        <v>0.3464280516900502</v>
      </c>
      <c r="AL17" s="52"/>
      <c r="AM17" s="52">
        <f>(AG17-$AG$9)/(($AA$9-AA17)+($AI$9-AI17))</f>
        <v>0.11451237100523537</v>
      </c>
      <c r="AN17" s="52"/>
      <c r="AO17" s="52">
        <f>(BW20-$BW$12)*8/(($AA$8-AA17)*2+2*($AI$8-AI17))</f>
        <v>9.6056047176639337E-3</v>
      </c>
      <c r="AP17" s="52"/>
      <c r="AQ17" s="52">
        <f>(BW20-$BW$8)/(($AA$5-AA17)+($AI$5-AI17))</f>
        <v>2.7448916823291578E-3</v>
      </c>
      <c r="AR17" s="52"/>
      <c r="AS17" s="52">
        <f>(BX20-$BX$12)*14/(($AA$8-AA17)*2+2*($AI$8-AI17))*100</f>
        <v>0</v>
      </c>
      <c r="AT17" s="52"/>
      <c r="AU17" s="52">
        <f>(BX20-$BX$8)/(($AA$5-AA17)+($AI$5-AI17))</f>
        <v>0</v>
      </c>
      <c r="AV17" s="52"/>
      <c r="AW17" s="52"/>
      <c r="AX17" s="52"/>
      <c r="AY17" s="52"/>
      <c r="AZ17" s="52"/>
      <c r="BA17" s="52">
        <f>($AA$12-AA17)/((I17*0.05)*(C17*24))</f>
        <v>11.883340243388659</v>
      </c>
      <c r="BB17" s="52"/>
      <c r="BC17" s="52"/>
      <c r="BD17" s="52"/>
      <c r="BE17" s="52">
        <f>(AG17-$AG$12)/((I17*0.05)*(C17*24))</f>
        <v>1.0291806020217749</v>
      </c>
      <c r="BF17" s="52"/>
      <c r="BG17" s="37">
        <v>0.52</v>
      </c>
      <c r="BK17" s="2">
        <v>0</v>
      </c>
      <c r="BM17" s="2">
        <v>0</v>
      </c>
      <c r="BO17" s="37">
        <f t="shared" ref="BO17:BO19" si="58">(BG17/1000)/60.2*1000</f>
        <v>8.637873754152826E-3</v>
      </c>
      <c r="BQ17" s="2">
        <f t="shared" ref="BQ17:BQ19" si="59">BI17/74.08</f>
        <v>0</v>
      </c>
      <c r="BS17" s="2">
        <f t="shared" ref="BS17:BS19" si="60">(BK17/1000)/88.12*1000</f>
        <v>0</v>
      </c>
      <c r="BU17" s="2">
        <f t="shared" ref="BU17:BU19" si="61">BM17/88.12</f>
        <v>0</v>
      </c>
      <c r="BW17" s="37">
        <f t="shared" ref="BW17:BW19" si="62">BO17*0.05</f>
        <v>4.318936877076413E-4</v>
      </c>
      <c r="BX17" s="2">
        <f t="shared" si="2"/>
        <v>0</v>
      </c>
      <c r="BY17" s="2">
        <f t="shared" si="3"/>
        <v>0</v>
      </c>
      <c r="BZ17" s="18">
        <f t="shared" si="4"/>
        <v>0</v>
      </c>
    </row>
    <row r="18" spans="1:78" x14ac:dyDescent="0.3">
      <c r="A18" s="192"/>
      <c r="B18" s="70" t="s">
        <v>110</v>
      </c>
      <c r="C18" s="20">
        <v>1</v>
      </c>
      <c r="E18" s="37"/>
      <c r="F18" s="37">
        <v>1.4650000000000001</v>
      </c>
      <c r="H18" s="37">
        <v>3.5999999999999997E-2</v>
      </c>
      <c r="I18" s="53">
        <f>H18*0.2842</f>
        <v>1.0231199999999999E-2</v>
      </c>
      <c r="K18" s="53">
        <f t="shared" si="57"/>
        <v>0.25278002760819657</v>
      </c>
      <c r="M18" s="38">
        <v>17.00847580572</v>
      </c>
      <c r="N18" s="24"/>
      <c r="O18" s="24">
        <v>81.650924006481901</v>
      </c>
      <c r="P18" s="24"/>
      <c r="Q18" s="24">
        <v>9.5434493636887593E-2</v>
      </c>
      <c r="R18" s="24"/>
      <c r="S18" s="24">
        <v>0.81916862556986536</v>
      </c>
      <c r="T18" s="24"/>
      <c r="U18" s="24">
        <v>0.2909715191890016</v>
      </c>
      <c r="V18" s="24"/>
      <c r="W18" s="24">
        <v>0.13502554940235451</v>
      </c>
      <c r="Y18" s="52">
        <v>1.1216712539252651</v>
      </c>
      <c r="Z18" s="51"/>
      <c r="AA18" s="51">
        <v>5.3846973332970043</v>
      </c>
      <c r="AB18" s="51"/>
      <c r="AC18" s="51">
        <v>6.2936931779278256E-3</v>
      </c>
      <c r="AD18" s="51"/>
      <c r="AE18" s="51">
        <v>5.4022353908407192E-2</v>
      </c>
      <c r="AF18" s="51"/>
      <c r="AG18" s="51">
        <v>1.9188926304349162E-2</v>
      </c>
      <c r="AH18" s="51"/>
      <c r="AI18" s="51">
        <v>8.9046354911562573E-3</v>
      </c>
      <c r="AJ18" s="51"/>
      <c r="AK18" s="52">
        <f>(AG18-$AG$12)*8/(($AA$12-AA18)*2)</f>
        <v>0.33744875988029449</v>
      </c>
      <c r="AL18" s="52"/>
      <c r="AM18" s="52">
        <f t="shared" ref="AM18:AM19" si="63">(AG18-$AG$9)/(($AA$9-AA18)+($AI$9-AI18))</f>
        <v>0.11378318838810786</v>
      </c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>
        <f t="shared" ref="BA18:BA19" si="64">($AA$12-AA18)/((I18*0.05)*(C18*24))</f>
        <v>18.526569475660956</v>
      </c>
      <c r="BB18" s="52"/>
      <c r="BC18" s="52"/>
      <c r="BD18" s="52"/>
      <c r="BE18" s="52">
        <f t="shared" ref="BE18:BE19" si="65">(AG18-$AG$12)/((I18*0.05)*(C18*24))</f>
        <v>1.562941973599477</v>
      </c>
      <c r="BF18" s="52"/>
      <c r="BG18" s="37">
        <v>0.92</v>
      </c>
      <c r="BK18" s="2">
        <v>0</v>
      </c>
      <c r="BM18" s="2">
        <v>0</v>
      </c>
      <c r="BO18" s="37">
        <f t="shared" si="58"/>
        <v>1.5282392026578074E-2</v>
      </c>
      <c r="BQ18" s="2">
        <f t="shared" si="59"/>
        <v>0</v>
      </c>
      <c r="BS18" s="2">
        <f t="shared" si="60"/>
        <v>0</v>
      </c>
      <c r="BU18" s="2">
        <f t="shared" si="61"/>
        <v>0</v>
      </c>
      <c r="BW18" s="37">
        <f t="shared" si="62"/>
        <v>7.6411960132890372E-4</v>
      </c>
      <c r="BX18" s="2">
        <f t="shared" si="2"/>
        <v>0</v>
      </c>
      <c r="BY18" s="2">
        <f t="shared" si="3"/>
        <v>0</v>
      </c>
      <c r="BZ18" s="18">
        <f t="shared" si="4"/>
        <v>0</v>
      </c>
    </row>
    <row r="19" spans="1:78" x14ac:dyDescent="0.3">
      <c r="A19" s="192"/>
      <c r="B19" s="70" t="s">
        <v>111</v>
      </c>
      <c r="C19" s="20">
        <v>1</v>
      </c>
      <c r="E19" s="37"/>
      <c r="F19" s="37">
        <v>1.47</v>
      </c>
      <c r="H19" s="37">
        <v>3.4000000000000002E-2</v>
      </c>
      <c r="I19" s="53">
        <f>H19*0.2842</f>
        <v>9.6628000000000009E-3</v>
      </c>
      <c r="K19" s="53">
        <f>(I19-$I$9)/(($AA$9-AA19)+($AI$9-AI19))*1000*0.05</f>
        <v>-0.22959449692533213</v>
      </c>
      <c r="M19" s="38">
        <v>12.788438968102358</v>
      </c>
      <c r="N19" s="24"/>
      <c r="O19" s="24">
        <v>84.814945700450025</v>
      </c>
      <c r="P19" s="24"/>
      <c r="Q19" s="24">
        <v>0.72253822936379564</v>
      </c>
      <c r="R19" s="24"/>
      <c r="S19" s="24">
        <v>1.07282516813425</v>
      </c>
      <c r="T19" s="24"/>
      <c r="U19" s="24">
        <v>0.42458063066474572</v>
      </c>
      <c r="V19" s="24"/>
      <c r="W19" s="24">
        <v>0.17667130328484881</v>
      </c>
      <c r="Y19" s="52">
        <v>0.8462475778123062</v>
      </c>
      <c r="Z19" s="51"/>
      <c r="AA19" s="51">
        <v>5.612447503586008</v>
      </c>
      <c r="AB19" s="51"/>
      <c r="AC19" s="51">
        <v>4.7812420890540906E-2</v>
      </c>
      <c r="AD19" s="51"/>
      <c r="AE19" s="51">
        <v>7.0991909349856053E-2</v>
      </c>
      <c r="AF19" s="51"/>
      <c r="AG19" s="51">
        <v>2.8095714510758464E-2</v>
      </c>
      <c r="AH19" s="51"/>
      <c r="AI19" s="51">
        <v>1.1690845367965318E-2</v>
      </c>
      <c r="AJ19" s="51"/>
      <c r="AK19" s="52"/>
      <c r="AL19" s="52"/>
      <c r="AM19" s="52">
        <f t="shared" si="63"/>
        <v>-0.45394943271325411</v>
      </c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>
        <f t="shared" si="64"/>
        <v>-2.5124286416705818E-2</v>
      </c>
      <c r="BB19" s="52"/>
      <c r="BC19" s="52"/>
      <c r="BD19" s="52"/>
      <c r="BE19" s="52">
        <f t="shared" si="65"/>
        <v>2.4230135597996489</v>
      </c>
      <c r="BF19" s="52"/>
      <c r="BG19" s="37">
        <v>0.23</v>
      </c>
      <c r="BK19" s="2">
        <v>0</v>
      </c>
      <c r="BM19" s="2">
        <v>0</v>
      </c>
      <c r="BO19" s="37">
        <f t="shared" si="58"/>
        <v>3.8205980066445184E-3</v>
      </c>
      <c r="BQ19" s="2">
        <f t="shared" si="59"/>
        <v>0</v>
      </c>
      <c r="BS19" s="2">
        <f t="shared" si="60"/>
        <v>0</v>
      </c>
      <c r="BU19" s="2">
        <f t="shared" si="61"/>
        <v>0</v>
      </c>
      <c r="BW19" s="37">
        <f t="shared" si="62"/>
        <v>1.9102990033222593E-4</v>
      </c>
      <c r="BX19" s="2">
        <f t="shared" si="2"/>
        <v>0</v>
      </c>
      <c r="BY19" s="2">
        <f t="shared" si="3"/>
        <v>0</v>
      </c>
      <c r="BZ19" s="18">
        <f t="shared" si="4"/>
        <v>0</v>
      </c>
    </row>
    <row r="20" spans="1:78" ht="15" thickBot="1" x14ac:dyDescent="0.35">
      <c r="A20" s="193"/>
      <c r="B20" s="66" t="s">
        <v>63</v>
      </c>
      <c r="C20" s="65">
        <v>1</v>
      </c>
      <c r="D20" s="65" t="e">
        <f>AVERAGE(D17:D19)</f>
        <v>#DIV/0!</v>
      </c>
      <c r="E20" s="60"/>
      <c r="F20" s="60">
        <f>AVERAGE(F17:F19)</f>
        <v>1.4649999999999999</v>
      </c>
      <c r="G20" s="54">
        <f>_xlfn.STDEV.S(F17:F19)</f>
        <v>5.0000000000000044E-3</v>
      </c>
      <c r="H20" s="65">
        <f>AVERAGE(H17:H19)</f>
        <v>4.0666666666666663E-2</v>
      </c>
      <c r="I20" s="62">
        <f t="shared" ref="I20:I68" si="66">AVERAGE(I17:I19)</f>
        <v>1.1557466666666667E-2</v>
      </c>
      <c r="J20" s="109">
        <f t="shared" ref="J20" si="67">_xlfn.STDEV.S(I17:I19)</f>
        <v>2.8038506189405552E-3</v>
      </c>
      <c r="K20" s="62">
        <f t="shared" ref="K20" si="68">AVERAGE(K17:K19)</f>
        <v>0.57237752640090844</v>
      </c>
      <c r="L20" s="109">
        <f t="shared" ref="L20" si="69">_xlfn.STDEV.S(K17:K19)</f>
        <v>1.0008046463667815</v>
      </c>
      <c r="M20" s="38">
        <f t="shared" ref="M20" si="70">AVERAGE(M17:M19)</f>
        <v>15.486521176839384</v>
      </c>
      <c r="N20" s="24">
        <f t="shared" ref="N20" si="71">_xlfn.STDEV.S(M17:M19)</f>
        <v>2.3429969677288947</v>
      </c>
      <c r="O20" s="120">
        <f t="shared" ref="O20" si="72">AVERAGE(O17:O19)</f>
        <v>82.883601054836575</v>
      </c>
      <c r="P20" s="24">
        <f t="shared" ref="P20" si="73">_xlfn.STDEV.S(O17:O19)</f>
        <v>1.6937711263833</v>
      </c>
      <c r="Q20" s="120">
        <f t="shared" ref="Q20" si="74">AVERAGE(Q17:Q19)</f>
        <v>0.3073147105497504</v>
      </c>
      <c r="R20" s="24">
        <f t="shared" ref="R20" si="75">_xlfn.STDEV.S(Q17:Q19)</f>
        <v>0.35961944839193216</v>
      </c>
      <c r="S20" s="120">
        <f t="shared" ref="S20" si="76">AVERAGE(S17:S19)</f>
        <v>0.8802473371955023</v>
      </c>
      <c r="T20" s="120">
        <f t="shared" ref="T20" si="77">_xlfn.STDEV.S(S17:S19)</f>
        <v>0.1704535836570252</v>
      </c>
      <c r="U20" s="120">
        <f t="shared" ref="U20" si="78">AVERAGE(U17:U19)</f>
        <v>0.33108595782792866</v>
      </c>
      <c r="V20" s="120">
        <f t="shared" ref="V20" si="79">_xlfn.STDEV.S(U17:U19)</f>
        <v>8.1239988426886359E-2</v>
      </c>
      <c r="W20" s="120">
        <f t="shared" ref="W20" si="80">AVERAGE(W17:W19)</f>
        <v>0.11122976275086416</v>
      </c>
      <c r="X20" s="120">
        <f t="shared" ref="X20" si="81">_xlfn.STDEV.S(W17:W19)</f>
        <v>8.0037913681679396E-2</v>
      </c>
      <c r="Y20" s="56">
        <v>1.0210110557591634</v>
      </c>
      <c r="Z20" s="55">
        <f t="shared" ref="Z20" si="82">_xlfn.STDEV.S(Y17:Y19)</f>
        <v>0.15193097905493902</v>
      </c>
      <c r="AA20" s="55">
        <v>5.4661869695932666</v>
      </c>
      <c r="AB20" s="55">
        <f t="shared" ref="AB20" si="83">_xlfn.STDEV.S(AA17:AA19)</f>
        <v>0.12694087957775169</v>
      </c>
      <c r="AC20" s="55">
        <v>2.0313132068351367E-2</v>
      </c>
      <c r="AD20" s="55">
        <f t="shared" ref="AD20" si="84">_xlfn.STDEV.S(AC17:AC19)</f>
        <v>2.381661087047704E-2</v>
      </c>
      <c r="AE20" s="55">
        <v>5.807467363586568E-2</v>
      </c>
      <c r="AF20" s="55">
        <f t="shared" ref="AF20" si="85">_xlfn.STDEV.S(AE17:AE19)</f>
        <v>1.1442530513671556E-2</v>
      </c>
      <c r="AG20" s="55">
        <v>2.1845403981936646E-2</v>
      </c>
      <c r="AH20" s="55">
        <f t="shared" ref="AH20" si="86">_xlfn.STDEV.S(AG17:AG19)</f>
        <v>5.4331800044188196E-3</v>
      </c>
      <c r="AI20" s="55">
        <v>7.3469610655250428E-3</v>
      </c>
      <c r="AJ20" s="55">
        <f>_xlfn.STDEV.S(AI17:AI19)</f>
        <v>5.2973614125397086E-3</v>
      </c>
      <c r="AK20" s="56">
        <f>AVERAGE(AK17:AK19)</f>
        <v>0.34193840578517232</v>
      </c>
      <c r="AL20" s="56">
        <f>_xlfn.STDEV.S(AK17:AK19)</f>
        <v>6.3493181289310868E-3</v>
      </c>
      <c r="AM20" s="121">
        <f>AVERAGE(AM17:AM19)</f>
        <v>-7.5217957773303631E-2</v>
      </c>
      <c r="AN20" s="56">
        <f>_xlfn.STDEV.S(AM17:AM19)</f>
        <v>0.32799128114854675</v>
      </c>
      <c r="AO20" s="56">
        <f>AVERAGE(AO17:AO19)</f>
        <v>9.6056047176639337E-3</v>
      </c>
      <c r="AP20" s="56" t="e">
        <f>_xlfn.STDEV.S(AO17:AO19)</f>
        <v>#DIV/0!</v>
      </c>
      <c r="AQ20" s="121">
        <f>AVERAGE(AQ17:AQ19)</f>
        <v>2.7448916823291578E-3</v>
      </c>
      <c r="AR20" s="56" t="e">
        <f>_xlfn.STDEV.S(AQ17:AQ19)</f>
        <v>#DIV/0!</v>
      </c>
      <c r="AS20" s="56">
        <f>AVERAGE(AS17:AS19)</f>
        <v>0</v>
      </c>
      <c r="AT20" s="56" t="e">
        <f>_xlfn.STDEV.S(AS17:AS19)</f>
        <v>#DIV/0!</v>
      </c>
      <c r="AU20" s="56">
        <f>AVERAGE(AU17:AU19)</f>
        <v>0</v>
      </c>
      <c r="AV20" s="56" t="e">
        <f>_xlfn.STDEV.S(AU17:AU19)</f>
        <v>#DIV/0!</v>
      </c>
      <c r="AW20" s="56"/>
      <c r="AX20" s="56"/>
      <c r="AY20" s="56">
        <f>SUM(AK20,AO20,AS20)</f>
        <v>0.35154401050283623</v>
      </c>
      <c r="AZ20" s="56">
        <f>AL20</f>
        <v>6.3493181289310868E-3</v>
      </c>
      <c r="BA20" s="121">
        <f>AVERAGE(BA17:BA19)</f>
        <v>10.128261810877637</v>
      </c>
      <c r="BB20" s="56">
        <f>_xlfn.STDEV.S(BA17:BA19)</f>
        <v>9.3995510844229582</v>
      </c>
      <c r="BC20" s="121"/>
      <c r="BD20" s="56"/>
      <c r="BE20" s="121">
        <f>AVERAGE(BE17:BE18)</f>
        <v>1.2960612878106259</v>
      </c>
      <c r="BF20" s="56">
        <f>_xlfn.STDEV.S(BE17:BE18)</f>
        <v>0.37742628537802525</v>
      </c>
      <c r="BG20" s="60">
        <f>AVERAGE(BG17:BG19)</f>
        <v>0.55666666666666664</v>
      </c>
      <c r="BH20" s="57">
        <f>_xlfn.STDEV.S(BG17:BG19)</f>
        <v>0.34645827069552448</v>
      </c>
      <c r="BI20" s="57" t="e">
        <f>AVERAGE(BI17:BI19)</f>
        <v>#DIV/0!</v>
      </c>
      <c r="BJ20" s="57" t="e">
        <f>_xlfn.STDEV.S(BI17:BI19)</f>
        <v>#DIV/0!</v>
      </c>
      <c r="BK20" s="57">
        <f>AVERAGE(BK17:BK19)</f>
        <v>0</v>
      </c>
      <c r="BL20" s="57">
        <f>_xlfn.STDEV.S(BK17:BK19)</f>
        <v>0</v>
      </c>
      <c r="BM20" s="57">
        <f>AVERAGE(BM17:BM19)</f>
        <v>0</v>
      </c>
      <c r="BN20" s="57">
        <f>_xlfn.STDEV.S(BM17:BM19)</f>
        <v>0</v>
      </c>
      <c r="BO20" s="60">
        <f t="shared" ref="BO20" si="87">AVERAGE(BO17:BO19)</f>
        <v>9.2469545957918065E-3</v>
      </c>
      <c r="BP20" s="57">
        <f t="shared" ref="BP20" si="88">_xlfn.STDEV.S(BO17:BO19)</f>
        <v>5.7551207756731644E-3</v>
      </c>
      <c r="BQ20" s="57">
        <f t="shared" ref="BQ20" si="89">AVERAGE(BQ17:BQ19)</f>
        <v>0</v>
      </c>
      <c r="BR20" s="57">
        <f t="shared" ref="BR20" si="90">_xlfn.STDEV.S(BQ17:BQ19)</f>
        <v>0</v>
      </c>
      <c r="BS20" s="57">
        <f t="shared" ref="BS20" si="91">AVERAGE(BS17:BS19)</f>
        <v>0</v>
      </c>
      <c r="BT20" s="57">
        <f t="shared" ref="BT20" si="92">_xlfn.STDEV.S(BS17:BS19)</f>
        <v>0</v>
      </c>
      <c r="BU20" s="57">
        <f t="shared" ref="BU20" si="93">AVERAGE(BU17:BU19)</f>
        <v>0</v>
      </c>
      <c r="BV20" s="57">
        <f t="shared" ref="BV20" si="94">_xlfn.STDEV.S(BU17:BU19)</f>
        <v>0</v>
      </c>
      <c r="BW20" s="60">
        <f t="shared" ref="BW20" si="95">AVERAGE(BW17:BW19)</f>
        <v>4.6234772978959036E-4</v>
      </c>
      <c r="BX20" s="57">
        <f t="shared" si="2"/>
        <v>0</v>
      </c>
      <c r="BY20" s="57">
        <f t="shared" si="3"/>
        <v>0</v>
      </c>
      <c r="BZ20" s="61">
        <f t="shared" si="4"/>
        <v>0</v>
      </c>
    </row>
    <row r="21" spans="1:78" x14ac:dyDescent="0.3">
      <c r="A21" s="196" t="s">
        <v>105</v>
      </c>
      <c r="B21" s="70" t="s">
        <v>106</v>
      </c>
      <c r="C21" s="20">
        <v>2</v>
      </c>
      <c r="E21" s="37"/>
      <c r="F21" s="37">
        <v>1.2050000000000001</v>
      </c>
      <c r="H21" s="37">
        <v>0.21299999999999999</v>
      </c>
      <c r="I21" s="53">
        <f>H21*0.2842</f>
        <v>6.0534600000000001E-2</v>
      </c>
      <c r="J21" s="91"/>
      <c r="K21" s="53">
        <f t="shared" ref="K21:K63" si="96">(I21-$I$5)/(($AA$5-AA21)+($AI$5-AI21))*1000*0.05</f>
        <v>0.55641815710971654</v>
      </c>
      <c r="L21" s="91"/>
      <c r="M21" s="116">
        <v>5.0129219799071043</v>
      </c>
      <c r="N21" s="122"/>
      <c r="O21" s="24">
        <v>11.408220071514496</v>
      </c>
      <c r="P21" s="122"/>
      <c r="Q21" s="24">
        <v>0.30552596569140844</v>
      </c>
      <c r="R21" s="122"/>
      <c r="S21" s="24">
        <v>40.543805563134086</v>
      </c>
      <c r="T21" s="24"/>
      <c r="U21" s="24">
        <v>23.574182167348997</v>
      </c>
      <c r="V21" s="24"/>
      <c r="W21" s="24">
        <v>19.155344252403893</v>
      </c>
      <c r="Y21" s="86">
        <v>0.27191963023272497</v>
      </c>
      <c r="Z21" s="85"/>
      <c r="AA21" s="85">
        <v>0.61882450911738685</v>
      </c>
      <c r="AB21" s="85"/>
      <c r="AC21" s="85">
        <v>1.6572870663118428E-2</v>
      </c>
      <c r="AD21" s="85"/>
      <c r="AE21" s="85">
        <v>2.1992475967398195</v>
      </c>
      <c r="AF21" s="85"/>
      <c r="AG21" s="85">
        <v>1.2787517786389384</v>
      </c>
      <c r="AH21" s="85"/>
      <c r="AI21" s="85">
        <v>1.0390574892192406</v>
      </c>
      <c r="AJ21" s="51"/>
      <c r="AK21" s="52">
        <f>(AG21-$AG$8)*8/(($AA$8-AA21)*2+2*($AI$8-AI21))</f>
        <v>0.84428137799940517</v>
      </c>
      <c r="AL21" s="52"/>
      <c r="AM21" s="52">
        <f>(AG21-$AG$5)/(($AA$5-AA21)+($AI$5-AI21))</f>
        <v>0.21347900650895699</v>
      </c>
      <c r="AN21" s="52"/>
      <c r="AO21" s="52">
        <f>(BW24-$BW$8)*8/(($AA$8-AA21)*2+2*($AI$8-AI21))</f>
        <v>4.0263971794554125E-3</v>
      </c>
      <c r="AP21" s="52"/>
      <c r="AQ21" s="52">
        <f>(BW24-$BW$8)/(($AA$5-AA21)+($AI$5-AI21))</f>
        <v>1.0125830710913657E-3</v>
      </c>
      <c r="AR21" s="52"/>
      <c r="AS21" s="52">
        <f>(BX24-$BX$8)*14/(($AA$8-AA21)*2+2*($AI$8-AI21))*100</f>
        <v>0</v>
      </c>
      <c r="AT21" s="52"/>
      <c r="AU21" s="52">
        <f>(BX24-$BX$8)/(($AA$5-AA21)+($AI$5-AI21))</f>
        <v>0</v>
      </c>
      <c r="AV21" s="52"/>
      <c r="AW21" s="52"/>
      <c r="AX21" s="52"/>
      <c r="AY21" s="52"/>
      <c r="AZ21" s="52"/>
      <c r="BA21" s="52">
        <f t="shared" ref="BA21:BA23" si="97">($AA$8-AA21)/((I21*0.05)*(C21*24))</f>
        <v>24.688235104971874</v>
      </c>
      <c r="BB21" s="52"/>
      <c r="BC21" s="52">
        <f t="shared" ref="BC21:BC23" si="98">($AI$8-AI21)/((I21*0.05)*(C21*24))</f>
        <v>2.3665031727457699</v>
      </c>
      <c r="BD21" s="52"/>
      <c r="BE21" s="52">
        <f t="shared" ref="BE21:BE23" si="99">(AG21-$AG$8)/((I21*0.05)*(C21*24))</f>
        <v>5.7104529286311765</v>
      </c>
      <c r="BF21" s="52"/>
      <c r="BG21" s="37">
        <v>4.5199999999999996</v>
      </c>
      <c r="BI21" s="2">
        <v>0</v>
      </c>
      <c r="BK21" s="2">
        <v>0</v>
      </c>
      <c r="BM21" s="2">
        <v>0</v>
      </c>
      <c r="BO21" s="37">
        <f t="shared" ref="BO21:BO23" si="100">(BG21/1000)/60.2*1000</f>
        <v>7.5083056478405311E-2</v>
      </c>
      <c r="BQ21" s="2">
        <f t="shared" ref="BQ21:BQ23" si="101">BI21/74.08</f>
        <v>0</v>
      </c>
      <c r="BS21" s="2">
        <f t="shared" ref="BS21:BS23" si="102">(BK21/1000)/88.12*1000</f>
        <v>0</v>
      </c>
      <c r="BU21" s="2">
        <f t="shared" ref="BU21:BU23" si="103">BM21/88.12</f>
        <v>0</v>
      </c>
      <c r="BW21" s="37">
        <f t="shared" ref="BW21:BW23" si="104">BO21*0.05</f>
        <v>3.7541528239202655E-3</v>
      </c>
      <c r="BX21" s="2">
        <f t="shared" si="2"/>
        <v>0</v>
      </c>
      <c r="BY21" s="2">
        <f t="shared" si="3"/>
        <v>0</v>
      </c>
      <c r="BZ21" s="18">
        <f t="shared" si="4"/>
        <v>0</v>
      </c>
    </row>
    <row r="22" spans="1:78" x14ac:dyDescent="0.3">
      <c r="A22" s="192"/>
      <c r="B22" s="70" t="s">
        <v>107</v>
      </c>
      <c r="C22" s="20">
        <v>2</v>
      </c>
      <c r="E22" s="37"/>
      <c r="F22" s="37">
        <v>1.075</v>
      </c>
      <c r="H22" s="37">
        <v>0.23100000000000001</v>
      </c>
      <c r="I22" s="53">
        <f>H22*0.2842</f>
        <v>6.5650200000000006E-2</v>
      </c>
      <c r="K22" s="53">
        <f t="shared" si="96"/>
        <v>0.6041160652200811</v>
      </c>
      <c r="M22" s="38">
        <v>4.74528025630228</v>
      </c>
      <c r="N22" s="24"/>
      <c r="O22" s="24">
        <v>13.268555391996722</v>
      </c>
      <c r="P22" s="24"/>
      <c r="Q22" s="24">
        <v>0.13172016447171653</v>
      </c>
      <c r="R22" s="24"/>
      <c r="S22" s="24">
        <v>37.621822472219854</v>
      </c>
      <c r="T22" s="24"/>
      <c r="U22" s="24">
        <v>25.615715972007138</v>
      </c>
      <c r="V22" s="24"/>
      <c r="W22" s="24">
        <v>18.616905743002295</v>
      </c>
      <c r="Y22" s="52">
        <v>0.2296322599065905</v>
      </c>
      <c r="Z22" s="51"/>
      <c r="AA22" s="51">
        <v>0.64208817936798679</v>
      </c>
      <c r="AB22" s="51"/>
      <c r="AC22" s="51">
        <v>6.3741649405714843E-3</v>
      </c>
      <c r="AD22" s="51"/>
      <c r="AE22" s="51">
        <v>1.8205845913160901</v>
      </c>
      <c r="AF22" s="51"/>
      <c r="AG22" s="51">
        <v>1.2395884816213143</v>
      </c>
      <c r="AH22" s="51"/>
      <c r="AI22" s="51">
        <v>0.90090403671223662</v>
      </c>
      <c r="AJ22" s="51"/>
      <c r="AK22" s="52">
        <f t="shared" ref="AK22:AK23" si="105">(AG22-$AG$8)*8/(($AA$8-AA22)*2+2*($AI$8-AI22))</f>
        <v>0.78158122486128401</v>
      </c>
      <c r="AL22" s="52"/>
      <c r="AM22" s="52">
        <f>(AG22-$AG$5)/(($AA$5-AA22)+($AI$5-AI22))</f>
        <v>0.19764464896226105</v>
      </c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>
        <f t="shared" si="97"/>
        <v>22.616827379774627</v>
      </c>
      <c r="BB22" s="52"/>
      <c r="BC22" s="52">
        <f t="shared" si="98"/>
        <v>3.0589284039573532</v>
      </c>
      <c r="BD22" s="52"/>
      <c r="BE22" s="52">
        <f t="shared" si="99"/>
        <v>5.0169221636721097</v>
      </c>
      <c r="BF22" s="52"/>
      <c r="BG22" s="37">
        <v>6.02</v>
      </c>
      <c r="BI22" s="2">
        <v>0</v>
      </c>
      <c r="BK22" s="2">
        <v>0</v>
      </c>
      <c r="BM22" s="2">
        <v>0</v>
      </c>
      <c r="BO22" s="37">
        <f t="shared" si="100"/>
        <v>9.9999999999999978E-2</v>
      </c>
      <c r="BQ22" s="2">
        <f t="shared" si="101"/>
        <v>0</v>
      </c>
      <c r="BS22" s="2">
        <f t="shared" si="102"/>
        <v>0</v>
      </c>
      <c r="BU22" s="2">
        <f t="shared" si="103"/>
        <v>0</v>
      </c>
      <c r="BW22" s="37">
        <f t="shared" si="104"/>
        <v>4.9999999999999992E-3</v>
      </c>
      <c r="BX22" s="2">
        <f t="shared" si="2"/>
        <v>0</v>
      </c>
      <c r="BY22" s="2">
        <f t="shared" si="3"/>
        <v>0</v>
      </c>
      <c r="BZ22" s="18">
        <f t="shared" si="4"/>
        <v>0</v>
      </c>
    </row>
    <row r="23" spans="1:78" x14ac:dyDescent="0.3">
      <c r="A23" s="192"/>
      <c r="B23" s="70" t="s">
        <v>108</v>
      </c>
      <c r="C23" s="20">
        <v>2</v>
      </c>
      <c r="E23" s="37"/>
      <c r="F23" s="37">
        <v>1.375</v>
      </c>
      <c r="H23" s="37">
        <v>0.224</v>
      </c>
      <c r="I23" s="53">
        <f>H23*0.2842</f>
        <v>6.3660800000000003E-2</v>
      </c>
      <c r="K23" s="53">
        <f t="shared" si="96"/>
        <v>0.60277486315930462</v>
      </c>
      <c r="M23" s="38">
        <v>5.4081458031716556</v>
      </c>
      <c r="N23" s="24"/>
      <c r="O23" s="24">
        <v>11.44191042991795</v>
      </c>
      <c r="P23" s="24"/>
      <c r="Q23" s="24">
        <v>0.13373864325332432</v>
      </c>
      <c r="R23" s="24"/>
      <c r="S23" s="24">
        <v>45.961064904322193</v>
      </c>
      <c r="T23" s="24"/>
      <c r="U23" s="24">
        <v>21.046938138734809</v>
      </c>
      <c r="V23" s="24"/>
      <c r="W23" s="24">
        <v>16.008202080600075</v>
      </c>
      <c r="Y23" s="52">
        <v>0.33474466063582953</v>
      </c>
      <c r="Z23" s="51"/>
      <c r="AA23" s="51">
        <v>0.70821286320391641</v>
      </c>
      <c r="AB23" s="51"/>
      <c r="AC23" s="51">
        <v>8.2779382026785496E-3</v>
      </c>
      <c r="AD23" s="51"/>
      <c r="AE23" s="51">
        <v>2.844823648215228</v>
      </c>
      <c r="AF23" s="51"/>
      <c r="AG23" s="51">
        <v>1.3027293311031432</v>
      </c>
      <c r="AH23" s="51"/>
      <c r="AI23" s="51">
        <v>0.99084979730347089</v>
      </c>
      <c r="AJ23" s="51"/>
      <c r="AK23" s="52">
        <f t="shared" si="105"/>
        <v>0.87787982685679333</v>
      </c>
      <c r="AL23" s="52"/>
      <c r="AM23" s="52">
        <f>(AG23-$AG$5)/(($AA$5-AA23)+($AI$5-AI23))</f>
        <v>0.22195473830641591</v>
      </c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>
        <f t="shared" si="97"/>
        <v>22.890810188520664</v>
      </c>
      <c r="BB23" s="52"/>
      <c r="BC23" s="52">
        <f t="shared" si="98"/>
        <v>2.5658154038141752</v>
      </c>
      <c r="BD23" s="52"/>
      <c r="BE23" s="52">
        <f t="shared" si="99"/>
        <v>5.5869645168392807</v>
      </c>
      <c r="BF23" s="52"/>
      <c r="BG23" s="37">
        <v>3.8109999999999999</v>
      </c>
      <c r="BI23" s="2">
        <v>0</v>
      </c>
      <c r="BK23" s="2">
        <v>0</v>
      </c>
      <c r="BM23" s="2">
        <v>0</v>
      </c>
      <c r="BO23" s="37">
        <f t="shared" si="100"/>
        <v>6.3305647840531568E-2</v>
      </c>
      <c r="BQ23" s="2">
        <f t="shared" si="101"/>
        <v>0</v>
      </c>
      <c r="BS23" s="2">
        <f t="shared" si="102"/>
        <v>0</v>
      </c>
      <c r="BU23" s="2">
        <f t="shared" si="103"/>
        <v>0</v>
      </c>
      <c r="BW23" s="37">
        <f t="shared" si="104"/>
        <v>3.1652823920265785E-3</v>
      </c>
      <c r="BX23" s="2">
        <f t="shared" si="2"/>
        <v>0</v>
      </c>
      <c r="BY23" s="2">
        <f t="shared" si="3"/>
        <v>0</v>
      </c>
      <c r="BZ23" s="18">
        <f t="shared" si="4"/>
        <v>0</v>
      </c>
    </row>
    <row r="24" spans="1:78" x14ac:dyDescent="0.3">
      <c r="A24" s="197"/>
      <c r="B24" s="83" t="s">
        <v>63</v>
      </c>
      <c r="C24" s="20">
        <v>2</v>
      </c>
      <c r="D24" s="80" t="e">
        <f>AVERAGE(D21:D23)</f>
        <v>#DIV/0!</v>
      </c>
      <c r="E24" s="78"/>
      <c r="F24" s="78">
        <f>AVERAGE(F21:F23)</f>
        <v>1.2183333333333335</v>
      </c>
      <c r="G24" s="73">
        <f>_xlfn.STDEV.S(F21:F23)</f>
        <v>0.15044378795195512</v>
      </c>
      <c r="H24" s="78">
        <f t="shared" ref="H24:I24" si="106">AVERAGE(H21:H23)</f>
        <v>0.22266666666666668</v>
      </c>
      <c r="I24" s="82">
        <f t="shared" si="106"/>
        <v>6.3281866666666672E-2</v>
      </c>
      <c r="J24" s="82">
        <f t="shared" ref="J24" si="107">_xlfn.STDEV.S(I21:I23)</f>
        <v>2.5787659244943784E-3</v>
      </c>
      <c r="K24" s="82">
        <f t="shared" ref="K24:K64" si="108">AVERAGE(K21:K23)</f>
        <v>0.58776969516303412</v>
      </c>
      <c r="L24" s="82">
        <f t="shared" ref="L24" si="109">_xlfn.STDEV.S(K21:K23)</f>
        <v>2.7159508638291335E-2</v>
      </c>
      <c r="M24" s="117">
        <f t="shared" ref="M24" si="110">AVERAGE(M21:M23)</f>
        <v>5.0554493464603469</v>
      </c>
      <c r="N24" s="118">
        <f t="shared" ref="N24" si="111">_xlfn.STDEV.S(M21:M23)</f>
        <v>0.33347281146455471</v>
      </c>
      <c r="O24" s="118">
        <f t="shared" ref="O24" si="112">AVERAGE(O21:O23)</f>
        <v>12.039561964476391</v>
      </c>
      <c r="P24" s="118">
        <f>_xlfn.STDEV.S(O21:O23)</f>
        <v>1.0644728243259525</v>
      </c>
      <c r="Q24" s="118">
        <f t="shared" ref="Q24" si="113">AVERAGE(Q21:Q23)</f>
        <v>0.1903282578054831</v>
      </c>
      <c r="R24" s="118">
        <f t="shared" ref="R24" si="114">_xlfn.STDEV.S(Q21:Q23)</f>
        <v>9.9769246217339971E-2</v>
      </c>
      <c r="S24" s="118">
        <f t="shared" ref="S24" si="115">AVERAGE(S21:S23)</f>
        <v>41.375564313225375</v>
      </c>
      <c r="T24" s="118">
        <f t="shared" ref="T24" si="116">_xlfn.STDEV.S(S21:S23)</f>
        <v>4.2313837038383912</v>
      </c>
      <c r="U24" s="118">
        <f t="shared" ref="U24" si="117">AVERAGE(U21:U23)</f>
        <v>23.412278759363648</v>
      </c>
      <c r="V24" s="118">
        <f t="shared" ref="V24" si="118">_xlfn.STDEV.S(U21:U23)</f>
        <v>2.2886878899465737</v>
      </c>
      <c r="W24" s="118">
        <f t="shared" ref="W24" si="119">AVERAGE(W21:W23)</f>
        <v>17.926817358668753</v>
      </c>
      <c r="X24" s="76">
        <f t="shared" ref="X24" si="120">_xlfn.STDEV.S(W21:W23)</f>
        <v>1.6832386776778185</v>
      </c>
      <c r="Y24" s="74">
        <v>0.27726079142036109</v>
      </c>
      <c r="Z24" s="73">
        <f t="shared" ref="Z24" si="121">_xlfn.STDEV.S(Y21:Y23)</f>
        <v>5.2889543581119546E-2</v>
      </c>
      <c r="AA24" s="73">
        <v>0.66029708733258763</v>
      </c>
      <c r="AB24" s="73">
        <f t="shared" ref="AB24" si="122">_xlfn.STDEV.S(AA21:AA23)</f>
        <v>4.637519094700867E-2</v>
      </c>
      <c r="AC24" s="73">
        <v>1.043835271057654E-2</v>
      </c>
      <c r="AD24" s="73">
        <f t="shared" ref="AD24" si="123">_xlfn.STDEV.S(AC21:AC23)</f>
        <v>5.4228506582775062E-3</v>
      </c>
      <c r="AE24" s="73">
        <v>2.2691992186572087</v>
      </c>
      <c r="AF24" s="73">
        <f t="shared" ref="AF24" si="124">_xlfn.STDEV.S(AE21:AE23)</f>
        <v>0.51788347395798517</v>
      </c>
      <c r="AG24" s="73">
        <v>1.2840217541335401</v>
      </c>
      <c r="AH24" s="73">
        <f t="shared" ref="AH24" si="125">_xlfn.STDEV.S(AG21:AG23)</f>
        <v>3.1873326697912846E-2</v>
      </c>
      <c r="AI24" s="73">
        <v>0.98317740479248816</v>
      </c>
      <c r="AJ24" s="73">
        <f>_xlfn.STDEV.S(AI21:AI23)</f>
        <v>7.011965707249572E-2</v>
      </c>
      <c r="AK24" s="74">
        <f>AVERAGE(AK21:AK23)</f>
        <v>0.8345808099058275</v>
      </c>
      <c r="AL24" s="74">
        <f>_xlfn.STDEV.S(AK21:AK23)</f>
        <v>4.8876691301437139E-2</v>
      </c>
      <c r="AM24" s="74">
        <f>AVERAGE(AM21:AM23)</f>
        <v>0.21102613125921132</v>
      </c>
      <c r="AN24" s="74">
        <f>_xlfn.STDEV.S(AM21:AM23)</f>
        <v>1.2339268970377012E-2</v>
      </c>
      <c r="AO24" s="74">
        <f>AVERAGE(AO21:AO23)</f>
        <v>4.0263971794554125E-3</v>
      </c>
      <c r="AP24" s="74" t="e">
        <f>_xlfn.STDEV.S(AO21:AO23)</f>
        <v>#DIV/0!</v>
      </c>
      <c r="AQ24" s="74">
        <f>AVERAGE(AQ21:AQ23)</f>
        <v>1.0125830710913657E-3</v>
      </c>
      <c r="AR24" s="74" t="e">
        <f>_xlfn.STDEV.S(AQ21:AQ23)</f>
        <v>#DIV/0!</v>
      </c>
      <c r="AS24" s="74">
        <f>AVERAGE(AS21:AS23)</f>
        <v>0</v>
      </c>
      <c r="AT24" s="74" t="e">
        <f>_xlfn.STDEV.S(AS21:AS23)</f>
        <v>#DIV/0!</v>
      </c>
      <c r="AU24" s="74">
        <f>AVERAGE(AU21:AU23)</f>
        <v>0</v>
      </c>
      <c r="AV24" s="74" t="e">
        <f>_xlfn.STDEV.S(AU21:AU23)</f>
        <v>#DIV/0!</v>
      </c>
      <c r="AW24" s="74"/>
      <c r="AX24" s="74"/>
      <c r="AY24" s="74">
        <f>SUM(AK24,AO24,AS24)</f>
        <v>0.83860720708528291</v>
      </c>
      <c r="AZ24" s="74">
        <f>SUM(AL24)</f>
        <v>4.8876691301437139E-2</v>
      </c>
      <c r="BA24" s="74">
        <f t="shared" ref="BA24" si="126">AVERAGE(BA21:BA23)</f>
        <v>23.398624224422388</v>
      </c>
      <c r="BB24" s="74">
        <f t="shared" ref="BB24" si="127">_xlfn.STDEV.S(BA21:BA23)</f>
        <v>1.1252061199157275</v>
      </c>
      <c r="BC24" s="74">
        <f t="shared" ref="BC24" si="128">AVERAGE(BC21:BC23)</f>
        <v>2.6637489935057661</v>
      </c>
      <c r="BD24" s="74">
        <f t="shared" ref="BD24" si="129">_xlfn.STDEV.S(BC21:BC23)</f>
        <v>0.35644973866874419</v>
      </c>
      <c r="BE24" s="74">
        <f t="shared" ref="BE24" si="130">AVERAGE(BE21:BE22)</f>
        <v>5.3636875461516436</v>
      </c>
      <c r="BF24" s="74">
        <f t="shared" ref="BF24" si="131">_xlfn.STDEV.S(BE21:BE22)</f>
        <v>0.49040030686404973</v>
      </c>
      <c r="BG24" s="78">
        <f>AVERAGE(BG21:BG23)</f>
        <v>4.7836666666666661</v>
      </c>
      <c r="BH24" s="75">
        <f>_xlfn.STDEV.S(BG21:BG23)</f>
        <v>1.1278565216078367</v>
      </c>
      <c r="BI24" s="75">
        <f>AVERAGE(BI21:BI23)</f>
        <v>0</v>
      </c>
      <c r="BJ24" s="75">
        <f>_xlfn.STDEV.S(BI21:BI23)</f>
        <v>0</v>
      </c>
      <c r="BK24" s="75">
        <f>AVERAGE(BK21:BK23)</f>
        <v>0</v>
      </c>
      <c r="BL24" s="75">
        <f>_xlfn.STDEV.S(BK21:BK23)</f>
        <v>0</v>
      </c>
      <c r="BM24" s="75">
        <f>AVERAGE(BM21:BM23)</f>
        <v>0</v>
      </c>
      <c r="BN24" s="75">
        <f>_xlfn.STDEV.S(BM21:BM23)</f>
        <v>0</v>
      </c>
      <c r="BO24" s="78">
        <f t="shared" ref="BO24" si="132">AVERAGE(BO21:BO23)</f>
        <v>7.9462901439645614E-2</v>
      </c>
      <c r="BP24" s="75">
        <f t="shared" ref="BP24" si="133">_xlfn.STDEV.S(BO21:BO23)</f>
        <v>1.8735158166243202E-2</v>
      </c>
      <c r="BQ24" s="75">
        <f t="shared" ref="BQ24" si="134">AVERAGE(BQ21:BQ23)</f>
        <v>0</v>
      </c>
      <c r="BR24" s="75">
        <f t="shared" ref="BR24" si="135">_xlfn.STDEV.S(BQ21:BQ23)</f>
        <v>0</v>
      </c>
      <c r="BS24" s="75">
        <f t="shared" ref="BS24" si="136">AVERAGE(BS21:BS23)</f>
        <v>0</v>
      </c>
      <c r="BT24" s="75">
        <f t="shared" ref="BT24" si="137">_xlfn.STDEV.S(BS21:BS23)</f>
        <v>0</v>
      </c>
      <c r="BU24" s="75">
        <f t="shared" ref="BU24" si="138">AVERAGE(BU21:BU23)</f>
        <v>0</v>
      </c>
      <c r="BV24" s="75">
        <f t="shared" ref="BV24" si="139">_xlfn.STDEV.S(BU21:BU23)</f>
        <v>0</v>
      </c>
      <c r="BW24" s="78">
        <f t="shared" ref="BW24" si="140">AVERAGE(BW21:BW23)</f>
        <v>3.9731450719822812E-3</v>
      </c>
      <c r="BX24" s="75">
        <f t="shared" si="2"/>
        <v>0</v>
      </c>
      <c r="BY24" s="75">
        <f t="shared" si="3"/>
        <v>0</v>
      </c>
      <c r="BZ24" s="119">
        <f t="shared" si="4"/>
        <v>0</v>
      </c>
    </row>
    <row r="25" spans="1:78" x14ac:dyDescent="0.3">
      <c r="A25" s="192" t="s">
        <v>57</v>
      </c>
      <c r="B25" s="70" t="s">
        <v>109</v>
      </c>
      <c r="C25" s="123">
        <v>2</v>
      </c>
      <c r="E25" s="37"/>
      <c r="F25" s="37">
        <v>1.56</v>
      </c>
      <c r="H25" s="37">
        <v>8.4000000000000005E-2</v>
      </c>
      <c r="I25" s="53">
        <f>H25*0.2842</f>
        <v>2.3872800000000003E-2</v>
      </c>
      <c r="K25" s="53">
        <f>(I25-$I$9)/(($AA$9-AA25)+($AI$9-AI25))*1000*0.05</f>
        <v>-4.0759913809428197</v>
      </c>
      <c r="M25" s="38">
        <v>16.53752611545168</v>
      </c>
      <c r="N25" s="24"/>
      <c r="O25" s="24">
        <v>81.73879466610444</v>
      </c>
      <c r="P25" s="24"/>
      <c r="Q25" s="24">
        <v>0.10160840082855917</v>
      </c>
      <c r="R25" s="24"/>
      <c r="S25" s="24">
        <v>0.77730738197731952</v>
      </c>
      <c r="T25" s="24"/>
      <c r="U25" s="24">
        <v>0.84476343563799694</v>
      </c>
      <c r="V25" s="24"/>
      <c r="W25" s="24">
        <v>0</v>
      </c>
      <c r="Y25" s="52">
        <v>1.16133552193956</v>
      </c>
      <c r="Z25" s="51"/>
      <c r="AA25" s="51">
        <v>5.7400463106496664</v>
      </c>
      <c r="AB25" s="51"/>
      <c r="AC25" s="51">
        <v>7.1353746857835782E-3</v>
      </c>
      <c r="AD25" s="51"/>
      <c r="AE25" s="51">
        <v>5.4585835139674264E-2</v>
      </c>
      <c r="AF25" s="51"/>
      <c r="AG25" s="51">
        <v>5.932288654259301E-2</v>
      </c>
      <c r="AH25" s="51"/>
      <c r="AI25" s="51">
        <v>0</v>
      </c>
      <c r="AJ25" s="51"/>
      <c r="AK25" s="52"/>
      <c r="AL25" s="52"/>
      <c r="AM25" s="52">
        <f>(AG25-$AG$9)/(($AA$9-AA25)+($AI$9-AI25))</f>
        <v>-0.33365011417016172</v>
      </c>
      <c r="AN25" s="52"/>
      <c r="AO25" s="52">
        <f>(BW28-$BW$12)*8/(($AA$8-AA25)*2+2*($AI$8-AI25))</f>
        <v>-8.3219214938089744E-2</v>
      </c>
      <c r="AP25" s="52"/>
      <c r="AQ25" s="52">
        <f>(BW28-$BW$8)/(($AA$5-AA25)+($AI$5-AI25))</f>
        <v>-1.8040205322155372E-2</v>
      </c>
      <c r="AR25" s="52"/>
      <c r="AS25" s="52">
        <f>(BX28-$BX$12)*14/(($AA$8-AA25)*2+2*($AI$8-AI25))*100</f>
        <v>0</v>
      </c>
      <c r="AT25" s="52"/>
      <c r="AU25" s="52">
        <f>(BX28-$BX$8)/(($AA$5-AA25)+($AI$5-AI25))</f>
        <v>0</v>
      </c>
      <c r="AV25" s="52"/>
      <c r="AW25" s="52"/>
      <c r="AX25" s="52"/>
      <c r="AY25" s="52"/>
      <c r="AZ25" s="52"/>
      <c r="BA25" s="52">
        <f t="shared" ref="BA25:BA27" si="141">($AA$12-AA25)/((I25*0.05)*(C25*24))</f>
        <v>-2.2321451646749169</v>
      </c>
      <c r="BB25" s="52"/>
      <c r="BC25" s="52"/>
      <c r="BD25" s="52"/>
      <c r="BE25" s="52">
        <f t="shared" ref="BE25:BE27" si="142">(AG25-$AG$12)/((I25*0.05)*(C25*24))</f>
        <v>1.035398838542068</v>
      </c>
      <c r="BF25" s="52"/>
      <c r="BG25" s="37">
        <v>2.59</v>
      </c>
      <c r="BK25" s="2">
        <v>0</v>
      </c>
      <c r="BM25" s="2">
        <v>0</v>
      </c>
      <c r="BO25" s="37">
        <f t="shared" ref="BO25:BO27" si="143">(BG25/1000)/60.2*1000</f>
        <v>4.3023255813953484E-2</v>
      </c>
      <c r="BQ25" s="2">
        <f t="shared" ref="BQ25:BQ27" si="144">BI25/74.08</f>
        <v>0</v>
      </c>
      <c r="BS25" s="2">
        <f t="shared" ref="BS25:BS27" si="145">(BK25/1000)/88.12*1000</f>
        <v>0</v>
      </c>
      <c r="BU25" s="2">
        <f t="shared" ref="BU25:BU27" si="146">BM25/88.12</f>
        <v>0</v>
      </c>
      <c r="BW25" s="37">
        <f t="shared" ref="BW25:BW27" si="147">BO25*0.05</f>
        <v>2.1511627906976743E-3</v>
      </c>
      <c r="BX25" s="2">
        <f t="shared" si="2"/>
        <v>0</v>
      </c>
      <c r="BY25" s="2">
        <f t="shared" si="3"/>
        <v>0</v>
      </c>
      <c r="BZ25" s="18">
        <f t="shared" si="4"/>
        <v>0</v>
      </c>
    </row>
    <row r="26" spans="1:78" x14ac:dyDescent="0.3">
      <c r="A26" s="192"/>
      <c r="B26" s="70" t="s">
        <v>110</v>
      </c>
      <c r="C26" s="20">
        <v>2</v>
      </c>
      <c r="E26" s="37"/>
      <c r="F26" s="37">
        <v>1.365</v>
      </c>
      <c r="H26" s="37">
        <v>7.5999999999999998E-2</v>
      </c>
      <c r="I26" s="53">
        <f>H26*0.2842</f>
        <v>2.1599199999999999E-2</v>
      </c>
      <c r="K26" s="53">
        <f t="shared" ref="K26" si="148">(I26-$I$9)/(($AA$9-AA26)+($AI$9-AI26))*1000*0.05</f>
        <v>1.0554564712925063</v>
      </c>
      <c r="M26" s="38">
        <v>17.081922309516642</v>
      </c>
      <c r="N26" s="24"/>
      <c r="O26" s="24">
        <v>81.100533022139217</v>
      </c>
      <c r="P26" s="24"/>
      <c r="Q26" s="24">
        <v>0.1155989483419798</v>
      </c>
      <c r="R26" s="24"/>
      <c r="S26" s="24">
        <v>0.73530447863835668</v>
      </c>
      <c r="T26" s="24"/>
      <c r="U26" s="24">
        <v>0.96664124136379836</v>
      </c>
      <c r="V26" s="24"/>
      <c r="W26" s="24">
        <v>0</v>
      </c>
      <c r="Y26" s="52">
        <v>1.0496196737493551</v>
      </c>
      <c r="Z26" s="51"/>
      <c r="AA26" s="51">
        <v>4.9833217520356055</v>
      </c>
      <c r="AB26" s="51"/>
      <c r="AC26" s="51">
        <v>7.1031192067229779E-3</v>
      </c>
      <c r="AD26" s="51"/>
      <c r="AE26" s="51">
        <v>4.5181685819098559E-2</v>
      </c>
      <c r="AF26" s="51"/>
      <c r="AG26" s="51">
        <v>5.9396457026835138E-2</v>
      </c>
      <c r="AH26" s="51"/>
      <c r="AI26" s="51">
        <v>0</v>
      </c>
      <c r="AJ26" s="51"/>
      <c r="AK26" s="52"/>
      <c r="AL26" s="52"/>
      <c r="AM26" s="52">
        <f t="shared" ref="AM26:AM27" si="149">(AG26-$AG$9)/(($AA$9-AA26)+($AI$9-AI26))</f>
        <v>0.10259786743829338</v>
      </c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>
        <f t="shared" si="141"/>
        <v>12.13074300600365</v>
      </c>
      <c r="BB26" s="52"/>
      <c r="BC26" s="52"/>
      <c r="BD26" s="52"/>
      <c r="BE26" s="52">
        <f t="shared" si="142"/>
        <v>1.1458074262556626</v>
      </c>
      <c r="BF26" s="52"/>
      <c r="BG26" s="37">
        <v>5.32</v>
      </c>
      <c r="BK26" s="2">
        <v>0</v>
      </c>
      <c r="BM26" s="2">
        <v>0</v>
      </c>
      <c r="BO26" s="37">
        <f t="shared" si="143"/>
        <v>8.8372093023255813E-2</v>
      </c>
      <c r="BQ26" s="2">
        <f t="shared" si="144"/>
        <v>0</v>
      </c>
      <c r="BS26" s="2">
        <f t="shared" si="145"/>
        <v>0</v>
      </c>
      <c r="BU26" s="2">
        <f t="shared" si="146"/>
        <v>0</v>
      </c>
      <c r="BW26" s="37">
        <f t="shared" si="147"/>
        <v>4.4186046511627908E-3</v>
      </c>
      <c r="BX26" s="2">
        <f t="shared" si="2"/>
        <v>0</v>
      </c>
      <c r="BY26" s="2">
        <f t="shared" si="3"/>
        <v>0</v>
      </c>
      <c r="BZ26" s="18">
        <f t="shared" si="4"/>
        <v>0</v>
      </c>
    </row>
    <row r="27" spans="1:78" x14ac:dyDescent="0.3">
      <c r="A27" s="192"/>
      <c r="B27" s="70" t="s">
        <v>111</v>
      </c>
      <c r="C27" s="20">
        <v>2</v>
      </c>
      <c r="E27" s="37"/>
      <c r="F27" s="37">
        <v>1.41</v>
      </c>
      <c r="H27" s="37">
        <v>7.0999999999999994E-2</v>
      </c>
      <c r="I27" s="53">
        <f>H27*0.2842</f>
        <v>2.01782E-2</v>
      </c>
      <c r="K27" s="53">
        <f>(I27-$I$9)/(($AA$9-AA27)+($AI$9-AI27))*1000*0.05</f>
        <v>-0.96600142009095302</v>
      </c>
      <c r="M27" s="38">
        <v>1.505603787788141</v>
      </c>
      <c r="N27" s="24"/>
      <c r="O27" s="24">
        <v>96.43997951053943</v>
      </c>
      <c r="P27" s="24"/>
      <c r="Q27" s="24">
        <v>0.77208655862418896</v>
      </c>
      <c r="R27" s="24"/>
      <c r="S27" s="24">
        <v>0.95823784626104991</v>
      </c>
      <c r="T27" s="24"/>
      <c r="U27" s="24">
        <v>0.32409229678719986</v>
      </c>
      <c r="V27" s="24"/>
      <c r="W27" s="24">
        <v>0</v>
      </c>
      <c r="Y27" s="52">
        <v>9.5563573205901392E-2</v>
      </c>
      <c r="Z27" s="51"/>
      <c r="AA27" s="51">
        <v>6.1212313071225504</v>
      </c>
      <c r="AB27" s="51"/>
      <c r="AC27" s="51">
        <v>4.9005821428470986E-2</v>
      </c>
      <c r="AD27" s="51"/>
      <c r="AE27" s="51">
        <v>6.0821202306060258E-2</v>
      </c>
      <c r="AF27" s="51"/>
      <c r="AG27" s="51">
        <v>2.0570762494555039E-2</v>
      </c>
      <c r="AH27" s="51"/>
      <c r="AI27" s="51">
        <v>0</v>
      </c>
      <c r="AJ27" s="51"/>
      <c r="AK27" s="52"/>
      <c r="AL27" s="52"/>
      <c r="AM27" s="52">
        <f t="shared" si="149"/>
        <v>-3.6800225530749069E-2</v>
      </c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>
        <f t="shared" si="141"/>
        <v>-10.512069309995589</v>
      </c>
      <c r="BB27" s="52"/>
      <c r="BC27" s="52"/>
      <c r="BD27" s="52"/>
      <c r="BE27" s="52">
        <f t="shared" si="142"/>
        <v>0.42477282608943973</v>
      </c>
      <c r="BF27" s="52"/>
      <c r="BG27" s="37">
        <v>3.54</v>
      </c>
      <c r="BK27" s="2">
        <v>0</v>
      </c>
      <c r="BM27" s="2">
        <v>0</v>
      </c>
      <c r="BO27" s="37">
        <f t="shared" si="143"/>
        <v>5.8803986710963457E-2</v>
      </c>
      <c r="BQ27" s="2">
        <f t="shared" si="144"/>
        <v>0</v>
      </c>
      <c r="BS27" s="2">
        <f t="shared" si="145"/>
        <v>0</v>
      </c>
      <c r="BU27" s="2">
        <f t="shared" si="146"/>
        <v>0</v>
      </c>
      <c r="BW27" s="37">
        <f t="shared" si="147"/>
        <v>2.9401993355481731E-3</v>
      </c>
      <c r="BX27" s="2">
        <f t="shared" si="2"/>
        <v>0</v>
      </c>
      <c r="BY27" s="2">
        <f t="shared" si="3"/>
        <v>0</v>
      </c>
      <c r="BZ27" s="18">
        <f t="shared" si="4"/>
        <v>0</v>
      </c>
    </row>
    <row r="28" spans="1:78" ht="15" thickBot="1" x14ac:dyDescent="0.35">
      <c r="A28" s="193"/>
      <c r="B28" s="66" t="s">
        <v>63</v>
      </c>
      <c r="C28" s="65">
        <v>2</v>
      </c>
      <c r="D28" s="65" t="e">
        <f>AVERAGE(D25:D27)</f>
        <v>#DIV/0!</v>
      </c>
      <c r="E28" s="60"/>
      <c r="F28" s="60">
        <f>AVERAGE(F25:F27)</f>
        <v>1.4450000000000001</v>
      </c>
      <c r="G28" s="54">
        <f>_xlfn.STDEV.S(F25:F27)</f>
        <v>0.10210288928331074</v>
      </c>
      <c r="H28" s="65">
        <f>AVERAGE(H25:H27)</f>
        <v>7.6999999999999999E-2</v>
      </c>
      <c r="I28" s="62">
        <f t="shared" si="66"/>
        <v>2.1883399999999997E-2</v>
      </c>
      <c r="J28" s="109">
        <f t="shared" ref="J28" si="150">_xlfn.STDEV.S(I25:I27)</f>
        <v>1.8636240286066302E-3</v>
      </c>
      <c r="K28" s="62">
        <f t="shared" ref="K28:K68" si="151">AVERAGE(K25:K27)</f>
        <v>-1.3288454432470889</v>
      </c>
      <c r="L28" s="109">
        <f t="shared" ref="L28" si="152">_xlfn.STDEV.S(K25:K27)</f>
        <v>2.5848947955202615</v>
      </c>
      <c r="M28" s="38">
        <f>AVERAGE(M25:M26)</f>
        <v>16.809724212484163</v>
      </c>
      <c r="N28" s="24">
        <f>_xlfn.STDEV.S(M25:M26)</f>
        <v>0.38494624047548248</v>
      </c>
      <c r="O28" s="120">
        <f>AVERAGE(O25:O26)</f>
        <v>81.419663844121828</v>
      </c>
      <c r="P28" s="24">
        <f>_xlfn.STDEV.S(O25:O26)</f>
        <v>0.45131913661908263</v>
      </c>
      <c r="Q28" s="120">
        <f t="shared" ref="Q28" si="153">AVERAGE(Q25:Q27)</f>
        <v>0.32976463593157596</v>
      </c>
      <c r="R28" s="24">
        <f t="shared" ref="R28" si="154">_xlfn.STDEV.S(Q25:Q27)</f>
        <v>0.38312588835237799</v>
      </c>
      <c r="S28" s="120">
        <f t="shared" ref="S28" si="155">AVERAGE(S25:S27)</f>
        <v>0.82361656895890878</v>
      </c>
      <c r="T28" s="120">
        <f t="shared" ref="T28" si="156">_xlfn.STDEV.S(S25:S27)</f>
        <v>0.1184619229924553</v>
      </c>
      <c r="U28" s="120">
        <f t="shared" ref="U28" si="157">AVERAGE(U25:U27)</f>
        <v>0.71183232459633172</v>
      </c>
      <c r="V28" s="120">
        <f t="shared" ref="V28" si="158">_xlfn.STDEV.S(U25:U27)</f>
        <v>0.3412774483557387</v>
      </c>
      <c r="W28" s="120">
        <f t="shared" ref="W28" si="159">AVERAGE(W25:W27)</f>
        <v>0</v>
      </c>
      <c r="X28" s="120">
        <f t="shared" ref="X28" si="160">_xlfn.STDEV.S(W25:W27)</f>
        <v>0</v>
      </c>
      <c r="Y28" s="56">
        <f>AVERAGE(Y25:Y26)</f>
        <v>1.1054775978444575</v>
      </c>
      <c r="Z28" s="55">
        <f>_xlfn.STDEV.S(Y25:Y26)</f>
        <v>7.8995033821300825E-2</v>
      </c>
      <c r="AA28" s="55">
        <f>AVERAGE(AA25:AA26)</f>
        <v>5.3616840313426355</v>
      </c>
      <c r="AB28" s="55">
        <f>_xlfn.STDEV.S(AA25:AA26)</f>
        <v>0.53508506688639956</v>
      </c>
      <c r="AC28" s="55">
        <v>2.108143844032585E-2</v>
      </c>
      <c r="AD28" s="55">
        <f t="shared" ref="AD28" si="161">_xlfn.STDEV.S(AC25:AC27)</f>
        <v>2.4183230430516092E-2</v>
      </c>
      <c r="AE28" s="55">
        <v>5.3529574421611027E-2</v>
      </c>
      <c r="AF28" s="55">
        <f t="shared" ref="AF28" si="162">_xlfn.STDEV.S(AE25:AE27)</f>
        <v>7.873079703323127E-3</v>
      </c>
      <c r="AG28" s="55">
        <v>4.6430035354661059E-2</v>
      </c>
      <c r="AH28" s="55">
        <f t="shared" ref="AH28" si="163">_xlfn.STDEV.S(AG25:AG27)</f>
        <v>2.2394817431586712E-2</v>
      </c>
      <c r="AI28" s="55">
        <v>0</v>
      </c>
      <c r="AJ28" s="55">
        <f>_xlfn.STDEV.S(AI25:AI27)</f>
        <v>0</v>
      </c>
      <c r="AK28" s="56">
        <v>34.193840578517239</v>
      </c>
      <c r="AL28" s="56">
        <v>0.63493181289311074</v>
      </c>
      <c r="AM28" s="121">
        <f>AVERAGE(AM25:AM27)</f>
        <v>-8.9284157420872465E-2</v>
      </c>
      <c r="AN28" s="56">
        <v>0.63493181289311074</v>
      </c>
      <c r="AO28" s="56">
        <f>AVERAGE(AO25:AO27)</f>
        <v>-8.3219214938089744E-2</v>
      </c>
      <c r="AP28" s="56">
        <v>0.63493181289311074</v>
      </c>
      <c r="AQ28" s="121">
        <f>AVERAGE(AQ25:AQ27)</f>
        <v>-1.8040205322155372E-2</v>
      </c>
      <c r="AR28" s="56">
        <v>0.63493181289311074</v>
      </c>
      <c r="AS28" s="56">
        <f>AVERAGE(AS25:AS27)</f>
        <v>0</v>
      </c>
      <c r="AT28" s="56">
        <v>0.63493181289311074</v>
      </c>
      <c r="AU28" s="56">
        <f>AVERAGE(AU25:AU27)</f>
        <v>0</v>
      </c>
      <c r="AV28" s="56">
        <v>0.63493181289311074</v>
      </c>
      <c r="AW28" s="56"/>
      <c r="AX28" s="56"/>
      <c r="AY28" s="56">
        <f>SUM(AK28,AO28,AS28)</f>
        <v>34.110621363579149</v>
      </c>
      <c r="AZ28" s="56">
        <f>AL28</f>
        <v>0.63493181289311074</v>
      </c>
      <c r="BA28" s="121">
        <f t="shared" ref="BA28" si="164">AVERAGE(BA25:BA27)</f>
        <v>-0.20449048955561841</v>
      </c>
      <c r="BB28" s="56">
        <f t="shared" ref="BB28" si="165">_xlfn.STDEV.S(BA25:BA27)</f>
        <v>11.456778561425613</v>
      </c>
      <c r="BC28" s="121"/>
      <c r="BD28" s="56"/>
      <c r="BE28" s="121">
        <f t="shared" ref="BE28" si="166">AVERAGE(BE25:BE26)</f>
        <v>1.0906031323988654</v>
      </c>
      <c r="BF28" s="56">
        <f t="shared" ref="BF28" si="167">_xlfn.STDEV.S(BE25:BE26)</f>
        <v>7.8070661073512418E-2</v>
      </c>
      <c r="BG28" s="60">
        <f>AVERAGE(BG25:BG27)</f>
        <v>3.8166666666666664</v>
      </c>
      <c r="BH28" s="57">
        <f>_xlfn.STDEV.S(BG25:BG27)</f>
        <v>1.3858691616936061</v>
      </c>
      <c r="BI28" s="57" t="e">
        <f>AVERAGE(BI25:BI27)</f>
        <v>#DIV/0!</v>
      </c>
      <c r="BJ28" s="57" t="e">
        <f>_xlfn.STDEV.S(BI25:BI27)</f>
        <v>#DIV/0!</v>
      </c>
      <c r="BK28" s="57">
        <f>AVERAGE(BK25:BK27)</f>
        <v>0</v>
      </c>
      <c r="BL28" s="57">
        <f>_xlfn.STDEV.S(BK25:BK27)</f>
        <v>0</v>
      </c>
      <c r="BM28" s="57">
        <f>AVERAGE(BM25:BM27)</f>
        <v>0</v>
      </c>
      <c r="BN28" s="57">
        <f>_xlfn.STDEV.S(BM25:BM27)</f>
        <v>0</v>
      </c>
      <c r="BO28" s="60">
        <f t="shared" ref="BO28" si="168">AVERAGE(BO25:BO27)</f>
        <v>6.3399778516057589E-2</v>
      </c>
      <c r="BP28" s="57">
        <f t="shared" ref="BP28" si="169">_xlfn.STDEV.S(BO25:BO27)</f>
        <v>2.3021082420159548E-2</v>
      </c>
      <c r="BQ28" s="57">
        <f t="shared" ref="BQ28" si="170">AVERAGE(BQ25:BQ27)</f>
        <v>0</v>
      </c>
      <c r="BR28" s="57">
        <f t="shared" ref="BR28" si="171">_xlfn.STDEV.S(BQ25:BQ27)</f>
        <v>0</v>
      </c>
      <c r="BS28" s="57">
        <f t="shared" ref="BS28" si="172">AVERAGE(BS25:BS27)</f>
        <v>0</v>
      </c>
      <c r="BT28" s="57">
        <f t="shared" ref="BT28" si="173">_xlfn.STDEV.S(BS25:BS27)</f>
        <v>0</v>
      </c>
      <c r="BU28" s="57">
        <f t="shared" ref="BU28" si="174">AVERAGE(BU25:BU27)</f>
        <v>0</v>
      </c>
      <c r="BV28" s="57">
        <f t="shared" ref="BV28" si="175">_xlfn.STDEV.S(BU25:BU27)</f>
        <v>0</v>
      </c>
      <c r="BW28" s="60">
        <f t="shared" ref="BW28" si="176">AVERAGE(BW25:BW27)</f>
        <v>3.1699889258028796E-3</v>
      </c>
      <c r="BX28" s="57">
        <f t="shared" si="2"/>
        <v>0</v>
      </c>
      <c r="BY28" s="57">
        <f t="shared" si="3"/>
        <v>0</v>
      </c>
      <c r="BZ28" s="61">
        <f t="shared" si="4"/>
        <v>0</v>
      </c>
    </row>
    <row r="29" spans="1:78" x14ac:dyDescent="0.3">
      <c r="A29" s="196" t="s">
        <v>105</v>
      </c>
      <c r="B29" s="70" t="s">
        <v>106</v>
      </c>
      <c r="C29" s="20">
        <v>3</v>
      </c>
      <c r="E29" s="37"/>
      <c r="F29" s="37">
        <v>1.33</v>
      </c>
      <c r="H29" s="37">
        <v>0.248</v>
      </c>
      <c r="I29" s="53">
        <f>H29*0.2842</f>
        <v>7.0481600000000005E-2</v>
      </c>
      <c r="J29" s="91"/>
      <c r="K29" s="53">
        <f t="shared" ref="K29" si="177">(I29-$I$5)/(($AA$5-AA29)+($AI$5-AI29))*1000*0.05</f>
        <v>0.56552259375998293</v>
      </c>
      <c r="L29" s="91"/>
      <c r="M29" s="116">
        <v>4.5060271830618408</v>
      </c>
      <c r="N29" s="122"/>
      <c r="O29" s="24">
        <v>0.21889531680556418</v>
      </c>
      <c r="P29" s="122"/>
      <c r="Q29" s="24">
        <v>0.16824251084537895</v>
      </c>
      <c r="R29" s="122"/>
      <c r="S29" s="24">
        <v>58.405341656162115</v>
      </c>
      <c r="T29" s="24"/>
      <c r="U29" s="24">
        <v>22.867846848419905</v>
      </c>
      <c r="V29" s="24"/>
      <c r="W29" s="24">
        <v>13.83364648470519</v>
      </c>
      <c r="Y29" s="86">
        <v>0.26977892326155972</v>
      </c>
      <c r="Z29" s="85"/>
      <c r="AA29" s="85">
        <v>1.3105412034970553E-2</v>
      </c>
      <c r="AB29" s="85"/>
      <c r="AC29" s="85">
        <v>1.0072793966557107E-2</v>
      </c>
      <c r="AD29" s="85"/>
      <c r="AE29" s="85">
        <v>3.4967676724081342</v>
      </c>
      <c r="AF29" s="85"/>
      <c r="AG29" s="85">
        <v>1.3691136003944313</v>
      </c>
      <c r="AH29" s="85"/>
      <c r="AI29" s="85">
        <v>0.82822985787869108</v>
      </c>
      <c r="AJ29" s="51"/>
      <c r="AK29" s="52">
        <f>(AG29-$AG$8)*8/(($AA$8-AA29)*2+2*($AI$8-AI29))</f>
        <v>0.77519813700289497</v>
      </c>
      <c r="AL29" s="52"/>
      <c r="AM29" s="52">
        <f>(AG29-$AG$5)/(($AA$5-AA29)+($AI$5-AI29))</f>
        <v>0.19570692901655012</v>
      </c>
      <c r="AN29" s="52"/>
      <c r="AO29" s="52">
        <f>(BW32-$BW$8)*8/(($AA$8-AA29)*2+2*($AI$8-AI29))</f>
        <v>1.0334365380965891E-2</v>
      </c>
      <c r="AP29" s="52"/>
      <c r="AQ29" s="52">
        <f>(BW32-$BW$8)/(($AA$5-AA29)+($AI$5-AI29))</f>
        <v>2.5962948861904807E-3</v>
      </c>
      <c r="AR29" s="52"/>
      <c r="AS29" s="52">
        <f>(BX32-$BX$8)*14/(($AA$8-AA29)*2+2*($AI$8-AI29))*100</f>
        <v>0</v>
      </c>
      <c r="AT29" s="52"/>
      <c r="AU29" s="52">
        <f>(BX32-$BX$8)/(($AA$5-AA29)+($AI$5-AI29))</f>
        <v>0</v>
      </c>
      <c r="AV29" s="52"/>
      <c r="AW29" s="52"/>
      <c r="AX29" s="52"/>
      <c r="AY29" s="52"/>
      <c r="AZ29" s="52"/>
      <c r="BA29" s="52">
        <f t="shared" ref="BA29:BA31" si="178">($AA$8-AA29)/((I29*0.05)*(C29*24))</f>
        <v>16.523228699907527</v>
      </c>
      <c r="BB29" s="52"/>
      <c r="BC29" s="52">
        <f t="shared" ref="BC29:BC31" si="179">($AI$8-AI29)/((I29*0.05)*(C29*24))</f>
        <v>2.1859148993287296</v>
      </c>
      <c r="BD29" s="52"/>
      <c r="BE29" s="52">
        <f t="shared" ref="BE29:BE31" si="180">(AG29-$AG$8)/((I29*0.05)*(C29*24))</f>
        <v>3.6258233157618962</v>
      </c>
      <c r="BF29" s="52"/>
      <c r="BG29" s="37">
        <v>13.02</v>
      </c>
      <c r="BI29" s="2">
        <v>0</v>
      </c>
      <c r="BK29" s="2">
        <v>0</v>
      </c>
      <c r="BM29" s="2">
        <v>0</v>
      </c>
      <c r="BO29" s="37">
        <f t="shared" ref="BO29:BO31" si="181">(BG29/1000)/60.2*1000</f>
        <v>0.21627906976744185</v>
      </c>
      <c r="BQ29" s="2">
        <f t="shared" ref="BQ29:BQ31" si="182">BI29/74.08</f>
        <v>0</v>
      </c>
      <c r="BS29" s="2">
        <f t="shared" ref="BS29:BS31" si="183">(BK29/1000)/88.12*1000</f>
        <v>0</v>
      </c>
      <c r="BU29" s="2">
        <f t="shared" ref="BU29:BU31" si="184">BM29/88.12</f>
        <v>0</v>
      </c>
      <c r="BW29" s="37">
        <f t="shared" ref="BW29:BW31" si="185">BO29*0.05</f>
        <v>1.0813953488372094E-2</v>
      </c>
      <c r="BX29" s="2">
        <f t="shared" si="2"/>
        <v>0</v>
      </c>
      <c r="BY29" s="2">
        <f t="shared" si="3"/>
        <v>0</v>
      </c>
      <c r="BZ29" s="18">
        <f t="shared" si="4"/>
        <v>0</v>
      </c>
    </row>
    <row r="30" spans="1:78" x14ac:dyDescent="0.3">
      <c r="A30" s="192"/>
      <c r="B30" s="70" t="s">
        <v>107</v>
      </c>
      <c r="C30" s="20">
        <v>3</v>
      </c>
      <c r="E30" s="37"/>
      <c r="F30" s="37">
        <v>1.2549999999999999</v>
      </c>
      <c r="H30" s="37">
        <v>0.27800000000000002</v>
      </c>
      <c r="I30" s="53">
        <f>H30*0.2842</f>
        <v>7.9007600000000011E-2</v>
      </c>
      <c r="K30" s="53">
        <f t="shared" si="96"/>
        <v>0.62369315842180462</v>
      </c>
      <c r="M30" s="38">
        <v>5.876742342105203</v>
      </c>
      <c r="N30" s="24"/>
      <c r="O30" s="24">
        <v>0</v>
      </c>
      <c r="P30" s="24"/>
      <c r="Q30" s="24">
        <v>0.16499108579838576</v>
      </c>
      <c r="R30" s="24"/>
      <c r="S30" s="24">
        <v>58.247520877650615</v>
      </c>
      <c r="T30" s="24"/>
      <c r="U30" s="24">
        <v>25.118289063578597</v>
      </c>
      <c r="V30" s="24"/>
      <c r="W30" s="24">
        <v>10.592456630867204</v>
      </c>
      <c r="Y30" s="52">
        <v>0.33200371596317857</v>
      </c>
      <c r="Z30" s="51"/>
      <c r="AA30" s="51">
        <v>0</v>
      </c>
      <c r="AB30" s="51"/>
      <c r="AC30" s="51">
        <v>9.3210915839200981E-3</v>
      </c>
      <c r="AD30" s="51"/>
      <c r="AE30" s="51">
        <v>3.2906655169257109</v>
      </c>
      <c r="AF30" s="51"/>
      <c r="AG30" s="51">
        <v>1.4190455906150865</v>
      </c>
      <c r="AH30" s="51"/>
      <c r="AI30" s="51">
        <v>0.59841571365657942</v>
      </c>
      <c r="AJ30" s="51"/>
      <c r="AK30" s="52">
        <f>(AG30-$AG$8)*8/(($AA$8-AA30)*2+2*($AI$8-AI30))</f>
        <v>0.77748611978324411</v>
      </c>
      <c r="AL30" s="52"/>
      <c r="AM30" s="52">
        <f>(AG30-$AG$5)/(($AA$5-AA30)+($AI$5-AI30))</f>
        <v>0.19618831216012417</v>
      </c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>
        <f t="shared" si="178"/>
        <v>14.786222947758679</v>
      </c>
      <c r="BB30" s="52"/>
      <c r="BC30" s="52">
        <f t="shared" si="179"/>
        <v>2.7580136828918693</v>
      </c>
      <c r="BD30" s="52"/>
      <c r="BE30" s="52">
        <f t="shared" si="180"/>
        <v>3.4101001156308883</v>
      </c>
      <c r="BF30" s="52"/>
      <c r="BG30" s="37">
        <v>15.24</v>
      </c>
      <c r="BI30" s="2">
        <v>0</v>
      </c>
      <c r="BK30" s="2">
        <v>0</v>
      </c>
      <c r="BM30" s="2">
        <v>0</v>
      </c>
      <c r="BO30" s="37">
        <f t="shared" si="181"/>
        <v>0.25315614617940196</v>
      </c>
      <c r="BQ30" s="2">
        <f t="shared" si="182"/>
        <v>0</v>
      </c>
      <c r="BS30" s="2">
        <f t="shared" si="183"/>
        <v>0</v>
      </c>
      <c r="BU30" s="2">
        <f t="shared" si="184"/>
        <v>0</v>
      </c>
      <c r="BW30" s="37">
        <f t="shared" si="185"/>
        <v>1.26578073089701E-2</v>
      </c>
      <c r="BX30" s="2">
        <f t="shared" si="2"/>
        <v>0</v>
      </c>
      <c r="BY30" s="2">
        <f t="shared" si="3"/>
        <v>0</v>
      </c>
      <c r="BZ30" s="18">
        <f t="shared" si="4"/>
        <v>0</v>
      </c>
    </row>
    <row r="31" spans="1:78" x14ac:dyDescent="0.3">
      <c r="A31" s="192"/>
      <c r="B31" s="70" t="s">
        <v>108</v>
      </c>
      <c r="C31" s="20">
        <v>3</v>
      </c>
      <c r="E31" s="37"/>
      <c r="F31" s="37">
        <v>1.23</v>
      </c>
      <c r="H31" s="37">
        <v>0.28699999999999998</v>
      </c>
      <c r="I31" s="53">
        <f>H31*0.2842</f>
        <v>8.1565399999999996E-2</v>
      </c>
      <c r="K31" s="53">
        <f t="shared" si="96"/>
        <v>0.66485185481017917</v>
      </c>
      <c r="M31" s="38">
        <v>7.7625065540535605</v>
      </c>
      <c r="N31" s="24"/>
      <c r="O31" s="24">
        <v>0.53270514209066955</v>
      </c>
      <c r="P31" s="24"/>
      <c r="Q31" s="24">
        <v>7.1431210239243523E-2</v>
      </c>
      <c r="R31" s="24"/>
      <c r="S31" s="24">
        <v>52.194505308265995</v>
      </c>
      <c r="T31" s="24"/>
      <c r="U31" s="24">
        <v>27.084652061310855</v>
      </c>
      <c r="V31" s="24"/>
      <c r="W31" s="24">
        <v>12.354199724039672</v>
      </c>
      <c r="Y31" s="52">
        <v>0.42980321524122067</v>
      </c>
      <c r="Z31" s="51"/>
      <c r="AA31" s="51">
        <v>2.9495418941261908E-2</v>
      </c>
      <c r="AB31" s="51"/>
      <c r="AC31" s="51">
        <v>3.9550837884144898E-3</v>
      </c>
      <c r="AD31" s="51"/>
      <c r="AE31" s="51">
        <v>2.8899642200885536</v>
      </c>
      <c r="AF31" s="51"/>
      <c r="AG31" s="51">
        <v>1.4996535537302988</v>
      </c>
      <c r="AH31" s="51"/>
      <c r="AI31" s="51">
        <v>0.6840412598881026</v>
      </c>
      <c r="AJ31" s="51"/>
      <c r="AK31" s="52"/>
      <c r="AL31" s="52"/>
      <c r="AM31" s="52">
        <f>(AG31-$AG$5)/(($AA$5-AA31)+($AI$5-AI31))</f>
        <v>0.2174577820049291</v>
      </c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>
        <f t="shared" si="178"/>
        <v>14.222094371378189</v>
      </c>
      <c r="BB31" s="52"/>
      <c r="BC31" s="52">
        <f t="shared" si="179"/>
        <v>2.379920504273219</v>
      </c>
      <c r="BD31" s="52"/>
      <c r="BE31" s="52">
        <f t="shared" si="180"/>
        <v>3.5776803247584854</v>
      </c>
      <c r="BF31" s="52"/>
      <c r="BG31" s="37">
        <v>16.100000000000001</v>
      </c>
      <c r="BI31" s="2">
        <v>0</v>
      </c>
      <c r="BK31" s="2">
        <v>0</v>
      </c>
      <c r="BM31" s="2">
        <v>0</v>
      </c>
      <c r="BO31" s="37">
        <f t="shared" si="181"/>
        <v>0.26744186046511625</v>
      </c>
      <c r="BQ31" s="2">
        <f t="shared" si="182"/>
        <v>0</v>
      </c>
      <c r="BS31" s="2">
        <f t="shared" si="183"/>
        <v>0</v>
      </c>
      <c r="BU31" s="2">
        <f t="shared" si="184"/>
        <v>0</v>
      </c>
      <c r="BW31" s="37">
        <f t="shared" si="185"/>
        <v>1.3372093023255814E-2</v>
      </c>
      <c r="BX31" s="2">
        <f t="shared" si="2"/>
        <v>0</v>
      </c>
      <c r="BY31" s="2">
        <f t="shared" si="3"/>
        <v>0</v>
      </c>
      <c r="BZ31" s="18">
        <f t="shared" si="4"/>
        <v>0</v>
      </c>
    </row>
    <row r="32" spans="1:78" x14ac:dyDescent="0.3">
      <c r="A32" s="197"/>
      <c r="B32" s="83" t="s">
        <v>63</v>
      </c>
      <c r="C32" s="80">
        <v>3</v>
      </c>
      <c r="D32" s="80" t="e">
        <f>AVERAGE(D29:D31)</f>
        <v>#DIV/0!</v>
      </c>
      <c r="E32" s="78"/>
      <c r="F32" s="78">
        <f>AVERAGE(F29:F31)</f>
        <v>1.2716666666666667</v>
      </c>
      <c r="G32" s="73">
        <f>_xlfn.STDEV.S(F29:F31)</f>
        <v>5.2041649986653379E-2</v>
      </c>
      <c r="H32" s="78">
        <f t="shared" ref="H32:I32" si="186">AVERAGE(H29:H31)</f>
        <v>0.27099999999999996</v>
      </c>
      <c r="I32" s="82">
        <f t="shared" si="186"/>
        <v>7.7018199999999995E-2</v>
      </c>
      <c r="J32" s="82">
        <f t="shared" ref="J32" si="187">_xlfn.STDEV.S(I29:I31)</f>
        <v>5.8035282268633775E-3</v>
      </c>
      <c r="K32" s="82">
        <f t="shared" si="108"/>
        <v>0.6180225356639889</v>
      </c>
      <c r="L32" s="82">
        <f>_xlfn.STDEV.S(K29:K31)</f>
        <v>4.9906838179157385E-2</v>
      </c>
      <c r="M32" s="117">
        <f t="shared" ref="M32" si="188">AVERAGE(M29:M31)</f>
        <v>6.0484253597402011</v>
      </c>
      <c r="N32" s="118">
        <f t="shared" ref="N32" si="189">_xlfn.STDEV.S(M29:M31)</f>
        <v>1.6350139960660428</v>
      </c>
      <c r="O32" s="118">
        <f t="shared" ref="O32" si="190">AVERAGE(O29:O31)</f>
        <v>0.25053348629874456</v>
      </c>
      <c r="P32" s="118">
        <f t="shared" ref="P32" si="191">_xlfn.STDEV.S(O29:O31)</f>
        <v>0.26775814166728812</v>
      </c>
      <c r="Q32" s="118">
        <f t="shared" ref="Q32" si="192">AVERAGE(Q29:Q31)</f>
        <v>0.13488826896100276</v>
      </c>
      <c r="R32" s="118">
        <f t="shared" ref="R32" si="193">_xlfn.STDEV.S(Q29:Q31)</f>
        <v>5.497946587064706E-2</v>
      </c>
      <c r="S32" s="118">
        <f t="shared" ref="S32" si="194">AVERAGE(S29:S31)</f>
        <v>56.28245594735958</v>
      </c>
      <c r="T32" s="118">
        <f t="shared" ref="T32" si="195">_xlfn.STDEV.S(S29:S31)</f>
        <v>3.5411484253391157</v>
      </c>
      <c r="U32" s="118">
        <f t="shared" ref="U32" si="196">AVERAGE(U29:U31)</f>
        <v>25.023595991103122</v>
      </c>
      <c r="V32" s="118">
        <f t="shared" ref="V32" si="197">_xlfn.STDEV.S(U29:U31)</f>
        <v>2.1099968327813214</v>
      </c>
      <c r="W32" s="118">
        <f t="shared" ref="W32" si="198">AVERAGE(W29:W31)</f>
        <v>12.260100946537356</v>
      </c>
      <c r="X32" s="76">
        <f t="shared" ref="X32" si="199">_xlfn.STDEV.S(W29:W31)</f>
        <v>1.6226425521664127</v>
      </c>
      <c r="Y32" s="74">
        <v>0.34624075165261303</v>
      </c>
      <c r="Z32" s="73">
        <f t="shared" ref="Z32" si="200">_xlfn.STDEV.S(Y29:Y31)</f>
        <v>8.0668499541215688E-2</v>
      </c>
      <c r="AA32" s="73">
        <v>1.4341733170359054E-2</v>
      </c>
      <c r="AB32" s="73">
        <f t="shared" ref="AB32" si="201">_xlfn.STDEV.S(AA29:AA31)</f>
        <v>1.4778158937630339E-2</v>
      </c>
      <c r="AC32" s="73">
        <v>7.7216486699248112E-3</v>
      </c>
      <c r="AD32" s="73">
        <f t="shared" ref="AD32" si="202">_xlfn.STDEV.S(AC29:AC31)</f>
        <v>3.3363021934780528E-3</v>
      </c>
      <c r="AE32" s="73">
        <v>3.2218765534879479</v>
      </c>
      <c r="AF32" s="73">
        <f t="shared" ref="AF32" si="203">_xlfn.STDEV.S(AE29:AE31)</f>
        <v>0.30855849189644258</v>
      </c>
      <c r="AG32" s="73">
        <v>1.4324701339098633</v>
      </c>
      <c r="AH32" s="73">
        <f t="shared" ref="AH32" si="204">_xlfn.STDEV.S(AG29:AG31)</f>
        <v>6.5867957285655351E-2</v>
      </c>
      <c r="AI32" s="73">
        <v>0.70182672589818329</v>
      </c>
      <c r="AJ32" s="73">
        <f>_xlfn.STDEV.S(AI29:AI31)</f>
        <v>0.1161440390509996</v>
      </c>
      <c r="AK32" s="74">
        <f>AVERAGE(AK29:AK31)</f>
        <v>0.7763421283930696</v>
      </c>
      <c r="AL32" s="74">
        <f>_xlfn.STDEV.S(AK29:AK31)</f>
        <v>1.6178481392229282E-3</v>
      </c>
      <c r="AM32" s="74">
        <f>AVERAGE(AM29:AM31)</f>
        <v>0.20311767439386777</v>
      </c>
      <c r="AN32" s="74">
        <f>_xlfn.STDEV.S(AM29:AM31)</f>
        <v>1.2421229695780649E-2</v>
      </c>
      <c r="AO32" s="74">
        <f>AVERAGE(AO29:AO31)</f>
        <v>1.0334365380965891E-2</v>
      </c>
      <c r="AP32" s="74" t="e">
        <f>_xlfn.STDEV.S(AO29:AO31)</f>
        <v>#DIV/0!</v>
      </c>
      <c r="AQ32" s="74">
        <f>AVERAGE(AQ29:AQ31)</f>
        <v>2.5962948861904807E-3</v>
      </c>
      <c r="AR32" s="74" t="e">
        <f>_xlfn.STDEV.S(AQ29:AQ31)</f>
        <v>#DIV/0!</v>
      </c>
      <c r="AS32" s="74">
        <f>AVERAGE(AS29:AS31)</f>
        <v>0</v>
      </c>
      <c r="AT32" s="74" t="e">
        <f>_xlfn.STDEV.S(AS29:AS31)</f>
        <v>#DIV/0!</v>
      </c>
      <c r="AU32" s="74">
        <f>AVERAGE(AU29:AU31)</f>
        <v>0</v>
      </c>
      <c r="AV32" s="74" t="e">
        <f>_xlfn.STDEV.S(AU29:AU31)</f>
        <v>#DIV/0!</v>
      </c>
      <c r="AW32" s="74"/>
      <c r="AX32" s="74"/>
      <c r="AY32" s="74">
        <f>SUM(AK32,AO32,AS32)</f>
        <v>0.78667649377403548</v>
      </c>
      <c r="AZ32" s="74">
        <f>SUM(AL32)</f>
        <v>1.6178481392229282E-3</v>
      </c>
      <c r="BA32" s="74">
        <f t="shared" ref="BA32" si="205">AVERAGE(BA29:BA31)</f>
        <v>15.177182006348133</v>
      </c>
      <c r="BB32" s="74">
        <f t="shared" ref="BB32" si="206">_xlfn.STDEV.S(BA29:BA31)</f>
        <v>1.1993504652952385</v>
      </c>
      <c r="BC32" s="74">
        <f t="shared" ref="BC32" si="207">AVERAGE(BC29:BC31)</f>
        <v>2.4412830288312724</v>
      </c>
      <c r="BD32" s="74">
        <f t="shared" ref="BD32" si="208">_xlfn.STDEV.S(BC29:BC31)</f>
        <v>0.29094376450391463</v>
      </c>
      <c r="BE32" s="74">
        <f t="shared" ref="BE32" si="209">AVERAGE(BE29:BE30)</f>
        <v>3.5179617156963925</v>
      </c>
      <c r="BF32" s="74">
        <f t="shared" ref="BF32" si="210">_xlfn.STDEV.S(BE29:BE30)</f>
        <v>0.15253933767189837</v>
      </c>
      <c r="BG32" s="78">
        <f>AVERAGE(BG29:BG31)</f>
        <v>14.786666666666667</v>
      </c>
      <c r="BH32" s="75">
        <f>_xlfn.STDEV.S(BG29:BG31)</f>
        <v>1.5892555909397756</v>
      </c>
      <c r="BI32" s="75">
        <f>AVERAGE(BI29:BI31)</f>
        <v>0</v>
      </c>
      <c r="BJ32" s="75">
        <f>_xlfn.STDEV.S(BI29:BI31)</f>
        <v>0</v>
      </c>
      <c r="BK32" s="75">
        <f>AVERAGE(BK29:BK31)</f>
        <v>0</v>
      </c>
      <c r="BL32" s="75">
        <f>_xlfn.STDEV.S(BK29:BK31)</f>
        <v>0</v>
      </c>
      <c r="BM32" s="75">
        <f>AVERAGE(BM29:BM31)</f>
        <v>0</v>
      </c>
      <c r="BN32" s="75">
        <f>_xlfn.STDEV.S(BM29:BM31)</f>
        <v>0</v>
      </c>
      <c r="BO32" s="78">
        <f t="shared" ref="BO32" si="211">AVERAGE(BO29:BO31)</f>
        <v>0.24562569213732002</v>
      </c>
      <c r="BP32" s="75">
        <f t="shared" ref="BP32" si="212">_xlfn.STDEV.S(BO29:BO31)</f>
        <v>2.6399594533883297E-2</v>
      </c>
      <c r="BQ32" s="75">
        <f t="shared" ref="BQ32" si="213">AVERAGE(BQ29:BQ31)</f>
        <v>0</v>
      </c>
      <c r="BR32" s="75">
        <f t="shared" ref="BR32" si="214">_xlfn.STDEV.S(BQ29:BQ31)</f>
        <v>0</v>
      </c>
      <c r="BS32" s="75">
        <f t="shared" ref="BS32" si="215">AVERAGE(BS29:BS31)</f>
        <v>0</v>
      </c>
      <c r="BT32" s="75">
        <f t="shared" ref="BT32" si="216">_xlfn.STDEV.S(BS29:BS31)</f>
        <v>0</v>
      </c>
      <c r="BU32" s="75">
        <f t="shared" ref="BU32" si="217">AVERAGE(BU29:BU31)</f>
        <v>0</v>
      </c>
      <c r="BV32" s="75">
        <f t="shared" ref="BV32" si="218">_xlfn.STDEV.S(BU29:BU31)</f>
        <v>0</v>
      </c>
      <c r="BW32" s="78">
        <f t="shared" ref="BW32" si="219">AVERAGE(BW29:BW31)</f>
        <v>1.2281284606866004E-2</v>
      </c>
      <c r="BX32" s="75">
        <f t="shared" si="2"/>
        <v>0</v>
      </c>
      <c r="BY32" s="75">
        <f t="shared" si="3"/>
        <v>0</v>
      </c>
      <c r="BZ32" s="119">
        <f t="shared" si="4"/>
        <v>0</v>
      </c>
    </row>
    <row r="33" spans="1:78" x14ac:dyDescent="0.3">
      <c r="A33" s="192" t="s">
        <v>57</v>
      </c>
      <c r="B33" s="70" t="s">
        <v>109</v>
      </c>
      <c r="C33" s="20">
        <v>3</v>
      </c>
      <c r="E33" s="37"/>
      <c r="F33" s="37">
        <v>1.28</v>
      </c>
      <c r="H33" s="37">
        <v>0.29599999999999999</v>
      </c>
      <c r="I33" s="53">
        <f>H33*0.2842</f>
        <v>8.4123199999999995E-2</v>
      </c>
      <c r="K33" s="53">
        <f>(I33-$I$9)/(($AA$9-AA33)+($AI$9-AI33))*1000*0.05</f>
        <v>0.69481300819788228</v>
      </c>
      <c r="M33" s="38">
        <v>2.0143196449555636</v>
      </c>
      <c r="N33" s="24"/>
      <c r="O33" s="24">
        <v>3.1844915155174562</v>
      </c>
      <c r="P33" s="24"/>
      <c r="Q33" s="24">
        <v>0.48177447295046488</v>
      </c>
      <c r="R33" s="24"/>
      <c r="S33" s="24">
        <v>74.41430104637486</v>
      </c>
      <c r="T33" s="24"/>
      <c r="U33" s="24">
        <v>19.905113320201647</v>
      </c>
      <c r="V33" s="24"/>
      <c r="W33" s="24">
        <v>0</v>
      </c>
      <c r="Y33" s="52">
        <v>0.1160649066990274</v>
      </c>
      <c r="Z33" s="51"/>
      <c r="AA33" s="51">
        <v>0.1834900987824758</v>
      </c>
      <c r="AB33" s="51"/>
      <c r="AC33" s="51">
        <v>2.7759799390827244E-2</v>
      </c>
      <c r="AD33" s="51"/>
      <c r="AE33" s="51">
        <v>4.2877449612578085</v>
      </c>
      <c r="AF33" s="51"/>
      <c r="AG33" s="51">
        <v>1.1469307396809594</v>
      </c>
      <c r="AH33" s="51"/>
      <c r="AI33" s="51">
        <v>0</v>
      </c>
      <c r="AJ33" s="51"/>
      <c r="AK33" s="52">
        <f>(AG33-$AG$12)*8/(($AA$12-AA33)*2)</f>
        <v>0.84509212602242767</v>
      </c>
      <c r="AL33" s="52"/>
      <c r="AM33" s="52">
        <f>(AG33-$AG$9)/(($AA$9-AA33)+($AI$9-AI33))</f>
        <v>0.21323343691245911</v>
      </c>
      <c r="AN33" s="52"/>
      <c r="AO33" s="52">
        <f>(BW36-$BW$12)*8/(($AA$8-AA33)*2+2*($AI$8-AI33))</f>
        <v>5.7655630713197214E-3</v>
      </c>
      <c r="AP33" s="52"/>
      <c r="AQ33" s="52">
        <f>(BW36-$BW$8)/(($AA$5-AA33)+($AI$5-AI33))</f>
        <v>1.4476117710755399E-3</v>
      </c>
      <c r="AR33" s="52"/>
      <c r="AS33" s="52">
        <f>(BX36-$BX$12)*14/(($AA$8-AA33)*2+2*($AI$8-AI33))*100</f>
        <v>0</v>
      </c>
      <c r="AT33" s="52"/>
      <c r="AU33" s="52">
        <f>(BX36-$BX$8)/(($AA$5-AA33)+($AI$5-AI33))</f>
        <v>0</v>
      </c>
      <c r="AV33" s="52"/>
      <c r="AW33" s="52"/>
      <c r="AX33" s="52"/>
      <c r="AY33" s="52"/>
      <c r="AZ33" s="52"/>
      <c r="BA33" s="52">
        <f t="shared" ref="BA33:BA35" si="220">($AA$12-AA33)/((I33*0.05)*(C33*24))</f>
        <v>17.9256471449605</v>
      </c>
      <c r="BB33" s="52"/>
      <c r="BC33" s="52"/>
      <c r="BD33" s="52"/>
      <c r="BE33" s="52">
        <f t="shared" ref="BE33:BE35" si="221">(AG33-$AG$12)/((I33*0.05)*(C33*24))</f>
        <v>3.7872058140156324</v>
      </c>
      <c r="BF33" s="52"/>
      <c r="BG33" s="37">
        <v>9.92</v>
      </c>
      <c r="BK33" s="2">
        <v>0</v>
      </c>
      <c r="BM33" s="2">
        <v>0</v>
      </c>
      <c r="BO33" s="37">
        <f t="shared" ref="BO33:BO35" si="222">(BG33/1000)/60.2*1000</f>
        <v>0.16478405315614617</v>
      </c>
      <c r="BQ33" s="2">
        <f t="shared" ref="BQ33:BQ35" si="223">BI33/74.08</f>
        <v>0</v>
      </c>
      <c r="BS33" s="2">
        <f t="shared" ref="BS33:BS35" si="224">(BK33/1000)/88.12*1000</f>
        <v>0</v>
      </c>
      <c r="BU33" s="2">
        <f t="shared" ref="BU33:BU35" si="225">BM33/88.12</f>
        <v>0</v>
      </c>
      <c r="BW33" s="37">
        <f t="shared" ref="BW33:BW35" si="226">BO33*0.05</f>
        <v>8.2392026578073079E-3</v>
      </c>
      <c r="BX33" s="2">
        <f t="shared" si="2"/>
        <v>0</v>
      </c>
      <c r="BY33" s="2">
        <f t="shared" si="3"/>
        <v>0</v>
      </c>
      <c r="BZ33" s="18">
        <f t="shared" si="4"/>
        <v>0</v>
      </c>
    </row>
    <row r="34" spans="1:78" x14ac:dyDescent="0.3">
      <c r="A34" s="192"/>
      <c r="B34" s="70" t="s">
        <v>110</v>
      </c>
      <c r="C34" s="20">
        <v>3</v>
      </c>
      <c r="E34" s="37"/>
      <c r="F34" s="37">
        <v>1.2</v>
      </c>
      <c r="H34" s="37">
        <v>0.28899999999999998</v>
      </c>
      <c r="I34" s="53">
        <f>H34*0.2842</f>
        <v>8.2133799999999993E-2</v>
      </c>
      <c r="K34" s="53">
        <f t="shared" ref="K34" si="227">(I34-$I$9)/(($AA$9-AA34)+($AI$9-AI34))*1000*0.05</f>
        <v>0.67170191842130378</v>
      </c>
      <c r="M34" s="38">
        <v>2.0076471273690983</v>
      </c>
      <c r="N34" s="24"/>
      <c r="O34" s="24">
        <v>2.7122295757794199</v>
      </c>
      <c r="P34" s="24"/>
      <c r="Q34" s="24">
        <v>0.53974869943521264</v>
      </c>
      <c r="R34" s="24"/>
      <c r="S34" s="24">
        <v>73.059592936982071</v>
      </c>
      <c r="T34" s="24"/>
      <c r="U34" s="24">
        <v>21.680781660434203</v>
      </c>
      <c r="V34" s="24"/>
      <c r="W34" s="24">
        <v>0</v>
      </c>
      <c r="Y34" s="52">
        <v>0.10845040956487191</v>
      </c>
      <c r="Z34" s="51"/>
      <c r="AA34" s="51">
        <v>0.14651100998644764</v>
      </c>
      <c r="AB34" s="51"/>
      <c r="AC34" s="51">
        <v>2.9156502015652345E-2</v>
      </c>
      <c r="AD34" s="51"/>
      <c r="AE34" s="51">
        <v>3.9465813830748213</v>
      </c>
      <c r="AF34" s="51"/>
      <c r="AG34" s="51">
        <v>1.1711667945561119</v>
      </c>
      <c r="AH34" s="51"/>
      <c r="AI34" s="51">
        <v>0</v>
      </c>
      <c r="AJ34" s="51"/>
      <c r="AK34" s="52">
        <f>(AG34-$AG$12)*8/(($AA$12-AA34)*2)</f>
        <v>0.85711147245032371</v>
      </c>
      <c r="AL34" s="52"/>
      <c r="AM34" s="52">
        <f t="shared" ref="AM34:AM35" si="228">(AG34-$AG$9)/(($AA$9-AA34)+($AI$9-AI34))</f>
        <v>0.21625257925060185</v>
      </c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>
        <f t="shared" si="220"/>
        <v>18.484896218304147</v>
      </c>
      <c r="BB34" s="52"/>
      <c r="BC34" s="52"/>
      <c r="BD34" s="52"/>
      <c r="BE34" s="52">
        <f t="shared" si="221"/>
        <v>3.9609041539405219</v>
      </c>
      <c r="BF34" s="52"/>
      <c r="BG34" s="37">
        <v>10.050000000000001</v>
      </c>
      <c r="BK34" s="2">
        <v>0</v>
      </c>
      <c r="BM34" s="2">
        <v>0</v>
      </c>
      <c r="BO34" s="37">
        <f t="shared" si="222"/>
        <v>0.16694352159468437</v>
      </c>
      <c r="BQ34" s="2">
        <f t="shared" si="223"/>
        <v>0</v>
      </c>
      <c r="BS34" s="2">
        <f t="shared" si="224"/>
        <v>0</v>
      </c>
      <c r="BU34" s="2">
        <f t="shared" si="225"/>
        <v>0</v>
      </c>
      <c r="BW34" s="37">
        <f t="shared" si="226"/>
        <v>8.3471760797342188E-3</v>
      </c>
      <c r="BX34" s="2">
        <f t="shared" si="2"/>
        <v>0</v>
      </c>
      <c r="BY34" s="2">
        <f t="shared" si="3"/>
        <v>0</v>
      </c>
      <c r="BZ34" s="18">
        <f t="shared" si="4"/>
        <v>0</v>
      </c>
    </row>
    <row r="35" spans="1:78" x14ac:dyDescent="0.3">
      <c r="A35" s="192"/>
      <c r="B35" s="70" t="s">
        <v>111</v>
      </c>
      <c r="C35" s="20">
        <v>3</v>
      </c>
      <c r="E35" s="37"/>
      <c r="F35" s="37">
        <v>1.59</v>
      </c>
      <c r="H35" s="37">
        <v>0.115</v>
      </c>
      <c r="I35" s="53">
        <f>H35*0.2842</f>
        <v>3.2683000000000004E-2</v>
      </c>
      <c r="K35" s="53">
        <f>(I35-$I$9)/(($AA$9-AA35)+($AI$9-AI35))*1000*0.05</f>
        <v>0.58807002824544108</v>
      </c>
      <c r="M35" s="38">
        <v>8.3675643978775174</v>
      </c>
      <c r="N35" s="24"/>
      <c r="O35" s="24">
        <v>50.029055563989708</v>
      </c>
      <c r="P35" s="24"/>
      <c r="Q35" s="24">
        <v>0.18910572614553117</v>
      </c>
      <c r="R35" s="24"/>
      <c r="S35" s="24">
        <v>36.080389565254464</v>
      </c>
      <c r="T35" s="24"/>
      <c r="U35" s="24">
        <v>5.3338847467327755</v>
      </c>
      <c r="V35" s="24"/>
      <c r="W35" s="24">
        <v>0</v>
      </c>
      <c r="Y35" s="52">
        <v>0.59890612751218608</v>
      </c>
      <c r="Z35" s="51"/>
      <c r="AA35" s="51">
        <v>3.5808159347445576</v>
      </c>
      <c r="AB35" s="51"/>
      <c r="AC35" s="51">
        <v>1.353519049879416E-2</v>
      </c>
      <c r="AD35" s="51"/>
      <c r="AE35" s="51">
        <v>2.5824439904088261</v>
      </c>
      <c r="AF35" s="51"/>
      <c r="AG35" s="51">
        <v>0.38177133827286075</v>
      </c>
      <c r="AH35" s="51"/>
      <c r="AI35" s="51">
        <v>0</v>
      </c>
      <c r="AJ35" s="51"/>
      <c r="AK35" s="52"/>
      <c r="AL35" s="52"/>
      <c r="AM35" s="52">
        <f t="shared" si="228"/>
        <v>0.19267458649990649</v>
      </c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>
        <f t="shared" si="220"/>
        <v>17.264669057441562</v>
      </c>
      <c r="BB35" s="52"/>
      <c r="BC35" s="52"/>
      <c r="BD35" s="52"/>
      <c r="BE35" s="52">
        <f t="shared" si="221"/>
        <v>3.244732551010725</v>
      </c>
      <c r="BF35" s="52"/>
      <c r="BG35" s="37">
        <v>8.23</v>
      </c>
      <c r="BK35" s="2">
        <v>0</v>
      </c>
      <c r="BM35" s="2">
        <v>0</v>
      </c>
      <c r="BO35" s="37">
        <f t="shared" si="222"/>
        <v>0.13671096345514952</v>
      </c>
      <c r="BQ35" s="2">
        <f t="shared" si="223"/>
        <v>0</v>
      </c>
      <c r="BS35" s="2">
        <f t="shared" si="224"/>
        <v>0</v>
      </c>
      <c r="BU35" s="2">
        <f t="shared" si="225"/>
        <v>0</v>
      </c>
      <c r="BW35" s="37">
        <f t="shared" si="226"/>
        <v>6.8355481727574762E-3</v>
      </c>
      <c r="BX35" s="2">
        <f t="shared" si="2"/>
        <v>0</v>
      </c>
      <c r="BY35" s="2">
        <f t="shared" si="3"/>
        <v>0</v>
      </c>
      <c r="BZ35" s="18">
        <f t="shared" si="4"/>
        <v>0</v>
      </c>
    </row>
    <row r="36" spans="1:78" ht="15" thickBot="1" x14ac:dyDescent="0.35">
      <c r="A36" s="193"/>
      <c r="B36" s="66" t="s">
        <v>63</v>
      </c>
      <c r="C36" s="65">
        <v>3</v>
      </c>
      <c r="D36" s="65" t="e">
        <f>AVERAGE(D33:D35)</f>
        <v>#DIV/0!</v>
      </c>
      <c r="E36" s="60"/>
      <c r="F36" s="60">
        <f>AVERAGE(F33:F35)</f>
        <v>1.3566666666666667</v>
      </c>
      <c r="G36" s="54">
        <f>_xlfn.STDEV.S(F33:F35)</f>
        <v>0.20599352740640497</v>
      </c>
      <c r="H36" s="65">
        <f>AVERAGE(H33:H35)</f>
        <v>0.23333333333333331</v>
      </c>
      <c r="I36" s="62">
        <f>AVERAGE(I33:I34)</f>
        <v>8.3128499999999994E-2</v>
      </c>
      <c r="J36" s="109">
        <f>_xlfn.STDEV.S(I33:I34)</f>
        <v>1.4067182304925191E-3</v>
      </c>
      <c r="K36" s="62">
        <f t="shared" si="151"/>
        <v>0.65152831828820901</v>
      </c>
      <c r="L36" s="109">
        <f>_xlfn.STDEV.S(K33:K34)</f>
        <v>1.6342008301629747E-2</v>
      </c>
      <c r="M36" s="38">
        <f>AVERAGE(M33:M34)</f>
        <v>2.010983386162331</v>
      </c>
      <c r="N36" s="24">
        <f>_xlfn.STDEV.S(M33:M34)</f>
        <v>4.7181824329760765E-3</v>
      </c>
      <c r="O36" s="120">
        <f>AVERAGE(O33:O34)</f>
        <v>2.9483605456484381</v>
      </c>
      <c r="P36" s="24">
        <f>_xlfn.STDEV.S(O33:O34)</f>
        <v>0.33393962008507816</v>
      </c>
      <c r="Q36" s="120">
        <f t="shared" ref="Q36" si="229">AVERAGE(Q33:Q35)</f>
        <v>0.40354296617706953</v>
      </c>
      <c r="R36" s="24">
        <f t="shared" ref="R36" si="230">_xlfn.STDEV.S(Q33:Q35)</f>
        <v>0.18795677739412323</v>
      </c>
      <c r="S36" s="120">
        <f t="shared" ref="S36" si="231">AVERAGE(S33:S35)</f>
        <v>61.184761182870467</v>
      </c>
      <c r="T36" s="120">
        <f t="shared" ref="T36" si="232">_xlfn.STDEV.S(S33:S35)</f>
        <v>21.751572684565495</v>
      </c>
      <c r="U36" s="120">
        <f>AVERAGE(U33:U34)</f>
        <v>20.792947490317925</v>
      </c>
      <c r="V36" s="120">
        <f>_xlfn.STDEV.S(U33:U34)</f>
        <v>1.2555871245167023</v>
      </c>
      <c r="W36" s="120">
        <f t="shared" ref="W36" si="233">AVERAGE(W33:W35)</f>
        <v>0</v>
      </c>
      <c r="X36" s="120">
        <f t="shared" ref="X36" si="234">_xlfn.STDEV.S(W33:W35)</f>
        <v>0</v>
      </c>
      <c r="Y36" s="56">
        <f>AVERAGE(Y33:Y34)</f>
        <v>0.11225765813194966</v>
      </c>
      <c r="Z36" s="55">
        <f>_xlfn.STDEV.S(Y33:Y34)</f>
        <v>5.3842625588868794E-3</v>
      </c>
      <c r="AA36" s="55">
        <f>AVERAGE(AA33:AA34)</f>
        <v>0.16500055438446171</v>
      </c>
      <c r="AB36" s="55">
        <f>_xlfn.STDEV.S(AA33:AA34)</f>
        <v>2.6148164449771048E-2</v>
      </c>
      <c r="AC36" s="55">
        <v>2.3483830635091251E-2</v>
      </c>
      <c r="AD36" s="55">
        <f t="shared" ref="AD36" si="235">_xlfn.STDEV.S(AC33:AC35)</f>
        <v>8.6440311762917884E-3</v>
      </c>
      <c r="AE36" s="55">
        <v>3.6055901115804851</v>
      </c>
      <c r="AF36" s="55">
        <f t="shared" ref="AF36" si="236">_xlfn.STDEV.S(AE33:AE35)</f>
        <v>0.90234091989730458</v>
      </c>
      <c r="AG36" s="55">
        <f>AVERAGE(AG33:AG34)</f>
        <v>1.1590487671185357</v>
      </c>
      <c r="AH36" s="55">
        <f>_xlfn.STDEV.S(AG33:AG34)</f>
        <v>1.7137478751429666E-2</v>
      </c>
      <c r="AI36" s="55">
        <v>0</v>
      </c>
      <c r="AJ36" s="55">
        <f>_xlfn.STDEV.S(AI33:AI35)</f>
        <v>0</v>
      </c>
      <c r="AK36" s="56">
        <f>AVERAGE(AK33:AK35)</f>
        <v>0.85110179923637563</v>
      </c>
      <c r="AL36" s="56">
        <f>_xlfn.STDEV.S(AK33:AK35)</f>
        <v>8.4989613645955961E-3</v>
      </c>
      <c r="AM36" s="121">
        <f>AVERAGE(AM33:AM35)</f>
        <v>0.20738686755432245</v>
      </c>
      <c r="AN36" s="56">
        <f>_xlfn.STDEV.S(AM33:AM35)</f>
        <v>1.2830324059920985E-2</v>
      </c>
      <c r="AO36" s="56">
        <f>AVERAGE(AO33:AO35)</f>
        <v>5.7655630713197214E-3</v>
      </c>
      <c r="AP36" s="56" t="e">
        <f>_xlfn.STDEV.S(AO33:AO35)</f>
        <v>#DIV/0!</v>
      </c>
      <c r="AQ36" s="121">
        <f>AVERAGE(AQ33:AQ35)</f>
        <v>1.4476117710755399E-3</v>
      </c>
      <c r="AR36" s="56" t="e">
        <f>_xlfn.STDEV.S(AQ33:AQ35)</f>
        <v>#DIV/0!</v>
      </c>
      <c r="AS36" s="56">
        <f>AVERAGE(AS33:AS35)</f>
        <v>0</v>
      </c>
      <c r="AT36" s="56" t="e">
        <f>_xlfn.STDEV.S(AS33:AS35)</f>
        <v>#DIV/0!</v>
      </c>
      <c r="AU36" s="56">
        <f>AVERAGE(AU33:AU35)</f>
        <v>0</v>
      </c>
      <c r="AV36" s="56" t="e">
        <f>_xlfn.STDEV.S(AU33:AU35)</f>
        <v>#DIV/0!</v>
      </c>
      <c r="AW36" s="56"/>
      <c r="AX36" s="56"/>
      <c r="AY36" s="56">
        <f>SUM(AK36,AO36,AS36)</f>
        <v>0.85686736230769533</v>
      </c>
      <c r="AZ36" s="56">
        <f>AL36</f>
        <v>8.4989613645955961E-3</v>
      </c>
      <c r="BA36" s="121">
        <f t="shared" ref="BA36" si="237">AVERAGE(BA33:BA35)</f>
        <v>17.891737473568739</v>
      </c>
      <c r="BB36" s="56">
        <f t="shared" ref="BB36" si="238">_xlfn.STDEV.S(BA33:BA35)</f>
        <v>0.61081992468084589</v>
      </c>
      <c r="BC36" s="121"/>
      <c r="BD36" s="56"/>
      <c r="BE36" s="121">
        <f t="shared" ref="BE36" si="239">AVERAGE(BE33:BE34)</f>
        <v>3.8740549839780769</v>
      </c>
      <c r="BF36" s="56">
        <f t="shared" ref="BF36" si="240">_xlfn.STDEV.S(BE33:BE34)</f>
        <v>0.12282327404173538</v>
      </c>
      <c r="BG36" s="60">
        <f>AVERAGE(BG33:BG35)</f>
        <v>9.4</v>
      </c>
      <c r="BH36" s="57">
        <f>_xlfn.STDEV.S(BG33:BG35)</f>
        <v>1.0153324578678651</v>
      </c>
      <c r="BI36" s="57" t="e">
        <f>AVERAGE(BI33:BI35)</f>
        <v>#DIV/0!</v>
      </c>
      <c r="BJ36" s="57" t="e">
        <f>_xlfn.STDEV.S(BI33:BI35)</f>
        <v>#DIV/0!</v>
      </c>
      <c r="BK36" s="57">
        <f>AVERAGE(BK33:BK35)</f>
        <v>0</v>
      </c>
      <c r="BL36" s="57">
        <f>_xlfn.STDEV.S(BK33:BK35)</f>
        <v>0</v>
      </c>
      <c r="BM36" s="57">
        <f>AVERAGE(BM33:BM35)</f>
        <v>0</v>
      </c>
      <c r="BN36" s="57">
        <f>_xlfn.STDEV.S(BM33:BM35)</f>
        <v>0</v>
      </c>
      <c r="BO36" s="60">
        <f t="shared" ref="BO36" si="241">AVERAGE(BO33:BO35)</f>
        <v>0.15614617940199335</v>
      </c>
      <c r="BP36" s="57">
        <f t="shared" ref="BP36" si="242">_xlfn.STDEV.S(BO33:BO35)</f>
        <v>1.6865987672223654E-2</v>
      </c>
      <c r="BQ36" s="57">
        <f t="shared" ref="BQ36" si="243">AVERAGE(BQ33:BQ35)</f>
        <v>0</v>
      </c>
      <c r="BR36" s="57">
        <f t="shared" ref="BR36" si="244">_xlfn.STDEV.S(BQ33:BQ35)</f>
        <v>0</v>
      </c>
      <c r="BS36" s="57">
        <f t="shared" ref="BS36" si="245">AVERAGE(BS33:BS35)</f>
        <v>0</v>
      </c>
      <c r="BT36" s="57">
        <f t="shared" ref="BT36" si="246">_xlfn.STDEV.S(BS33:BS35)</f>
        <v>0</v>
      </c>
      <c r="BU36" s="57">
        <f t="shared" ref="BU36" si="247">AVERAGE(BU33:BU35)</f>
        <v>0</v>
      </c>
      <c r="BV36" s="57">
        <f t="shared" ref="BV36" si="248">_xlfn.STDEV.S(BU33:BU35)</f>
        <v>0</v>
      </c>
      <c r="BW36" s="60">
        <f t="shared" ref="BW36" si="249">AVERAGE(BW33:BW35)</f>
        <v>7.807308970099667E-3</v>
      </c>
      <c r="BX36" s="57">
        <f t="shared" si="2"/>
        <v>0</v>
      </c>
      <c r="BY36" s="57">
        <f t="shared" si="3"/>
        <v>0</v>
      </c>
      <c r="BZ36" s="61">
        <f t="shared" si="4"/>
        <v>0</v>
      </c>
    </row>
    <row r="37" spans="1:78" x14ac:dyDescent="0.3">
      <c r="A37" s="196" t="s">
        <v>105</v>
      </c>
      <c r="B37" s="70" t="s">
        <v>106</v>
      </c>
      <c r="C37" s="20">
        <v>4</v>
      </c>
      <c r="E37" s="37"/>
      <c r="F37" s="37">
        <v>1.1950000000000001</v>
      </c>
      <c r="H37" s="37">
        <v>0.25600000000000001</v>
      </c>
      <c r="I37" s="53">
        <f>H37*0.2842</f>
        <v>7.2755200000000006E-2</v>
      </c>
      <c r="J37" s="91"/>
      <c r="K37" s="53">
        <f>(I37-$I$5)/(($AA$5-AA37)+($AI$5-AI37))*1000*0.05</f>
        <v>0.55350847059300134</v>
      </c>
      <c r="L37" s="91"/>
      <c r="M37" s="116">
        <v>6.9576909144766859</v>
      </c>
      <c r="N37" s="122"/>
      <c r="O37" s="24">
        <v>0.36090050625257025</v>
      </c>
      <c r="P37" s="122"/>
      <c r="Q37" s="24">
        <v>0.12682328156244724</v>
      </c>
      <c r="R37" s="122"/>
      <c r="S37" s="24">
        <v>59.094021756488871</v>
      </c>
      <c r="T37" s="24"/>
      <c r="U37" s="24">
        <v>23.905410538553834</v>
      </c>
      <c r="V37" s="24"/>
      <c r="W37" s="24">
        <v>9.5551530026655875</v>
      </c>
      <c r="Y37" s="86">
        <v>0.37427912535110508</v>
      </c>
      <c r="Z37" s="85"/>
      <c r="AA37" s="85">
        <v>1.9414131423678326E-2</v>
      </c>
      <c r="AB37" s="85"/>
      <c r="AC37" s="85">
        <v>6.8222787532262602E-3</v>
      </c>
      <c r="AD37" s="85"/>
      <c r="AE37" s="85">
        <v>3.1788791782167549</v>
      </c>
      <c r="AF37" s="85"/>
      <c r="AG37" s="85">
        <v>1.2859576916405722</v>
      </c>
      <c r="AH37" s="85"/>
      <c r="AI37" s="85">
        <v>0.51400591839924359</v>
      </c>
      <c r="AJ37" s="51"/>
      <c r="AK37" s="52"/>
      <c r="AL37" s="52"/>
      <c r="AM37" s="52">
        <f>(AG37-$AG$5)/(($AA$5-AA37)+($AI$5-AI37))</f>
        <v>0.16720495696218665</v>
      </c>
      <c r="AN37" s="52"/>
      <c r="AO37" s="52">
        <f>(BW40-$BW$8)*8/(($AA$8-AA37)*2+2*($AI$8-AI37))</f>
        <v>1.1553840156651137E-2</v>
      </c>
      <c r="AP37" s="52"/>
      <c r="AQ37" s="52">
        <f>(BW40-$BW$8)/(($AA$5-AA37)+($AI$5-AI37))</f>
        <v>2.901793516382247E-3</v>
      </c>
      <c r="AR37" s="52"/>
      <c r="AS37" s="52">
        <f>(BX40-$BX$8)*14/(($AA$8-AA37)*2+2*($AI$8-AI37))</f>
        <v>4.3616200585467063E-5</v>
      </c>
      <c r="AT37" s="52"/>
      <c r="AU37" s="52">
        <f>(BX40-$BX$8)/(($AA$5-AA37)+($AI$5-AI37))</f>
        <v>6.2596483124531559E-6</v>
      </c>
      <c r="AV37" s="52"/>
      <c r="AW37" s="52"/>
      <c r="AX37" s="52"/>
      <c r="AY37" s="52"/>
      <c r="AZ37" s="52"/>
      <c r="BA37" s="52">
        <f t="shared" ref="BA37:BA39" si="250">($AA$8-AA37)/((I37*0.05)*(C37*24))</f>
        <v>11.987093436788543</v>
      </c>
      <c r="BB37" s="52"/>
      <c r="BC37" s="52">
        <f t="shared" ref="BC37:BC39" si="251">($AI$8-AI37)/((I37*0.05)*(C37*24))</f>
        <v>2.4879789403545138</v>
      </c>
      <c r="BD37" s="52"/>
      <c r="BE37" s="52">
        <f t="shared" ref="BE37:BE39" si="252">(AG37-$AG$8)/((I37*0.05)*(C37*24))</f>
        <v>2.3962716589618167</v>
      </c>
      <c r="BF37" s="52"/>
      <c r="BG37" s="37">
        <v>17.82</v>
      </c>
      <c r="BI37" s="2">
        <v>0</v>
      </c>
      <c r="BK37" s="2">
        <v>0</v>
      </c>
      <c r="BM37" s="2">
        <v>0</v>
      </c>
      <c r="BO37" s="37">
        <f t="shared" ref="BO37:BO39" si="253">(BG37/1000)/60.2*1000</f>
        <v>0.29601328903654484</v>
      </c>
      <c r="BQ37" s="2">
        <f t="shared" ref="BQ37:BQ39" si="254">BI37/74.08</f>
        <v>0</v>
      </c>
      <c r="BS37" s="2">
        <f t="shared" ref="BS37:BS39" si="255">(BK37/1000)/88.12*1000</f>
        <v>0</v>
      </c>
      <c r="BU37" s="2">
        <f t="shared" ref="BU37:BU39" si="256">BM37/88.12</f>
        <v>0</v>
      </c>
      <c r="BW37" s="37">
        <f t="shared" ref="BW37:BW39" si="257">BO37*0.05</f>
        <v>1.4800664451827242E-2</v>
      </c>
      <c r="BX37" s="2">
        <f t="shared" si="2"/>
        <v>0</v>
      </c>
      <c r="BY37" s="2">
        <f t="shared" si="3"/>
        <v>0</v>
      </c>
      <c r="BZ37" s="18">
        <f t="shared" si="4"/>
        <v>0</v>
      </c>
    </row>
    <row r="38" spans="1:78" x14ac:dyDescent="0.3">
      <c r="A38" s="192"/>
      <c r="B38" s="70" t="s">
        <v>107</v>
      </c>
      <c r="C38" s="20">
        <v>4</v>
      </c>
      <c r="E38" s="37"/>
      <c r="F38" s="37">
        <v>1.2949999999999999</v>
      </c>
      <c r="H38" s="37">
        <v>0.34599999999999997</v>
      </c>
      <c r="I38" s="53">
        <f>H38*0.2842</f>
        <v>9.8333199999999996E-2</v>
      </c>
      <c r="K38" s="53">
        <f>(I38-$I$5)/(($AA$5-AA38)+($AI$5-AI38))*1000*0.05</f>
        <v>0.73892791699980798</v>
      </c>
      <c r="M38" s="38">
        <v>11.138006595226342</v>
      </c>
      <c r="N38" s="24"/>
      <c r="O38" s="24">
        <v>0.30827963491429877</v>
      </c>
      <c r="P38" s="24"/>
      <c r="Q38" s="24">
        <v>0.11774695860862219</v>
      </c>
      <c r="R38" s="24"/>
      <c r="S38" s="24">
        <v>59.550684566516665</v>
      </c>
      <c r="T38" s="24"/>
      <c r="U38" s="24">
        <v>28.07326220321319</v>
      </c>
      <c r="V38" s="24"/>
      <c r="W38" s="24">
        <v>0.81202004152089013</v>
      </c>
      <c r="Y38" s="52">
        <v>0.64929163508348031</v>
      </c>
      <c r="Z38" s="51"/>
      <c r="AA38" s="51">
        <v>1.797120395872559E-2</v>
      </c>
      <c r="AB38" s="51"/>
      <c r="AC38" s="51">
        <v>6.8640752389090808E-3</v>
      </c>
      <c r="AD38" s="51"/>
      <c r="AE38" s="51">
        <v>3.4715153938861918</v>
      </c>
      <c r="AF38" s="51"/>
      <c r="AG38" s="51">
        <v>1.6365347032442783</v>
      </c>
      <c r="AH38" s="51"/>
      <c r="AI38" s="51">
        <v>4.7336820639487152E-2</v>
      </c>
      <c r="AJ38" s="51"/>
      <c r="AK38" s="52">
        <f>(AG38-$AG$8)*8/(($AA$8-AA38)*2+2*($AI$8-AI38))</f>
        <v>0.85995193879895837</v>
      </c>
      <c r="AL38" s="52"/>
      <c r="AM38" s="52">
        <f>(AG38-$AG$5)/(($AA$5-AA38)+($AI$5-AI38))</f>
        <v>0.21671573480593295</v>
      </c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>
        <f t="shared" si="250"/>
        <v>8.872120405933801</v>
      </c>
      <c r="BB38" s="52"/>
      <c r="BC38" s="52">
        <f t="shared" si="251"/>
        <v>2.8295238444516198</v>
      </c>
      <c r="BD38" s="52"/>
      <c r="BE38" s="52">
        <f t="shared" si="252"/>
        <v>2.5157129150636566</v>
      </c>
      <c r="BF38" s="52"/>
      <c r="BG38" s="37">
        <v>16.04</v>
      </c>
      <c r="BI38" s="2">
        <v>0.05</v>
      </c>
      <c r="BK38" s="2">
        <v>0</v>
      </c>
      <c r="BM38" s="2">
        <v>0</v>
      </c>
      <c r="BO38" s="37">
        <f t="shared" si="253"/>
        <v>0.26644518272425249</v>
      </c>
      <c r="BQ38" s="2">
        <f t="shared" si="254"/>
        <v>6.749460043196545E-4</v>
      </c>
      <c r="BS38" s="2">
        <f t="shared" si="255"/>
        <v>0</v>
      </c>
      <c r="BU38" s="2">
        <f t="shared" si="256"/>
        <v>0</v>
      </c>
      <c r="BW38" s="37">
        <f t="shared" si="257"/>
        <v>1.3322259136212626E-2</v>
      </c>
      <c r="BX38" s="2">
        <f t="shared" si="2"/>
        <v>3.3747300215982723E-5</v>
      </c>
      <c r="BY38" s="2">
        <f t="shared" si="3"/>
        <v>0</v>
      </c>
      <c r="BZ38" s="18">
        <f t="shared" si="4"/>
        <v>0</v>
      </c>
    </row>
    <row r="39" spans="1:78" x14ac:dyDescent="0.3">
      <c r="A39" s="192"/>
      <c r="B39" s="70" t="s">
        <v>108</v>
      </c>
      <c r="C39" s="20">
        <v>4</v>
      </c>
      <c r="E39" s="37"/>
      <c r="F39" s="37">
        <v>1.2050000000000001</v>
      </c>
      <c r="H39" s="37">
        <v>0.33500000000000002</v>
      </c>
      <c r="I39" s="53">
        <f>H39*0.2842</f>
        <v>9.5207000000000014E-2</v>
      </c>
      <c r="K39" s="53">
        <f t="shared" si="96"/>
        <v>0.73475279157765416</v>
      </c>
      <c r="M39" s="38">
        <v>12.96122612412722</v>
      </c>
      <c r="N39" s="24"/>
      <c r="O39" s="24">
        <v>1.4670571401119383</v>
      </c>
      <c r="P39" s="24"/>
      <c r="Q39" s="24">
        <v>0.12193068232599083</v>
      </c>
      <c r="R39" s="24"/>
      <c r="S39" s="24">
        <v>52.868932487094256</v>
      </c>
      <c r="T39" s="24"/>
      <c r="U39" s="24">
        <v>29.498194240020624</v>
      </c>
      <c r="V39" s="24"/>
      <c r="W39" s="24">
        <v>3.0826593263199791</v>
      </c>
      <c r="Y39" s="52">
        <v>0.70306536370644257</v>
      </c>
      <c r="Z39" s="51"/>
      <c r="AA39" s="51">
        <v>7.9578664233850654E-2</v>
      </c>
      <c r="AB39" s="51"/>
      <c r="AC39" s="51">
        <v>6.613976077226259E-3</v>
      </c>
      <c r="AD39" s="51"/>
      <c r="AE39" s="51">
        <v>2.8678085616157896</v>
      </c>
      <c r="AF39" s="51"/>
      <c r="AG39" s="51">
        <v>1.6000923418377533</v>
      </c>
      <c r="AH39" s="51"/>
      <c r="AI39" s="51">
        <v>0.16721496714016745</v>
      </c>
      <c r="AJ39" s="51"/>
      <c r="AK39" s="52">
        <f>(AG39-$AG$8)*8/(($AA$8-AA39)*2+2*($AI$8-AI39))</f>
        <v>0.86188006778067783</v>
      </c>
      <c r="AL39" s="52"/>
      <c r="AM39" s="52">
        <f>(AG39-$AG$5)/(($AA$5-AA39)+($AI$5-AI39))</f>
        <v>0.21725882955241482</v>
      </c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>
        <f t="shared" si="250"/>
        <v>9.0286334276203615</v>
      </c>
      <c r="BB39" s="52"/>
      <c r="BC39" s="52">
        <f t="shared" si="251"/>
        <v>2.6601144899736524</v>
      </c>
      <c r="BD39" s="52"/>
      <c r="BE39" s="52">
        <f t="shared" si="252"/>
        <v>2.5185747118717963</v>
      </c>
      <c r="BF39" s="52"/>
      <c r="BG39" s="37">
        <v>18.940000000000001</v>
      </c>
      <c r="BI39" s="2">
        <v>0.09</v>
      </c>
      <c r="BK39" s="2">
        <v>0</v>
      </c>
      <c r="BM39" s="2">
        <v>0</v>
      </c>
      <c r="BO39" s="37">
        <f t="shared" si="253"/>
        <v>0.31461794019933553</v>
      </c>
      <c r="BQ39" s="2">
        <f t="shared" si="254"/>
        <v>1.214902807775378E-3</v>
      </c>
      <c r="BS39" s="2">
        <f t="shared" si="255"/>
        <v>0</v>
      </c>
      <c r="BU39" s="2">
        <f t="shared" si="256"/>
        <v>0</v>
      </c>
      <c r="BW39" s="37">
        <f t="shared" si="257"/>
        <v>1.5730897009966778E-2</v>
      </c>
      <c r="BX39" s="2">
        <f t="shared" si="2"/>
        <v>6.0745140388768904E-5</v>
      </c>
      <c r="BY39" s="2">
        <f t="shared" si="3"/>
        <v>0</v>
      </c>
      <c r="BZ39" s="18">
        <f t="shared" si="4"/>
        <v>0</v>
      </c>
    </row>
    <row r="40" spans="1:78" x14ac:dyDescent="0.3">
      <c r="A40" s="197"/>
      <c r="B40" s="83" t="s">
        <v>63</v>
      </c>
      <c r="C40" s="80">
        <v>4</v>
      </c>
      <c r="D40" s="80" t="e">
        <f>AVERAGE(D37:D39)</f>
        <v>#DIV/0!</v>
      </c>
      <c r="E40" s="78"/>
      <c r="F40" s="78">
        <f>AVERAGE(F37:F39)</f>
        <v>1.2316666666666667</v>
      </c>
      <c r="G40" s="73">
        <f>_xlfn.STDEV.S(F37:F39)</f>
        <v>5.5075705472860947E-2</v>
      </c>
      <c r="H40" s="78">
        <f t="shared" ref="H40" si="258">AVERAGE(H37:H39)</f>
        <v>0.31233333333333335</v>
      </c>
      <c r="I40" s="82">
        <f>AVERAGE(I38:I39)</f>
        <v>9.6770099999999998E-2</v>
      </c>
      <c r="J40" s="82">
        <f>_xlfn.STDEV.S(I38:I39)</f>
        <v>2.2105572193453719E-3</v>
      </c>
      <c r="K40" s="82">
        <f t="shared" si="108"/>
        <v>0.67572972639015438</v>
      </c>
      <c r="L40" s="82">
        <f>_xlfn.STDEV.S(K37:K39)</f>
        <v>0.10586729638820327</v>
      </c>
      <c r="M40" s="117">
        <f t="shared" ref="M40" si="259">AVERAGE(M37:M39)</f>
        <v>10.352307877943417</v>
      </c>
      <c r="N40" s="118">
        <f t="shared" ref="N40" si="260">_xlfn.STDEV.S(M37:M39)</f>
        <v>3.0779214754657729</v>
      </c>
      <c r="O40" s="118">
        <f t="shared" ref="O40" si="261">AVERAGE(O37:O39)</f>
        <v>0.71207909375960243</v>
      </c>
      <c r="P40" s="118">
        <f t="shared" ref="P40" si="262">_xlfn.STDEV.S(O37:O39)</f>
        <v>0.65435932550899889</v>
      </c>
      <c r="Q40" s="118">
        <f t="shared" ref="Q40" si="263">AVERAGE(Q37:Q39)</f>
        <v>0.12216697416568674</v>
      </c>
      <c r="R40" s="118">
        <f t="shared" ref="R40" si="264">_xlfn.STDEV.S(Q37:Q39)</f>
        <v>4.5427728278731932E-3</v>
      </c>
      <c r="S40" s="118">
        <f t="shared" ref="S40" si="265">AVERAGE(S37:S39)</f>
        <v>57.171212936699931</v>
      </c>
      <c r="T40" s="118">
        <f t="shared" ref="T40" si="266">_xlfn.STDEV.S(S37:S39)</f>
        <v>3.7328739639599444</v>
      </c>
      <c r="U40" s="118">
        <f t="shared" ref="U40" si="267">AVERAGE(U37:U39)</f>
        <v>27.158955660595883</v>
      </c>
      <c r="V40" s="118">
        <f t="shared" ref="V40" si="268">_xlfn.STDEV.S(U37:U39)</f>
        <v>2.9063335533370478</v>
      </c>
      <c r="W40" s="118">
        <f t="shared" ref="W40" si="269">AVERAGE(W37:W39)</f>
        <v>4.4832774568354852</v>
      </c>
      <c r="X40" s="76">
        <f t="shared" ref="X40" si="270">_xlfn.STDEV.S(W37:W39)</f>
        <v>4.53672699803617</v>
      </c>
      <c r="Y40" s="74">
        <v>0.5739749463892212</v>
      </c>
      <c r="Z40" s="73">
        <f t="shared" ref="Z40" si="271">_xlfn.STDEV.S(Y37:Y39)</f>
        <v>0.17636320710925349</v>
      </c>
      <c r="AA40" s="73">
        <v>3.948062253213707E-2</v>
      </c>
      <c r="AB40" s="73">
        <f t="shared" ref="AB40" si="272">_xlfn.STDEV.S(AA37:AA39)</f>
        <v>3.5159949301931906E-2</v>
      </c>
      <c r="AC40" s="73">
        <v>6.773444460310387E-3</v>
      </c>
      <c r="AD40" s="73">
        <f t="shared" ref="AD40" si="273">_xlfn.STDEV.S(AC37:AC39)</f>
        <v>1.3396923883156035E-4</v>
      </c>
      <c r="AE40" s="73">
        <v>3.1698095021173254</v>
      </c>
      <c r="AF40" s="73">
        <f t="shared" ref="AF40" si="274">_xlfn.STDEV.S(AE37:AE39)</f>
        <v>0.30190032090183827</v>
      </c>
      <c r="AG40" s="73">
        <v>1.5058053047756312</v>
      </c>
      <c r="AH40" s="73">
        <f t="shared" ref="AH40" si="275">_xlfn.STDEV.S(AG37:AG39)</f>
        <v>0.1927489149231798</v>
      </c>
      <c r="AI40" s="73">
        <v>0.24857152320766945</v>
      </c>
      <c r="AJ40" s="73">
        <f>_xlfn.STDEV.S(AI37:AI39)</f>
        <v>0.24235469209663155</v>
      </c>
      <c r="AK40" s="74">
        <f>AVERAGE(AK37:AK39)</f>
        <v>0.8609160032898181</v>
      </c>
      <c r="AL40" s="74">
        <f>_xlfn.STDEV.S(AK37:AK39)</f>
        <v>1.3633930779761406E-3</v>
      </c>
      <c r="AM40" s="74">
        <f>AVERAGE(AM37:AM39)</f>
        <v>0.20039317377351148</v>
      </c>
      <c r="AN40" s="74">
        <f>_xlfn.STDEV.S(AM37:AM39)</f>
        <v>2.8743121600002704E-2</v>
      </c>
      <c r="AO40" s="74">
        <f>AVERAGE(AO37:AO39)</f>
        <v>1.1553840156651137E-2</v>
      </c>
      <c r="AP40" s="74" t="e">
        <f>_xlfn.STDEV.S(AO37:AO39)</f>
        <v>#DIV/0!</v>
      </c>
      <c r="AQ40" s="74">
        <f>AVERAGE(AQ37:AQ39)</f>
        <v>2.901793516382247E-3</v>
      </c>
      <c r="AR40" s="74" t="e">
        <f>_xlfn.STDEV.S(AQ37:AQ39)</f>
        <v>#DIV/0!</v>
      </c>
      <c r="AS40" s="74">
        <f>AVERAGE(AS37:AS39)</f>
        <v>4.3616200585467063E-5</v>
      </c>
      <c r="AT40" s="74" t="e">
        <f>_xlfn.STDEV.S(AS37:AS39)</f>
        <v>#DIV/0!</v>
      </c>
      <c r="AU40" s="74">
        <f>AVERAGE(AU37:AU39)</f>
        <v>6.2596483124531559E-6</v>
      </c>
      <c r="AV40" s="74" t="e">
        <f>_xlfn.STDEV.S(AU37:AU39)</f>
        <v>#DIV/0!</v>
      </c>
      <c r="AW40" s="74"/>
      <c r="AX40" s="74"/>
      <c r="AY40" s="74">
        <f>SUM(AK40,AO40,AS40)</f>
        <v>0.87251345964705473</v>
      </c>
      <c r="AZ40" s="74">
        <f>SUM(AL40)</f>
        <v>1.3633930779761406E-3</v>
      </c>
      <c r="BA40" s="74">
        <f t="shared" ref="BA40" si="276">AVERAGE(BA37:BA39)</f>
        <v>9.9626157567809006</v>
      </c>
      <c r="BB40" s="74">
        <f t="shared" ref="BB40" si="277">_xlfn.STDEV.S(BA37:BA39)</f>
        <v>1.7549947262388623</v>
      </c>
      <c r="BC40" s="74">
        <f t="shared" ref="BC40" si="278">AVERAGE(BC37:BC39)</f>
        <v>2.6592057582599291</v>
      </c>
      <c r="BD40" s="74">
        <f t="shared" ref="BD40" si="279">_xlfn.STDEV.S(BC37:BC39)</f>
        <v>0.17077426540222904</v>
      </c>
      <c r="BE40" s="74">
        <f t="shared" ref="BE40" si="280">AVERAGE(BE37:BE38)</f>
        <v>2.4559922870127364</v>
      </c>
      <c r="BF40" s="74">
        <f t="shared" ref="BF40" si="281">_xlfn.STDEV.S(BE37:BE38)</f>
        <v>8.4457722143050071E-2</v>
      </c>
      <c r="BG40" s="78">
        <f>AVERAGE(BG37:BG39)</f>
        <v>17.599999999999998</v>
      </c>
      <c r="BH40" s="75">
        <f>_xlfn.STDEV.S(BG37:BG39)</f>
        <v>1.4624636747625575</v>
      </c>
      <c r="BI40" s="75">
        <f>AVERAGE(BI37:BI39)</f>
        <v>4.6666666666666669E-2</v>
      </c>
      <c r="BJ40" s="75">
        <f>_xlfn.STDEV.S(BI37:BI39)</f>
        <v>4.5092497528228935E-2</v>
      </c>
      <c r="BK40" s="75">
        <f>AVERAGE(BK37:BK39)</f>
        <v>0</v>
      </c>
      <c r="BL40" s="75">
        <f>_xlfn.STDEV.S(BK37:BK39)</f>
        <v>0</v>
      </c>
      <c r="BM40" s="75">
        <f>AVERAGE(BM37:BM39)</f>
        <v>0</v>
      </c>
      <c r="BN40" s="75">
        <f>_xlfn.STDEV.S(BM37:BM39)</f>
        <v>0</v>
      </c>
      <c r="BO40" s="78">
        <f t="shared" ref="BO40" si="282">AVERAGE(BO37:BO39)</f>
        <v>0.29235880398671094</v>
      </c>
      <c r="BP40" s="75">
        <f t="shared" ref="BP40" si="283">_xlfn.STDEV.S(BO37:BO39)</f>
        <v>2.4293416524294946E-2</v>
      </c>
      <c r="BQ40" s="75">
        <f t="shared" ref="BQ40" si="284">AVERAGE(BQ37:BQ39)</f>
        <v>6.2994960403167752E-4</v>
      </c>
      <c r="BR40" s="75">
        <f t="shared" ref="BR40" si="285">_xlfn.STDEV.S(BQ37:BQ39)</f>
        <v>6.0870002062944043E-4</v>
      </c>
      <c r="BS40" s="75">
        <f t="shared" ref="BS40" si="286">AVERAGE(BS37:BS39)</f>
        <v>0</v>
      </c>
      <c r="BT40" s="75">
        <f t="shared" ref="BT40" si="287">_xlfn.STDEV.S(BS37:BS39)</f>
        <v>0</v>
      </c>
      <c r="BU40" s="75">
        <f t="shared" ref="BU40" si="288">AVERAGE(BU37:BU39)</f>
        <v>0</v>
      </c>
      <c r="BV40" s="75">
        <f t="shared" ref="BV40" si="289">_xlfn.STDEV.S(BU37:BU39)</f>
        <v>0</v>
      </c>
      <c r="BW40" s="78">
        <f t="shared" ref="BW40" si="290">AVERAGE(BW37:BW39)</f>
        <v>1.4617940199335549E-2</v>
      </c>
      <c r="BX40" s="75">
        <f t="shared" si="2"/>
        <v>3.149748020158388E-5</v>
      </c>
      <c r="BY40" s="75">
        <f t="shared" si="3"/>
        <v>0</v>
      </c>
      <c r="BZ40" s="119">
        <f t="shared" si="4"/>
        <v>0</v>
      </c>
    </row>
    <row r="41" spans="1:78" x14ac:dyDescent="0.3">
      <c r="A41" s="192" t="s">
        <v>57</v>
      </c>
      <c r="B41" s="70" t="s">
        <v>109</v>
      </c>
      <c r="C41" s="20">
        <v>4</v>
      </c>
      <c r="E41" s="37"/>
      <c r="F41" s="37">
        <v>1.24</v>
      </c>
      <c r="H41" s="37">
        <v>0.26900000000000002</v>
      </c>
      <c r="I41" s="53">
        <f>H41*0.2842</f>
        <v>7.6449800000000012E-2</v>
      </c>
      <c r="K41" s="53">
        <f t="shared" ref="K41:K42" si="291">(I41-$I$9)/(($AA$9-AA41)+($AI$9-AI41))*1000*0.05</f>
        <v>0.61607301128790415</v>
      </c>
      <c r="M41" s="38">
        <v>2.0045317386198649</v>
      </c>
      <c r="N41" s="24"/>
      <c r="O41" s="24">
        <v>2.1283128250603975</v>
      </c>
      <c r="P41" s="24"/>
      <c r="Q41" s="24">
        <v>0.10267718205100929</v>
      </c>
      <c r="R41" s="24"/>
      <c r="S41" s="24">
        <v>75.4038386136979</v>
      </c>
      <c r="T41" s="24"/>
      <c r="U41" s="24">
        <v>20.360639640570835</v>
      </c>
      <c r="V41" s="24"/>
      <c r="W41" s="24">
        <v>0</v>
      </c>
      <c r="Y41" s="52">
        <v>0.1118915244507078</v>
      </c>
      <c r="Z41" s="51"/>
      <c r="AA41" s="51">
        <v>0.11880089594787946</v>
      </c>
      <c r="AB41" s="51"/>
      <c r="AC41" s="51">
        <v>5.7313666851193587E-3</v>
      </c>
      <c r="AD41" s="51"/>
      <c r="AE41" s="51">
        <v>4.208988208752821</v>
      </c>
      <c r="AF41" s="51"/>
      <c r="AG41" s="51">
        <v>1.1365163066679742</v>
      </c>
      <c r="AH41" s="51"/>
      <c r="AI41" s="51">
        <v>0</v>
      </c>
      <c r="AJ41" s="51"/>
      <c r="AK41" s="52">
        <f>(AG41-$AG$12)*8/(($AA$12-AA41)*2)</f>
        <v>0.82755711089003281</v>
      </c>
      <c r="AL41" s="52"/>
      <c r="AM41" s="52">
        <f>(AG41-$AG$9)/(($AA$9-AA41)+($AI$9-AI41))</f>
        <v>0.2087861924124649</v>
      </c>
      <c r="AN41" s="52"/>
      <c r="AO41" s="52">
        <f>(BW44-$BW$12)*8/(($AA$8-AA41)*2+2*($AI$8-AI41))</f>
        <v>7.4669214463075288E-3</v>
      </c>
      <c r="AP41" s="52"/>
      <c r="AQ41" s="52">
        <f>(BW44-$BW$8)/(($AA$5-AA41)+($AI$5-AI41))</f>
        <v>1.8746914262324651E-3</v>
      </c>
      <c r="AR41" s="52"/>
      <c r="AS41" s="52">
        <f>(BX44-$BX$12)*14/(($AA$8-AA41)*2+2*($AI$8-AI41))*100</f>
        <v>0</v>
      </c>
      <c r="AT41" s="52"/>
      <c r="AU41" s="52">
        <f>(BX44-$BX$8)/(($AA$5-AA41)+($AI$5-AI41))</f>
        <v>0</v>
      </c>
      <c r="AV41" s="52"/>
      <c r="AW41" s="52"/>
      <c r="AX41" s="52"/>
      <c r="AY41" s="52"/>
      <c r="AZ41" s="52"/>
      <c r="BA41" s="52">
        <f t="shared" ref="BA41:BA43" si="292">($AA$12-AA41)/((I41*0.05)*(C41*24))</f>
        <v>14.969941284161804</v>
      </c>
      <c r="BB41" s="52"/>
      <c r="BC41" s="52"/>
      <c r="BD41" s="52"/>
      <c r="BE41" s="52">
        <f t="shared" ref="BE41:BE43" si="293">(AG41-$AG$12)/((I41*0.05)*(C41*24))</f>
        <v>3.0971203398285923</v>
      </c>
      <c r="BF41" s="52"/>
      <c r="BG41" s="37">
        <v>12.94</v>
      </c>
      <c r="BK41" s="2">
        <v>0</v>
      </c>
      <c r="BM41" s="2">
        <v>0</v>
      </c>
      <c r="BO41" s="37">
        <f t="shared" ref="BO41:BO43" si="294">(BG41/1000)/60.2*1000</f>
        <v>0.21495016611295681</v>
      </c>
      <c r="BQ41" s="2">
        <f t="shared" ref="BQ41:BQ43" si="295">BI41/74.08</f>
        <v>0</v>
      </c>
      <c r="BS41" s="2">
        <f t="shared" ref="BS41:BS43" si="296">(BK41/1000)/88.12*1000</f>
        <v>0</v>
      </c>
      <c r="BU41" s="2">
        <f t="shared" ref="BU41:BU43" si="297">BM41/88.12</f>
        <v>0</v>
      </c>
      <c r="BW41" s="37">
        <f t="shared" ref="BW41:BW43" si="298">BO41*0.05</f>
        <v>1.0747508305647841E-2</v>
      </c>
      <c r="BX41" s="2">
        <f t="shared" si="2"/>
        <v>0</v>
      </c>
      <c r="BY41" s="2">
        <f t="shared" si="3"/>
        <v>0</v>
      </c>
      <c r="BZ41" s="18">
        <f t="shared" si="4"/>
        <v>0</v>
      </c>
    </row>
    <row r="42" spans="1:78" x14ac:dyDescent="0.3">
      <c r="A42" s="192"/>
      <c r="B42" s="70" t="s">
        <v>110</v>
      </c>
      <c r="C42" s="20">
        <v>4</v>
      </c>
      <c r="E42" s="37"/>
      <c r="F42" s="37">
        <v>1.165</v>
      </c>
      <c r="H42" s="37">
        <v>0.29099999999999998</v>
      </c>
      <c r="I42" s="53">
        <f>H42*0.2842</f>
        <v>8.2702200000000003E-2</v>
      </c>
      <c r="K42" s="53">
        <f t="shared" si="291"/>
        <v>0.66911290510504273</v>
      </c>
      <c r="M42" s="38">
        <v>2.0892090756137094</v>
      </c>
      <c r="N42" s="24"/>
      <c r="O42" s="24">
        <v>1.5842238757556713</v>
      </c>
      <c r="P42" s="24"/>
      <c r="Q42" s="24">
        <v>7.4473654974372833E-2</v>
      </c>
      <c r="R42" s="24"/>
      <c r="S42" s="24">
        <v>74.051594655388058</v>
      </c>
      <c r="T42" s="24"/>
      <c r="U42" s="24">
        <v>22.200498738268188</v>
      </c>
      <c r="V42" s="24"/>
      <c r="W42" s="24">
        <v>0</v>
      </c>
      <c r="Y42" s="52">
        <v>0.1095646353903654</v>
      </c>
      <c r="Z42" s="51"/>
      <c r="AA42" s="51">
        <v>8.308163761584926E-2</v>
      </c>
      <c r="AB42" s="51"/>
      <c r="AC42" s="51">
        <v>3.905630579868178E-3</v>
      </c>
      <c r="AD42" s="51"/>
      <c r="AE42" s="51">
        <v>3.8834964212997134</v>
      </c>
      <c r="AF42" s="51"/>
      <c r="AG42" s="51">
        <v>1.1642633464188361</v>
      </c>
      <c r="AH42" s="51"/>
      <c r="AI42" s="51">
        <v>0</v>
      </c>
      <c r="AJ42" s="51"/>
      <c r="AK42" s="52">
        <f>(AG42-$AG$12)*8/(($AA$12-AA42)*2)</f>
        <v>0.84228442776265289</v>
      </c>
      <c r="AL42" s="52"/>
      <c r="AM42" s="52">
        <f t="shared" ref="AM42:AM43" si="299">(AG42-$AG$9)/(($AA$9-AA42)+($AI$9-AI42))</f>
        <v>0.21248919311916659</v>
      </c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>
        <f t="shared" si="292"/>
        <v>13.928172761285911</v>
      </c>
      <c r="BB42" s="52"/>
      <c r="BC42" s="52"/>
      <c r="BD42" s="52"/>
      <c r="BE42" s="52">
        <f t="shared" si="293"/>
        <v>2.932870756004768</v>
      </c>
      <c r="BF42" s="52"/>
      <c r="BG42" s="37">
        <v>13.05</v>
      </c>
      <c r="BK42" s="2">
        <v>0</v>
      </c>
      <c r="BM42" s="2">
        <v>0</v>
      </c>
      <c r="BO42" s="37">
        <f t="shared" si="294"/>
        <v>0.21677740863787376</v>
      </c>
      <c r="BQ42" s="2">
        <f t="shared" si="295"/>
        <v>0</v>
      </c>
      <c r="BS42" s="2">
        <f t="shared" si="296"/>
        <v>0</v>
      </c>
      <c r="BU42" s="2">
        <f t="shared" si="297"/>
        <v>0</v>
      </c>
      <c r="BW42" s="37">
        <f t="shared" si="298"/>
        <v>1.0838870431893688E-2</v>
      </c>
      <c r="BX42" s="2">
        <f t="shared" si="2"/>
        <v>0</v>
      </c>
      <c r="BY42" s="2">
        <f t="shared" si="3"/>
        <v>0</v>
      </c>
      <c r="BZ42" s="18">
        <f t="shared" si="4"/>
        <v>0</v>
      </c>
    </row>
    <row r="43" spans="1:78" x14ac:dyDescent="0.3">
      <c r="A43" s="192"/>
      <c r="B43" s="70" t="s">
        <v>111</v>
      </c>
      <c r="C43" s="20">
        <v>4</v>
      </c>
      <c r="E43" s="37"/>
      <c r="F43" s="37">
        <v>1.2949999999999999</v>
      </c>
      <c r="H43" s="37">
        <v>0.26900000000000002</v>
      </c>
      <c r="I43" s="53">
        <f>H43*0.2842</f>
        <v>7.6449800000000012E-2</v>
      </c>
      <c r="K43" s="53">
        <f>(I43-$I$9)/(($AA$9-AA43)+($AI$9-AI43))*1000*0.05</f>
        <v>0.60291465447830761</v>
      </c>
      <c r="M43" s="38">
        <v>1.3597326848723756</v>
      </c>
      <c r="N43" s="24"/>
      <c r="O43" s="24">
        <v>0</v>
      </c>
      <c r="P43" s="24"/>
      <c r="Q43" s="24">
        <v>0.20210490345788729</v>
      </c>
      <c r="R43" s="24"/>
      <c r="S43" s="24">
        <v>78.398134038880585</v>
      </c>
      <c r="T43" s="24"/>
      <c r="U43" s="24">
        <v>20.040028372789152</v>
      </c>
      <c r="V43" s="24"/>
      <c r="W43" s="24">
        <v>0</v>
      </c>
      <c r="Y43" s="52">
        <v>7.9265804943554535E-2</v>
      </c>
      <c r="Z43" s="51"/>
      <c r="AA43" s="51">
        <v>0</v>
      </c>
      <c r="AB43" s="51"/>
      <c r="AC43" s="51">
        <v>1.1781733302331003E-2</v>
      </c>
      <c r="AD43" s="51"/>
      <c r="AE43" s="51">
        <v>4.5702300678664836</v>
      </c>
      <c r="AF43" s="51"/>
      <c r="AG43" s="51">
        <v>1.1682362259387031</v>
      </c>
      <c r="AH43" s="51"/>
      <c r="AI43" s="51">
        <v>0</v>
      </c>
      <c r="AJ43" s="51"/>
      <c r="AK43" s="52"/>
      <c r="AL43" s="52"/>
      <c r="AM43" s="52">
        <f t="shared" si="299"/>
        <v>0.21002956276639603</v>
      </c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>
        <f t="shared" si="292"/>
        <v>15.293685579840906</v>
      </c>
      <c r="BB43" s="52"/>
      <c r="BC43" s="52"/>
      <c r="BD43" s="52"/>
      <c r="BE43" s="52">
        <f t="shared" si="293"/>
        <v>3.1835602849263585</v>
      </c>
      <c r="BF43" s="52"/>
      <c r="BG43" s="37">
        <v>10.95</v>
      </c>
      <c r="BK43" s="2">
        <v>0</v>
      </c>
      <c r="BM43" s="2">
        <v>0</v>
      </c>
      <c r="BO43" s="37">
        <f t="shared" si="294"/>
        <v>0.18189368770764119</v>
      </c>
      <c r="BQ43" s="2">
        <f t="shared" si="295"/>
        <v>0</v>
      </c>
      <c r="BS43" s="2">
        <f t="shared" si="296"/>
        <v>0</v>
      </c>
      <c r="BU43" s="2">
        <f t="shared" si="297"/>
        <v>0</v>
      </c>
      <c r="BW43" s="37">
        <f t="shared" si="298"/>
        <v>9.09468438538206E-3</v>
      </c>
      <c r="BX43" s="2">
        <f t="shared" si="2"/>
        <v>0</v>
      </c>
      <c r="BY43" s="2">
        <f t="shared" si="3"/>
        <v>0</v>
      </c>
      <c r="BZ43" s="18">
        <f t="shared" si="4"/>
        <v>0</v>
      </c>
    </row>
    <row r="44" spans="1:78" ht="15" thickBot="1" x14ac:dyDescent="0.35">
      <c r="A44" s="193"/>
      <c r="B44" s="66" t="s">
        <v>63</v>
      </c>
      <c r="C44" s="65">
        <v>4</v>
      </c>
      <c r="D44" s="65" t="e">
        <f>AVERAGE(D41:D43)</f>
        <v>#DIV/0!</v>
      </c>
      <c r="E44" s="60"/>
      <c r="F44" s="60">
        <f>AVERAGE(F41:F43)</f>
        <v>1.2333333333333334</v>
      </c>
      <c r="G44" s="54">
        <f>_xlfn.STDEV.S(F41:F43)</f>
        <v>6.5255906501506256E-2</v>
      </c>
      <c r="H44" s="65">
        <f>AVERAGE(H41:H43)</f>
        <v>0.27633333333333338</v>
      </c>
      <c r="I44" s="62">
        <f t="shared" si="66"/>
        <v>7.8533933333333347E-2</v>
      </c>
      <c r="J44" s="109">
        <f t="shared" ref="J44" si="300">_xlfn.STDEV.S(I41:I43)</f>
        <v>3.609824823081211E-3</v>
      </c>
      <c r="K44" s="62">
        <f t="shared" si="151"/>
        <v>0.62936685695708483</v>
      </c>
      <c r="L44" s="109">
        <f t="shared" ref="L44" si="301">_xlfn.STDEV.S(K41:K43)</f>
        <v>3.5044212732161711E-2</v>
      </c>
      <c r="M44" s="38">
        <f t="shared" ref="M44" si="302">AVERAGE(M41:M43)</f>
        <v>1.8178244997019835</v>
      </c>
      <c r="N44" s="24">
        <f t="shared" ref="N44" si="303">_xlfn.STDEV.S(M41:M43)</f>
        <v>0.39897198643577025</v>
      </c>
      <c r="O44" s="120">
        <f t="shared" ref="O44" si="304">AVERAGE(O41:O43)</f>
        <v>1.2375122336053563</v>
      </c>
      <c r="P44" s="24">
        <f t="shared" ref="P44" si="305">_xlfn.STDEV.S(O41:O43)</f>
        <v>1.1057059249326056</v>
      </c>
      <c r="Q44" s="120">
        <f t="shared" ref="Q44" si="306">AVERAGE(Q41:Q43)</f>
        <v>0.12641858016108978</v>
      </c>
      <c r="R44" s="24">
        <f t="shared" ref="R44" si="307">_xlfn.STDEV.S(Q41:Q43)</f>
        <v>6.7046061670549717E-2</v>
      </c>
      <c r="S44" s="120">
        <f t="shared" ref="S44" si="308">AVERAGE(S41:S43)</f>
        <v>75.951189102655519</v>
      </c>
      <c r="T44" s="120">
        <f t="shared" ref="T44" si="309">_xlfn.STDEV.S(S41:S43)</f>
        <v>2.2243640824704265</v>
      </c>
      <c r="U44" s="120">
        <f t="shared" ref="U44" si="310">AVERAGE(U41:U43)</f>
        <v>20.867055583876056</v>
      </c>
      <c r="V44" s="120">
        <f t="shared" ref="V44" si="311">_xlfn.STDEV.S(U41:U43)</f>
        <v>1.1658691525010725</v>
      </c>
      <c r="W44" s="120">
        <f t="shared" ref="W44" si="312">AVERAGE(W41:W43)</f>
        <v>0</v>
      </c>
      <c r="X44" s="120">
        <f t="shared" ref="X44" si="313">_xlfn.STDEV.S(W41:W43)</f>
        <v>0</v>
      </c>
      <c r="Y44" s="56">
        <v>0.10024065492820926</v>
      </c>
      <c r="Z44" s="55">
        <f t="shared" ref="Z44" si="314">_xlfn.STDEV.S(Y41:Y43)</f>
        <v>1.8201973851312368E-2</v>
      </c>
      <c r="AA44" s="55">
        <v>6.729417785457624E-2</v>
      </c>
      <c r="AB44" s="55">
        <f t="shared" ref="AB44" si="315">_xlfn.STDEV.S(AA41:AA43)</f>
        <v>6.0953639216949809E-2</v>
      </c>
      <c r="AC44" s="55">
        <v>7.1395768557728466E-3</v>
      </c>
      <c r="AD44" s="55">
        <f t="shared" ref="AD44" si="316">_xlfn.STDEV.S(AC41:AC43)</f>
        <v>4.1225647887262523E-3</v>
      </c>
      <c r="AE44" s="55">
        <v>4.2209048993063396</v>
      </c>
      <c r="AF44" s="55">
        <f t="shared" ref="AF44" si="317">_xlfn.STDEV.S(AE41:AE43)</f>
        <v>0.34352187844012883</v>
      </c>
      <c r="AG44" s="55">
        <v>1.1563386263418378</v>
      </c>
      <c r="AH44" s="55">
        <f t="shared" ref="AH44" si="318">_xlfn.STDEV.S(AG41:AG43)</f>
        <v>1.7281180829430462E-2</v>
      </c>
      <c r="AI44" s="55">
        <v>0</v>
      </c>
      <c r="AJ44" s="55">
        <f>_xlfn.STDEV.S(AI41:AI43)</f>
        <v>0</v>
      </c>
      <c r="AK44" s="56">
        <f>AVERAGE(AK41:AK43)</f>
        <v>0.83492076932634285</v>
      </c>
      <c r="AL44" s="56">
        <f>_xlfn.STDEV.S(AK41:AK43)</f>
        <v>1.0413785629312715E-2</v>
      </c>
      <c r="AM44" s="121">
        <f>AVERAGE(AM41:AM43)</f>
        <v>0.21043498276600917</v>
      </c>
      <c r="AN44" s="56">
        <f>_xlfn.STDEV.S(AM41:AM43)</f>
        <v>1.8844966411546153E-3</v>
      </c>
      <c r="AO44" s="56">
        <f>AVERAGE(AO41:AO43)</f>
        <v>7.4669214463075288E-3</v>
      </c>
      <c r="AP44" s="56" t="e">
        <f>_xlfn.STDEV.S(AO41:AO43)</f>
        <v>#DIV/0!</v>
      </c>
      <c r="AQ44" s="121">
        <f>AVERAGE(AQ41:AQ43)</f>
        <v>1.8746914262324651E-3</v>
      </c>
      <c r="AR44" s="56" t="e">
        <f>_xlfn.STDEV.S(AQ41:AQ43)</f>
        <v>#DIV/0!</v>
      </c>
      <c r="AS44" s="56">
        <f>AVERAGE(AS41:AS43)</f>
        <v>0</v>
      </c>
      <c r="AT44" s="56" t="e">
        <f>_xlfn.STDEV.S(AS41:AS43)</f>
        <v>#DIV/0!</v>
      </c>
      <c r="AU44" s="56">
        <f>AVERAGE(AU41:AU43)</f>
        <v>0</v>
      </c>
      <c r="AV44" s="56" t="e">
        <f>_xlfn.STDEV.S(AU41:AU43)</f>
        <v>#DIV/0!</v>
      </c>
      <c r="AW44" s="56"/>
      <c r="AX44" s="56"/>
      <c r="AY44" s="56">
        <f>SUM(AK44,AO44,AS44)</f>
        <v>0.84238769077265041</v>
      </c>
      <c r="AZ44" s="56">
        <f>AL44</f>
        <v>1.0413785629312715E-2</v>
      </c>
      <c r="BA44" s="121">
        <f t="shared" ref="BA44" si="319">AVERAGE(BA41:BA43)</f>
        <v>14.730599875096205</v>
      </c>
      <c r="BB44" s="56">
        <f t="shared" ref="BB44" si="320">_xlfn.STDEV.S(BA41:BA43)</f>
        <v>0.71352613615734561</v>
      </c>
      <c r="BC44" s="121"/>
      <c r="BD44" s="56"/>
      <c r="BE44" s="121">
        <f t="shared" ref="BE44" si="321">AVERAGE(BE41:BE42)</f>
        <v>3.0149955479166799</v>
      </c>
      <c r="BF44" s="56">
        <f t="shared" ref="BF44" si="322">_xlfn.STDEV.S(BE41:BE42)</f>
        <v>0.1161419945288944</v>
      </c>
      <c r="BG44" s="60">
        <f>AVERAGE(BG41:BG43)</f>
        <v>12.313333333333333</v>
      </c>
      <c r="BH44" s="57">
        <f>_xlfn.STDEV.S(BG41:BG43)</f>
        <v>1.1819616463038614</v>
      </c>
      <c r="BI44" s="57" t="e">
        <f>AVERAGE(BI41:BI43)</f>
        <v>#DIV/0!</v>
      </c>
      <c r="BJ44" s="57" t="e">
        <f>_xlfn.STDEV.S(BI41:BI43)</f>
        <v>#DIV/0!</v>
      </c>
      <c r="BK44" s="57">
        <f>AVERAGE(BK41:BK43)</f>
        <v>0</v>
      </c>
      <c r="BL44" s="57">
        <f>_xlfn.STDEV.S(BK41:BK43)</f>
        <v>0</v>
      </c>
      <c r="BM44" s="57">
        <f>AVERAGE(BM41:BM43)</f>
        <v>0</v>
      </c>
      <c r="BN44" s="57">
        <f>_xlfn.STDEV.S(BM41:BM43)</f>
        <v>0</v>
      </c>
      <c r="BO44" s="60">
        <f t="shared" ref="BO44" si="323">AVERAGE(BO41:BO43)</f>
        <v>0.20454042081949061</v>
      </c>
      <c r="BP44" s="57">
        <f t="shared" ref="BP44" si="324">_xlfn.STDEV.S(BO41:BO43)</f>
        <v>1.9633914390429587E-2</v>
      </c>
      <c r="BQ44" s="57">
        <f t="shared" ref="BQ44" si="325">AVERAGE(BQ41:BQ43)</f>
        <v>0</v>
      </c>
      <c r="BR44" s="57">
        <f t="shared" ref="BR44" si="326">_xlfn.STDEV.S(BQ41:BQ43)</f>
        <v>0</v>
      </c>
      <c r="BS44" s="57">
        <f t="shared" ref="BS44" si="327">AVERAGE(BS41:BS43)</f>
        <v>0</v>
      </c>
      <c r="BT44" s="57">
        <f t="shared" ref="BT44" si="328">_xlfn.STDEV.S(BS41:BS43)</f>
        <v>0</v>
      </c>
      <c r="BU44" s="57">
        <f t="shared" ref="BU44" si="329">AVERAGE(BU41:BU43)</f>
        <v>0</v>
      </c>
      <c r="BV44" s="57">
        <f t="shared" ref="BV44" si="330">_xlfn.STDEV.S(BU41:BU43)</f>
        <v>0</v>
      </c>
      <c r="BW44" s="60">
        <f t="shared" ref="BW44" si="331">AVERAGE(BW41:BW43)</f>
        <v>1.022702104097453E-2</v>
      </c>
      <c r="BX44" s="57">
        <f t="shared" si="2"/>
        <v>0</v>
      </c>
      <c r="BY44" s="57">
        <f t="shared" si="3"/>
        <v>0</v>
      </c>
      <c r="BZ44" s="61">
        <f t="shared" si="4"/>
        <v>0</v>
      </c>
    </row>
    <row r="45" spans="1:78" x14ac:dyDescent="0.3">
      <c r="A45" s="196" t="s">
        <v>105</v>
      </c>
      <c r="B45" s="70" t="s">
        <v>106</v>
      </c>
      <c r="C45" s="20">
        <v>5</v>
      </c>
      <c r="E45" s="37"/>
      <c r="F45" s="37">
        <v>1.24</v>
      </c>
      <c r="H45" s="37">
        <v>0.25600000000000001</v>
      </c>
      <c r="I45" s="53">
        <f>H45*0.2842</f>
        <v>7.2755200000000006E-2</v>
      </c>
      <c r="J45" s="91"/>
      <c r="K45" s="53">
        <f t="shared" ref="K45" si="332">(I45-$I$5)/(($AA$5-AA45)+($AI$5-AI45))*1000*0.05</f>
        <v>0.50170249383378918</v>
      </c>
      <c r="L45" s="91"/>
      <c r="M45" s="116">
        <v>12.231183198286365</v>
      </c>
      <c r="N45" s="122"/>
      <c r="O45" s="24">
        <v>0</v>
      </c>
      <c r="P45" s="122"/>
      <c r="Q45" s="24">
        <v>0.10254126846294016</v>
      </c>
      <c r="R45" s="122"/>
      <c r="S45" s="24">
        <v>60.643513032786046</v>
      </c>
      <c r="T45" s="24"/>
      <c r="U45" s="24">
        <v>26.77496990966976</v>
      </c>
      <c r="V45" s="24"/>
      <c r="W45" s="24">
        <v>0.24779259079490637</v>
      </c>
      <c r="Y45" s="86">
        <v>0.68273587667632185</v>
      </c>
      <c r="Z45" s="85"/>
      <c r="AA45" s="85">
        <v>0</v>
      </c>
      <c r="AB45" s="85"/>
      <c r="AC45" s="85">
        <v>5.7237800860799803E-3</v>
      </c>
      <c r="AD45" s="85"/>
      <c r="AE45" s="85">
        <v>3.3850774176100904</v>
      </c>
      <c r="AF45" s="85"/>
      <c r="AG45" s="85">
        <v>1.4945596233749203</v>
      </c>
      <c r="AH45" s="85"/>
      <c r="AI45" s="85">
        <v>1.3831604757090044E-2</v>
      </c>
      <c r="AJ45" s="51"/>
      <c r="AK45" s="52">
        <f>(AG45-$AG$8)*8/(($AA$8-AA45)*2+2*($AI$8-AI45))</f>
        <v>0.75013910503848902</v>
      </c>
      <c r="AL45" s="52"/>
      <c r="AM45" s="52">
        <f>(AG45-$AG$5)/(($AA$5-AA45)+($AI$5-AI45))</f>
        <v>0.18913163934855332</v>
      </c>
      <c r="AN45" s="52"/>
      <c r="AO45" s="52">
        <f>(BW48-$BW$8)*8/(($AA$8-AA45)*2+2*($AI$8-AI45))</f>
        <v>1.2981970683966112E-2</v>
      </c>
      <c r="AP45" s="52"/>
      <c r="AQ45" s="52">
        <f>(BW48-$BW$8)/(($AA$5-AA45)+($AI$5-AI45))</f>
        <v>3.2590720428337942E-3</v>
      </c>
      <c r="AR45" s="52"/>
      <c r="AS45" s="52">
        <f>(BX48-$BX$8)*14/(($AA$8-AA45)*2+2*($AI$8-AI45))</f>
        <v>1.4690343201192606E-4</v>
      </c>
      <c r="AT45" s="52"/>
      <c r="AU45" s="52">
        <f>(BX48-$BX$8)/(($AA$5-AA45)+($AI$5-AI45))</f>
        <v>2.1074012343583785E-5</v>
      </c>
      <c r="AV45" s="52"/>
      <c r="AW45" s="52"/>
      <c r="AX45" s="52"/>
      <c r="AY45" s="52"/>
      <c r="AZ45" s="52"/>
      <c r="BA45" s="52">
        <f t="shared" ref="BA45:BA47" si="333">($AA$8-AA45)/((I45*0.05)*(C45*24))</f>
        <v>9.6341483893990159</v>
      </c>
      <c r="BB45" s="52"/>
      <c r="BC45" s="52">
        <f t="shared" ref="BC45:BC47" si="334">($AI$8-AI45)/((I45*0.05)*(C45*24))</f>
        <v>3.1361759699382334</v>
      </c>
      <c r="BD45" s="52"/>
      <c r="BE45" s="52">
        <f t="shared" ref="BE45:BE47" si="335">(AG45-$AG$8)/((I45*0.05)*(C45*24))</f>
        <v>2.3948799214911154</v>
      </c>
      <c r="BF45" s="52"/>
      <c r="BG45" s="37">
        <v>22.09</v>
      </c>
      <c r="BI45" s="2">
        <v>0.02</v>
      </c>
      <c r="BK45" s="2">
        <v>0</v>
      </c>
      <c r="BM45" s="2">
        <v>0</v>
      </c>
      <c r="BO45" s="37">
        <f t="shared" ref="BO45:BO47" si="336">(BG45/1000)/60.2*1000</f>
        <v>0.36694352159468435</v>
      </c>
      <c r="BQ45" s="2">
        <f t="shared" ref="BQ45:BQ47" si="337">BI45/74.08</f>
        <v>2.6997840172786179E-4</v>
      </c>
      <c r="BS45" s="2">
        <f t="shared" ref="BS45:BS47" si="338">(BK45/1000)/88.12*1000</f>
        <v>0</v>
      </c>
      <c r="BU45" s="2">
        <f t="shared" ref="BU45:BU47" si="339">BM45/88.12</f>
        <v>0</v>
      </c>
      <c r="BW45" s="37">
        <f t="shared" ref="BW45:BW47" si="340">BO45*0.05</f>
        <v>1.8347176079734219E-2</v>
      </c>
      <c r="BX45" s="2">
        <f t="shared" si="2"/>
        <v>1.349892008639309E-5</v>
      </c>
      <c r="BY45" s="2">
        <f t="shared" si="3"/>
        <v>0</v>
      </c>
      <c r="BZ45" s="18">
        <f t="shared" si="4"/>
        <v>0</v>
      </c>
    </row>
    <row r="46" spans="1:78" x14ac:dyDescent="0.3">
      <c r="A46" s="192"/>
      <c r="B46" s="70" t="s">
        <v>107</v>
      </c>
      <c r="C46" s="20">
        <v>5</v>
      </c>
      <c r="E46" s="37"/>
      <c r="F46" s="37">
        <v>1.19</v>
      </c>
      <c r="H46" s="37">
        <v>0.34599999999999997</v>
      </c>
      <c r="I46" s="53">
        <f>H46*0.2842</f>
        <v>9.8333199999999996E-2</v>
      </c>
      <c r="K46" s="53">
        <f t="shared" si="96"/>
        <v>0.73229259119452228</v>
      </c>
      <c r="M46" s="38">
        <v>11.895257612329463</v>
      </c>
      <c r="N46" s="24"/>
      <c r="O46" s="24">
        <v>0.27831114080767883</v>
      </c>
      <c r="P46" s="24"/>
      <c r="Q46" s="24">
        <v>0.10809274287295927</v>
      </c>
      <c r="R46" s="24"/>
      <c r="S46" s="24">
        <v>59.586466702291418</v>
      </c>
      <c r="T46" s="24"/>
      <c r="U46" s="24">
        <v>28.121339929404641</v>
      </c>
      <c r="V46" s="24"/>
      <c r="W46" s="24">
        <v>1.0531872293842051E-2</v>
      </c>
      <c r="Y46" s="52">
        <v>0.63721117263624438</v>
      </c>
      <c r="Z46" s="51"/>
      <c r="AA46" s="51">
        <v>1.4908711872534442E-2</v>
      </c>
      <c r="AB46" s="51"/>
      <c r="AC46" s="51">
        <v>5.7903666893396495E-3</v>
      </c>
      <c r="AD46" s="51"/>
      <c r="AE46" s="51">
        <v>3.1919579682967529</v>
      </c>
      <c r="AF46" s="51"/>
      <c r="AG46" s="51">
        <v>1.5064181522176574</v>
      </c>
      <c r="AH46" s="51"/>
      <c r="AI46" s="51">
        <v>5.6417665872643831E-4</v>
      </c>
      <c r="AJ46" s="51"/>
      <c r="AK46" s="52">
        <f>(AG46-$AG$8)*8/(($AA$8-AA46)*2+2*($AI$8-AI46))</f>
        <v>0.75887143482727704</v>
      </c>
      <c r="AL46" s="52"/>
      <c r="AM46" s="52">
        <f>(AG46-$AG$5)/(($AA$5-AA46)+($AI$5-AI46))</f>
        <v>0.19132433092335219</v>
      </c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>
        <f t="shared" si="333"/>
        <v>7.1028869963381069</v>
      </c>
      <c r="BB46" s="52"/>
      <c r="BC46" s="52">
        <f t="shared" si="334"/>
        <v>2.3428948508178737</v>
      </c>
      <c r="BD46" s="52"/>
      <c r="BE46" s="52">
        <f t="shared" si="335"/>
        <v>1.7920335058541765</v>
      </c>
      <c r="BF46" s="52"/>
      <c r="BG46" s="37">
        <v>20.84</v>
      </c>
      <c r="BI46" s="2">
        <v>0.15</v>
      </c>
      <c r="BK46" s="2">
        <v>0</v>
      </c>
      <c r="BM46" s="2">
        <v>0</v>
      </c>
      <c r="BO46" s="37">
        <f t="shared" si="336"/>
        <v>0.34617940199335551</v>
      </c>
      <c r="BQ46" s="2">
        <f t="shared" si="337"/>
        <v>2.0248380129589631E-3</v>
      </c>
      <c r="BS46" s="2">
        <f t="shared" si="338"/>
        <v>0</v>
      </c>
      <c r="BU46" s="2">
        <f t="shared" si="339"/>
        <v>0</v>
      </c>
      <c r="BW46" s="37">
        <f t="shared" si="340"/>
        <v>1.7308970099667777E-2</v>
      </c>
      <c r="BX46" s="2">
        <f t="shared" si="2"/>
        <v>1.0124190064794816E-4</v>
      </c>
      <c r="BY46" s="2">
        <f t="shared" si="3"/>
        <v>0</v>
      </c>
      <c r="BZ46" s="18">
        <f t="shared" si="4"/>
        <v>0</v>
      </c>
    </row>
    <row r="47" spans="1:78" x14ac:dyDescent="0.3">
      <c r="A47" s="192"/>
      <c r="B47" s="70" t="s">
        <v>108</v>
      </c>
      <c r="C47" s="20">
        <v>5</v>
      </c>
      <c r="E47" s="37"/>
      <c r="F47" s="37">
        <v>1.165</v>
      </c>
      <c r="H47" s="37">
        <v>0.33500000000000002</v>
      </c>
      <c r="I47" s="53">
        <f>H47*0.2842</f>
        <v>9.5207000000000014E-2</v>
      </c>
      <c r="K47" s="53">
        <f t="shared" si="96"/>
        <v>0.70216982782415627</v>
      </c>
      <c r="M47" s="38">
        <v>14.689154023898249</v>
      </c>
      <c r="N47" s="24"/>
      <c r="O47" s="24">
        <v>0</v>
      </c>
      <c r="P47" s="24"/>
      <c r="Q47" s="24">
        <v>8.0906391041977208E-2</v>
      </c>
      <c r="R47" s="24"/>
      <c r="S47" s="24">
        <v>54.246312765700353</v>
      </c>
      <c r="T47" s="24"/>
      <c r="U47" s="24">
        <v>30.983626819359429</v>
      </c>
      <c r="V47" s="24"/>
      <c r="W47" s="24">
        <v>0</v>
      </c>
      <c r="Y47" s="52">
        <v>0.77034501889120999</v>
      </c>
      <c r="Z47" s="51"/>
      <c r="AA47" s="51">
        <v>0</v>
      </c>
      <c r="AB47" s="51"/>
      <c r="AC47" s="51">
        <v>4.2429833082457758E-3</v>
      </c>
      <c r="AD47" s="51"/>
      <c r="AE47" s="51">
        <v>2.8448457116240382</v>
      </c>
      <c r="AF47" s="51"/>
      <c r="AG47" s="51">
        <v>1.6248779574811389</v>
      </c>
      <c r="AH47" s="51"/>
      <c r="AI47" s="51">
        <v>0</v>
      </c>
      <c r="AJ47" s="51"/>
      <c r="AK47" s="52"/>
      <c r="AL47" s="52"/>
      <c r="AM47" s="52">
        <f>(AG47-$AG$5)/(($AA$5-AA47)+($AI$5-AI47))</f>
        <v>0.21207802284472771</v>
      </c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>
        <f t="shared" si="333"/>
        <v>7.362214888615366</v>
      </c>
      <c r="BB47" s="52"/>
      <c r="BC47" s="52">
        <f t="shared" si="334"/>
        <v>2.4208133581308635</v>
      </c>
      <c r="BD47" s="52"/>
      <c r="BE47" s="52">
        <f t="shared" si="335"/>
        <v>2.0582487633798645</v>
      </c>
      <c r="BF47" s="52"/>
      <c r="BG47" s="37">
        <v>22.48</v>
      </c>
      <c r="BI47" s="2">
        <v>0.35</v>
      </c>
      <c r="BK47" s="2">
        <v>0</v>
      </c>
      <c r="BM47" s="2">
        <v>0</v>
      </c>
      <c r="BO47" s="37">
        <f t="shared" si="336"/>
        <v>0.37342192691029896</v>
      </c>
      <c r="BQ47" s="2">
        <f t="shared" si="337"/>
        <v>4.724622030237581E-3</v>
      </c>
      <c r="BS47" s="2">
        <f t="shared" si="338"/>
        <v>0</v>
      </c>
      <c r="BU47" s="2">
        <f t="shared" si="339"/>
        <v>0</v>
      </c>
      <c r="BW47" s="37">
        <f t="shared" si="340"/>
        <v>1.8671096345514948E-2</v>
      </c>
      <c r="BX47" s="2">
        <f t="shared" si="2"/>
        <v>2.3623110151187906E-4</v>
      </c>
      <c r="BY47" s="2">
        <f t="shared" si="3"/>
        <v>0</v>
      </c>
      <c r="BZ47" s="18">
        <f t="shared" si="4"/>
        <v>0</v>
      </c>
    </row>
    <row r="48" spans="1:78" x14ac:dyDescent="0.3">
      <c r="A48" s="197"/>
      <c r="B48" s="83" t="s">
        <v>63</v>
      </c>
      <c r="C48" s="80">
        <v>5</v>
      </c>
      <c r="D48" s="80" t="e">
        <f>AVERAGE(D45:D47)</f>
        <v>#DIV/0!</v>
      </c>
      <c r="E48" s="78"/>
      <c r="F48" s="78">
        <f t="shared" ref="F48:H48" si="341">AVERAGE(F45:F47)</f>
        <v>1.1983333333333333</v>
      </c>
      <c r="G48" s="73">
        <f>_xlfn.STDEV.S(F45:F47)</f>
        <v>3.8188130791298652E-2</v>
      </c>
      <c r="H48" s="78">
        <f t="shared" si="341"/>
        <v>0.31233333333333335</v>
      </c>
      <c r="I48" s="82">
        <f>AVERAGE(I46:I47)</f>
        <v>9.6770099999999998E-2</v>
      </c>
      <c r="J48" s="82">
        <f>_xlfn.STDEV.S(I46:I47)</f>
        <v>2.2105572193453719E-3</v>
      </c>
      <c r="K48" s="82">
        <f t="shared" si="108"/>
        <v>0.64538830428415583</v>
      </c>
      <c r="L48" s="82">
        <f>_xlfn.STDEV.S(K45:K47)</f>
        <v>0.12534374460598716</v>
      </c>
      <c r="M48" s="117">
        <f t="shared" ref="M48" si="342">AVERAGE(M45:M47)</f>
        <v>12.938531611504692</v>
      </c>
      <c r="N48" s="118">
        <f t="shared" ref="N48" si="343">_xlfn.STDEV.S(M45:M47)</f>
        <v>1.5253591783268947</v>
      </c>
      <c r="O48" s="118">
        <f t="shared" ref="O48" si="344">AVERAGE(O45:O47)</f>
        <v>9.277038026922628E-2</v>
      </c>
      <c r="P48" s="118">
        <f t="shared" ref="P48" si="345">_xlfn.STDEV.S(O45:O47)</f>
        <v>0.16068301206378519</v>
      </c>
      <c r="Q48" s="118">
        <f t="shared" ref="Q48" si="346">AVERAGE(Q45:Q47)</f>
        <v>9.7180134125958884E-2</v>
      </c>
      <c r="R48" s="118">
        <f t="shared" ref="R48" si="347">_xlfn.STDEV.S(Q45:Q47)</f>
        <v>1.4364217782526612E-2</v>
      </c>
      <c r="S48" s="118">
        <f t="shared" ref="S48" si="348">AVERAGE(S45:S47)</f>
        <v>58.158764166925941</v>
      </c>
      <c r="T48" s="118">
        <f t="shared" ref="T48" si="349">_xlfn.STDEV.S(S45:S47)</f>
        <v>3.4292555622783611</v>
      </c>
      <c r="U48" s="118">
        <f t="shared" ref="U48" si="350">AVERAGE(U45:U47)</f>
        <v>28.626645552811279</v>
      </c>
      <c r="V48" s="118">
        <f t="shared" ref="V48" si="351">_xlfn.STDEV.S(U45:U47)</f>
        <v>2.1493484072282056</v>
      </c>
      <c r="W48" s="118">
        <f t="shared" ref="W48" si="352">AVERAGE(W45:W47)</f>
        <v>8.6108154362916134E-2</v>
      </c>
      <c r="X48" s="76">
        <f t="shared" ref="X48" si="353">_xlfn.STDEV.S(W45:W47)</f>
        <v>0.14012181422516326</v>
      </c>
      <c r="Y48" s="74">
        <v>0.69795142764357643</v>
      </c>
      <c r="Z48" s="73">
        <f t="shared" ref="Z48" si="354">_xlfn.STDEV.S(Y45:Y47)</f>
        <v>6.7666438623843111E-2</v>
      </c>
      <c r="AA48" s="73">
        <v>5.0043715389132878E-3</v>
      </c>
      <c r="AB48" s="73">
        <f t="shared" ref="AB48" si="355">_xlfn.STDEV.S(AA45:AA47)</f>
        <v>8.6075488128783302E-3</v>
      </c>
      <c r="AC48" s="73">
        <v>5.242249691726748E-3</v>
      </c>
      <c r="AD48" s="73">
        <f t="shared" ref="AD48" si="356">_xlfn.STDEV.S(AC45:AC47)</f>
        <v>8.7479409015906243E-4</v>
      </c>
      <c r="AE48" s="73">
        <v>3.1372951505716791</v>
      </c>
      <c r="AF48" s="73">
        <f t="shared" ref="AF48" si="357">_xlfn.STDEV.S(AE45:AE47)</f>
        <v>0.2737493794781739</v>
      </c>
      <c r="AG48" s="73">
        <v>1.5442253210917252</v>
      </c>
      <c r="AH48" s="73">
        <f t="shared" ref="AH48" si="358">_xlfn.STDEV.S(AG45:AG47)</f>
        <v>7.2060412587397829E-2</v>
      </c>
      <c r="AI48" s="73">
        <v>4.6449868558431787E-3</v>
      </c>
      <c r="AJ48" s="73">
        <f>_xlfn.STDEV.S(AI45:AI47)</f>
        <v>7.8279013130793437E-3</v>
      </c>
      <c r="AK48" s="74">
        <f>AVERAGE(AK45:AK47)</f>
        <v>0.75450526993288303</v>
      </c>
      <c r="AL48" s="74">
        <f>_xlfn.STDEV.S(AK45:AK47)</f>
        <v>6.1746896092092999E-3</v>
      </c>
      <c r="AM48" s="74">
        <f>AVERAGE(AM45:AM47)</f>
        <v>0.19751133103887772</v>
      </c>
      <c r="AN48" s="74">
        <f>_xlfn.STDEV.S(AM45:AM47)</f>
        <v>1.2662675732660575E-2</v>
      </c>
      <c r="AO48" s="74">
        <f>AVERAGE(AO45:AO47)</f>
        <v>1.2981970683966112E-2</v>
      </c>
      <c r="AP48" s="74" t="e">
        <f>_xlfn.STDEV.S(AO45:AO47)</f>
        <v>#DIV/0!</v>
      </c>
      <c r="AQ48" s="74">
        <f>AVERAGE(AQ45:AQ47)</f>
        <v>3.2590720428337942E-3</v>
      </c>
      <c r="AR48" s="74" t="e">
        <f>_xlfn.STDEV.S(AQ45:AQ47)</f>
        <v>#DIV/0!</v>
      </c>
      <c r="AS48" s="74">
        <f>AVERAGE(AS45:AS47)</f>
        <v>1.4690343201192606E-4</v>
      </c>
      <c r="AT48" s="74" t="e">
        <f>_xlfn.STDEV.S(AS45:AS47)</f>
        <v>#DIV/0!</v>
      </c>
      <c r="AU48" s="74">
        <f>AVERAGE(AU45:AU47)</f>
        <v>2.1074012343583785E-5</v>
      </c>
      <c r="AV48" s="74" t="e">
        <f>_xlfn.STDEV.S(AU45:AU47)</f>
        <v>#DIV/0!</v>
      </c>
      <c r="AW48" s="74"/>
      <c r="AX48" s="74"/>
      <c r="AY48" s="74">
        <f>SUM(AK48,AO48,AS48)</f>
        <v>0.7676341440488611</v>
      </c>
      <c r="AZ48" s="74">
        <f>SUM(AL48)</f>
        <v>6.1746896092092999E-3</v>
      </c>
      <c r="BA48" s="74">
        <f t="shared" ref="BA48" si="359">AVERAGE(BA45:BA47)</f>
        <v>8.0330834247841629</v>
      </c>
      <c r="BB48" s="74">
        <f t="shared" ref="BB48" si="360">_xlfn.STDEV.S(BA45:BA47)</f>
        <v>1.3926124746734549</v>
      </c>
      <c r="BC48" s="74">
        <f t="shared" ref="BC48" si="361">AVERAGE(BC45:BC47)</f>
        <v>2.6332947262956568</v>
      </c>
      <c r="BD48" s="74">
        <f t="shared" ref="BD48" si="362">_xlfn.STDEV.S(BC45:BC47)</f>
        <v>0.43724704956248889</v>
      </c>
      <c r="BE48" s="74">
        <f t="shared" ref="BE48" si="363">AVERAGE(BE45:BE46)</f>
        <v>2.0934567136726461</v>
      </c>
      <c r="BF48" s="74">
        <f t="shared" ref="BF48" si="364">_xlfn.STDEV.S(BE45:BE46)</f>
        <v>0.42627678851088185</v>
      </c>
      <c r="BG48" s="78">
        <f>AVERAGE(BG45:BG47)</f>
        <v>21.803333333333331</v>
      </c>
      <c r="BH48" s="75">
        <f>_xlfn.STDEV.S(BG45:BG47)</f>
        <v>0.8567574530363502</v>
      </c>
      <c r="BI48" s="75">
        <f>AVERAGE(BI45:BI47)</f>
        <v>0.17333333333333334</v>
      </c>
      <c r="BJ48" s="75">
        <f>_xlfn.STDEV.S(BI45:BI47)</f>
        <v>0.16623276853055571</v>
      </c>
      <c r="BK48" s="75">
        <f>AVERAGE(BK45:BK47)</f>
        <v>0</v>
      </c>
      <c r="BL48" s="75">
        <f>_xlfn.STDEV.S(BK45:BK47)</f>
        <v>0</v>
      </c>
      <c r="BM48" s="75">
        <f>AVERAGE(BM45:BM47)</f>
        <v>0</v>
      </c>
      <c r="BN48" s="75">
        <f>_xlfn.STDEV.S(BM45:BM47)</f>
        <v>0</v>
      </c>
      <c r="BO48" s="78">
        <f t="shared" ref="BO48" si="365">AVERAGE(BO45:BO47)</f>
        <v>0.36218161683277961</v>
      </c>
      <c r="BP48" s="75">
        <f t="shared" ref="BP48" si="366">_xlfn.STDEV.S(BO45:BO47)</f>
        <v>1.4231851379341324E-2</v>
      </c>
      <c r="BQ48" s="75">
        <f t="shared" ref="BQ48" si="367">AVERAGE(BQ45:BQ47)</f>
        <v>2.3398128149748018E-3</v>
      </c>
      <c r="BR48" s="75">
        <f t="shared" ref="BR48" si="368">_xlfn.STDEV.S(BQ45:BQ47)</f>
        <v>2.2439628581338521E-3</v>
      </c>
      <c r="BS48" s="75">
        <f t="shared" ref="BS48" si="369">AVERAGE(BS45:BS47)</f>
        <v>0</v>
      </c>
      <c r="BT48" s="75">
        <f t="shared" ref="BT48" si="370">_xlfn.STDEV.S(BS45:BS47)</f>
        <v>0</v>
      </c>
      <c r="BU48" s="75">
        <f t="shared" ref="BU48" si="371">AVERAGE(BU45:BU47)</f>
        <v>0</v>
      </c>
      <c r="BV48" s="75">
        <f t="shared" ref="BV48" si="372">_xlfn.STDEV.S(BU45:BU47)</f>
        <v>0</v>
      </c>
      <c r="BW48" s="78">
        <f t="shared" ref="BW48" si="373">AVERAGE(BW45:BW47)</f>
        <v>1.810908084163898E-2</v>
      </c>
      <c r="BX48" s="75">
        <f t="shared" si="2"/>
        <v>1.1699064074874009E-4</v>
      </c>
      <c r="BY48" s="75">
        <f t="shared" si="3"/>
        <v>0</v>
      </c>
      <c r="BZ48" s="119">
        <f t="shared" si="4"/>
        <v>0</v>
      </c>
    </row>
    <row r="49" spans="1:78" x14ac:dyDescent="0.3">
      <c r="A49" s="192" t="s">
        <v>57</v>
      </c>
      <c r="B49" s="70" t="s">
        <v>109</v>
      </c>
      <c r="C49" s="20">
        <v>5</v>
      </c>
      <c r="E49" s="37"/>
      <c r="F49" s="37">
        <v>1.21</v>
      </c>
      <c r="H49" s="37">
        <v>0.26900000000000002</v>
      </c>
      <c r="I49" s="53">
        <f>H49*0.2842</f>
        <v>7.6449800000000012E-2</v>
      </c>
      <c r="K49" s="53">
        <f t="shared" ref="K49:K50" si="374">(I49-$I$9)/(($AA$9-AA49)+($AI$9-AI49))*1000*0.05</f>
        <v>0.60291465447830761</v>
      </c>
      <c r="M49" s="38">
        <v>2.0354231639429501</v>
      </c>
      <c r="N49" s="24"/>
      <c r="O49" s="24">
        <v>0</v>
      </c>
      <c r="P49" s="24"/>
      <c r="Q49" s="24">
        <v>8.4869686270375166E-2</v>
      </c>
      <c r="R49" s="24"/>
      <c r="S49" s="24">
        <v>76.821283035627587</v>
      </c>
      <c r="T49" s="24"/>
      <c r="U49" s="24">
        <v>21.058424114159084</v>
      </c>
      <c r="V49" s="24"/>
      <c r="W49" s="24">
        <v>0</v>
      </c>
      <c r="Y49" s="52">
        <v>0.11086709081715776</v>
      </c>
      <c r="Z49" s="51"/>
      <c r="AA49" s="51">
        <v>0</v>
      </c>
      <c r="AB49" s="51"/>
      <c r="AC49" s="51">
        <v>4.6227513678944732E-3</v>
      </c>
      <c r="AD49" s="51"/>
      <c r="AE49" s="51">
        <v>4.1843643689810248</v>
      </c>
      <c r="AF49" s="51"/>
      <c r="AG49" s="51">
        <v>1.1470274388584769</v>
      </c>
      <c r="AH49" s="51"/>
      <c r="AI49" s="51">
        <v>0</v>
      </c>
      <c r="AJ49" s="51"/>
      <c r="AK49" s="52">
        <f>(AG49-$AG$12)*8/(($AA$12-AA49)*2)</f>
        <v>0.8175306619334034</v>
      </c>
      <c r="AL49" s="52"/>
      <c r="AM49" s="52">
        <f>(AG49-$AG$9)/(($AA$9-AA49)+($AI$9-AI49))</f>
        <v>0.20621657342540359</v>
      </c>
      <c r="AN49" s="52"/>
      <c r="AO49" s="52">
        <f>(BW52-$BW$12)*8/(($AA$8-AA49)*2+2*($AI$8-AI49))*100</f>
        <v>1.0563978136898027</v>
      </c>
      <c r="AP49" s="52"/>
      <c r="AQ49" s="52">
        <f>(BW52-$BW$8)/(($AA$5-AA49)+($AI$5-AI49))</f>
        <v>2.6520171795155452E-3</v>
      </c>
      <c r="AR49" s="52"/>
      <c r="AS49" s="52"/>
      <c r="AT49" s="52"/>
      <c r="AU49" s="52">
        <f>(BX52-$BX$8)/(($AA$5-AA49)+($AI$5-AI49))</f>
        <v>0</v>
      </c>
      <c r="AV49" s="52"/>
      <c r="AW49" s="52"/>
      <c r="AX49" s="52"/>
      <c r="AY49" s="52"/>
      <c r="AZ49" s="52"/>
      <c r="BA49" s="52">
        <f t="shared" ref="BA49:BA51" si="375">($AA$12-AA49)/((I49*0.05)*(C49*24))</f>
        <v>12.234948463872723</v>
      </c>
      <c r="BB49" s="52"/>
      <c r="BC49" s="52"/>
      <c r="BD49" s="52"/>
      <c r="BE49" s="52">
        <f t="shared" ref="BE49:BE51" si="376">(AG49-$AG$12)/((I49*0.05)*(C49*24))</f>
        <v>2.500611379097736</v>
      </c>
      <c r="BF49" s="52"/>
      <c r="BG49" s="37">
        <v>17.23</v>
      </c>
      <c r="BK49" s="2">
        <v>0</v>
      </c>
      <c r="BM49" s="2">
        <v>0</v>
      </c>
      <c r="BO49" s="37">
        <f t="shared" ref="BO49:BO51" si="377">(BG49/1000)/60.2*1000</f>
        <v>0.28621262458471758</v>
      </c>
      <c r="BQ49" s="2">
        <f t="shared" ref="BQ49:BQ51" si="378">BI49/74.08</f>
        <v>0</v>
      </c>
      <c r="BS49" s="2">
        <f t="shared" ref="BS49:BS51" si="379">(BK49/1000)/88.12*1000</f>
        <v>0</v>
      </c>
      <c r="BU49" s="2">
        <f t="shared" ref="BU49:BU51" si="380">BM49/88.12</f>
        <v>0</v>
      </c>
      <c r="BW49" s="37">
        <f t="shared" ref="BW49:BW51" si="381">BO49*0.05</f>
        <v>1.4310631229235879E-2</v>
      </c>
      <c r="BX49" s="2">
        <f t="shared" si="2"/>
        <v>0</v>
      </c>
      <c r="BY49" s="2">
        <f t="shared" si="3"/>
        <v>0</v>
      </c>
      <c r="BZ49" s="18">
        <f t="shared" si="4"/>
        <v>0</v>
      </c>
    </row>
    <row r="50" spans="1:78" x14ac:dyDescent="0.3">
      <c r="A50" s="192"/>
      <c r="B50" s="70" t="s">
        <v>110</v>
      </c>
      <c r="C50" s="20">
        <v>5</v>
      </c>
      <c r="E50" s="37"/>
      <c r="F50" s="37">
        <v>1.1399999999999999</v>
      </c>
      <c r="H50" s="37">
        <v>0.29099999999999998</v>
      </c>
      <c r="I50" s="53">
        <f>H50*0.2842</f>
        <v>8.2702200000000003E-2</v>
      </c>
      <c r="K50" s="53">
        <f t="shared" si="374"/>
        <v>0.6591185629466243</v>
      </c>
      <c r="M50" s="38">
        <v>2.1391700565007854</v>
      </c>
      <c r="N50" s="24"/>
      <c r="O50" s="24">
        <v>0</v>
      </c>
      <c r="P50" s="24"/>
      <c r="Q50" s="24">
        <v>0.86760594157183868</v>
      </c>
      <c r="R50" s="24"/>
      <c r="S50" s="24">
        <v>74.583449052623791</v>
      </c>
      <c r="T50" s="24"/>
      <c r="U50" s="24">
        <v>22.409774949303593</v>
      </c>
      <c r="V50" s="24"/>
      <c r="W50" s="24">
        <v>0</v>
      </c>
      <c r="Y50" s="52">
        <v>0.10977734698199317</v>
      </c>
      <c r="Z50" s="51"/>
      <c r="AA50" s="51">
        <v>0</v>
      </c>
      <c r="AB50" s="51"/>
      <c r="AC50" s="51">
        <v>4.452356567077613E-2</v>
      </c>
      <c r="AD50" s="51"/>
      <c r="AE50" s="51">
        <v>3.827453147486914</v>
      </c>
      <c r="AF50" s="51"/>
      <c r="AG50" s="51">
        <v>1.1500187340983263</v>
      </c>
      <c r="AH50" s="51"/>
      <c r="AI50" s="51">
        <v>0</v>
      </c>
      <c r="AJ50" s="51"/>
      <c r="AK50" s="52">
        <f>(AG50-$AG$12)*8/(($AA$12-AA50)*2)</f>
        <v>0.81966267333489695</v>
      </c>
      <c r="AL50" s="52"/>
      <c r="AM50" s="52">
        <f t="shared" ref="AM50:AM51" si="382">(AG50-$AG$9)/(($AA$9-AA50)+($AI$9-AI50))</f>
        <v>0.20675435886415419</v>
      </c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>
        <f t="shared" si="375"/>
        <v>11.309969542205373</v>
      </c>
      <c r="BB50" s="52"/>
      <c r="BC50" s="52"/>
      <c r="BD50" s="52"/>
      <c r="BE50" s="52">
        <f t="shared" si="376"/>
        <v>2.3175899675750791</v>
      </c>
      <c r="BF50" s="52"/>
      <c r="BG50" s="37">
        <v>19.940000000000001</v>
      </c>
      <c r="BK50" s="2">
        <v>0</v>
      </c>
      <c r="BM50" s="2">
        <v>0</v>
      </c>
      <c r="BO50" s="37">
        <f t="shared" si="377"/>
        <v>0.33122923588039871</v>
      </c>
      <c r="BQ50" s="2">
        <f t="shared" si="378"/>
        <v>0</v>
      </c>
      <c r="BS50" s="2">
        <f t="shared" si="379"/>
        <v>0</v>
      </c>
      <c r="BU50" s="2">
        <f t="shared" si="380"/>
        <v>0</v>
      </c>
      <c r="BW50" s="37">
        <f t="shared" si="381"/>
        <v>1.6561461794019936E-2</v>
      </c>
      <c r="BX50" s="2">
        <f t="shared" si="2"/>
        <v>0</v>
      </c>
      <c r="BY50" s="2">
        <f t="shared" si="3"/>
        <v>0</v>
      </c>
      <c r="BZ50" s="18">
        <f t="shared" si="4"/>
        <v>0</v>
      </c>
    </row>
    <row r="51" spans="1:78" x14ac:dyDescent="0.3">
      <c r="A51" s="192"/>
      <c r="B51" s="70" t="s">
        <v>111</v>
      </c>
      <c r="C51" s="20">
        <v>5</v>
      </c>
      <c r="E51" s="37"/>
      <c r="F51" s="37">
        <v>1.2749999999999999</v>
      </c>
      <c r="H51" s="37">
        <v>0.26900000000000002</v>
      </c>
      <c r="I51" s="53">
        <f>H51*0.2842</f>
        <v>7.6449800000000012E-2</v>
      </c>
      <c r="K51" s="53">
        <f>(I51-$I$9)/(($AA$9-AA51)+($AI$9-AI51))*1000*0.05</f>
        <v>0.60291465447830761</v>
      </c>
      <c r="M51" s="38">
        <v>1.5194820634603969</v>
      </c>
      <c r="N51" s="24"/>
      <c r="O51" s="24">
        <v>0</v>
      </c>
      <c r="P51" s="24"/>
      <c r="Q51" s="24">
        <v>8.5011795984270222E-2</v>
      </c>
      <c r="R51" s="24"/>
      <c r="S51" s="24">
        <v>78.203827505002124</v>
      </c>
      <c r="T51" s="24"/>
      <c r="U51" s="24">
        <v>20.19167863555322</v>
      </c>
      <c r="V51" s="24"/>
      <c r="W51" s="24">
        <v>0</v>
      </c>
      <c r="Y51" s="52">
        <v>8.7210410623801221E-2</v>
      </c>
      <c r="Z51" s="51"/>
      <c r="AA51" s="51">
        <v>0</v>
      </c>
      <c r="AB51" s="51"/>
      <c r="AC51" s="51">
        <v>4.8792373493181775E-3</v>
      </c>
      <c r="AD51" s="51"/>
      <c r="AE51" s="51">
        <v>4.4884951741596604</v>
      </c>
      <c r="AF51" s="51"/>
      <c r="AG51" s="51">
        <v>1.1588979082649937</v>
      </c>
      <c r="AH51" s="51"/>
      <c r="AI51" s="51">
        <v>0</v>
      </c>
      <c r="AJ51" s="51"/>
      <c r="AK51" s="52"/>
      <c r="AL51" s="52"/>
      <c r="AM51" s="52">
        <f t="shared" si="382"/>
        <v>0.20835068760875664</v>
      </c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>
        <f t="shared" si="375"/>
        <v>12.234948463872723</v>
      </c>
      <c r="BB51" s="52"/>
      <c r="BC51" s="52"/>
      <c r="BD51" s="52"/>
      <c r="BE51" s="52">
        <f t="shared" si="376"/>
        <v>2.5264899499736937</v>
      </c>
      <c r="BF51" s="52"/>
      <c r="BG51" s="37">
        <v>16.2</v>
      </c>
      <c r="BK51" s="2">
        <v>0</v>
      </c>
      <c r="BM51" s="2">
        <v>0</v>
      </c>
      <c r="BO51" s="37">
        <f t="shared" si="377"/>
        <v>0.26910299003322258</v>
      </c>
      <c r="BQ51" s="2">
        <f t="shared" si="378"/>
        <v>0</v>
      </c>
      <c r="BS51" s="2">
        <f t="shared" si="379"/>
        <v>0</v>
      </c>
      <c r="BU51" s="2">
        <f t="shared" si="380"/>
        <v>0</v>
      </c>
      <c r="BW51" s="37">
        <f t="shared" si="381"/>
        <v>1.3455149501661129E-2</v>
      </c>
      <c r="BX51" s="2">
        <f t="shared" si="2"/>
        <v>0</v>
      </c>
      <c r="BY51" s="2">
        <f t="shared" si="3"/>
        <v>0</v>
      </c>
      <c r="BZ51" s="18">
        <f t="shared" si="4"/>
        <v>0</v>
      </c>
    </row>
    <row r="52" spans="1:78" ht="15" thickBot="1" x14ac:dyDescent="0.35">
      <c r="A52" s="193"/>
      <c r="B52" s="66" t="s">
        <v>63</v>
      </c>
      <c r="C52" s="65">
        <v>5</v>
      </c>
      <c r="D52" s="65" t="e">
        <f>AVERAGE(D49:D51)</f>
        <v>#DIV/0!</v>
      </c>
      <c r="E52" s="60"/>
      <c r="F52" s="60">
        <f>AVERAGE(F49:F51)</f>
        <v>1.2083333333333333</v>
      </c>
      <c r="G52" s="54">
        <f>_xlfn.STDEV.S(F49:F51)</f>
        <v>6.7515430335096993E-2</v>
      </c>
      <c r="H52" s="65">
        <f>AVERAGE(H49:H51)</f>
        <v>0.27633333333333338</v>
      </c>
      <c r="I52" s="62">
        <f t="shared" si="66"/>
        <v>7.8533933333333347E-2</v>
      </c>
      <c r="J52" s="63">
        <f t="shared" ref="J52" si="383">_xlfn.STDEV.S(I49:I51)</f>
        <v>3.609824823081211E-3</v>
      </c>
      <c r="K52" s="62">
        <f>AVERAGE(K49:K51)</f>
        <v>0.62164929063441321</v>
      </c>
      <c r="L52" s="63">
        <f t="shared" ref="L52" si="384">_xlfn.STDEV.S(K49:K51)</f>
        <v>3.2449341683691728E-2</v>
      </c>
      <c r="M52" s="124">
        <f t="shared" ref="M52" si="385">AVERAGE(M49:M51)</f>
        <v>1.898025094634711</v>
      </c>
      <c r="N52" s="120">
        <f t="shared" ref="N52" si="386">_xlfn.STDEV.S(M49:M51)</f>
        <v>0.33190657460621298</v>
      </c>
      <c r="O52" s="120">
        <f t="shared" ref="O52" si="387">AVERAGE(O49:O51)</f>
        <v>0</v>
      </c>
      <c r="P52" s="120">
        <f t="shared" ref="P52" si="388">_xlfn.STDEV.S(O49:O51)</f>
        <v>0</v>
      </c>
      <c r="Q52" s="120">
        <f t="shared" ref="Q52" si="389">AVERAGE(Q49:Q51)</f>
        <v>0.34582914127549474</v>
      </c>
      <c r="R52" s="120">
        <f t="shared" ref="R52" si="390">_xlfn.STDEV.S(Q49:Q51)</f>
        <v>0.45187196974852373</v>
      </c>
      <c r="S52" s="120">
        <f t="shared" ref="S52" si="391">AVERAGE(S49:S51)</f>
        <v>76.536186531084496</v>
      </c>
      <c r="T52" s="120">
        <f t="shared" ref="T52" si="392">_xlfn.STDEV.S(S49:S51)</f>
        <v>1.82694965647342</v>
      </c>
      <c r="U52" s="120">
        <f t="shared" ref="U52" si="393">AVERAGE(U49:U51)</f>
        <v>21.219959233005298</v>
      </c>
      <c r="V52" s="120">
        <f t="shared" ref="V52" si="394">_xlfn.STDEV.S(U49:U51)</f>
        <v>1.1178363074411848</v>
      </c>
      <c r="W52" s="120">
        <f t="shared" ref="W52" si="395">AVERAGE(W49:W51)</f>
        <v>0</v>
      </c>
      <c r="X52" s="120">
        <f t="shared" ref="X52" si="396">_xlfn.STDEV.S(W49:W51)</f>
        <v>0</v>
      </c>
      <c r="Y52" s="56">
        <v>0.10261828280765073</v>
      </c>
      <c r="Z52" s="55">
        <f t="shared" ref="Z52" si="397">_xlfn.STDEV.S(Y49:Y51)</f>
        <v>1.3354728725509477E-2</v>
      </c>
      <c r="AA52" s="55">
        <v>0</v>
      </c>
      <c r="AB52" s="55">
        <f t="shared" ref="AB52" si="398">_xlfn.STDEV.S(AA49:AA51)</f>
        <v>0</v>
      </c>
      <c r="AC52" s="55">
        <v>1.8008518129329593E-2</v>
      </c>
      <c r="AD52" s="55">
        <f t="shared" ref="AD52" si="399">_xlfn.STDEV.S(AC49:AC51)</f>
        <v>2.2963062858829271E-2</v>
      </c>
      <c r="AE52" s="55">
        <v>4.1667708968758665</v>
      </c>
      <c r="AF52" s="55">
        <f t="shared" ref="AF52" si="400">_xlfn.STDEV.S(AE49:AE51)</f>
        <v>0.33087201143711026</v>
      </c>
      <c r="AG52" s="55">
        <v>1.1519813604072657</v>
      </c>
      <c r="AH52" s="55">
        <f t="shared" ref="AH52" si="401">_xlfn.STDEV.S(AG49:AG51)</f>
        <v>6.1738106145369006E-3</v>
      </c>
      <c r="AI52" s="55">
        <v>0</v>
      </c>
      <c r="AJ52" s="55">
        <f>_xlfn.STDEV.S(AI49:AI51)</f>
        <v>0</v>
      </c>
      <c r="AK52" s="56">
        <f>AVERAGE(AK49:AK51)</f>
        <v>0.81859666763415018</v>
      </c>
      <c r="AL52" s="56">
        <f>_xlfn.STDEV.S(AK49:AK51)</f>
        <v>1.507559719563124E-3</v>
      </c>
      <c r="AM52" s="121">
        <f>AVERAGE(AM49:AM51)</f>
        <v>0.20710720663277149</v>
      </c>
      <c r="AN52" s="56">
        <f>_xlfn.STDEV.S(AM49:AM51)</f>
        <v>1.1099490969232806E-3</v>
      </c>
      <c r="AO52" s="56">
        <f>AVERAGE(AO49:AO51)</f>
        <v>1.0563978136898027</v>
      </c>
      <c r="AP52" s="56" t="e">
        <f>_xlfn.STDEV.S(AO49:AO51)</f>
        <v>#DIV/0!</v>
      </c>
      <c r="AQ52" s="121">
        <f>AVERAGE(AQ49:AQ51)</f>
        <v>2.6520171795155452E-3</v>
      </c>
      <c r="AR52" s="56" t="e">
        <f>_xlfn.STDEV.S(AQ49:AQ51)</f>
        <v>#DIV/0!</v>
      </c>
      <c r="AS52" s="56"/>
      <c r="AT52" s="56" t="e">
        <f>_xlfn.STDEV.S(AS49:AS51)</f>
        <v>#DIV/0!</v>
      </c>
      <c r="AU52" s="56">
        <f>AVERAGE(AU49:AU51)</f>
        <v>0</v>
      </c>
      <c r="AV52" s="56" t="e">
        <f>_xlfn.STDEV.S(AU49:AU51)</f>
        <v>#DIV/0!</v>
      </c>
      <c r="AW52" s="56"/>
      <c r="AX52" s="56"/>
      <c r="AY52" s="56">
        <f>SUM(AK52,AO52,AS52)</f>
        <v>1.8749944813239527</v>
      </c>
      <c r="AZ52" s="56">
        <f>AL52</f>
        <v>1.507559719563124E-3</v>
      </c>
      <c r="BA52" s="121">
        <f t="shared" ref="BA52" si="402">AVERAGE(BA49:BA51)</f>
        <v>11.926622156650273</v>
      </c>
      <c r="BB52" s="56">
        <f t="shared" ref="BB52" si="403">_xlfn.STDEV.S(BA49:BA51)</f>
        <v>0.53403682941937414</v>
      </c>
      <c r="BC52" s="121"/>
      <c r="BD52" s="56"/>
      <c r="BE52" s="121">
        <f t="shared" ref="BE52" si="404">AVERAGE(BE49:BE50)</f>
        <v>2.4091006733364075</v>
      </c>
      <c r="BF52" s="56">
        <f t="shared" ref="BF52" si="405">_xlfn.STDEV.S(BE49:BE50)</f>
        <v>0.12941568119000446</v>
      </c>
      <c r="BG52" s="60">
        <f>AVERAGE(BG49:BG51)</f>
        <v>17.790000000000003</v>
      </c>
      <c r="BH52" s="57">
        <f>_xlfn.STDEV.S(BG49:BG51)</f>
        <v>1.9318643844742323</v>
      </c>
      <c r="BI52" s="57" t="e">
        <f>AVERAGE(BI49:BI51)</f>
        <v>#DIV/0!</v>
      </c>
      <c r="BJ52" s="57" t="e">
        <f>_xlfn.STDEV.S(BI49:BI51)</f>
        <v>#DIV/0!</v>
      </c>
      <c r="BK52" s="57">
        <f>AVERAGE(BK49:BK51)</f>
        <v>0</v>
      </c>
      <c r="BL52" s="57">
        <f>_xlfn.STDEV.S(BK49:BK51)</f>
        <v>0</v>
      </c>
      <c r="BM52" s="57">
        <f>AVERAGE(BM49:BM51)</f>
        <v>0</v>
      </c>
      <c r="BN52" s="57">
        <f>_xlfn.STDEV.S(BM49:BM51)</f>
        <v>0</v>
      </c>
      <c r="BO52" s="60">
        <f t="shared" ref="BO52" si="406">AVERAGE(BO49:BO51)</f>
        <v>0.29551495016611296</v>
      </c>
      <c r="BP52" s="57">
        <f t="shared" ref="BP52" si="407">_xlfn.STDEV.S(BO49:BO51)</f>
        <v>3.2090770506216497E-2</v>
      </c>
      <c r="BQ52" s="57">
        <f t="shared" ref="BQ52" si="408">AVERAGE(BQ49:BQ51)</f>
        <v>0</v>
      </c>
      <c r="BR52" s="57">
        <f t="shared" ref="BR52" si="409">_xlfn.STDEV.S(BQ49:BQ51)</f>
        <v>0</v>
      </c>
      <c r="BS52" s="57">
        <f t="shared" ref="BS52" si="410">AVERAGE(BS49:BS51)</f>
        <v>0</v>
      </c>
      <c r="BT52" s="57">
        <f t="shared" ref="BT52" si="411">_xlfn.STDEV.S(BS49:BS51)</f>
        <v>0</v>
      </c>
      <c r="BU52" s="57">
        <f t="shared" ref="BU52" si="412">AVERAGE(BU49:BU51)</f>
        <v>0</v>
      </c>
      <c r="BV52" s="57">
        <f t="shared" ref="BV52" si="413">_xlfn.STDEV.S(BU49:BU51)</f>
        <v>0</v>
      </c>
      <c r="BW52" s="60">
        <f t="shared" ref="BW52" si="414">AVERAGE(BW49:BW51)</f>
        <v>1.4775747508305648E-2</v>
      </c>
      <c r="BX52" s="57">
        <f t="shared" si="2"/>
        <v>0</v>
      </c>
      <c r="BY52" s="57">
        <f t="shared" si="3"/>
        <v>0</v>
      </c>
      <c r="BZ52" s="61">
        <f t="shared" si="4"/>
        <v>0</v>
      </c>
    </row>
    <row r="53" spans="1:78" x14ac:dyDescent="0.3">
      <c r="A53" s="196" t="s">
        <v>105</v>
      </c>
      <c r="B53" s="70" t="s">
        <v>106</v>
      </c>
      <c r="C53" s="20">
        <v>6</v>
      </c>
      <c r="E53" s="37"/>
      <c r="F53" s="37">
        <v>1.24</v>
      </c>
      <c r="H53" s="37">
        <v>0.307</v>
      </c>
      <c r="I53" s="53">
        <f>H53*0.2842</f>
        <v>8.7249400000000005E-2</v>
      </c>
      <c r="K53" s="53">
        <f t="shared" ref="K53" si="415">(I53-$I$5)/(($AA$5-AA53)+($AI$5-AI53))*1000*0.05</f>
        <v>0.63067617262751474</v>
      </c>
      <c r="M53" s="116">
        <v>12.573184930326278</v>
      </c>
      <c r="N53" s="24"/>
      <c r="O53" s="24">
        <v>0</v>
      </c>
      <c r="P53" s="24"/>
      <c r="Q53" s="24">
        <v>8.6848897374850298E-2</v>
      </c>
      <c r="R53" s="24"/>
      <c r="S53" s="24">
        <v>60.637888015974298</v>
      </c>
      <c r="T53" s="24"/>
      <c r="U53" s="24">
        <v>26.702078156324578</v>
      </c>
      <c r="V53" s="24"/>
      <c r="W53" s="24">
        <v>0</v>
      </c>
      <c r="Y53" s="86">
        <v>0.70182616815211329</v>
      </c>
      <c r="Z53" s="85"/>
      <c r="AA53" s="85">
        <v>0</v>
      </c>
      <c r="AB53" s="85"/>
      <c r="AC53" s="85">
        <v>4.8478431829798579E-3</v>
      </c>
      <c r="AD53" s="85"/>
      <c r="AE53" s="85">
        <v>3.3847634332046548</v>
      </c>
      <c r="AF53" s="85"/>
      <c r="AG53" s="85">
        <v>1.4904908579647538</v>
      </c>
      <c r="AH53" s="85"/>
      <c r="AI53" s="85">
        <v>0</v>
      </c>
      <c r="AJ53" s="51"/>
      <c r="AK53" s="52">
        <f>(AG53-$AG$8)*8/(($AA$8-AA53)*2+2*($AI$8-AI53))</f>
        <v>0.74537024027295007</v>
      </c>
      <c r="AL53" s="52"/>
      <c r="AM53" s="52">
        <f>(AG53-$AG$5)/(($AA$5-AA53)+($AI$5-AI53))</f>
        <v>0.18793047847029026</v>
      </c>
      <c r="AN53" s="52"/>
      <c r="AO53" s="52">
        <f>(BW56-$BW$8)*8/(($AA$8-AA53)*2+2*($AI$8-AI53))</f>
        <v>1.3770227738380115E-2</v>
      </c>
      <c r="AP53" s="52"/>
      <c r="AQ53" s="52">
        <f>(BW56-$BW$8)/(($AA$5-AA53)+($AI$5-AI53))</f>
        <v>3.4569250385393969E-3</v>
      </c>
      <c r="AR53" s="52"/>
      <c r="AS53" s="52">
        <f>(BX56-$BX$8)*14/(($AA$8-AA53)*2+2*($AI$8-AI53))</f>
        <v>3.6353153292319684E-4</v>
      </c>
      <c r="AT53" s="52"/>
      <c r="AU53" s="52">
        <f>(BX56-$BX$8)/(($AA$5-AA53)+($AI$5-AI53))</f>
        <v>5.2149827764520636E-5</v>
      </c>
      <c r="AV53" s="52"/>
      <c r="AW53" s="52"/>
      <c r="AX53" s="52"/>
      <c r="AY53" s="52"/>
      <c r="AZ53" s="52"/>
      <c r="BA53" s="52">
        <f t="shared" ref="BA53:BA55" si="416">($AA$8-AA53)/((I53*0.05)*(C53*24))</f>
        <v>6.6947393802555597</v>
      </c>
      <c r="BB53" s="52"/>
      <c r="BC53" s="52">
        <f t="shared" ref="BC53:BC55" si="417">($AI$8-AI53)/((I53*0.05)*(C53*24))</f>
        <v>2.2013367941743742</v>
      </c>
      <c r="BD53" s="52"/>
      <c r="BE53" s="52">
        <f t="shared" ref="BE53:BE55" si="418">(AG53-$AG$8)/((I53*0.05)*(C53*24))</f>
        <v>1.6577176089053267</v>
      </c>
      <c r="BF53" s="52"/>
      <c r="BG53" s="37">
        <v>23.94</v>
      </c>
      <c r="BI53" s="2">
        <v>0.06</v>
      </c>
      <c r="BK53" s="2">
        <v>0</v>
      </c>
      <c r="BM53" s="2">
        <v>0</v>
      </c>
      <c r="BO53" s="37">
        <f t="shared" ref="BO53:BO55" si="419">(BG53/1000)/60.2*1000</f>
        <v>0.39767441860465119</v>
      </c>
      <c r="BQ53" s="2">
        <f t="shared" ref="BQ53:BQ55" si="420">BI53/74.08</f>
        <v>8.0993520518358531E-4</v>
      </c>
      <c r="BS53" s="2">
        <f t="shared" ref="BS53:BS55" si="421">(BK53/1000)/88.12*1000</f>
        <v>0</v>
      </c>
      <c r="BU53" s="2">
        <f t="shared" ref="BU53:BU55" si="422">BM53/88.12</f>
        <v>0</v>
      </c>
      <c r="BW53" s="37">
        <f t="shared" ref="BW53:BW55" si="423">BO53*0.05</f>
        <v>1.9883720930232562E-2</v>
      </c>
      <c r="BX53" s="2">
        <f t="shared" si="2"/>
        <v>4.0496760259179267E-5</v>
      </c>
      <c r="BY53" s="2">
        <f t="shared" si="3"/>
        <v>0</v>
      </c>
      <c r="BZ53" s="18">
        <f t="shared" si="4"/>
        <v>0</v>
      </c>
    </row>
    <row r="54" spans="1:78" x14ac:dyDescent="0.3">
      <c r="A54" s="192"/>
      <c r="B54" s="70" t="s">
        <v>107</v>
      </c>
      <c r="C54" s="20">
        <v>6</v>
      </c>
      <c r="E54" s="37"/>
      <c r="F54" s="37">
        <v>1.2</v>
      </c>
      <c r="H54" s="37">
        <v>0.32900000000000001</v>
      </c>
      <c r="I54" s="53">
        <f>H54*0.2842</f>
        <v>9.350180000000001E-2</v>
      </c>
      <c r="K54" s="53">
        <f t="shared" si="96"/>
        <v>0.68684975885344735</v>
      </c>
      <c r="M54" s="38">
        <v>12.224268347129323</v>
      </c>
      <c r="N54" s="24"/>
      <c r="O54" s="24">
        <v>0</v>
      </c>
      <c r="P54" s="24"/>
      <c r="Q54" s="24">
        <v>8.6883015909547889E-2</v>
      </c>
      <c r="R54" s="24"/>
      <c r="S54" s="24">
        <v>59.596903876955778</v>
      </c>
      <c r="T54" s="24"/>
      <c r="U54" s="24">
        <v>28.091944760005351</v>
      </c>
      <c r="V54" s="24"/>
      <c r="W54" s="24">
        <v>0</v>
      </c>
      <c r="Y54" s="52">
        <v>0.6603386077185589</v>
      </c>
      <c r="Z54" s="51"/>
      <c r="AA54" s="51">
        <v>0</v>
      </c>
      <c r="AB54" s="51"/>
      <c r="AC54" s="51">
        <v>4.6933041823785885E-3</v>
      </c>
      <c r="AD54" s="51"/>
      <c r="AE54" s="51">
        <v>3.2193449467008355</v>
      </c>
      <c r="AF54" s="51"/>
      <c r="AG54" s="51">
        <v>1.5174892405961313</v>
      </c>
      <c r="AH54" s="51"/>
      <c r="AI54" s="51">
        <v>0</v>
      </c>
      <c r="AJ54" s="51"/>
      <c r="AK54" s="52">
        <f>(AG54-$AG$8)*8/(($AA$8-AA54)*2+2*($AI$8-AI54))</f>
        <v>0.76469456384721979</v>
      </c>
      <c r="AL54" s="52"/>
      <c r="AM54" s="52">
        <f>(AG54-$AG$5)/(($AA$5-AA54)+($AI$5-AI54))</f>
        <v>0.19278172271155572</v>
      </c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>
        <f t="shared" si="416"/>
        <v>6.2470668381108103</v>
      </c>
      <c r="BB54" s="52"/>
      <c r="BC54" s="52">
        <f t="shared" si="417"/>
        <v>2.0541349416763919</v>
      </c>
      <c r="BD54" s="52"/>
      <c r="BE54" s="52">
        <f t="shared" si="418"/>
        <v>1.5869709686005349</v>
      </c>
      <c r="BF54" s="52"/>
      <c r="BG54" s="37">
        <v>21.09</v>
      </c>
      <c r="BI54" s="2">
        <v>0.56999999999999995</v>
      </c>
      <c r="BK54" s="2">
        <v>0</v>
      </c>
      <c r="BM54" s="2">
        <v>0</v>
      </c>
      <c r="BO54" s="37">
        <f t="shared" si="419"/>
        <v>0.35033222591362129</v>
      </c>
      <c r="BQ54" s="2">
        <f t="shared" si="420"/>
        <v>7.6943844492440598E-3</v>
      </c>
      <c r="BS54" s="2">
        <f t="shared" si="421"/>
        <v>0</v>
      </c>
      <c r="BU54" s="2">
        <f t="shared" si="422"/>
        <v>0</v>
      </c>
      <c r="BW54" s="37">
        <f t="shared" si="423"/>
        <v>1.7516611295681064E-2</v>
      </c>
      <c r="BX54" s="2">
        <f t="shared" si="2"/>
        <v>3.8471922246220301E-4</v>
      </c>
      <c r="BY54" s="2">
        <f t="shared" si="3"/>
        <v>0</v>
      </c>
      <c r="BZ54" s="18">
        <f t="shared" si="4"/>
        <v>0</v>
      </c>
    </row>
    <row r="55" spans="1:78" x14ac:dyDescent="0.3">
      <c r="A55" s="192"/>
      <c r="B55" s="70" t="s">
        <v>108</v>
      </c>
      <c r="C55" s="20">
        <v>6</v>
      </c>
      <c r="E55" s="37"/>
      <c r="F55" s="37">
        <v>1.18</v>
      </c>
      <c r="H55" s="37">
        <v>0.34100000000000003</v>
      </c>
      <c r="I55" s="53">
        <f>H55*0.2842</f>
        <v>9.6912200000000004E-2</v>
      </c>
      <c r="K55" s="53">
        <f t="shared" si="96"/>
        <v>0.71748989679486497</v>
      </c>
      <c r="M55" s="38">
        <v>15.181013129843906</v>
      </c>
      <c r="N55" s="24"/>
      <c r="O55" s="24">
        <v>0</v>
      </c>
      <c r="P55" s="24"/>
      <c r="Q55" s="24">
        <v>7.2222874209097843E-2</v>
      </c>
      <c r="R55" s="24"/>
      <c r="S55" s="24">
        <v>53.817794691408515</v>
      </c>
      <c r="T55" s="24"/>
      <c r="U55" s="24">
        <v>30.928969304538484</v>
      </c>
      <c r="V55" s="24"/>
      <c r="W55" s="24">
        <v>0</v>
      </c>
      <c r="Y55" s="52">
        <v>0.80639036841289036</v>
      </c>
      <c r="Z55" s="51"/>
      <c r="AA55" s="51">
        <v>0</v>
      </c>
      <c r="AB55" s="51"/>
      <c r="AC55" s="51">
        <v>3.8363599084714766E-3</v>
      </c>
      <c r="AD55" s="51"/>
      <c r="AE55" s="51">
        <v>2.8587124533249408</v>
      </c>
      <c r="AF55" s="51"/>
      <c r="AG55" s="51">
        <v>1.6428958158983034</v>
      </c>
      <c r="AH55" s="51"/>
      <c r="AI55" s="51">
        <v>0</v>
      </c>
      <c r="AJ55" s="51"/>
      <c r="AK55" s="52"/>
      <c r="AL55" s="52"/>
      <c r="AM55" s="52">
        <f>(AG55-$AG$5)/(($AA$5-AA55)+($AI$5-AI55))</f>
        <v>0.21531558833446995</v>
      </c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>
        <f t="shared" si="416"/>
        <v>6.0272287089104308</v>
      </c>
      <c r="BB55" s="52"/>
      <c r="BC55" s="52">
        <f t="shared" si="417"/>
        <v>1.9818486680690115</v>
      </c>
      <c r="BD55" s="52"/>
      <c r="BE55" s="52">
        <f t="shared" si="418"/>
        <v>1.710849841557337</v>
      </c>
      <c r="BF55" s="52"/>
      <c r="BG55" s="37">
        <v>24.52</v>
      </c>
      <c r="BI55" s="2">
        <v>0.66</v>
      </c>
      <c r="BK55" s="2">
        <v>0</v>
      </c>
      <c r="BM55" s="2">
        <v>0</v>
      </c>
      <c r="BO55" s="37">
        <f t="shared" si="419"/>
        <v>0.40730897009966777</v>
      </c>
      <c r="BQ55" s="2">
        <f t="shared" si="420"/>
        <v>8.9092872570194388E-3</v>
      </c>
      <c r="BS55" s="2">
        <f t="shared" si="421"/>
        <v>0</v>
      </c>
      <c r="BU55" s="2">
        <f t="shared" si="422"/>
        <v>0</v>
      </c>
      <c r="BW55" s="37">
        <f t="shared" si="423"/>
        <v>2.036544850498339E-2</v>
      </c>
      <c r="BX55" s="2">
        <f t="shared" si="2"/>
        <v>4.4546436285097194E-4</v>
      </c>
      <c r="BY55" s="2">
        <f t="shared" si="3"/>
        <v>0</v>
      </c>
      <c r="BZ55" s="18">
        <f t="shared" si="4"/>
        <v>0</v>
      </c>
    </row>
    <row r="56" spans="1:78" x14ac:dyDescent="0.3">
      <c r="A56" s="197"/>
      <c r="B56" s="83" t="s">
        <v>63</v>
      </c>
      <c r="C56" s="80">
        <v>6</v>
      </c>
      <c r="D56" s="80" t="e">
        <f>AVERAGE(D53:D55)</f>
        <v>#DIV/0!</v>
      </c>
      <c r="E56" s="78"/>
      <c r="F56" s="78">
        <f t="shared" ref="F56:I56" si="424">AVERAGE(F53:F55)</f>
        <v>1.2066666666666668</v>
      </c>
      <c r="G56" s="73">
        <f>_xlfn.STDEV.S(F53:F55)</f>
        <v>3.0550504633038961E-2</v>
      </c>
      <c r="H56" s="78">
        <f t="shared" si="424"/>
        <v>0.32566666666666672</v>
      </c>
      <c r="I56" s="82">
        <f t="shared" si="424"/>
        <v>9.2554466666666668E-2</v>
      </c>
      <c r="J56" s="82">
        <f t="shared" ref="J56" si="425">_xlfn.STDEV.S(I53:I55)</f>
        <v>4.9005618344566708E-3</v>
      </c>
      <c r="K56" s="82">
        <f t="shared" si="108"/>
        <v>0.67833860942527568</v>
      </c>
      <c r="L56" s="82">
        <f>_xlfn.STDEV.S(K53:K55)</f>
        <v>4.4028234400128881E-2</v>
      </c>
      <c r="M56" s="117">
        <f t="shared" ref="M56" si="426">AVERAGE(M53:M55)</f>
        <v>13.326155469099836</v>
      </c>
      <c r="N56" s="118">
        <f t="shared" ref="N56" si="427">_xlfn.STDEV.S(M53:M55)</f>
        <v>1.6157996168223285</v>
      </c>
      <c r="O56" s="118">
        <f t="shared" ref="O56" si="428">AVERAGE(O53:O55)</f>
        <v>0</v>
      </c>
      <c r="P56" s="118">
        <f t="shared" ref="P56" si="429">_xlfn.STDEV.S(O53:O55)</f>
        <v>0</v>
      </c>
      <c r="Q56" s="118">
        <f t="shared" ref="Q56" si="430">AVERAGE(Q53:Q55)</f>
        <v>8.1984929164498677E-2</v>
      </c>
      <c r="R56" s="118">
        <f t="shared" ref="R56" si="431">_xlfn.STDEV.S(Q53:Q55)</f>
        <v>8.4542047960054732E-3</v>
      </c>
      <c r="S56" s="118">
        <f t="shared" ref="S56" si="432">AVERAGE(S53:S55)</f>
        <v>58.017528861446202</v>
      </c>
      <c r="T56" s="118">
        <f t="shared" ref="T56" si="433">_xlfn.STDEV.S(S53:S55)</f>
        <v>3.6741308249242572</v>
      </c>
      <c r="U56" s="118">
        <f t="shared" ref="U56" si="434">AVERAGE(U53:U55)</f>
        <v>28.574330740289469</v>
      </c>
      <c r="V56" s="118">
        <f t="shared" ref="V56" si="435">_xlfn.STDEV.S(U53:U55)</f>
        <v>2.1543384994455423</v>
      </c>
      <c r="W56" s="118">
        <f t="shared" ref="W56" si="436">AVERAGE(W53:W55)</f>
        <v>0</v>
      </c>
      <c r="X56" s="76">
        <f t="shared" ref="X56" si="437">_xlfn.STDEV.S(W53:W55)</f>
        <v>0</v>
      </c>
      <c r="Y56" s="74">
        <v>0.72386030280399905</v>
      </c>
      <c r="Z56" s="73">
        <f t="shared" ref="Z56" si="438">_xlfn.STDEV.S(Y53:Y55)</f>
        <v>7.5261772555104828E-2</v>
      </c>
      <c r="AA56" s="73">
        <v>0</v>
      </c>
      <c r="AB56" s="73">
        <f t="shared" ref="AB56" si="439">_xlfn.STDEV.S(AA53:AA55)</f>
        <v>0</v>
      </c>
      <c r="AC56" s="73">
        <v>4.4533200732939614E-3</v>
      </c>
      <c r="AD56" s="73">
        <f t="shared" ref="AD56" si="440">_xlfn.STDEV.S(AC53:AC55)</f>
        <v>5.4487524656249276E-4</v>
      </c>
      <c r="AE56" s="73">
        <v>3.151440496620816</v>
      </c>
      <c r="AF56" s="73">
        <f t="shared" ref="AF56" si="441">_xlfn.STDEV.S(AE53:AE55)</f>
        <v>0.26899464195039779</v>
      </c>
      <c r="AG56" s="73">
        <v>1.5521223469175627</v>
      </c>
      <c r="AH56" s="73">
        <f t="shared" ref="AH56" si="442">_xlfn.STDEV.S(AG53:AG55)</f>
        <v>8.1325470586256707E-2</v>
      </c>
      <c r="AI56" s="73">
        <v>0</v>
      </c>
      <c r="AJ56" s="73">
        <f>_xlfn.STDEV.S(AI53:AI55)</f>
        <v>0</v>
      </c>
      <c r="AK56" s="74">
        <f>AVERAGE(AK53:AK55)</f>
        <v>0.75503240206008493</v>
      </c>
      <c r="AL56" s="74">
        <f>_xlfn.STDEV.S(AK53:AK54)</f>
        <v>1.366436024120918E-2</v>
      </c>
      <c r="AM56" s="74">
        <f>AVERAGE(AM53:AM55)</f>
        <v>0.198675929838772</v>
      </c>
      <c r="AN56" s="74">
        <f>_xlfn.STDEV.S(AM53:AM54)</f>
        <v>3.4303477001909922E-3</v>
      </c>
      <c r="AO56" s="74">
        <f>AVERAGE(AO53:AO55)</f>
        <v>1.3770227738380115E-2</v>
      </c>
      <c r="AP56" s="74" t="e">
        <f>_xlfn.STDEV.S(AO53:AO54)</f>
        <v>#DIV/0!</v>
      </c>
      <c r="AQ56" s="74">
        <f>AVERAGE(AQ53:AQ55)</f>
        <v>3.4569250385393969E-3</v>
      </c>
      <c r="AR56" s="74" t="e">
        <f>_xlfn.STDEV.S(AQ53:AQ54)</f>
        <v>#DIV/0!</v>
      </c>
      <c r="AS56" s="74">
        <f>AVERAGE(AS53:AS55)</f>
        <v>3.6353153292319684E-4</v>
      </c>
      <c r="AT56" s="74" t="e">
        <f>_xlfn.STDEV.S(AS53:AS54)</f>
        <v>#DIV/0!</v>
      </c>
      <c r="AU56" s="74">
        <f>AVERAGE(AU53:AU55)</f>
        <v>5.2149827764520636E-5</v>
      </c>
      <c r="AV56" s="74" t="e">
        <f>_xlfn.STDEV.S(AU53:AU54)</f>
        <v>#DIV/0!</v>
      </c>
      <c r="AW56" s="74"/>
      <c r="AX56" s="74"/>
      <c r="AY56" s="74">
        <f>SUM(AK56,AO56,AS56)</f>
        <v>0.76916616133138827</v>
      </c>
      <c r="AZ56" s="74">
        <f>SUM(AL56)</f>
        <v>1.366436024120918E-2</v>
      </c>
      <c r="BA56" s="74">
        <f t="shared" ref="BA56" si="443">AVERAGE(BA53:BA55)</f>
        <v>6.3230116424256009</v>
      </c>
      <c r="BB56" s="74">
        <f t="shared" ref="BB56" si="444">_xlfn.STDEV.S(BA53:BA55)</f>
        <v>0.34017397617500811</v>
      </c>
      <c r="BC56" s="74">
        <f t="shared" ref="BC56" si="445">AVERAGE(BC53:BC55)</f>
        <v>2.0791068013065925</v>
      </c>
      <c r="BD56" s="74">
        <f t="shared" ref="BD56" si="446">_xlfn.STDEV.S(BC53:BC55)</f>
        <v>0.11185461414422625</v>
      </c>
      <c r="BE56" s="74">
        <f t="shared" ref="BE56" si="447">AVERAGE(BE53:BE54)</f>
        <v>1.6223442887529309</v>
      </c>
      <c r="BF56" s="74">
        <f t="shared" ref="BF56" si="448">_xlfn.STDEV.S(BE53:BE54)</f>
        <v>5.0025429105683819E-2</v>
      </c>
      <c r="BG56" s="78">
        <f>AVERAGE(BG53:BG55)</f>
        <v>23.183333333333334</v>
      </c>
      <c r="BH56" s="75">
        <f>_xlfn.STDEV.S(BG53:BG55)</f>
        <v>1.8359284662898319</v>
      </c>
      <c r="BI56" s="75">
        <f>AVERAGE(BI53:BI55)</f>
        <v>0.43</v>
      </c>
      <c r="BJ56" s="75">
        <f>_xlfn.STDEV.S(BI53:BI55)</f>
        <v>0.32357379374726863</v>
      </c>
      <c r="BK56" s="75">
        <f>AVERAGE(BK53:BK55)</f>
        <v>0</v>
      </c>
      <c r="BL56" s="75">
        <f>_xlfn.STDEV.S(BK53:BK55)</f>
        <v>0</v>
      </c>
      <c r="BM56" s="75">
        <f>AVERAGE(BM53:BM55)</f>
        <v>0</v>
      </c>
      <c r="BN56" s="75">
        <f>_xlfn.STDEV.S(BM53:BM55)</f>
        <v>0</v>
      </c>
      <c r="BO56" s="78">
        <f t="shared" ref="BO56" si="449">AVERAGE(BO53:BO55)</f>
        <v>0.38510520487264671</v>
      </c>
      <c r="BP56" s="75">
        <f t="shared" ref="BP56" si="450">_xlfn.STDEV.S(BO53:BO55)</f>
        <v>3.0497150602821113E-2</v>
      </c>
      <c r="BQ56" s="75">
        <f t="shared" ref="BQ56" si="451">AVERAGE(BQ53:BQ55)</f>
        <v>5.8045356371490275E-3</v>
      </c>
      <c r="BR56" s="75">
        <f t="shared" ref="BR56" si="452">_xlfn.STDEV.S(BQ53:BQ55)</f>
        <v>4.3678967838454213E-3</v>
      </c>
      <c r="BS56" s="75">
        <f t="shared" ref="BS56" si="453">AVERAGE(BS53:BS55)</f>
        <v>0</v>
      </c>
      <c r="BT56" s="75">
        <f t="shared" ref="BT56" si="454">_xlfn.STDEV.S(BS53:BS55)</f>
        <v>0</v>
      </c>
      <c r="BU56" s="75">
        <f t="shared" ref="BU56" si="455">AVERAGE(BU53:BU55)</f>
        <v>0</v>
      </c>
      <c r="BV56" s="75">
        <f t="shared" ref="BV56" si="456">_xlfn.STDEV.S(BU53:BU55)</f>
        <v>0</v>
      </c>
      <c r="BW56" s="78">
        <f t="shared" ref="BW56" si="457">AVERAGE(BW53:BW55)</f>
        <v>1.925526024363234E-2</v>
      </c>
      <c r="BX56" s="75">
        <f t="shared" si="2"/>
        <v>2.9022678185745138E-4</v>
      </c>
      <c r="BY56" s="75">
        <f t="shared" si="3"/>
        <v>0</v>
      </c>
      <c r="BZ56" s="119">
        <f t="shared" si="4"/>
        <v>0</v>
      </c>
    </row>
    <row r="57" spans="1:78" x14ac:dyDescent="0.3">
      <c r="A57" s="192" t="s">
        <v>57</v>
      </c>
      <c r="B57" s="70" t="s">
        <v>109</v>
      </c>
      <c r="C57" s="20">
        <v>6</v>
      </c>
      <c r="E57" s="37"/>
      <c r="F57" s="37">
        <v>1.2</v>
      </c>
      <c r="H57" s="37">
        <v>0.23</v>
      </c>
      <c r="I57" s="53">
        <f>H57*0.2842</f>
        <v>6.5366000000000007E-2</v>
      </c>
      <c r="K57" s="53">
        <f t="shared" ref="K57:K58" si="458">(I57-$I$9)/(($AA$9-AA57)+($AI$9-AI57))*1000*0.05</f>
        <v>0.50328045310265501</v>
      </c>
      <c r="M57" s="38">
        <v>2.1479158531953506</v>
      </c>
      <c r="N57" s="24"/>
      <c r="O57" s="24">
        <v>0</v>
      </c>
      <c r="P57" s="24"/>
      <c r="Q57" s="24">
        <v>8.8949592567398053E-2</v>
      </c>
      <c r="R57" s="24"/>
      <c r="S57" s="24">
        <v>76.734281780959265</v>
      </c>
      <c r="T57" s="24"/>
      <c r="U57" s="24">
        <v>21.028852773277972</v>
      </c>
      <c r="V57" s="24"/>
      <c r="W57" s="24">
        <v>0</v>
      </c>
      <c r="Y57" s="52">
        <v>0.11602753831305707</v>
      </c>
      <c r="Z57" s="51"/>
      <c r="AA57" s="51">
        <v>0</v>
      </c>
      <c r="AB57" s="51"/>
      <c r="AC57" s="51">
        <v>4.804937886272934E-3</v>
      </c>
      <c r="AD57" s="51"/>
      <c r="AE57" s="51">
        <v>4.1450831539886321</v>
      </c>
      <c r="AF57" s="51"/>
      <c r="AG57" s="51">
        <v>1.1359504690099411</v>
      </c>
      <c r="AH57" s="51"/>
      <c r="AI57" s="51">
        <v>0</v>
      </c>
      <c r="AJ57" s="51"/>
      <c r="AK57" s="52">
        <f>(AG57-$AG$12)*8/(($AA$12-AA57)*2)</f>
        <v>0.80963567861765795</v>
      </c>
      <c r="AL57" s="52"/>
      <c r="AM57" s="52">
        <f>(AG57-$AG$9)/(($AA$9-AA57)+($AI$9-AI57))</f>
        <v>0.20422511734622309</v>
      </c>
      <c r="AN57" s="52"/>
      <c r="AO57" s="52">
        <f>(BW60-$BW$12)*8/(($AA$8-AA57)*2+2*($AI$8-AI57))</f>
        <v>1.0514437815490701E-2</v>
      </c>
      <c r="AP57" s="52"/>
      <c r="AQ57" s="52">
        <f>(BW60-$BW$8)/(($AA$5-AA57)+($AI$5-AI57))</f>
        <v>2.639580407898984E-3</v>
      </c>
      <c r="AR57" s="52"/>
      <c r="AS57" s="52">
        <f>(BX60-$BX$12)*14/(($AA$8-AA57)*2+2*($AI$8-AI57))</f>
        <v>0</v>
      </c>
      <c r="AT57" s="52"/>
      <c r="AU57" s="52">
        <f>(BX60-$BX$8)/(($AA$5-AA57)+($AI$5-AI57))</f>
        <v>0</v>
      </c>
      <c r="AV57" s="52"/>
      <c r="AW57" s="52"/>
      <c r="AX57" s="52"/>
      <c r="AY57" s="52"/>
      <c r="AZ57" s="52"/>
      <c r="BA57" s="52">
        <f t="shared" ref="BA57:BA59" si="459">($AA$12-AA57)/((I57*0.05)*(C57*24))</f>
        <v>11.924641799933923</v>
      </c>
      <c r="BB57" s="52"/>
      <c r="BC57" s="52"/>
      <c r="BD57" s="52"/>
      <c r="BE57" s="52">
        <f t="shared" ref="BE57:BE59" si="460">(AG57-$AG$12)/((I57*0.05)*(C57*24))</f>
        <v>2.4136538639904983</v>
      </c>
      <c r="BF57" s="52"/>
      <c r="BG57" s="37">
        <v>17.29</v>
      </c>
      <c r="BK57" s="2">
        <v>0</v>
      </c>
      <c r="BM57" s="2">
        <v>0</v>
      </c>
      <c r="BO57" s="37">
        <f t="shared" ref="BO57:BO59" si="461">(BG57/1000)/60.2*1000</f>
        <v>0.28720930232558134</v>
      </c>
      <c r="BQ57" s="2">
        <f t="shared" ref="BQ57:BQ59" si="462">BI57/74.08</f>
        <v>0</v>
      </c>
      <c r="BS57" s="2">
        <f t="shared" ref="BS57:BS59" si="463">(BK57/1000)/88.12*1000</f>
        <v>0</v>
      </c>
      <c r="BU57" s="2">
        <f t="shared" ref="BU57:BU59" si="464">BM57/88.12</f>
        <v>0</v>
      </c>
      <c r="BW57" s="37">
        <f t="shared" ref="BW57:BW59" si="465">BO57*0.05</f>
        <v>1.4360465116279067E-2</v>
      </c>
      <c r="BX57" s="2">
        <f t="shared" si="2"/>
        <v>0</v>
      </c>
      <c r="BY57" s="2">
        <f t="shared" si="3"/>
        <v>0</v>
      </c>
      <c r="BZ57" s="18">
        <f t="shared" si="4"/>
        <v>0</v>
      </c>
    </row>
    <row r="58" spans="1:78" x14ac:dyDescent="0.3">
      <c r="A58" s="192"/>
      <c r="B58" s="70" t="s">
        <v>110</v>
      </c>
      <c r="C58" s="20">
        <v>6</v>
      </c>
      <c r="E58" s="37"/>
      <c r="F58" s="37">
        <v>1.105</v>
      </c>
      <c r="H58" s="37">
        <v>0.22900000000000001</v>
      </c>
      <c r="I58" s="53">
        <f>H58*0.2842</f>
        <v>6.5081800000000009E-2</v>
      </c>
      <c r="K58" s="53">
        <f t="shared" si="458"/>
        <v>0.50072572999045872</v>
      </c>
      <c r="M58" s="38">
        <v>2.2605163136014266</v>
      </c>
      <c r="N58" s="24"/>
      <c r="O58" s="24">
        <v>0</v>
      </c>
      <c r="P58" s="24"/>
      <c r="Q58" s="24">
        <v>9.2626587670105384E-2</v>
      </c>
      <c r="R58" s="24"/>
      <c r="S58" s="24">
        <v>74.993256678912232</v>
      </c>
      <c r="T58" s="24"/>
      <c r="U58" s="24">
        <v>22.653600419816232</v>
      </c>
      <c r="V58" s="24"/>
      <c r="W58" s="24">
        <v>0</v>
      </c>
      <c r="Y58" s="52">
        <v>0.11244301764538116</v>
      </c>
      <c r="Z58" s="51"/>
      <c r="AA58" s="51">
        <v>0</v>
      </c>
      <c r="AB58" s="51"/>
      <c r="AC58" s="51">
        <v>4.6074487360047919E-3</v>
      </c>
      <c r="AD58" s="51"/>
      <c r="AE58" s="51">
        <v>3.7303283472425037</v>
      </c>
      <c r="AF58" s="51"/>
      <c r="AG58" s="51">
        <v>1.1268395527208475</v>
      </c>
      <c r="AH58" s="51"/>
      <c r="AI58" s="51">
        <v>0</v>
      </c>
      <c r="AJ58" s="51"/>
      <c r="AK58" s="52">
        <f>(AG58-$AG$12)*8/(($AA$12-AA58)*2)</f>
        <v>0.80314197744512517</v>
      </c>
      <c r="AL58" s="52"/>
      <c r="AM58" s="52">
        <f t="shared" ref="AM58:AM59" si="466">(AG58-$AG$9)/(($AA$9-AA58)+($AI$9-AI58))</f>
        <v>0.20258712519864866</v>
      </c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>
        <f t="shared" si="459"/>
        <v>11.976714471549355</v>
      </c>
      <c r="BB58" s="52"/>
      <c r="BC58" s="52"/>
      <c r="BD58" s="52"/>
      <c r="BE58" s="52">
        <f t="shared" si="460"/>
        <v>2.4047505359939492</v>
      </c>
      <c r="BF58" s="52"/>
      <c r="BG58" s="37">
        <v>19.78</v>
      </c>
      <c r="BK58" s="2">
        <v>0</v>
      </c>
      <c r="BM58" s="2">
        <v>0</v>
      </c>
      <c r="BO58" s="37">
        <f t="shared" si="461"/>
        <v>0.32857142857142863</v>
      </c>
      <c r="BQ58" s="2">
        <f t="shared" si="462"/>
        <v>0</v>
      </c>
      <c r="BS58" s="2">
        <f t="shared" si="463"/>
        <v>0</v>
      </c>
      <c r="BU58" s="2">
        <f t="shared" si="464"/>
        <v>0</v>
      </c>
      <c r="BW58" s="37">
        <f t="shared" si="465"/>
        <v>1.6428571428571431E-2</v>
      </c>
      <c r="BX58" s="2">
        <f t="shared" si="2"/>
        <v>0</v>
      </c>
      <c r="BY58" s="2">
        <f t="shared" si="3"/>
        <v>0</v>
      </c>
      <c r="BZ58" s="18">
        <f t="shared" si="4"/>
        <v>0</v>
      </c>
    </row>
    <row r="59" spans="1:78" x14ac:dyDescent="0.3">
      <c r="A59" s="192"/>
      <c r="B59" s="70" t="s">
        <v>111</v>
      </c>
      <c r="C59" s="20">
        <v>6</v>
      </c>
      <c r="E59" s="37"/>
      <c r="F59" s="37">
        <v>1.27</v>
      </c>
      <c r="H59" s="37">
        <v>0.219</v>
      </c>
      <c r="I59" s="53">
        <f>H59*0.2842</f>
        <v>6.2239800000000005E-2</v>
      </c>
      <c r="K59" s="53">
        <f>(I59-$I$9)/(($AA$9-AA59)+($AI$9-AI59))*1000*0.05</f>
        <v>0.47517849886849661</v>
      </c>
      <c r="M59" s="38">
        <v>1.5762048240567237</v>
      </c>
      <c r="N59" s="24"/>
      <c r="O59" s="24">
        <v>0</v>
      </c>
      <c r="P59" s="24"/>
      <c r="Q59" s="24">
        <v>7.7302947424781887E-2</v>
      </c>
      <c r="R59" s="24"/>
      <c r="S59" s="24">
        <v>78.166057193136268</v>
      </c>
      <c r="T59" s="24"/>
      <c r="U59" s="24">
        <v>20.180435035382228</v>
      </c>
      <c r="V59" s="24"/>
      <c r="W59" s="24">
        <v>0</v>
      </c>
      <c r="Y59" s="52">
        <v>9.0111235030579606E-2</v>
      </c>
      <c r="Z59" s="51"/>
      <c r="AA59" s="51">
        <v>0</v>
      </c>
      <c r="AB59" s="51"/>
      <c r="AC59" s="51">
        <v>4.4193901437395763E-3</v>
      </c>
      <c r="AD59" s="51"/>
      <c r="AE59" s="51">
        <v>4.4687339130304213</v>
      </c>
      <c r="AF59" s="51"/>
      <c r="AG59" s="51">
        <v>1.1537104167797092</v>
      </c>
      <c r="AH59" s="51"/>
      <c r="AI59" s="51">
        <v>0</v>
      </c>
      <c r="AJ59" s="51"/>
      <c r="AL59" s="52"/>
      <c r="AM59" s="52">
        <f t="shared" si="466"/>
        <v>0.20741806238766039</v>
      </c>
      <c r="AN59" s="52"/>
      <c r="AP59" s="52"/>
      <c r="AQ59" s="52"/>
      <c r="AR59" s="52"/>
      <c r="AT59" s="52"/>
      <c r="AU59" s="52"/>
      <c r="AV59" s="52"/>
      <c r="AW59" s="52"/>
      <c r="AX59" s="52"/>
      <c r="AY59" s="52"/>
      <c r="AZ59" s="52"/>
      <c r="BA59" s="52">
        <f t="shared" si="459"/>
        <v>12.523596410889509</v>
      </c>
      <c r="BB59" s="52"/>
      <c r="BC59" s="52"/>
      <c r="BD59" s="52"/>
      <c r="BE59" s="52">
        <f t="shared" si="460"/>
        <v>2.5745191643622038</v>
      </c>
      <c r="BF59" s="52"/>
      <c r="BG59" s="37">
        <v>16.05</v>
      </c>
      <c r="BK59" s="2">
        <v>0</v>
      </c>
      <c r="BM59" s="2">
        <v>0</v>
      </c>
      <c r="BO59" s="37">
        <f t="shared" si="461"/>
        <v>0.26661129568106312</v>
      </c>
      <c r="BQ59" s="2">
        <f t="shared" si="462"/>
        <v>0</v>
      </c>
      <c r="BS59" s="2">
        <f t="shared" si="463"/>
        <v>0</v>
      </c>
      <c r="BU59" s="2">
        <f t="shared" si="464"/>
        <v>0</v>
      </c>
      <c r="BW59" s="37">
        <f t="shared" si="465"/>
        <v>1.3330564784053157E-2</v>
      </c>
      <c r="BX59" s="2">
        <f t="shared" si="2"/>
        <v>0</v>
      </c>
      <c r="BY59" s="2">
        <f t="shared" si="3"/>
        <v>0</v>
      </c>
      <c r="BZ59" s="18">
        <f t="shared" si="4"/>
        <v>0</v>
      </c>
    </row>
    <row r="60" spans="1:78" ht="15" thickBot="1" x14ac:dyDescent="0.35">
      <c r="A60" s="193"/>
      <c r="B60" s="66" t="s">
        <v>63</v>
      </c>
      <c r="C60" s="65">
        <v>6</v>
      </c>
      <c r="D60" s="65" t="e">
        <f>AVERAGE(D57:D59)</f>
        <v>#DIV/0!</v>
      </c>
      <c r="E60" s="60"/>
      <c r="F60" s="60">
        <f>AVERAGE(F57:F59)</f>
        <v>1.1916666666666667</v>
      </c>
      <c r="G60" s="54">
        <f>_xlfn.STDEV.S(F57:F59)</f>
        <v>8.2815054992032316E-2</v>
      </c>
      <c r="H60" s="65">
        <f>AVERAGE(H57:H59)</f>
        <v>0.22600000000000001</v>
      </c>
      <c r="I60" s="62">
        <f t="shared" si="66"/>
        <v>6.42292E-2</v>
      </c>
      <c r="J60" s="62">
        <f t="shared" ref="J60" si="467">_xlfn.STDEV.S(I57:I59)</f>
        <v>1.7287211111107559E-3</v>
      </c>
      <c r="K60" s="62">
        <f t="shared" si="151"/>
        <v>0.49306156065387013</v>
      </c>
      <c r="L60" s="62">
        <f t="shared" ref="L60" si="468">_xlfn.STDEV.S(K57:K59)</f>
        <v>1.5539774022153993E-2</v>
      </c>
      <c r="M60" s="38">
        <f t="shared" ref="M60" si="469">AVERAGE(M57:M59)</f>
        <v>1.9948789969511669</v>
      </c>
      <c r="N60" s="24">
        <f t="shared" ref="N60" si="470">_xlfn.STDEV.S(M57:M59)</f>
        <v>0.36692746314162678</v>
      </c>
      <c r="O60" s="120">
        <f t="shared" ref="O60" si="471">AVERAGE(O57:O59)</f>
        <v>0</v>
      </c>
      <c r="P60" s="24">
        <f t="shared" ref="P60" si="472">_xlfn.STDEV.S(O57:O59)</f>
        <v>0</v>
      </c>
      <c r="Q60" s="120">
        <f t="shared" ref="Q60" si="473">AVERAGE(Q57:Q59)</f>
        <v>8.6293042554095103E-2</v>
      </c>
      <c r="R60" s="24">
        <f t="shared" ref="R60" si="474">_xlfn.STDEV.S(Q57:Q59)</f>
        <v>7.9997769388845709E-3</v>
      </c>
      <c r="S60" s="120">
        <f t="shared" ref="S60" si="475">AVERAGE(S57:S59)</f>
        <v>76.631198551002583</v>
      </c>
      <c r="T60" s="120">
        <f t="shared" ref="T60" si="476">_xlfn.STDEV.S(S57:S59)</f>
        <v>1.5889101264668191</v>
      </c>
      <c r="U60" s="120">
        <f t="shared" ref="U60" si="477">AVERAGE(U57:U59)</f>
        <v>21.287629409492144</v>
      </c>
      <c r="V60" s="120">
        <f t="shared" ref="V60" si="478">_xlfn.STDEV.S(U57:U59)</f>
        <v>1.2567262093544445</v>
      </c>
      <c r="W60" s="120">
        <f t="shared" ref="W60" si="479">AVERAGE(W57:W59)</f>
        <v>0</v>
      </c>
      <c r="X60" s="120">
        <f t="shared" ref="X60" si="480">_xlfn.STDEV.S(W57:W59)</f>
        <v>0</v>
      </c>
      <c r="Y60" s="56">
        <v>0.10619393032967261</v>
      </c>
      <c r="Z60" s="55">
        <f t="shared" ref="Z60" si="481">_xlfn.STDEV.S(Y57:Y59)</f>
        <v>1.4042863424773811E-2</v>
      </c>
      <c r="AA60" s="55">
        <v>0</v>
      </c>
      <c r="AB60" s="55">
        <f t="shared" ref="AB60" si="482">_xlfn.STDEV.S(AA57:AA59)</f>
        <v>0</v>
      </c>
      <c r="AC60" s="55">
        <v>4.6105922553391007E-3</v>
      </c>
      <c r="AD60" s="55">
        <f t="shared" ref="AD60" si="483">_xlfn.STDEV.S(AC57:AC59)</f>
        <v>1.9279309305184132E-4</v>
      </c>
      <c r="AE60" s="55">
        <v>4.1147151380871856</v>
      </c>
      <c r="AF60" s="55">
        <f t="shared" ref="AF60" si="484">_xlfn.STDEV.S(AE57:AE59)</f>
        <v>0.37013829468049719</v>
      </c>
      <c r="AG60" s="55">
        <v>1.1388334795034993</v>
      </c>
      <c r="AH60" s="55">
        <f t="shared" ref="AH60" si="485">_xlfn.STDEV.S(AG57:AG59)</f>
        <v>1.3665454472754711E-2</v>
      </c>
      <c r="AI60" s="55">
        <v>0</v>
      </c>
      <c r="AJ60" s="55">
        <f>_xlfn.STDEV.S(AI57:AI59)</f>
        <v>0</v>
      </c>
      <c r="AK60" s="56">
        <f>AVERAGE(AK57:AK59)</f>
        <v>0.80638882803139156</v>
      </c>
      <c r="AL60" s="56">
        <f>_xlfn.STDEV.S(AK57:AK59)</f>
        <v>4.5917401340969666E-3</v>
      </c>
      <c r="AM60" s="121">
        <f>AVERAGE(AM57:AM59)</f>
        <v>0.20474343497751071</v>
      </c>
      <c r="AN60" s="56">
        <f>_xlfn.STDEV.S(AM57:AM59)</f>
        <v>2.456822827601097E-3</v>
      </c>
      <c r="AO60" s="56">
        <f>AVERAGE(AO57:AO59)</f>
        <v>1.0514437815490701E-2</v>
      </c>
      <c r="AP60" s="56" t="e">
        <f>_xlfn.STDEV.S(AO57:AO59)</f>
        <v>#DIV/0!</v>
      </c>
      <c r="AQ60" s="121">
        <f>AVERAGE(AQ57:AQ59)</f>
        <v>2.639580407898984E-3</v>
      </c>
      <c r="AR60" s="56" t="e">
        <f>_xlfn.STDEV.S(AQ57:AQ59)</f>
        <v>#DIV/0!</v>
      </c>
      <c r="AS60" s="56">
        <f>AVERAGE(AS57:AS59)</f>
        <v>0</v>
      </c>
      <c r="AT60" s="56" t="e">
        <f>_xlfn.STDEV.S(AS57:AS59)</f>
        <v>#DIV/0!</v>
      </c>
      <c r="AU60" s="56">
        <f>AVERAGE(AU57:AU59)</f>
        <v>0</v>
      </c>
      <c r="AV60" s="56" t="e">
        <f>_xlfn.STDEV.S(AU57:AU59)</f>
        <v>#DIV/0!</v>
      </c>
      <c r="AW60" s="56"/>
      <c r="AX60" s="56"/>
      <c r="AY60" s="56">
        <f>SUM(AK60,AO60,AS60)</f>
        <v>0.81690326584688222</v>
      </c>
      <c r="AZ60" s="56">
        <f>AL60</f>
        <v>4.5917401340969666E-3</v>
      </c>
      <c r="BA60" s="121">
        <f t="shared" ref="BA60" si="486">AVERAGE(BA57:BA59)</f>
        <v>12.141650894124263</v>
      </c>
      <c r="BB60" s="56">
        <f t="shared" ref="BB60" si="487">_xlfn.STDEV.S(BA57:BA59)</f>
        <v>0.33179764030971565</v>
      </c>
      <c r="BC60" s="121"/>
      <c r="BD60" s="56"/>
      <c r="BE60" s="121">
        <f t="shared" ref="BE60" si="488">AVERAGE(BE57:BE58)</f>
        <v>2.4092021999922237</v>
      </c>
      <c r="BF60" s="56">
        <f t="shared" ref="BF60" si="489">_xlfn.STDEV.S(BE57:BE58)</f>
        <v>6.2956036014879336E-3</v>
      </c>
      <c r="BG60" s="60">
        <f>AVERAGE(BG57:BG59)</f>
        <v>17.706666666666667</v>
      </c>
      <c r="BH60" s="57">
        <f>_xlfn.STDEV.S(BG57:BG59)</f>
        <v>1.899587674558175</v>
      </c>
      <c r="BI60" s="57" t="e">
        <f>AVERAGE(BI57:BI59)</f>
        <v>#DIV/0!</v>
      </c>
      <c r="BJ60" s="57" t="e">
        <f>_xlfn.STDEV.S(BI57:BI59)</f>
        <v>#DIV/0!</v>
      </c>
      <c r="BK60" s="57">
        <f>AVERAGE(BK57:BK59)</f>
        <v>0</v>
      </c>
      <c r="BL60" s="57">
        <f>_xlfn.STDEV.S(BK57:BK59)</f>
        <v>0</v>
      </c>
      <c r="BM60" s="57">
        <f>AVERAGE(BM57:BM59)</f>
        <v>0</v>
      </c>
      <c r="BN60" s="57">
        <f>_xlfn.STDEV.S(BM57:BM59)</f>
        <v>0</v>
      </c>
      <c r="BO60" s="60">
        <f t="shared" ref="BO60" si="490">AVERAGE(BO57:BO59)</f>
        <v>0.2941306755260244</v>
      </c>
      <c r="BP60" s="57">
        <f t="shared" ref="BP60" si="491">_xlfn.STDEV.S(BO57:BO59)</f>
        <v>3.1554612534188987E-2</v>
      </c>
      <c r="BQ60" s="57">
        <f t="shared" ref="BQ60" si="492">AVERAGE(BQ57:BQ59)</f>
        <v>0</v>
      </c>
      <c r="BR60" s="57">
        <f t="shared" ref="BR60" si="493">_xlfn.STDEV.S(BQ57:BQ59)</f>
        <v>0</v>
      </c>
      <c r="BS60" s="57">
        <f t="shared" ref="BS60" si="494">AVERAGE(BS57:BS59)</f>
        <v>0</v>
      </c>
      <c r="BT60" s="57">
        <f t="shared" ref="BT60" si="495">_xlfn.STDEV.S(BS57:BS59)</f>
        <v>0</v>
      </c>
      <c r="BU60" s="57">
        <f t="shared" ref="BU60" si="496">AVERAGE(BU57:BU59)</f>
        <v>0</v>
      </c>
      <c r="BV60" s="57">
        <f t="shared" ref="BV60" si="497">_xlfn.STDEV.S(BU57:BU59)</f>
        <v>0</v>
      </c>
      <c r="BW60" s="60">
        <f t="shared" ref="BW60" si="498">AVERAGE(BW57:BW59)</f>
        <v>1.4706533776301219E-2</v>
      </c>
      <c r="BX60" s="57">
        <f t="shared" si="2"/>
        <v>0</v>
      </c>
      <c r="BY60" s="57">
        <f t="shared" si="3"/>
        <v>0</v>
      </c>
      <c r="BZ60" s="61">
        <f t="shared" si="4"/>
        <v>0</v>
      </c>
    </row>
    <row r="61" spans="1:78" x14ac:dyDescent="0.3">
      <c r="A61" s="196" t="s">
        <v>105</v>
      </c>
      <c r="B61" s="70" t="s">
        <v>106</v>
      </c>
      <c r="C61" s="20">
        <v>7</v>
      </c>
      <c r="D61" s="20">
        <v>7.71</v>
      </c>
      <c r="E61" s="37"/>
      <c r="F61" s="37">
        <v>1.1850000000000001</v>
      </c>
      <c r="H61" s="37">
        <v>0.32600000000000001</v>
      </c>
      <c r="I61" s="53">
        <f>H61*0.2842</f>
        <v>9.2649200000000001E-2</v>
      </c>
      <c r="K61" s="53">
        <f t="shared" ref="K61" si="499">(I61-$I$5)/(($AA$5-AA61)+($AI$5-AI61))*1000*0.05</f>
        <v>0.67918972436809277</v>
      </c>
      <c r="M61" s="116">
        <v>12.542211988624624</v>
      </c>
      <c r="N61" s="122"/>
      <c r="O61" s="24">
        <v>0</v>
      </c>
      <c r="P61" s="122"/>
      <c r="Q61" s="24">
        <v>0.10244638165542519</v>
      </c>
      <c r="R61" s="122"/>
      <c r="S61" s="24">
        <v>60.677925454738066</v>
      </c>
      <c r="T61" s="24"/>
      <c r="U61" s="24">
        <v>26.677416174981889</v>
      </c>
      <c r="V61" s="24"/>
      <c r="W61" s="24">
        <v>0</v>
      </c>
      <c r="Y61" s="86">
        <v>0.66904457878426082</v>
      </c>
      <c r="Z61" s="85"/>
      <c r="AA61" s="85">
        <v>0</v>
      </c>
      <c r="AB61" s="85"/>
      <c r="AC61" s="85">
        <v>5.4648411559930733E-3</v>
      </c>
      <c r="AD61" s="85"/>
      <c r="AE61" s="85">
        <v>3.2367685312756214</v>
      </c>
      <c r="AF61" s="85"/>
      <c r="AG61" s="85">
        <v>1.4230648217420565</v>
      </c>
      <c r="AH61" s="85"/>
      <c r="AI61" s="85">
        <v>0</v>
      </c>
      <c r="AJ61" s="51"/>
      <c r="AK61" s="52">
        <f>(AG61-$AG$8)*8/(($AA$8-AA61)*2+2*($AI$8-AI61))</f>
        <v>0.69710947743067775</v>
      </c>
      <c r="AL61" s="52"/>
      <c r="AM61" s="52">
        <f>(AG61-$AG$5)/(($AA$5-AA61)+($AI$5-AI61))</f>
        <v>0.17581493160947351</v>
      </c>
      <c r="AN61" s="52"/>
      <c r="AO61" s="52">
        <f>(BW64-$BW$8)*8/(($AA$8-AA61)*2+2*($AI$8-AI61))</f>
        <v>1.4628266105154986E-2</v>
      </c>
      <c r="AP61" s="52"/>
      <c r="AQ61" s="52">
        <f>(BW64-$BW$8)/(($AA$5-AA61)+($AI$5-AI61))</f>
        <v>3.6723299229382395E-3</v>
      </c>
      <c r="AR61" s="52"/>
      <c r="AS61" s="52">
        <f>(BX64-$BX$8)*14/(($AA$8-AA61)*2+2*($AI$8-AI61))</f>
        <v>5.5516055802999837E-4</v>
      </c>
      <c r="AT61" s="52"/>
      <c r="AU61" s="52">
        <f>(BX64-$BX$8)/(($AA$5-AA61)+($AI$5-AI61))</f>
        <v>7.9639659454345488E-5</v>
      </c>
      <c r="AV61" s="52"/>
      <c r="AW61" s="52"/>
      <c r="AX61" s="52"/>
      <c r="AY61" s="52"/>
      <c r="AZ61" s="52"/>
      <c r="BA61" s="52">
        <f t="shared" ref="BA61:BA63" si="500">($AA$8-AA61)/((I61*0.05)*(C61*24))</f>
        <v>5.403904442782971</v>
      </c>
      <c r="BB61" s="52"/>
      <c r="BC61" s="52">
        <f t="shared" ref="BC61:BC63" si="501">($AI$8-AI61)/((I61*0.05)*(C61*24))</f>
        <v>1.7768897348243635</v>
      </c>
      <c r="BD61" s="52"/>
      <c r="BE61" s="52">
        <f t="shared" ref="BE61:BE63" si="502">(AG61-$AG$8)/((I61*0.05)*(C61*24))</f>
        <v>1.2514499191722757</v>
      </c>
      <c r="BF61" s="52"/>
      <c r="BG61" s="37">
        <v>24.24</v>
      </c>
      <c r="BI61" s="2">
        <v>0.34</v>
      </c>
      <c r="BK61" s="2">
        <v>0</v>
      </c>
      <c r="BM61" s="2">
        <v>0</v>
      </c>
      <c r="BO61" s="37">
        <f t="shared" ref="BO61:BO63" si="503">(BG61/1000)/60.2*1000</f>
        <v>0.40265780730897005</v>
      </c>
      <c r="BQ61" s="2">
        <f t="shared" ref="BQ61:BQ63" si="504">BI61/74.08</f>
        <v>4.5896328293736502E-3</v>
      </c>
      <c r="BS61" s="2">
        <f t="shared" ref="BS61:BS63" si="505">(BK61/1000)/88.12*1000</f>
        <v>0</v>
      </c>
      <c r="BU61" s="2">
        <f t="shared" ref="BU61:BU63" si="506">BM61/88.12</f>
        <v>0</v>
      </c>
      <c r="BW61" s="37">
        <f t="shared" ref="BW61:BW63" si="507">BO61*0.05</f>
        <v>2.0132890365448505E-2</v>
      </c>
      <c r="BX61" s="2">
        <f t="shared" si="2"/>
        <v>2.2948164146868253E-4</v>
      </c>
      <c r="BY61" s="2">
        <f t="shared" si="3"/>
        <v>0</v>
      </c>
      <c r="BZ61" s="18">
        <f t="shared" si="4"/>
        <v>0</v>
      </c>
    </row>
    <row r="62" spans="1:78" x14ac:dyDescent="0.3">
      <c r="A62" s="192"/>
      <c r="B62" s="70" t="s">
        <v>107</v>
      </c>
      <c r="C62" s="20">
        <v>7</v>
      </c>
      <c r="D62" s="20">
        <v>7.72</v>
      </c>
      <c r="E62" s="37"/>
      <c r="F62" s="37">
        <v>1.1399999999999999</v>
      </c>
      <c r="H62" s="37">
        <v>0.315</v>
      </c>
      <c r="I62" s="53">
        <f>H62*0.2842</f>
        <v>8.9523000000000005E-2</v>
      </c>
      <c r="K62" s="53">
        <f t="shared" si="96"/>
        <v>0.65110293125512664</v>
      </c>
      <c r="M62" s="38">
        <v>12.048688331469895</v>
      </c>
      <c r="N62" s="24"/>
      <c r="O62" s="24">
        <v>0</v>
      </c>
      <c r="P62" s="24"/>
      <c r="Q62" s="24">
        <v>0.12347349878864509</v>
      </c>
      <c r="R62" s="24"/>
      <c r="S62" s="24">
        <v>59.689615921067826</v>
      </c>
      <c r="T62" s="24"/>
      <c r="U62" s="24">
        <v>28.138222248673628</v>
      </c>
      <c r="V62" s="24"/>
      <c r="W62" s="24">
        <v>0</v>
      </c>
      <c r="Y62" s="52">
        <v>0.61831130985690153</v>
      </c>
      <c r="Z62" s="51"/>
      <c r="AA62" s="51">
        <v>0</v>
      </c>
      <c r="AB62" s="51"/>
      <c r="AC62" s="51">
        <v>6.3363794189294862E-3</v>
      </c>
      <c r="AD62" s="51"/>
      <c r="AE62" s="51">
        <v>3.0631354708225178</v>
      </c>
      <c r="AF62" s="51"/>
      <c r="AG62" s="51">
        <v>1.4439896341396596</v>
      </c>
      <c r="AH62" s="51"/>
      <c r="AI62" s="51">
        <v>0</v>
      </c>
      <c r="AJ62" s="51"/>
      <c r="AK62" s="52">
        <f>(AG62-$AG$8)*8/(($AA$8-AA62)*2+2*($AI$8-AI62))</f>
        <v>0.71208659109793238</v>
      </c>
      <c r="AL62" s="52"/>
      <c r="AM62" s="52">
        <f>(AG62-$AG$5)/(($AA$5-AA62)+($AI$5-AI62))</f>
        <v>0.17957483741677382</v>
      </c>
      <c r="AN62" s="52"/>
      <c r="AO62" s="52">
        <f t="shared" ref="AO62:AO63" si="508">(BW65-$BW$8)*8/(($AA$8-AA62)*2+2*($AI$8-AI62))</f>
        <v>1.0278625885591834E-2</v>
      </c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>
        <f t="shared" si="500"/>
        <v>5.5926122169753922</v>
      </c>
      <c r="BB62" s="52"/>
      <c r="BC62" s="52">
        <f t="shared" si="501"/>
        <v>1.8389398525483887</v>
      </c>
      <c r="BD62" s="52"/>
      <c r="BE62" s="52">
        <f t="shared" si="502"/>
        <v>1.3229771449384935</v>
      </c>
      <c r="BF62" s="52"/>
      <c r="BG62" s="37">
        <v>23.09</v>
      </c>
      <c r="BI62" s="2">
        <v>0.98</v>
      </c>
      <c r="BK62" s="2">
        <v>0</v>
      </c>
      <c r="BM62" s="2">
        <v>0</v>
      </c>
      <c r="BO62" s="37">
        <f t="shared" si="503"/>
        <v>0.38355481727574747</v>
      </c>
      <c r="BQ62" s="2">
        <f t="shared" si="504"/>
        <v>1.3228941684665227E-2</v>
      </c>
      <c r="BS62" s="2">
        <f t="shared" si="505"/>
        <v>0</v>
      </c>
      <c r="BU62" s="2">
        <f t="shared" si="506"/>
        <v>0</v>
      </c>
      <c r="BW62" s="37">
        <f t="shared" si="507"/>
        <v>1.9177740863787374E-2</v>
      </c>
      <c r="BX62" s="2">
        <f t="shared" si="2"/>
        <v>6.6144708423326133E-4</v>
      </c>
      <c r="BY62" s="2">
        <f t="shared" si="3"/>
        <v>0</v>
      </c>
      <c r="BZ62" s="18">
        <f t="shared" si="4"/>
        <v>0</v>
      </c>
    </row>
    <row r="63" spans="1:78" x14ac:dyDescent="0.3">
      <c r="A63" s="192"/>
      <c r="B63" s="70" t="s">
        <v>108</v>
      </c>
      <c r="C63" s="20">
        <v>7</v>
      </c>
      <c r="D63" s="20">
        <v>7.58</v>
      </c>
      <c r="E63" s="37"/>
      <c r="F63" s="37">
        <v>1.1200000000000001</v>
      </c>
      <c r="H63" s="37">
        <v>0.32900000000000001</v>
      </c>
      <c r="I63" s="53">
        <f>H63*0.2842</f>
        <v>9.350180000000001E-2</v>
      </c>
      <c r="K63" s="53">
        <f t="shared" si="96"/>
        <v>0.68684975885344735</v>
      </c>
      <c r="M63" s="38">
        <v>15.028861566870161</v>
      </c>
      <c r="N63" s="24"/>
      <c r="O63" s="24">
        <v>0</v>
      </c>
      <c r="P63" s="24"/>
      <c r="Q63" s="24">
        <v>8.2929575085057633E-2</v>
      </c>
      <c r="R63" s="24"/>
      <c r="S63" s="24">
        <v>53.935274513334086</v>
      </c>
      <c r="T63" s="24"/>
      <c r="U63" s="24">
        <v>30.952934344710687</v>
      </c>
      <c r="V63" s="24"/>
      <c r="W63" s="24">
        <v>0</v>
      </c>
      <c r="Y63" s="52">
        <v>0.75771637953773296</v>
      </c>
      <c r="Z63" s="51"/>
      <c r="AA63" s="51">
        <v>0</v>
      </c>
      <c r="AB63" s="51"/>
      <c r="AC63" s="51">
        <v>4.181094962546694E-3</v>
      </c>
      <c r="AD63" s="51"/>
      <c r="AE63" s="51">
        <v>2.7192772221487806</v>
      </c>
      <c r="AF63" s="51"/>
      <c r="AG63" s="51">
        <v>1.5605669959356507</v>
      </c>
      <c r="AH63" s="51"/>
      <c r="AI63" s="51">
        <v>0</v>
      </c>
      <c r="AJ63" s="51"/>
      <c r="AK63" s="52"/>
      <c r="AL63" s="52"/>
      <c r="AM63" s="52">
        <f>(AG63-$AG$5)/(($AA$5-AA63)+($AI$5-AI63))</f>
        <v>0.20052221277612009</v>
      </c>
      <c r="AN63" s="52"/>
      <c r="AO63" s="52">
        <f t="shared" si="508"/>
        <v>1.13368071508523E-2</v>
      </c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>
        <f t="shared" si="500"/>
        <v>5.3546287183806944</v>
      </c>
      <c r="BB63" s="52"/>
      <c r="BC63" s="52">
        <f t="shared" si="501"/>
        <v>1.7606870928654785</v>
      </c>
      <c r="BD63" s="52"/>
      <c r="BE63" s="52">
        <f t="shared" si="502"/>
        <v>1.4151079476865083</v>
      </c>
      <c r="BF63" s="52"/>
      <c r="BG63" s="37">
        <v>26.55</v>
      </c>
      <c r="BI63" s="2">
        <v>0.65</v>
      </c>
      <c r="BK63" s="2">
        <v>0</v>
      </c>
      <c r="BM63" s="2">
        <v>0</v>
      </c>
      <c r="BO63" s="37">
        <f t="shared" si="503"/>
        <v>0.44102990033222589</v>
      </c>
      <c r="BQ63" s="2">
        <f t="shared" si="504"/>
        <v>8.7742980561555089E-3</v>
      </c>
      <c r="BS63" s="2">
        <f t="shared" si="505"/>
        <v>0</v>
      </c>
      <c r="BU63" s="2">
        <f t="shared" si="506"/>
        <v>0</v>
      </c>
      <c r="BW63" s="37">
        <f t="shared" si="507"/>
        <v>2.2051495016611296E-2</v>
      </c>
      <c r="BX63" s="2">
        <f t="shared" si="2"/>
        <v>4.3871490280777547E-4</v>
      </c>
      <c r="BY63" s="2">
        <f t="shared" si="3"/>
        <v>0</v>
      </c>
      <c r="BZ63" s="18">
        <f t="shared" si="4"/>
        <v>0</v>
      </c>
    </row>
    <row r="64" spans="1:78" x14ac:dyDescent="0.3">
      <c r="A64" s="197"/>
      <c r="B64" s="83" t="s">
        <v>63</v>
      </c>
      <c r="C64" s="80">
        <v>7</v>
      </c>
      <c r="D64" s="80">
        <f>AVERAGE(D61:D63)</f>
        <v>7.669999999999999</v>
      </c>
      <c r="E64" s="77">
        <f>_xlfn.STDEV.S(D61:D63)</f>
        <v>7.8102496759066414E-2</v>
      </c>
      <c r="F64" s="78">
        <f>AVERAGE(F61:F63)</f>
        <v>1.1483333333333334</v>
      </c>
      <c r="G64" s="73">
        <f>_xlfn.STDEV.S(F61:F63)</f>
        <v>3.3291640592396962E-2</v>
      </c>
      <c r="H64" s="78">
        <f t="shared" ref="H64:I64" si="509">AVERAGE(H61:H63)</f>
        <v>0.32333333333333331</v>
      </c>
      <c r="I64" s="82">
        <f t="shared" si="509"/>
        <v>9.1891333333333339E-2</v>
      </c>
      <c r="J64" s="82">
        <f>_xlfn.STDEV.S(I61:I63)</f>
        <v>2.0948708249754534E-3</v>
      </c>
      <c r="K64" s="82">
        <f t="shared" si="108"/>
        <v>0.67238080482555551</v>
      </c>
      <c r="L64" s="82">
        <f>_xlfn.STDEV.S(K61:K63)</f>
        <v>1.8820997843859776E-2</v>
      </c>
      <c r="M64" s="117">
        <f t="shared" ref="M64:W64" si="510">AVERAGE(M61:M63)</f>
        <v>13.206587295654893</v>
      </c>
      <c r="N64" s="118">
        <f t="shared" ref="N64" si="511">_xlfn.STDEV.S(M61:M63)</f>
        <v>1.5973115036500221</v>
      </c>
      <c r="O64" s="118">
        <f t="shared" si="510"/>
        <v>0</v>
      </c>
      <c r="P64" s="118">
        <f t="shared" ref="P64" si="512">_xlfn.STDEV.S(O61:O63)</f>
        <v>0</v>
      </c>
      <c r="Q64" s="118">
        <f t="shared" si="510"/>
        <v>0.1029498185097093</v>
      </c>
      <c r="R64" s="118">
        <f t="shared" ref="R64" si="513">_xlfn.STDEV.S(Q61:Q63)</f>
        <v>2.0276649718833525E-2</v>
      </c>
      <c r="S64" s="118">
        <f t="shared" si="510"/>
        <v>58.100938629713333</v>
      </c>
      <c r="T64" s="118">
        <f t="shared" ref="T64" si="514">_xlfn.STDEV.S(S61:S63)</f>
        <v>3.6412576236038419</v>
      </c>
      <c r="U64" s="118">
        <f t="shared" si="510"/>
        <v>28.589524256122065</v>
      </c>
      <c r="V64" s="118">
        <f t="shared" ref="V64" si="515">_xlfn.STDEV.S(U61:U63)</f>
        <v>2.173193279799456</v>
      </c>
      <c r="W64" s="118">
        <f t="shared" si="510"/>
        <v>0</v>
      </c>
      <c r="X64" s="76">
        <f t="shared" ref="X64" si="516">_xlfn.STDEV.S(W61:W63)</f>
        <v>0</v>
      </c>
      <c r="Y64" s="74">
        <v>0.68268623556616226</v>
      </c>
      <c r="Z64" s="73">
        <f t="shared" ref="Z64" si="517">_xlfn.STDEV.S(Y61:Y63)</f>
        <v>7.055769067181443E-2</v>
      </c>
      <c r="AA64" s="73">
        <v>0</v>
      </c>
      <c r="AB64" s="73">
        <f t="shared" ref="AB64" si="518">_xlfn.STDEV.S(AA61:AA63)</f>
        <v>0</v>
      </c>
      <c r="AC64" s="73">
        <v>5.321770301229654E-3</v>
      </c>
      <c r="AD64" s="73">
        <f t="shared" ref="AD64" si="519">_xlfn.STDEV.S(AC61:AC63)</f>
        <v>1.0841920433265467E-3</v>
      </c>
      <c r="AE64" s="73">
        <v>3.0034035430962338</v>
      </c>
      <c r="AF64" s="73">
        <f t="shared" ref="AF64" si="520">_xlfn.STDEV.S(AE61:AE63)</f>
        <v>0.2633705215993532</v>
      </c>
      <c r="AG64" s="73">
        <v>1.4778742042965922</v>
      </c>
      <c r="AH64" s="73">
        <f t="shared" ref="AH64" si="521">_xlfn.STDEV.S(AG61:AG63)</f>
        <v>7.4088884642202826E-2</v>
      </c>
      <c r="AI64" s="73">
        <v>0</v>
      </c>
      <c r="AJ64" s="73">
        <f>_xlfn.STDEV.S(AI61:AI63)</f>
        <v>0</v>
      </c>
      <c r="AK64" s="74">
        <f>AVERAGE(AK61:AK63)</f>
        <v>0.70459803426430501</v>
      </c>
      <c r="AL64" s="74">
        <f>_xlfn.STDEV.S(AK61:AK62)</f>
        <v>1.0590418636717468E-2</v>
      </c>
      <c r="AM64" s="74">
        <f>AVERAGE(AM61:AM63)</f>
        <v>0.18530399393412247</v>
      </c>
      <c r="AN64" s="74">
        <f>_xlfn.STDEV.S(AM61:AM62)</f>
        <v>2.658654892964735E-3</v>
      </c>
      <c r="AO64" s="74">
        <f>AVERAGE(AO61:AO63)</f>
        <v>1.2081233047199706E-2</v>
      </c>
      <c r="AP64" s="74">
        <f>_xlfn.STDEV.S(AO61:AO62)</f>
        <v>3.0756600949748488E-3</v>
      </c>
      <c r="AQ64" s="74">
        <f>AVERAGE(AQ61:AQ63)</f>
        <v>3.6723299229382395E-3</v>
      </c>
      <c r="AR64" s="74" t="e">
        <f>_xlfn.STDEV.S(AQ61:AQ62)</f>
        <v>#DIV/0!</v>
      </c>
      <c r="AS64" s="74">
        <f>AVERAGE(AS61:AS63)</f>
        <v>5.5516055802999837E-4</v>
      </c>
      <c r="AT64" s="74" t="e">
        <f>_xlfn.STDEV.S(AS61:AS62)</f>
        <v>#DIV/0!</v>
      </c>
      <c r="AU64" s="74">
        <f>AVERAGE(AU61:AU63)</f>
        <v>7.9639659454345488E-5</v>
      </c>
      <c r="AV64" s="74" t="e">
        <f>_xlfn.STDEV.S(AU61:AU62)</f>
        <v>#DIV/0!</v>
      </c>
      <c r="AW64" s="74"/>
      <c r="AX64" s="74"/>
      <c r="AY64" s="74">
        <f>SUM(AK64,AO64,AS64)</f>
        <v>0.71723442786953462</v>
      </c>
      <c r="AZ64" s="74">
        <f>SUM(AL64)</f>
        <v>1.0590418636717468E-2</v>
      </c>
      <c r="BA64" s="74">
        <f t="shared" ref="BA64" si="522">AVERAGE(BA61:BA63)</f>
        <v>5.4503817927130198</v>
      </c>
      <c r="BB64" s="74">
        <f t="shared" ref="BB64" si="523">_xlfn.STDEV.S(BA61:BA63)</f>
        <v>0.12561506455530425</v>
      </c>
      <c r="BC64" s="74">
        <f t="shared" ref="BC64" si="524">AVERAGE(BC61:BC63)</f>
        <v>1.7921722267460769</v>
      </c>
      <c r="BD64" s="74">
        <f t="shared" ref="BD64" si="525">_xlfn.STDEV.S(BC61:BC63)</f>
        <v>4.1304231248151163E-2</v>
      </c>
      <c r="BE64" s="74">
        <f t="shared" ref="BE64" si="526">AVERAGE(BE61:BE62)</f>
        <v>1.2872135320553846</v>
      </c>
      <c r="BF64" s="74">
        <f t="shared" ref="BF64" si="527">_xlfn.STDEV.S(BE61:BE62)</f>
        <v>5.057738637875378E-2</v>
      </c>
      <c r="BG64" s="78">
        <f>AVERAGE(BG61:BG63)</f>
        <v>24.626666666666665</v>
      </c>
      <c r="BH64" s="75">
        <f>_xlfn.STDEV.S(BG61:BG63)</f>
        <v>1.7621104770511229</v>
      </c>
      <c r="BI64" s="75">
        <f>AVERAGE(BI61:BI63)</f>
        <v>0.65666666666666673</v>
      </c>
      <c r="BJ64" s="75">
        <f>_xlfn.STDEV.S(BI61:BI63)</f>
        <v>0.32005207909547029</v>
      </c>
      <c r="BK64" s="75">
        <f>AVERAGE(BK61:BK63)</f>
        <v>0</v>
      </c>
      <c r="BL64" s="75">
        <f>_xlfn.STDEV.S(BK61:BK63)</f>
        <v>0</v>
      </c>
      <c r="BM64" s="75">
        <f>AVERAGE(BM61:BM63)</f>
        <v>0</v>
      </c>
      <c r="BN64" s="75">
        <f>_xlfn.STDEV.S(BM61:BM63)</f>
        <v>0</v>
      </c>
      <c r="BO64" s="78">
        <f t="shared" ref="BO64" si="528">AVERAGE(BO61:BO63)</f>
        <v>0.40908084163898112</v>
      </c>
      <c r="BP64" s="75">
        <f t="shared" ref="BP64" si="529">_xlfn.STDEV.S(BO61:BO63)</f>
        <v>2.9270938156995392E-2</v>
      </c>
      <c r="BQ64" s="75">
        <f t="shared" ref="BQ64" si="530">AVERAGE(BQ61:BQ63)</f>
        <v>8.8642908567314622E-3</v>
      </c>
      <c r="BR64" s="75">
        <f t="shared" ref="BR64" si="531">_xlfn.STDEV.S(BQ61:BQ63)</f>
        <v>4.3203574391937147E-3</v>
      </c>
      <c r="BS64" s="75">
        <f t="shared" ref="BS64" si="532">AVERAGE(BS61:BS63)</f>
        <v>0</v>
      </c>
      <c r="BT64" s="75">
        <f t="shared" ref="BT64" si="533">_xlfn.STDEV.S(BS61:BS63)</f>
        <v>0</v>
      </c>
      <c r="BU64" s="75">
        <f t="shared" ref="BU64" si="534">AVERAGE(BU61:BU63)</f>
        <v>0</v>
      </c>
      <c r="BV64" s="75">
        <f t="shared" ref="BV64" si="535">_xlfn.STDEV.S(BU61:BU63)</f>
        <v>0</v>
      </c>
      <c r="BW64" s="78">
        <f t="shared" ref="BW64" si="536">AVERAGE(BW61:BW63)</f>
        <v>2.0454042081949061E-2</v>
      </c>
      <c r="BX64" s="75">
        <f t="shared" si="2"/>
        <v>4.4321454283657315E-4</v>
      </c>
      <c r="BY64" s="75">
        <f t="shared" si="3"/>
        <v>0</v>
      </c>
      <c r="BZ64" s="119">
        <f t="shared" si="4"/>
        <v>0</v>
      </c>
    </row>
    <row r="65" spans="1:78" x14ac:dyDescent="0.3">
      <c r="A65" s="192" t="s">
        <v>57</v>
      </c>
      <c r="B65" s="70" t="s">
        <v>109</v>
      </c>
      <c r="C65" s="20">
        <v>7</v>
      </c>
      <c r="D65" s="20">
        <v>7.65</v>
      </c>
      <c r="E65" s="37"/>
      <c r="F65" s="37">
        <v>1.1599999999999999</v>
      </c>
      <c r="H65" s="37">
        <v>0.22500000000000001</v>
      </c>
      <c r="I65" s="53">
        <f>H65*0.2842</f>
        <v>6.3945000000000002E-2</v>
      </c>
      <c r="K65" s="53">
        <f t="shared" ref="K65:K66" si="537">(I65-$I$9)/(($AA$9-AA65)+($AI$9-AI65))*1000*0.05</f>
        <v>0.49050683754167379</v>
      </c>
      <c r="M65" s="38">
        <v>2.1315757347984223</v>
      </c>
      <c r="N65" s="24"/>
      <c r="O65" s="24">
        <v>0</v>
      </c>
      <c r="P65" s="24"/>
      <c r="Q65" s="24">
        <v>9.849237392656536E-2</v>
      </c>
      <c r="R65" s="24"/>
      <c r="S65" s="24">
        <v>76.781573962014946</v>
      </c>
      <c r="T65" s="24"/>
      <c r="U65" s="24">
        <v>20.988357929260051</v>
      </c>
      <c r="V65" s="24"/>
      <c r="W65" s="24">
        <v>0</v>
      </c>
      <c r="Y65" s="52">
        <v>0.11130670476357778</v>
      </c>
      <c r="Z65" s="51"/>
      <c r="AA65" s="51">
        <v>0</v>
      </c>
      <c r="AB65" s="51"/>
      <c r="AC65" s="51">
        <v>5.1430786188532253E-3</v>
      </c>
      <c r="AD65" s="51"/>
      <c r="AE65" s="51">
        <v>4.0093832204751623</v>
      </c>
      <c r="AF65" s="51"/>
      <c r="AG65" s="51">
        <v>1.0959708920337135</v>
      </c>
      <c r="AH65" s="51"/>
      <c r="AI65" s="51">
        <v>0</v>
      </c>
      <c r="AJ65" s="51"/>
      <c r="AK65" s="52">
        <f>(AG65-$AG$12)*8/(($AA$12-AA65)*2)</f>
        <v>0.78114069330002645</v>
      </c>
      <c r="AL65" s="52"/>
      <c r="AM65" s="52">
        <f>(AG65-$AG$9)/(($AA$9-AA65)+($AI$9-AI65))</f>
        <v>0.19703745025846822</v>
      </c>
      <c r="AN65" s="52"/>
      <c r="AO65" s="52">
        <f>(BW65-$BW$12)*8/(($AA$8-AA65)*2+2*($AI$8-AI65))</f>
        <v>1.0278625885591834E-2</v>
      </c>
      <c r="AP65" s="52"/>
      <c r="AQ65" s="52">
        <f>(BW68-$BW$8)/(($AA$5-AA65)+($AI$5-AI65))</f>
        <v>2.6346056992523591E-3</v>
      </c>
      <c r="AR65" s="52"/>
      <c r="AS65" s="52">
        <f>(BX68-$BX$12)*14/(($AA$8-AA65)*2+2*($AI$8-AI65))</f>
        <v>0</v>
      </c>
      <c r="AT65" s="52"/>
      <c r="AU65" s="52">
        <f>(BX68-$BX$8)/(($AA$5-AA65)+($AI$5-AI65))</f>
        <v>0</v>
      </c>
      <c r="AV65" s="52"/>
      <c r="AW65" s="52"/>
      <c r="AX65" s="52"/>
      <c r="AY65" s="52"/>
      <c r="AZ65" s="52"/>
      <c r="BA65" s="52">
        <f t="shared" ref="BA65:BA67" si="538">($AA$12-AA65)/((I65*0.05)*(C65*24))</f>
        <v>10.448257577084961</v>
      </c>
      <c r="BB65" s="52"/>
      <c r="BC65" s="52"/>
      <c r="BD65" s="52"/>
      <c r="BE65" s="52">
        <f t="shared" ref="BE65:BE67" si="539">(AG65-$AG$12)/((I65*0.05)*(C65*24))</f>
        <v>2.04038979188535</v>
      </c>
      <c r="BF65" s="52"/>
      <c r="BG65" s="37">
        <v>17.309999999999999</v>
      </c>
      <c r="BK65" s="2">
        <v>0</v>
      </c>
      <c r="BM65" s="2">
        <v>0</v>
      </c>
      <c r="BO65" s="37">
        <f t="shared" ref="BO65:BO67" si="540">(BG65/1000)/60.2*1000</f>
        <v>0.28754152823920265</v>
      </c>
      <c r="BQ65" s="2">
        <f t="shared" ref="BQ65:BQ67" si="541">BI65/74.08</f>
        <v>0</v>
      </c>
      <c r="BS65" s="2">
        <f t="shared" ref="BS65:BS67" si="542">(BK65/1000)/88.12*1000</f>
        <v>0</v>
      </c>
      <c r="BU65" s="2">
        <f t="shared" ref="BU65:BU67" si="543">BM65/88.12</f>
        <v>0</v>
      </c>
      <c r="BW65" s="37">
        <f t="shared" ref="BW65:BW67" si="544">BO65*0.05</f>
        <v>1.4377076411960133E-2</v>
      </c>
      <c r="BX65" s="2">
        <f t="shared" si="2"/>
        <v>0</v>
      </c>
      <c r="BY65" s="2">
        <f t="shared" si="3"/>
        <v>0</v>
      </c>
      <c r="BZ65" s="18">
        <f t="shared" si="4"/>
        <v>0</v>
      </c>
    </row>
    <row r="66" spans="1:78" x14ac:dyDescent="0.3">
      <c r="A66" s="192"/>
      <c r="B66" s="70" t="s">
        <v>110</v>
      </c>
      <c r="C66" s="20">
        <v>7</v>
      </c>
      <c r="D66" s="20">
        <v>7.56</v>
      </c>
      <c r="E66" s="37"/>
      <c r="F66" s="37">
        <v>1.0900000000000001</v>
      </c>
      <c r="H66" s="37">
        <v>0.23400000000000001</v>
      </c>
      <c r="I66" s="53">
        <f>H66*0.2842</f>
        <v>6.6502800000000001E-2</v>
      </c>
      <c r="K66" s="53">
        <f t="shared" si="537"/>
        <v>0.51349934555143983</v>
      </c>
      <c r="M66" s="38">
        <v>2.2189218184912152</v>
      </c>
      <c r="N66" s="24"/>
      <c r="O66" s="24">
        <v>0</v>
      </c>
      <c r="P66" s="24"/>
      <c r="Q66" s="24">
        <v>0.11389775045524872</v>
      </c>
      <c r="R66" s="24"/>
      <c r="S66" s="24">
        <v>75.04552487095583</v>
      </c>
      <c r="T66" s="24"/>
      <c r="U66" s="24">
        <v>22.621655560097725</v>
      </c>
      <c r="V66" s="24"/>
      <c r="W66" s="24">
        <v>0</v>
      </c>
      <c r="Y66" s="52">
        <v>0.10887572681171087</v>
      </c>
      <c r="Z66" s="51"/>
      <c r="AA66" s="51">
        <v>0</v>
      </c>
      <c r="AB66" s="51"/>
      <c r="AC66" s="51">
        <v>5.5886152723785901E-3</v>
      </c>
      <c r="AD66" s="51"/>
      <c r="AE66" s="51">
        <v>3.6822550466637773</v>
      </c>
      <c r="AF66" s="51"/>
      <c r="AG66" s="51">
        <v>1.1099756513568986</v>
      </c>
      <c r="AH66" s="51"/>
      <c r="AI66" s="51">
        <v>0</v>
      </c>
      <c r="AJ66" s="51"/>
      <c r="AK66" s="52">
        <f>(AG66-$AG$12)*8/(($AA$12-AA66)*2)</f>
        <v>0.79112242501090502</v>
      </c>
      <c r="AL66" s="52"/>
      <c r="AM66" s="52">
        <f t="shared" ref="AM66:AM67" si="545">(AG66-$AG$9)/(($AA$9-AA66)+($AI$9-AI66))</f>
        <v>0.19955527448955102</v>
      </c>
      <c r="AN66" s="52"/>
      <c r="AO66" s="52">
        <f t="shared" ref="AO66:AO67" si="546">(BW66-$BW$12)*8/(($AA$8-AA66)*2+2*($AI$8-AI66))</f>
        <v>1.13368071508523E-2</v>
      </c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>
        <f t="shared" si="538"/>
        <v>10.046401516427849</v>
      </c>
      <c r="BB66" s="52"/>
      <c r="BC66" s="52"/>
      <c r="BD66" s="52"/>
      <c r="BE66" s="52">
        <f t="shared" si="539"/>
        <v>1.9869833825774084</v>
      </c>
      <c r="BF66" s="52"/>
      <c r="BG66" s="37">
        <v>19.09</v>
      </c>
      <c r="BK66" s="2">
        <v>0</v>
      </c>
      <c r="BM66" s="2">
        <v>0</v>
      </c>
      <c r="BO66" s="37">
        <f t="shared" si="540"/>
        <v>0.31710963455149499</v>
      </c>
      <c r="BQ66" s="2">
        <f t="shared" si="541"/>
        <v>0</v>
      </c>
      <c r="BS66" s="2">
        <f t="shared" si="542"/>
        <v>0</v>
      </c>
      <c r="BU66" s="2">
        <f t="shared" si="543"/>
        <v>0</v>
      </c>
      <c r="BW66" s="37">
        <f t="shared" si="544"/>
        <v>1.5855481727574752E-2</v>
      </c>
      <c r="BX66" s="2">
        <f t="shared" si="2"/>
        <v>0</v>
      </c>
      <c r="BY66" s="2">
        <f t="shared" si="3"/>
        <v>0</v>
      </c>
      <c r="BZ66" s="18">
        <f t="shared" si="4"/>
        <v>0</v>
      </c>
    </row>
    <row r="67" spans="1:78" x14ac:dyDescent="0.3">
      <c r="A67" s="192"/>
      <c r="B67" s="70" t="s">
        <v>111</v>
      </c>
      <c r="C67" s="20">
        <v>7</v>
      </c>
      <c r="D67" s="20">
        <v>7.59</v>
      </c>
      <c r="E67" s="37"/>
      <c r="F67" s="37">
        <v>1.2150000000000001</v>
      </c>
      <c r="H67" s="37">
        <v>0.24199999999999999</v>
      </c>
      <c r="I67" s="53">
        <f>H67*0.2842</f>
        <v>6.8776400000000001E-2</v>
      </c>
      <c r="K67" s="53">
        <f>(I67-$I$9)/(($AA$9-AA67)+($AI$9-AI67))*1000*0.05</f>
        <v>0.53393713044900959</v>
      </c>
      <c r="M67" s="38">
        <v>1.5230977691204635</v>
      </c>
      <c r="N67" s="24"/>
      <c r="O67" s="24">
        <v>0</v>
      </c>
      <c r="P67" s="24"/>
      <c r="Q67" s="24">
        <v>9.0284506207781071E-2</v>
      </c>
      <c r="R67" s="24"/>
      <c r="S67" s="24">
        <v>78.275350542857637</v>
      </c>
      <c r="T67" s="24"/>
      <c r="U67" s="24">
        <v>20.111267181814114</v>
      </c>
      <c r="V67" s="24"/>
      <c r="W67" s="24">
        <v>0</v>
      </c>
      <c r="Y67" s="52">
        <v>8.3304148323354879E-2</v>
      </c>
      <c r="Z67" s="51"/>
      <c r="AA67" s="51">
        <v>0</v>
      </c>
      <c r="AB67" s="51"/>
      <c r="AC67" s="51">
        <v>4.9380112353371837E-3</v>
      </c>
      <c r="AD67" s="51"/>
      <c r="AE67" s="51">
        <v>4.2811837453154871</v>
      </c>
      <c r="AF67" s="51"/>
      <c r="AG67" s="51">
        <v>1.0999635205636995</v>
      </c>
      <c r="AH67" s="51"/>
      <c r="AI67" s="51">
        <v>0</v>
      </c>
      <c r="AJ67" s="51"/>
      <c r="AK67" s="52"/>
      <c r="AL67" s="52"/>
      <c r="AM67" s="52">
        <f t="shared" si="545"/>
        <v>0.19775525887099246</v>
      </c>
      <c r="AN67" s="52"/>
      <c r="AO67" s="52">
        <f t="shared" si="546"/>
        <v>9.8684320243391799E-3</v>
      </c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>
        <f t="shared" si="538"/>
        <v>9.7142890696037867</v>
      </c>
      <c r="BB67" s="52"/>
      <c r="BC67" s="52"/>
      <c r="BD67" s="52"/>
      <c r="BE67" s="52">
        <f t="shared" si="539"/>
        <v>1.9039676133433148</v>
      </c>
      <c r="BF67" s="52"/>
      <c r="BG67" s="37">
        <v>16.62</v>
      </c>
      <c r="BK67" s="2">
        <v>0</v>
      </c>
      <c r="BM67" s="2">
        <v>0</v>
      </c>
      <c r="BO67" s="37">
        <f t="shared" si="540"/>
        <v>0.27607973421926907</v>
      </c>
      <c r="BQ67" s="2">
        <f t="shared" si="541"/>
        <v>0</v>
      </c>
      <c r="BS67" s="2">
        <f t="shared" si="542"/>
        <v>0</v>
      </c>
      <c r="BU67" s="2">
        <f t="shared" si="543"/>
        <v>0</v>
      </c>
      <c r="BW67" s="37">
        <f t="shared" si="544"/>
        <v>1.3803986710963454E-2</v>
      </c>
      <c r="BX67" s="2">
        <f t="shared" si="2"/>
        <v>0</v>
      </c>
      <c r="BY67" s="2">
        <f t="shared" si="3"/>
        <v>0</v>
      </c>
      <c r="BZ67" s="18">
        <f t="shared" si="4"/>
        <v>0</v>
      </c>
    </row>
    <row r="68" spans="1:78" ht="15" thickBot="1" x14ac:dyDescent="0.35">
      <c r="A68" s="193"/>
      <c r="B68" s="66" t="s">
        <v>63</v>
      </c>
      <c r="C68" s="65">
        <v>7</v>
      </c>
      <c r="D68" s="65">
        <f>AVERAGE(D65:D67)</f>
        <v>7.6000000000000005</v>
      </c>
      <c r="E68" s="64">
        <f>_xlfn.STDEV.S(D65:D67)</f>
        <v>4.5825756949558774E-2</v>
      </c>
      <c r="F68" s="60">
        <f>AVERAGE(F65:F67)</f>
        <v>1.155</v>
      </c>
      <c r="G68" s="54">
        <f>_xlfn.STDEV.S(F65:F67)</f>
        <v>6.2649820430708325E-2</v>
      </c>
      <c r="H68" s="65">
        <f>AVERAGE(H65:H67)</f>
        <v>0.23366666666666669</v>
      </c>
      <c r="I68" s="62">
        <f t="shared" si="66"/>
        <v>6.6408066666666668E-2</v>
      </c>
      <c r="J68" s="63">
        <f t="shared" ref="J68" si="547">_xlfn.STDEV.S(I65:I67)</f>
        <v>2.4170927357743915E-3</v>
      </c>
      <c r="K68" s="62">
        <f t="shared" si="151"/>
        <v>0.5126477711807077</v>
      </c>
      <c r="L68" s="63">
        <f t="shared" ref="L68" si="548">_xlfn.STDEV.S(K65:K67)</f>
        <v>2.1727665997200697E-2</v>
      </c>
      <c r="M68" s="124">
        <f t="shared" ref="M68:W68" si="549">AVERAGE(M65:M67)</f>
        <v>1.9578651074700335</v>
      </c>
      <c r="N68" s="120">
        <f t="shared" ref="N68" si="550">_xlfn.STDEV.S(M65:M67)</f>
        <v>0.37904394660223162</v>
      </c>
      <c r="O68" s="120">
        <f t="shared" si="549"/>
        <v>0</v>
      </c>
      <c r="P68" s="120">
        <f t="shared" ref="P68" si="551">_xlfn.STDEV.S(O65:O67)</f>
        <v>0</v>
      </c>
      <c r="Q68" s="120">
        <f t="shared" si="549"/>
        <v>0.10089154352986505</v>
      </c>
      <c r="R68" s="120">
        <f t="shared" ref="R68" si="552">_xlfn.STDEV.S(Q65:Q67)</f>
        <v>1.1988049760561094E-2</v>
      </c>
      <c r="S68" s="120">
        <f t="shared" si="549"/>
        <v>76.700816458609467</v>
      </c>
      <c r="T68" s="120">
        <f t="shared" ref="T68" si="553">_xlfn.STDEV.S(S65:S67)</f>
        <v>1.6164265521471131</v>
      </c>
      <c r="U68" s="120">
        <f t="shared" si="549"/>
        <v>21.24042689039063</v>
      </c>
      <c r="V68" s="120">
        <f t="shared" ref="V68" si="554">_xlfn.STDEV.S(U65:U67)</f>
        <v>1.2740355267140089</v>
      </c>
      <c r="W68" s="120">
        <f t="shared" si="549"/>
        <v>0</v>
      </c>
      <c r="X68" s="120">
        <f t="shared" ref="X68" si="555">_xlfn.STDEV.S(W65:W67)</f>
        <v>0</v>
      </c>
      <c r="Y68" s="56">
        <v>0.10116219329954784</v>
      </c>
      <c r="Z68" s="55">
        <f t="shared" ref="Z68" si="556">_xlfn.STDEV.S(Y65:Y67)</f>
        <v>1.5513211828290487E-2</v>
      </c>
      <c r="AA68" s="55">
        <v>0</v>
      </c>
      <c r="AB68" s="55">
        <f t="shared" ref="AB68" si="557">_xlfn.STDEV.S(AA65:AA67)</f>
        <v>0</v>
      </c>
      <c r="AC68" s="55">
        <v>5.2232350421896655E-3</v>
      </c>
      <c r="AD68" s="55">
        <f t="shared" ref="AD68" si="558">_xlfn.STDEV.S(AC65:AC67)</f>
        <v>3.3262620522925122E-4</v>
      </c>
      <c r="AE68" s="55">
        <v>3.9909406708181421</v>
      </c>
      <c r="AF68" s="55">
        <f t="shared" ref="AF68" si="559">_xlfn.STDEV.S(AE65:AE67)</f>
        <v>0.2998899668971044</v>
      </c>
      <c r="AG68" s="55">
        <v>1.1019700213181038</v>
      </c>
      <c r="AH68" s="55">
        <f t="shared" ref="AH68" si="560">_xlfn.STDEV.S(AG65:AG67)</f>
        <v>7.2147664468889114E-3</v>
      </c>
      <c r="AI68" s="55">
        <v>0</v>
      </c>
      <c r="AJ68" s="55">
        <f>_xlfn.STDEV.S(AI65:AI67)</f>
        <v>0</v>
      </c>
      <c r="AK68" s="56">
        <f>AVERAGE(AK65:AK67)</f>
        <v>0.78613155915546573</v>
      </c>
      <c r="AL68" s="121">
        <f>_xlfn.STDEV.S(AK65:AK67)</f>
        <v>7.0581501807470371E-3</v>
      </c>
      <c r="AM68" s="121">
        <f>AVERAGE(AM65:AM67)</f>
        <v>0.19811599453967055</v>
      </c>
      <c r="AN68" s="121">
        <f>_xlfn.STDEV.S(AM65:AM67)</f>
        <v>1.2970957488363745E-3</v>
      </c>
      <c r="AO68" s="56">
        <f>AVERAGE(AO65:AO67)</f>
        <v>1.0494621686927772E-2</v>
      </c>
      <c r="AP68" s="121">
        <f>_xlfn.STDEV.S(AO65:AO67)</f>
        <v>7.5764240752921881E-4</v>
      </c>
      <c r="AQ68" s="121">
        <f>AVERAGE(AQ65:AQ67)</f>
        <v>2.6346056992523591E-3</v>
      </c>
      <c r="AR68" s="121" t="e">
        <f>_xlfn.STDEV.S(AQ65:AQ67)</f>
        <v>#DIV/0!</v>
      </c>
      <c r="AS68" s="56">
        <f>AVERAGE(AS65:AS67)</f>
        <v>0</v>
      </c>
      <c r="AT68" s="121" t="e">
        <f>_xlfn.STDEV.S(AS65:AS67)</f>
        <v>#DIV/0!</v>
      </c>
      <c r="AU68" s="56">
        <f>AVERAGE(AU65:AU67)</f>
        <v>0</v>
      </c>
      <c r="AV68" s="121" t="e">
        <f>_xlfn.STDEV.S(AU65:AU67)</f>
        <v>#DIV/0!</v>
      </c>
      <c r="AW68" s="56"/>
      <c r="AX68" s="56"/>
      <c r="AY68" s="56">
        <f>SUM(AK68,AO68,AS68)</f>
        <v>0.79662618084239345</v>
      </c>
      <c r="AZ68" s="56">
        <f>AL68</f>
        <v>7.0581501807470371E-3</v>
      </c>
      <c r="BA68" s="121">
        <f t="shared" ref="BA68" si="561">AVERAGE(BA65:BA67)</f>
        <v>10.069649387705532</v>
      </c>
      <c r="BB68" s="56">
        <f t="shared" ref="BB68" si="562">_xlfn.STDEV.S(BA65:BA67)</f>
        <v>0.36753610725035363</v>
      </c>
      <c r="BC68" s="121"/>
      <c r="BD68" s="56"/>
      <c r="BE68" s="121">
        <f t="shared" ref="BE68" si="563">AVERAGE(BE65:BE66)</f>
        <v>2.0136865872313789</v>
      </c>
      <c r="BF68" s="56">
        <f t="shared" ref="BF68" si="564">_xlfn.STDEV.S(BE65:BE66)</f>
        <v>3.7764034180469856E-2</v>
      </c>
      <c r="BG68" s="60">
        <f>AVERAGE(BG65:BG67)</f>
        <v>17.673333333333332</v>
      </c>
      <c r="BH68" s="57">
        <f>_xlfn.STDEV.S(BG65:BG67)</f>
        <v>1.2744541315140898</v>
      </c>
      <c r="BI68" s="57" t="e">
        <f>AVERAGE(BI65:BI67)</f>
        <v>#DIV/0!</v>
      </c>
      <c r="BJ68" s="57" t="e">
        <f>_xlfn.STDEV.S(BI65:BI67)</f>
        <v>#DIV/0!</v>
      </c>
      <c r="BK68" s="57">
        <f>AVERAGE(BK65:BK67)</f>
        <v>0</v>
      </c>
      <c r="BL68" s="57">
        <f>_xlfn.STDEV.S(BK65:BK67)</f>
        <v>0</v>
      </c>
      <c r="BM68" s="57">
        <f>AVERAGE(BM65:BM67)</f>
        <v>0</v>
      </c>
      <c r="BN68" s="57">
        <f>_xlfn.STDEV.S(BM65:BM67)</f>
        <v>0</v>
      </c>
      <c r="BO68" s="60">
        <f t="shared" ref="BO68" si="565">AVERAGE(BO65:BO67)</f>
        <v>0.29357696566998892</v>
      </c>
      <c r="BP68" s="57">
        <f t="shared" ref="BP68" si="566">_xlfn.STDEV.S(BO65:BO67)</f>
        <v>2.1170334410533058E-2</v>
      </c>
      <c r="BQ68" s="57">
        <f t="shared" ref="BQ68" si="567">AVERAGE(BQ65:BQ67)</f>
        <v>0</v>
      </c>
      <c r="BR68" s="57">
        <f t="shared" ref="BR68" si="568">_xlfn.STDEV.S(BQ65:BQ67)</f>
        <v>0</v>
      </c>
      <c r="BS68" s="57">
        <f t="shared" ref="BS68" si="569">AVERAGE(BS65:BS67)</f>
        <v>0</v>
      </c>
      <c r="BT68" s="57">
        <f t="shared" ref="BT68" si="570">_xlfn.STDEV.S(BS65:BS67)</f>
        <v>0</v>
      </c>
      <c r="BU68" s="57">
        <f t="shared" ref="BU68" si="571">AVERAGE(BU65:BU67)</f>
        <v>0</v>
      </c>
      <c r="BV68" s="57">
        <f t="shared" ref="BV68" si="572">_xlfn.STDEV.S(BU65:BU67)</f>
        <v>0</v>
      </c>
      <c r="BW68" s="60">
        <f t="shared" ref="BW68" si="573">AVERAGE(BW65:BW67)</f>
        <v>1.4678848283499446E-2</v>
      </c>
      <c r="BX68" s="57">
        <f t="shared" si="2"/>
        <v>0</v>
      </c>
      <c r="BY68" s="57">
        <f t="shared" si="3"/>
        <v>0</v>
      </c>
      <c r="BZ68" s="61">
        <f t="shared" si="4"/>
        <v>0</v>
      </c>
    </row>
    <row r="69" spans="1:78" x14ac:dyDescent="0.3">
      <c r="A69" s="125"/>
      <c r="B69" s="125"/>
      <c r="C69" s="87"/>
      <c r="D69" s="2"/>
      <c r="F69" s="2"/>
      <c r="H69" s="2"/>
      <c r="I69" s="109"/>
      <c r="J69" s="109"/>
      <c r="K69" s="109"/>
      <c r="L69" s="109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2"/>
      <c r="BO69" s="2"/>
      <c r="BW69" s="2"/>
      <c r="BZ69" s="2"/>
    </row>
    <row r="70" spans="1:78" ht="15" thickBot="1" x14ac:dyDescent="0.35">
      <c r="A70" s="125"/>
      <c r="B70" s="125"/>
      <c r="C70" s="2"/>
      <c r="D70" s="2"/>
      <c r="F70" s="2"/>
      <c r="H70" s="2"/>
      <c r="I70" s="109"/>
      <c r="J70" s="109"/>
      <c r="K70" s="109"/>
      <c r="L70" s="109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2"/>
      <c r="BO70" s="2"/>
      <c r="BW70" s="2"/>
      <c r="BZ70" s="2"/>
    </row>
    <row r="71" spans="1:78" ht="15" thickBot="1" x14ac:dyDescent="0.35">
      <c r="B71" s="2"/>
      <c r="C71" s="2"/>
      <c r="D71" s="2"/>
      <c r="F71" s="2"/>
      <c r="H71" s="2"/>
      <c r="I71" s="108"/>
      <c r="J71" s="108"/>
      <c r="K71" s="108"/>
      <c r="L71" s="108"/>
      <c r="M71" s="184" t="s">
        <v>8</v>
      </c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AI71" s="57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187" t="s">
        <v>10</v>
      </c>
      <c r="BH71" s="188"/>
      <c r="BI71" s="188"/>
      <c r="BJ71" s="188"/>
      <c r="BK71" s="188"/>
      <c r="BL71" s="188"/>
      <c r="BM71" s="188"/>
      <c r="BN71" s="188"/>
      <c r="BO71" s="115"/>
      <c r="BP71" s="105"/>
      <c r="BQ71" s="105"/>
      <c r="BR71" s="105"/>
      <c r="BS71" s="105"/>
      <c r="BT71" s="105"/>
      <c r="BU71" s="105"/>
      <c r="BV71" s="105"/>
      <c r="BW71" s="126"/>
      <c r="BX71" s="126"/>
      <c r="BY71" s="126"/>
      <c r="BZ71" s="126"/>
    </row>
    <row r="72" spans="1:78" ht="16.2" thickBot="1" x14ac:dyDescent="0.35">
      <c r="B72" s="2"/>
      <c r="C72" s="2"/>
      <c r="D72" s="2"/>
      <c r="F72" s="2"/>
      <c r="H72" s="103" t="s">
        <v>91</v>
      </c>
      <c r="I72" s="189" t="s">
        <v>90</v>
      </c>
      <c r="J72" s="190"/>
      <c r="K72" s="189" t="s">
        <v>90</v>
      </c>
      <c r="L72" s="190"/>
      <c r="M72" s="176" t="s">
        <v>89</v>
      </c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67" t="s">
        <v>88</v>
      </c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7"/>
      <c r="AK72" s="5"/>
      <c r="AL72" s="6"/>
      <c r="AM72" s="5"/>
      <c r="AN72" s="6"/>
      <c r="AO72" s="5"/>
      <c r="AP72" s="6"/>
      <c r="AQ72" s="5"/>
      <c r="AR72" s="6"/>
      <c r="AS72" s="5"/>
      <c r="AT72" s="6"/>
      <c r="AU72" s="5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178" t="s">
        <v>13</v>
      </c>
      <c r="BH72" s="179"/>
      <c r="BI72" s="179"/>
      <c r="BJ72" s="179"/>
      <c r="BK72" s="179"/>
      <c r="BL72" s="179"/>
      <c r="BM72" s="179"/>
      <c r="BN72" s="179"/>
      <c r="BO72" s="178" t="s">
        <v>87</v>
      </c>
      <c r="BP72" s="179"/>
      <c r="BQ72" s="179"/>
      <c r="BR72" s="179"/>
      <c r="BS72" s="179"/>
      <c r="BT72" s="179"/>
      <c r="BU72" s="179"/>
      <c r="BV72" s="179"/>
      <c r="BW72" s="178" t="s">
        <v>87</v>
      </c>
      <c r="BX72" s="179"/>
      <c r="BY72" s="179"/>
      <c r="BZ72" s="195"/>
    </row>
    <row r="73" spans="1:78" ht="16.2" thickBot="1" x14ac:dyDescent="0.35">
      <c r="A73" s="8" t="s">
        <v>85</v>
      </c>
      <c r="B73" s="10" t="s">
        <v>84</v>
      </c>
      <c r="C73" s="11" t="s">
        <v>16</v>
      </c>
      <c r="D73" s="12" t="s">
        <v>0</v>
      </c>
      <c r="E73" s="12" t="s">
        <v>47</v>
      </c>
      <c r="F73" s="102" t="s">
        <v>83</v>
      </c>
      <c r="G73" s="101" t="s">
        <v>47</v>
      </c>
      <c r="H73" s="14" t="s">
        <v>82</v>
      </c>
      <c r="I73" s="49" t="s">
        <v>81</v>
      </c>
      <c r="J73" s="49" t="s">
        <v>47</v>
      </c>
      <c r="K73" s="49" t="s">
        <v>81</v>
      </c>
      <c r="L73" s="49" t="s">
        <v>47</v>
      </c>
      <c r="M73" s="99" t="s">
        <v>80</v>
      </c>
      <c r="N73" s="99" t="s">
        <v>47</v>
      </c>
      <c r="O73" s="99" t="s">
        <v>79</v>
      </c>
      <c r="P73" s="99" t="s">
        <v>47</v>
      </c>
      <c r="Q73" s="99" t="s">
        <v>78</v>
      </c>
      <c r="R73" s="99" t="s">
        <v>47</v>
      </c>
      <c r="S73" s="99" t="s">
        <v>77</v>
      </c>
      <c r="T73" s="99" t="s">
        <v>47</v>
      </c>
      <c r="U73" s="99" t="s">
        <v>76</v>
      </c>
      <c r="V73" s="99" t="s">
        <v>47</v>
      </c>
      <c r="W73" s="99" t="s">
        <v>59</v>
      </c>
      <c r="X73" s="100" t="s">
        <v>47</v>
      </c>
      <c r="Y73" s="15" t="s">
        <v>80</v>
      </c>
      <c r="Z73" s="15" t="s">
        <v>47</v>
      </c>
      <c r="AA73" s="15" t="s">
        <v>79</v>
      </c>
      <c r="AB73" s="15" t="s">
        <v>47</v>
      </c>
      <c r="AC73" s="15" t="s">
        <v>78</v>
      </c>
      <c r="AD73" s="15" t="s">
        <v>47</v>
      </c>
      <c r="AE73" s="15" t="s">
        <v>77</v>
      </c>
      <c r="AF73" s="15" t="s">
        <v>47</v>
      </c>
      <c r="AG73" s="15" t="s">
        <v>76</v>
      </c>
      <c r="AH73" s="15" t="s">
        <v>47</v>
      </c>
      <c r="AI73" s="15" t="s">
        <v>59</v>
      </c>
      <c r="AJ73" s="98" t="s">
        <v>47</v>
      </c>
      <c r="AK73" s="15" t="s">
        <v>50</v>
      </c>
      <c r="AL73" s="15" t="s">
        <v>47</v>
      </c>
      <c r="AM73" s="15" t="s">
        <v>75</v>
      </c>
      <c r="AN73" s="15" t="s">
        <v>47</v>
      </c>
      <c r="AO73" s="15" t="s">
        <v>51</v>
      </c>
      <c r="AP73" s="15" t="s">
        <v>47</v>
      </c>
      <c r="AQ73" s="15" t="s">
        <v>74</v>
      </c>
      <c r="AR73" s="15" t="s">
        <v>47</v>
      </c>
      <c r="AS73" s="15" t="s">
        <v>52</v>
      </c>
      <c r="AT73" s="15" t="s">
        <v>47</v>
      </c>
      <c r="AU73" s="15" t="s">
        <v>73</v>
      </c>
      <c r="AV73" s="15" t="s">
        <v>47</v>
      </c>
      <c r="AW73" s="15" t="s">
        <v>53</v>
      </c>
      <c r="AX73" s="15" t="s">
        <v>47</v>
      </c>
      <c r="AY73" s="15" t="s">
        <v>54</v>
      </c>
      <c r="AZ73" s="15" t="s">
        <v>47</v>
      </c>
      <c r="BA73" s="15" t="s">
        <v>72</v>
      </c>
      <c r="BB73" s="15" t="s">
        <v>47</v>
      </c>
      <c r="BC73" s="15" t="s">
        <v>71</v>
      </c>
      <c r="BD73" s="15" t="s">
        <v>47</v>
      </c>
      <c r="BE73" s="15" t="s">
        <v>70</v>
      </c>
      <c r="BF73" s="15" t="s">
        <v>47</v>
      </c>
      <c r="BG73" s="17" t="s">
        <v>30</v>
      </c>
      <c r="BH73" s="17" t="s">
        <v>47</v>
      </c>
      <c r="BI73" s="17" t="s">
        <v>31</v>
      </c>
      <c r="BJ73" s="17" t="s">
        <v>47</v>
      </c>
      <c r="BK73" s="17" t="s">
        <v>32</v>
      </c>
      <c r="BL73" s="17" t="s">
        <v>47</v>
      </c>
      <c r="BM73" s="17" t="s">
        <v>33</v>
      </c>
      <c r="BN73" s="17" t="s">
        <v>47</v>
      </c>
      <c r="BO73" s="17" t="s">
        <v>30</v>
      </c>
      <c r="BP73" s="17" t="s">
        <v>47</v>
      </c>
      <c r="BQ73" s="17" t="s">
        <v>31</v>
      </c>
      <c r="BR73" s="17" t="s">
        <v>47</v>
      </c>
      <c r="BS73" s="17" t="s">
        <v>32</v>
      </c>
      <c r="BT73" s="17" t="s">
        <v>47</v>
      </c>
      <c r="BU73" s="17" t="s">
        <v>33</v>
      </c>
      <c r="BV73" s="17" t="s">
        <v>47</v>
      </c>
      <c r="BW73" s="17" t="s">
        <v>30</v>
      </c>
      <c r="BX73" s="17" t="s">
        <v>31</v>
      </c>
      <c r="BY73" s="17" t="s">
        <v>32</v>
      </c>
      <c r="BZ73" s="17" t="s">
        <v>38</v>
      </c>
    </row>
    <row r="74" spans="1:78" x14ac:dyDescent="0.3">
      <c r="A74" s="191" t="s">
        <v>58</v>
      </c>
      <c r="B74" s="70" t="s">
        <v>112</v>
      </c>
      <c r="C74" s="20">
        <v>0</v>
      </c>
      <c r="D74" s="69">
        <v>7.15</v>
      </c>
      <c r="E74" s="21"/>
      <c r="F74" s="37">
        <v>1.4950000000000001</v>
      </c>
      <c r="H74" s="37">
        <v>9.6000000000000002E-2</v>
      </c>
      <c r="I74" s="53">
        <f>H74*0.2842</f>
        <v>2.7283200000000001E-2</v>
      </c>
      <c r="M74" s="22">
        <v>14.670375395325053</v>
      </c>
      <c r="O74" s="21">
        <v>83.903530906448481</v>
      </c>
      <c r="Q74" s="21">
        <v>0.35528936511116715</v>
      </c>
      <c r="S74" s="21">
        <v>1.0708043331153243</v>
      </c>
      <c r="U74" s="21">
        <v>0</v>
      </c>
      <c r="W74" s="21">
        <v>0</v>
      </c>
      <c r="Y74" s="22">
        <v>0.98729056873514687</v>
      </c>
      <c r="Z74" s="21"/>
      <c r="AA74" s="21">
        <v>5.6465606717815744</v>
      </c>
      <c r="AB74" s="21"/>
      <c r="AC74" s="21">
        <v>2.3910351977627864E-2</v>
      </c>
      <c r="AD74" s="21"/>
      <c r="AE74" s="21">
        <v>7.2063256089709898E-2</v>
      </c>
      <c r="AF74" s="21"/>
      <c r="AG74" s="21">
        <v>0</v>
      </c>
      <c r="AH74" s="21"/>
      <c r="AI74" s="21">
        <v>0</v>
      </c>
      <c r="AJ74" s="21"/>
      <c r="BG74" s="127">
        <v>0</v>
      </c>
      <c r="BI74" s="2">
        <v>0</v>
      </c>
      <c r="BK74" s="2">
        <v>0</v>
      </c>
      <c r="BM74" s="2">
        <v>0</v>
      </c>
      <c r="BO74" s="37">
        <f>(BG74/1000)/60.2*1000</f>
        <v>0</v>
      </c>
      <c r="BQ74" s="2">
        <f>BI74/74.08</f>
        <v>0</v>
      </c>
      <c r="BS74" s="2">
        <f>(BK74/1000)/88.12*1000</f>
        <v>0</v>
      </c>
      <c r="BU74" s="2">
        <f>BM74/88.12</f>
        <v>0</v>
      </c>
      <c r="BW74" s="37">
        <f>BO74*0.05</f>
        <v>0</v>
      </c>
      <c r="BX74" s="2">
        <f>BQ74*0.05</f>
        <v>0</v>
      </c>
      <c r="BY74" s="2">
        <f>BS74*0.05</f>
        <v>0</v>
      </c>
      <c r="BZ74" s="18">
        <f>BU74*0.05</f>
        <v>0</v>
      </c>
    </row>
    <row r="75" spans="1:78" x14ac:dyDescent="0.3">
      <c r="A75" s="192"/>
      <c r="B75" s="70" t="s">
        <v>113</v>
      </c>
      <c r="C75" s="20">
        <v>0</v>
      </c>
      <c r="D75" s="69">
        <v>7.07</v>
      </c>
      <c r="E75" s="21"/>
      <c r="F75" s="37">
        <v>1.5049999999999999</v>
      </c>
      <c r="H75" s="37">
        <v>9.4E-2</v>
      </c>
      <c r="I75" s="53">
        <f t="shared" ref="I75:I76" si="574">H75*0.2842</f>
        <v>2.67148E-2</v>
      </c>
      <c r="M75" s="22">
        <v>15.002336500008687</v>
      </c>
      <c r="O75" s="21">
        <v>84.192075385659862</v>
      </c>
      <c r="Q75" s="21">
        <v>0.19303831728204049</v>
      </c>
      <c r="S75" s="21">
        <v>0.61254979704940382</v>
      </c>
      <c r="U75" s="21">
        <v>0</v>
      </c>
      <c r="W75" s="21">
        <v>0</v>
      </c>
      <c r="Y75" s="22">
        <v>1.0163843540581265</v>
      </c>
      <c r="Z75" s="21"/>
      <c r="AA75" s="21">
        <v>5.7038787363300001</v>
      </c>
      <c r="AB75" s="21"/>
      <c r="AC75" s="21">
        <v>1.3078037905566298E-2</v>
      </c>
      <c r="AD75" s="21"/>
      <c r="AE75" s="21">
        <v>4.1499271117011301E-2</v>
      </c>
      <c r="AF75" s="21"/>
      <c r="AG75" s="21">
        <v>0</v>
      </c>
      <c r="AH75" s="21"/>
      <c r="AI75" s="21">
        <v>0</v>
      </c>
      <c r="AJ75" s="21"/>
      <c r="BG75" s="37">
        <v>0</v>
      </c>
      <c r="BI75" s="2">
        <v>0</v>
      </c>
      <c r="BK75" s="2">
        <v>0</v>
      </c>
      <c r="BM75" s="2">
        <v>0</v>
      </c>
      <c r="BO75" s="37">
        <f>(BG75/1000)/60.2*1000</f>
        <v>0</v>
      </c>
      <c r="BQ75" s="2">
        <f>BI75/74.08</f>
        <v>0</v>
      </c>
      <c r="BS75" s="2">
        <f t="shared" ref="BS75:BS76" si="575">(BK75/1000)/88.12*1000</f>
        <v>0</v>
      </c>
      <c r="BU75" s="2">
        <f t="shared" ref="BU75:BU76" si="576">BM75/88.12</f>
        <v>0</v>
      </c>
      <c r="BW75" s="37">
        <f>BO75*0.05</f>
        <v>0</v>
      </c>
      <c r="BX75" s="2">
        <f t="shared" ref="BX75:BX137" si="577">BQ75*0.05</f>
        <v>0</v>
      </c>
      <c r="BY75" s="2">
        <f t="shared" ref="BY75:BY137" si="578">BS75*0.05</f>
        <v>0</v>
      </c>
      <c r="BZ75" s="18">
        <f t="shared" ref="BZ75:BZ137" si="579">BU75*0.05</f>
        <v>0</v>
      </c>
    </row>
    <row r="76" spans="1:78" x14ac:dyDescent="0.3">
      <c r="A76" s="192"/>
      <c r="B76" s="70" t="s">
        <v>114</v>
      </c>
      <c r="C76" s="20">
        <v>0</v>
      </c>
      <c r="D76" s="69">
        <v>7.09</v>
      </c>
      <c r="E76" s="21"/>
      <c r="F76" s="37">
        <v>1.5</v>
      </c>
      <c r="H76" s="37">
        <v>9.8000000000000004E-2</v>
      </c>
      <c r="I76" s="53">
        <f t="shared" si="574"/>
        <v>2.7851600000000001E-2</v>
      </c>
      <c r="M76" s="22">
        <v>14.961044408232423</v>
      </c>
      <c r="O76" s="21">
        <v>84.069280658972417</v>
      </c>
      <c r="Q76" s="21">
        <v>0.20308115377007152</v>
      </c>
      <c r="S76" s="21">
        <v>0.76659377902510539</v>
      </c>
      <c r="U76" s="21">
        <v>0</v>
      </c>
      <c r="W76" s="21">
        <v>0</v>
      </c>
      <c r="Y76" s="22">
        <v>1.0102194824678139</v>
      </c>
      <c r="Z76" s="21"/>
      <c r="AA76" s="21">
        <v>5.6766374646957152</v>
      </c>
      <c r="AB76" s="21"/>
      <c r="AC76" s="21">
        <v>1.3712714999206826E-2</v>
      </c>
      <c r="AD76" s="21"/>
      <c r="AE76" s="21">
        <v>5.1762961834646584E-2</v>
      </c>
      <c r="AF76" s="21"/>
      <c r="AG76" s="21">
        <v>0</v>
      </c>
      <c r="AH76" s="21"/>
      <c r="AI76" s="21">
        <v>0</v>
      </c>
      <c r="AJ76" s="21"/>
      <c r="BG76" s="37">
        <v>0</v>
      </c>
      <c r="BI76" s="2">
        <v>0</v>
      </c>
      <c r="BK76" s="2">
        <v>0</v>
      </c>
      <c r="BM76" s="2">
        <v>0</v>
      </c>
      <c r="BO76" s="37">
        <f>(BG76/1000)/60.2*1000</f>
        <v>0</v>
      </c>
      <c r="BQ76" s="2">
        <f>BI76/74.08</f>
        <v>0</v>
      </c>
      <c r="BS76" s="2">
        <f t="shared" si="575"/>
        <v>0</v>
      </c>
      <c r="BU76" s="2">
        <f t="shared" si="576"/>
        <v>0</v>
      </c>
      <c r="BW76" s="37">
        <f>BO76*0.05</f>
        <v>0</v>
      </c>
      <c r="BX76" s="2">
        <f t="shared" si="577"/>
        <v>0</v>
      </c>
      <c r="BY76" s="2">
        <f t="shared" si="578"/>
        <v>0</v>
      </c>
      <c r="BZ76" s="18">
        <f t="shared" si="579"/>
        <v>0</v>
      </c>
    </row>
    <row r="77" spans="1:78" x14ac:dyDescent="0.3">
      <c r="A77" s="192"/>
      <c r="B77" s="83" t="s">
        <v>63</v>
      </c>
      <c r="C77" s="80">
        <v>0</v>
      </c>
      <c r="D77" s="79">
        <f>AVERAGE(D74:D76)</f>
        <v>7.1033333333333344</v>
      </c>
      <c r="E77" s="77">
        <f>_xlfn.STDEV.S(D74:D76)</f>
        <v>4.1633319989322765E-2</v>
      </c>
      <c r="F77" s="78">
        <f t="shared" ref="F77:I77" si="580">AVERAGE(F74:F76)</f>
        <v>1.5</v>
      </c>
      <c r="G77" s="73">
        <f>_xlfn.STDEV.S(F74:F76)</f>
        <v>4.9999999999998934E-3</v>
      </c>
      <c r="H77" s="78">
        <f t="shared" si="580"/>
        <v>9.6000000000000016E-2</v>
      </c>
      <c r="I77" s="82">
        <f t="shared" si="580"/>
        <v>2.7283200000000004E-2</v>
      </c>
      <c r="J77" s="82">
        <f>_xlfn.STDEV.S(I74:I76)</f>
        <v>5.6840000000000016E-4</v>
      </c>
      <c r="K77" s="82"/>
      <c r="L77" s="82" t="e">
        <f>_xlfn.STDEV.S(K74:K76)</f>
        <v>#DIV/0!</v>
      </c>
      <c r="M77" s="77">
        <f>AVERAGE(M74:M76)</f>
        <v>14.877918767855389</v>
      </c>
      <c r="N77" s="76">
        <f>_xlfn.STDEV.S(M74:M76)</f>
        <v>0.18091972756381169</v>
      </c>
      <c r="O77" s="76">
        <f t="shared" ref="O77" si="581">AVERAGE(O74:O76)</f>
        <v>84.05496231702692</v>
      </c>
      <c r="P77" s="76">
        <f t="shared" ref="P77" si="582">_xlfn.STDEV.S(O74:O76)</f>
        <v>0.14480414465025854</v>
      </c>
      <c r="Q77" s="76">
        <f t="shared" ref="Q77" si="583">AVERAGE(Q74:Q76)</f>
        <v>0.25046961205442636</v>
      </c>
      <c r="R77" s="76">
        <f t="shared" ref="R77" si="584">_xlfn.STDEV.S(Q74:Q76)</f>
        <v>9.0915345868221892E-2</v>
      </c>
      <c r="S77" s="76">
        <f t="shared" ref="S77" si="585">AVERAGE(S74:S76)</f>
        <v>0.81664930306327788</v>
      </c>
      <c r="T77" s="76">
        <f t="shared" ref="T77" si="586">_xlfn.STDEV.S(S74:S76)</f>
        <v>0.23319192003862407</v>
      </c>
      <c r="U77" s="76">
        <f t="shared" ref="U77" si="587">AVERAGE(U74:U76)</f>
        <v>0</v>
      </c>
      <c r="V77" s="76">
        <f t="shared" ref="V77" si="588">_xlfn.STDEV.S(U74:U76)</f>
        <v>0</v>
      </c>
      <c r="W77" s="76">
        <f t="shared" ref="W77" si="589">AVERAGE(W74:W76)</f>
        <v>0</v>
      </c>
      <c r="X77" s="76">
        <f t="shared" ref="X77" si="590">_xlfn.STDEV.S(W74:W76)</f>
        <v>0</v>
      </c>
      <c r="Y77" s="77">
        <f>AVERAGE(Y74:Y76)</f>
        <v>1.0046314684203626</v>
      </c>
      <c r="Z77" s="76">
        <f>_xlfn.STDEV.S(Y74:Y76)</f>
        <v>1.5330737485548212E-2</v>
      </c>
      <c r="AA77" s="76">
        <f t="shared" ref="AA77" si="591">AVERAGE(AA74:AA76)</f>
        <v>5.6756922909357632</v>
      </c>
      <c r="AB77" s="76">
        <f t="shared" ref="AB77" si="592">_xlfn.STDEV.S(AA74:AA76)</f>
        <v>2.8670719313818236E-2</v>
      </c>
      <c r="AC77" s="76">
        <f t="shared" ref="AC77" si="593">AVERAGE(AC74:AC76)</f>
        <v>1.6900368294133661E-2</v>
      </c>
      <c r="AD77" s="76">
        <f t="shared" ref="AD77" si="594">_xlfn.STDEV.S(AC74:AC76)</f>
        <v>6.0791123682194977E-3</v>
      </c>
      <c r="AE77" s="76">
        <f t="shared" ref="AE77" si="595">AVERAGE(AE74:AE76)</f>
        <v>5.5108496347122594E-2</v>
      </c>
      <c r="AF77" s="76">
        <f t="shared" ref="AF77" si="596">_xlfn.STDEV.S(AE74:AE76)</f>
        <v>1.5554219531479601E-2</v>
      </c>
      <c r="AG77" s="76">
        <f t="shared" ref="AG77" si="597">AVERAGE(AG74:AG76)</f>
        <v>0</v>
      </c>
      <c r="AH77" s="76">
        <f t="shared" ref="AH77" si="598">_xlfn.STDEV.S(AG74:AG76)</f>
        <v>0</v>
      </c>
      <c r="AI77" s="76">
        <f t="shared" ref="AI77" si="599">AVERAGE(AI74:AI76)</f>
        <v>0</v>
      </c>
      <c r="AJ77" s="76">
        <f t="shared" ref="AJ77" si="600">_xlfn.STDEV.S(AI74:AI76)</f>
        <v>0</v>
      </c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>
        <f>AVERAGE(BG74:BG76)</f>
        <v>0</v>
      </c>
      <c r="BH77" s="75">
        <f>_xlfn.STDEV.S(BG74:BG76)</f>
        <v>0</v>
      </c>
      <c r="BI77" s="75">
        <f>AVERAGE(BI74:BI76)</f>
        <v>0</v>
      </c>
      <c r="BJ77" s="75">
        <f>_xlfn.STDEV.S(BI74:BI76)</f>
        <v>0</v>
      </c>
      <c r="BK77" s="75">
        <f>AVERAGE(BK74:BK76)</f>
        <v>0</v>
      </c>
      <c r="BL77" s="75">
        <f>_xlfn.STDEV.S(BK74:BK76)</f>
        <v>0</v>
      </c>
      <c r="BM77" s="75">
        <f>AVERAGE(BM74:BM76)</f>
        <v>0</v>
      </c>
      <c r="BN77" s="75">
        <f>_xlfn.STDEV.S(BM74:BM76)</f>
        <v>0</v>
      </c>
      <c r="BO77" s="78">
        <f>AVERAGE(BO74:BO76)</f>
        <v>0</v>
      </c>
      <c r="BP77" s="75">
        <f>_xlfn.STDEV.S(BO74:BO76)</f>
        <v>0</v>
      </c>
      <c r="BQ77" s="75">
        <f>AVERAGE(BQ74:BQ76)</f>
        <v>0</v>
      </c>
      <c r="BR77" s="75">
        <f>_xlfn.STDEV.S(BQ74:BQ76)</f>
        <v>0</v>
      </c>
      <c r="BS77" s="75">
        <f>AVERAGE(BS74:BS76)</f>
        <v>0</v>
      </c>
      <c r="BT77" s="75">
        <f>_xlfn.STDEV.S(BS74:BS76)</f>
        <v>0</v>
      </c>
      <c r="BU77" s="75">
        <f>AVERAGE(BU74:BU76)</f>
        <v>0</v>
      </c>
      <c r="BV77" s="75">
        <f>_xlfn.STDEV.S(BU74:BU76)</f>
        <v>0</v>
      </c>
      <c r="BW77" s="78">
        <f>AVERAGE(BW74:BW76)</f>
        <v>0</v>
      </c>
      <c r="BX77" s="75">
        <f t="shared" si="577"/>
        <v>0</v>
      </c>
      <c r="BY77" s="75">
        <f t="shared" si="578"/>
        <v>0</v>
      </c>
      <c r="BZ77" s="119">
        <f t="shared" si="579"/>
        <v>0</v>
      </c>
    </row>
    <row r="78" spans="1:78" x14ac:dyDescent="0.3">
      <c r="A78" s="191" t="s">
        <v>61</v>
      </c>
      <c r="B78" s="70" t="s">
        <v>115</v>
      </c>
      <c r="C78" s="20">
        <v>0</v>
      </c>
      <c r="D78" s="69">
        <v>7.16</v>
      </c>
      <c r="E78" s="21"/>
      <c r="F78" s="37">
        <v>1.5</v>
      </c>
      <c r="H78" s="37">
        <v>0.113</v>
      </c>
      <c r="I78" s="53">
        <f>H78*0.2842</f>
        <v>3.21146E-2</v>
      </c>
      <c r="M78" s="22">
        <v>0.30126884152353683</v>
      </c>
      <c r="O78" s="21">
        <v>0</v>
      </c>
      <c r="Q78" s="21">
        <v>0.28524841566161391</v>
      </c>
      <c r="S78" s="21">
        <v>99.413482742814864</v>
      </c>
      <c r="U78" s="21">
        <v>0</v>
      </c>
      <c r="W78" s="21">
        <v>0</v>
      </c>
      <c r="Y78" s="22">
        <v>2.0342674272132748E-2</v>
      </c>
      <c r="Z78" s="21"/>
      <c r="AA78" s="21">
        <v>0</v>
      </c>
      <c r="AB78" s="21"/>
      <c r="AC78" s="21">
        <v>1.926092183015481E-2</v>
      </c>
      <c r="AD78" s="21"/>
      <c r="AE78" s="21">
        <v>6.7127290278950937</v>
      </c>
      <c r="AF78" s="21"/>
      <c r="AG78" s="21">
        <v>0</v>
      </c>
      <c r="AH78" s="21"/>
      <c r="AI78" s="21">
        <v>0</v>
      </c>
      <c r="AJ78" s="21"/>
      <c r="BG78" s="37">
        <v>1599.24</v>
      </c>
      <c r="BI78" s="2">
        <v>0</v>
      </c>
      <c r="BK78" s="2">
        <v>0</v>
      </c>
      <c r="BM78" s="2">
        <v>0</v>
      </c>
      <c r="BO78" s="37">
        <f>(BG78/1000)/60.2*1000</f>
        <v>26.565448504983387</v>
      </c>
      <c r="BQ78" s="2">
        <f>BI78/74.08</f>
        <v>0</v>
      </c>
      <c r="BS78" s="2">
        <f>(BK78/1000)/88.12*1000</f>
        <v>0</v>
      </c>
      <c r="BU78" s="2">
        <f>BM78/88.12</f>
        <v>0</v>
      </c>
      <c r="BW78" s="37">
        <f>BO78*0.05</f>
        <v>1.3282724252491693</v>
      </c>
      <c r="BX78" s="2">
        <f t="shared" si="577"/>
        <v>0</v>
      </c>
      <c r="BY78" s="2">
        <f t="shared" si="578"/>
        <v>0</v>
      </c>
      <c r="BZ78" s="18">
        <f t="shared" si="579"/>
        <v>0</v>
      </c>
    </row>
    <row r="79" spans="1:78" x14ac:dyDescent="0.3">
      <c r="A79" s="192"/>
      <c r="B79" s="70" t="s">
        <v>116</v>
      </c>
      <c r="C79" s="20">
        <v>0</v>
      </c>
      <c r="D79" s="69">
        <v>7.17</v>
      </c>
      <c r="E79" s="21"/>
      <c r="F79" s="37">
        <v>1.5</v>
      </c>
      <c r="H79" s="37">
        <v>0.11799999999999999</v>
      </c>
      <c r="I79" s="53">
        <f>H79*0.2842</f>
        <v>3.3535599999999999E-2</v>
      </c>
      <c r="M79" s="22">
        <v>0.30126884152353683</v>
      </c>
      <c r="O79" s="21">
        <v>0</v>
      </c>
      <c r="Q79" s="21">
        <v>0.28524841566161391</v>
      </c>
      <c r="S79" s="21">
        <v>99.413482742814864</v>
      </c>
      <c r="U79" s="21">
        <v>0</v>
      </c>
      <c r="W79" s="21">
        <v>0</v>
      </c>
      <c r="Y79" s="22">
        <v>1.9283013439260626E-2</v>
      </c>
      <c r="Z79" s="21"/>
      <c r="AA79" s="21">
        <v>0</v>
      </c>
      <c r="AB79" s="21"/>
      <c r="AC79" s="21">
        <v>2.4767586167031511E-2</v>
      </c>
      <c r="AD79" s="21"/>
      <c r="AE79" s="21">
        <v>6.7082820243910888</v>
      </c>
      <c r="AF79" s="21"/>
      <c r="AG79" s="21">
        <v>0</v>
      </c>
      <c r="AH79" s="21"/>
      <c r="AI79" s="21">
        <v>0</v>
      </c>
      <c r="AJ79" s="21"/>
      <c r="BG79" s="37">
        <v>1523.51</v>
      </c>
      <c r="BI79" s="2">
        <v>0</v>
      </c>
      <c r="BK79" s="2">
        <v>0</v>
      </c>
      <c r="BM79" s="2">
        <v>0</v>
      </c>
      <c r="BO79" s="37">
        <f>(BG79/1000)/60.2*1000</f>
        <v>25.307475083056474</v>
      </c>
      <c r="BQ79" s="2">
        <f>BI79/74.08</f>
        <v>0</v>
      </c>
      <c r="BS79" s="2">
        <f t="shared" ref="BS79:BS80" si="601">(BK79/1000)/88.12*1000</f>
        <v>0</v>
      </c>
      <c r="BU79" s="2">
        <f t="shared" ref="BU79:BU80" si="602">BM79/88.12</f>
        <v>0</v>
      </c>
      <c r="BW79" s="37">
        <f>BO79*0.05</f>
        <v>1.2653737541528238</v>
      </c>
      <c r="BX79" s="2">
        <f t="shared" si="577"/>
        <v>0</v>
      </c>
      <c r="BY79" s="2">
        <f t="shared" si="578"/>
        <v>0</v>
      </c>
      <c r="BZ79" s="18">
        <f t="shared" si="579"/>
        <v>0</v>
      </c>
    </row>
    <row r="80" spans="1:78" x14ac:dyDescent="0.3">
      <c r="A80" s="192"/>
      <c r="B80" s="70" t="s">
        <v>117</v>
      </c>
      <c r="C80" s="20">
        <v>0</v>
      </c>
      <c r="D80" s="69">
        <v>7.11</v>
      </c>
      <c r="E80" s="21"/>
      <c r="F80" s="37">
        <v>1.5149999999999999</v>
      </c>
      <c r="H80" s="37">
        <v>0.109</v>
      </c>
      <c r="I80" s="53">
        <f t="shared" ref="I80" si="603">H80*0.2842</f>
        <v>3.09778E-2</v>
      </c>
      <c r="M80" s="22">
        <v>0.28557558569804398</v>
      </c>
      <c r="O80" s="21">
        <v>0</v>
      </c>
      <c r="Q80" s="21">
        <v>0.36680044580459514</v>
      </c>
      <c r="S80" s="21">
        <v>99.347623968497359</v>
      </c>
      <c r="U80" s="21">
        <v>0</v>
      </c>
      <c r="W80" s="21">
        <v>0</v>
      </c>
      <c r="Y80" s="22">
        <v>1.9138964501848574E-2</v>
      </c>
      <c r="Z80" s="21"/>
      <c r="AA80" s="21">
        <v>0</v>
      </c>
      <c r="AB80" s="21"/>
      <c r="AC80" s="21">
        <v>2.5202901809580899E-2</v>
      </c>
      <c r="AD80" s="21"/>
      <c r="AE80" s="21">
        <v>6.7755140839259269</v>
      </c>
      <c r="AF80" s="21"/>
      <c r="AG80" s="21">
        <v>0</v>
      </c>
      <c r="AH80" s="21"/>
      <c r="AI80" s="21">
        <v>0</v>
      </c>
      <c r="AJ80" s="21"/>
      <c r="BG80" s="37">
        <v>1478.02</v>
      </c>
      <c r="BI80" s="2">
        <v>0</v>
      </c>
      <c r="BK80" s="2">
        <v>0</v>
      </c>
      <c r="BO80" s="37">
        <f>(BG80/1000)/60.2*1000</f>
        <v>24.551827242524915</v>
      </c>
      <c r="BQ80" s="2">
        <f>BI80/74.08</f>
        <v>0</v>
      </c>
      <c r="BS80" s="2">
        <f t="shared" si="601"/>
        <v>0</v>
      </c>
      <c r="BU80" s="2">
        <f t="shared" si="602"/>
        <v>0</v>
      </c>
      <c r="BW80" s="37">
        <f>BO80*0.05</f>
        <v>1.2275913621262458</v>
      </c>
      <c r="BX80" s="2">
        <f t="shared" si="577"/>
        <v>0</v>
      </c>
      <c r="BY80" s="2">
        <f t="shared" si="578"/>
        <v>0</v>
      </c>
      <c r="BZ80" s="18">
        <f t="shared" si="579"/>
        <v>0</v>
      </c>
    </row>
    <row r="81" spans="1:78" ht="15" thickBot="1" x14ac:dyDescent="0.35">
      <c r="A81" s="193"/>
      <c r="B81" s="66" t="s">
        <v>63</v>
      </c>
      <c r="C81" s="65">
        <v>0</v>
      </c>
      <c r="D81" s="64">
        <f>AVERAGE(D78:D80)</f>
        <v>7.1466666666666674</v>
      </c>
      <c r="E81" s="64">
        <f>_xlfn.STDEV.S(D78:D80)</f>
        <v>3.2145502536643007E-2</v>
      </c>
      <c r="F81" s="60">
        <f t="shared" ref="F81" si="604">AVERAGE(F77:F80)</f>
        <v>1.5037499999999999</v>
      </c>
      <c r="G81" s="55">
        <f>_xlfn.STDEV.S(F77:F80)</f>
        <v>7.4999999999999512E-3</v>
      </c>
      <c r="H81" s="60">
        <f>AVERAGE(H78:H80)</f>
        <v>0.11333333333333333</v>
      </c>
      <c r="I81" s="63">
        <f>AVERAGE(I78:I80)</f>
        <v>3.2209333333333333E-2</v>
      </c>
      <c r="J81" s="63">
        <f>_xlfn.STDEV.S(I78:I80)</f>
        <v>1.2815287797522661E-3</v>
      </c>
      <c r="K81" s="63"/>
      <c r="L81" s="63" t="e">
        <f>_xlfn.STDEV.S(K77:K80)</f>
        <v>#DIV/0!</v>
      </c>
      <c r="M81" s="59">
        <f>AVERAGE(M78:M80)</f>
        <v>0.29603775624837253</v>
      </c>
      <c r="N81" s="58">
        <f>_xlfn.STDEV.S(M78:M80)</f>
        <v>9.0605054753099649E-3</v>
      </c>
      <c r="O81" s="58">
        <f t="shared" ref="O81" si="605">AVERAGE(O78:O80)</f>
        <v>0</v>
      </c>
      <c r="P81" s="58">
        <f t="shared" ref="P81" si="606">_xlfn.STDEV.S(O78:O80)</f>
        <v>0</v>
      </c>
      <c r="Q81" s="58">
        <f t="shared" ref="Q81" si="607">AVERAGE(Q78:Q80)</f>
        <v>0.31243242570927432</v>
      </c>
      <c r="R81" s="58">
        <f t="shared" ref="R81" si="608">_xlfn.STDEV.S(Q78:Q80)</f>
        <v>4.7084086556010485E-2</v>
      </c>
      <c r="S81" s="58">
        <f t="shared" ref="S81" si="609">AVERAGE(S78:S80)</f>
        <v>99.391529818042372</v>
      </c>
      <c r="T81" s="58">
        <f t="shared" ref="T81" si="610">_xlfn.STDEV.S(S78:S80)</f>
        <v>3.8023581080710182E-2</v>
      </c>
      <c r="U81" s="58">
        <f t="shared" ref="U81" si="611">AVERAGE(U78:U80)</f>
        <v>0</v>
      </c>
      <c r="V81" s="58">
        <f t="shared" ref="V81" si="612">_xlfn.STDEV.S(U78:U80)</f>
        <v>0</v>
      </c>
      <c r="W81" s="58">
        <f t="shared" ref="W81" si="613">AVERAGE(W78:W80)</f>
        <v>0</v>
      </c>
      <c r="X81" s="58">
        <f t="shared" ref="X81" si="614">_xlfn.STDEV.S(W78:W80)</f>
        <v>0</v>
      </c>
      <c r="Y81" s="59">
        <f>AVERAGE(Y78:Y80)</f>
        <v>1.9588217404413983E-2</v>
      </c>
      <c r="Z81" s="58">
        <f>_xlfn.STDEV.S(Y78:Y80)</f>
        <v>6.5733659416496312E-4</v>
      </c>
      <c r="AA81" s="58">
        <f t="shared" ref="AA81" si="615">AVERAGE(AA78:AA80)</f>
        <v>0</v>
      </c>
      <c r="AB81" s="58">
        <f t="shared" ref="AB81" si="616">_xlfn.STDEV.S(AA78:AA80)</f>
        <v>0</v>
      </c>
      <c r="AC81" s="58">
        <f t="shared" ref="AC81" si="617">AVERAGE(AC78:AC80)</f>
        <v>2.307713660225574E-2</v>
      </c>
      <c r="AD81" s="58">
        <f t="shared" ref="AD81" si="618">_xlfn.STDEV.S(AC78:AC80)</f>
        <v>3.312098476383675E-3</v>
      </c>
      <c r="AE81" s="58">
        <f t="shared" ref="AE81" si="619">AVERAGE(AE78:AE80)</f>
        <v>6.7321750454040368</v>
      </c>
      <c r="AF81" s="58">
        <f t="shared" ref="AF81" si="620">_xlfn.STDEV.S(AE78:AE80)</f>
        <v>3.7598512670617507E-2</v>
      </c>
      <c r="AG81" s="58">
        <f t="shared" ref="AG81" si="621">AVERAGE(AG78:AG80)</f>
        <v>0</v>
      </c>
      <c r="AH81" s="58">
        <f t="shared" ref="AH81" si="622">_xlfn.STDEV.S(AG78:AG80)</f>
        <v>0</v>
      </c>
      <c r="AI81" s="58">
        <f t="shared" ref="AI81" si="623">AVERAGE(AI78:AI80)</f>
        <v>0</v>
      </c>
      <c r="AJ81" s="58">
        <f t="shared" ref="AJ81" si="624">_xlfn.STDEV.S(AI78:AI80)</f>
        <v>0</v>
      </c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>
        <f>AVERAGE(BG78:BG80)</f>
        <v>1533.5900000000001</v>
      </c>
      <c r="BH81" s="57">
        <f>_xlfn.STDEV.S(BG78:BG80)</f>
        <v>61.235421938613285</v>
      </c>
      <c r="BI81" s="57">
        <f>AVERAGE(BI78:BI80)</f>
        <v>0</v>
      </c>
      <c r="BJ81" s="57">
        <f>_xlfn.STDEV.S(BI78:BI80)</f>
        <v>0</v>
      </c>
      <c r="BK81" s="57">
        <f>AVERAGE(BK78:BK80)</f>
        <v>0</v>
      </c>
      <c r="BL81" s="57">
        <f>_xlfn.STDEV.S(BK78:BK80)</f>
        <v>0</v>
      </c>
      <c r="BM81" s="57">
        <f>AVERAGE(BM78:BM80)</f>
        <v>0</v>
      </c>
      <c r="BN81" s="57">
        <f>_xlfn.STDEV.S(BM78:BM80)</f>
        <v>0</v>
      </c>
      <c r="BO81" s="60">
        <f>AVERAGE(BO78:BO80)</f>
        <v>25.474916943521592</v>
      </c>
      <c r="BP81" s="57">
        <f>_xlfn.STDEV.S(BO78:BO80)</f>
        <v>1.0171996999769648</v>
      </c>
      <c r="BQ81" s="57">
        <f>AVERAGE(BQ78:BQ80)</f>
        <v>0</v>
      </c>
      <c r="BR81" s="57">
        <f>_xlfn.STDEV.S(BQ78:BQ80)</f>
        <v>0</v>
      </c>
      <c r="BS81" s="57">
        <f>AVERAGE(BS78:BS80)</f>
        <v>0</v>
      </c>
      <c r="BT81" s="57">
        <f>_xlfn.STDEV.S(BS78:BS80)</f>
        <v>0</v>
      </c>
      <c r="BU81" s="57">
        <f>AVERAGE(BU78:BU80)</f>
        <v>0</v>
      </c>
      <c r="BV81" s="57">
        <f>_xlfn.STDEV.S(BU78:BU80)</f>
        <v>0</v>
      </c>
      <c r="BW81" s="60">
        <f>AVERAGE(BW78:BW80)</f>
        <v>1.2737458471760796</v>
      </c>
      <c r="BX81" s="57">
        <f t="shared" si="577"/>
        <v>0</v>
      </c>
      <c r="BY81" s="57">
        <f t="shared" si="578"/>
        <v>0</v>
      </c>
      <c r="BZ81" s="61">
        <f t="shared" si="579"/>
        <v>0</v>
      </c>
    </row>
    <row r="82" spans="1:78" x14ac:dyDescent="0.3">
      <c r="A82" s="191" t="s">
        <v>58</v>
      </c>
      <c r="B82" s="70" t="s">
        <v>112</v>
      </c>
      <c r="C82" s="20">
        <v>1</v>
      </c>
      <c r="D82" s="69"/>
      <c r="E82" s="21"/>
      <c r="F82" s="37">
        <v>1.46</v>
      </c>
      <c r="H82" s="37">
        <v>0.11</v>
      </c>
      <c r="I82" s="53">
        <f t="shared" ref="I82:I132" si="625">H82*0.2842</f>
        <v>3.1261999999999998E-2</v>
      </c>
      <c r="M82" s="22">
        <v>14.908031195682772</v>
      </c>
      <c r="O82" s="21">
        <v>84.277423220211702</v>
      </c>
      <c r="Q82" s="21">
        <v>9.2145435452775773E-2</v>
      </c>
      <c r="S82" s="21">
        <v>0.7224001486527637</v>
      </c>
      <c r="U82" s="21">
        <v>0</v>
      </c>
      <c r="W82" s="21">
        <v>0</v>
      </c>
      <c r="Y82" s="22">
        <v>0.97979612458121346</v>
      </c>
      <c r="Z82" s="21"/>
      <c r="AA82" s="21">
        <v>5.5389401576223598</v>
      </c>
      <c r="AB82" s="21"/>
      <c r="AC82" s="21">
        <v>6.0560471982795015E-3</v>
      </c>
      <c r="AD82" s="21"/>
      <c r="AE82" s="21">
        <v>4.7478091288931837E-2</v>
      </c>
      <c r="AF82" s="21"/>
      <c r="AG82" s="21">
        <v>0</v>
      </c>
      <c r="AH82" s="21"/>
      <c r="AI82" s="21">
        <v>0</v>
      </c>
      <c r="AJ82" s="21"/>
      <c r="AK82" s="37">
        <f>8*(AG82-$AG$74)/(2*($AA$74-AA82)+2*($AI$74-AI82))</f>
        <v>0</v>
      </c>
      <c r="AM82" s="37">
        <f>(AG82-$AG$74)/(($AA$74-AA82)+($AI$74-AI82))</f>
        <v>0</v>
      </c>
      <c r="AO82" s="37">
        <f>8*(BW82-$BW$74)/(2*($AA$74-AA82)+2*($AI$74-AI82))</f>
        <v>0</v>
      </c>
      <c r="AQ82" s="37">
        <f>(BW82-$BW$74)/(($AA$74-AA82)+($AI$74-AI82))</f>
        <v>0</v>
      </c>
      <c r="AS82" s="37">
        <f>14*(BX82-$BX$74)/(2*($AA$74-AA82)+2*($AI$74-AI82))</f>
        <v>0</v>
      </c>
      <c r="AU82" s="37">
        <f>(BX82-$BX$74)/(($AA$74-AA82)+($AI$74-AI82))</f>
        <v>0</v>
      </c>
      <c r="BG82" s="127">
        <v>0</v>
      </c>
      <c r="BI82" s="2">
        <v>0</v>
      </c>
      <c r="BK82" s="2">
        <v>0</v>
      </c>
      <c r="BM82" s="2">
        <v>0</v>
      </c>
      <c r="BO82" s="37">
        <f t="shared" ref="BO82:BO84" si="626">(BG82/1000)/60.2*1000</f>
        <v>0</v>
      </c>
      <c r="BQ82" s="2">
        <f t="shared" ref="BQ82:BQ84" si="627">BI82/74.08</f>
        <v>0</v>
      </c>
      <c r="BS82" s="2">
        <f t="shared" ref="BS82:BS84" si="628">(BK82/1000)/88.12*1000</f>
        <v>0</v>
      </c>
      <c r="BU82" s="2">
        <f t="shared" ref="BU82:BU84" si="629">BM82/88.12</f>
        <v>0</v>
      </c>
      <c r="BW82" s="37">
        <f t="shared" ref="BW82:BW84" si="630">BO82*0.05</f>
        <v>0</v>
      </c>
      <c r="BX82" s="2">
        <f t="shared" si="577"/>
        <v>0</v>
      </c>
      <c r="BY82" s="2">
        <f t="shared" si="578"/>
        <v>0</v>
      </c>
      <c r="BZ82" s="18">
        <f t="shared" si="579"/>
        <v>0</v>
      </c>
    </row>
    <row r="83" spans="1:78" x14ac:dyDescent="0.3">
      <c r="A83" s="192"/>
      <c r="B83" s="70" t="s">
        <v>113</v>
      </c>
      <c r="C83" s="20">
        <v>1</v>
      </c>
      <c r="D83" s="69"/>
      <c r="E83" s="21"/>
      <c r="F83" s="37">
        <v>1.4750000000000001</v>
      </c>
      <c r="H83" s="37">
        <v>0.112</v>
      </c>
      <c r="I83" s="53">
        <f t="shared" si="625"/>
        <v>3.1830400000000002E-2</v>
      </c>
      <c r="M83" s="22">
        <v>15.326314165319143</v>
      </c>
      <c r="O83" s="21">
        <v>83.749913161311142</v>
      </c>
      <c r="Q83" s="21">
        <v>0.12707947769368083</v>
      </c>
      <c r="S83" s="21">
        <v>0.79669319567602492</v>
      </c>
      <c r="U83" s="21">
        <v>0</v>
      </c>
      <c r="W83" s="21">
        <v>0</v>
      </c>
      <c r="Y83" s="22">
        <v>1.0176356495838237</v>
      </c>
      <c r="Z83" s="21"/>
      <c r="AA83" s="21">
        <v>5.5608214971446772</v>
      </c>
      <c r="AB83" s="21"/>
      <c r="AC83" s="21">
        <v>8.4378152135372898E-3</v>
      </c>
      <c r="AD83" s="21"/>
      <c r="AE83" s="21">
        <v>5.2898784988719534E-2</v>
      </c>
      <c r="AF83" s="21"/>
      <c r="AG83" s="21">
        <v>0</v>
      </c>
      <c r="AH83" s="21"/>
      <c r="AI83" s="21">
        <v>0</v>
      </c>
      <c r="AJ83" s="21"/>
      <c r="AK83" s="37">
        <f>8*(AG83-$AG$75)/(2*($AA$75-AA83)+2*($AI$75-AI83))</f>
        <v>0</v>
      </c>
      <c r="AM83" s="37">
        <f>(AG83-$AG$75)/(($AA$75-AA83)+($AI$75-AI83))</f>
        <v>0</v>
      </c>
      <c r="AO83" s="37">
        <f>8*(BW83-$BW$75)/(2*($AA$75-AA83)+2*($AI$75-AI83))</f>
        <v>0</v>
      </c>
      <c r="AQ83" s="37">
        <f>(BW83-$BW$75)/(($AA$75-AA83)+($AI$75-AI83))</f>
        <v>0</v>
      </c>
      <c r="AS83" s="37">
        <f>14*(BX83-$BX$75)/(2*($AA$75-AA83)+2*($AI$75-AI83))</f>
        <v>0</v>
      </c>
      <c r="AU83" s="37">
        <f>(BX83-$BX$75)/(($AA$75-AA83)+($AI$75-AI83))</f>
        <v>0</v>
      </c>
      <c r="BG83" s="37">
        <v>0</v>
      </c>
      <c r="BI83" s="2">
        <v>0</v>
      </c>
      <c r="BK83" s="2">
        <v>0</v>
      </c>
      <c r="BM83" s="2">
        <v>0</v>
      </c>
      <c r="BO83" s="37">
        <f t="shared" si="626"/>
        <v>0</v>
      </c>
      <c r="BQ83" s="2">
        <f t="shared" si="627"/>
        <v>0</v>
      </c>
      <c r="BS83" s="2">
        <f t="shared" si="628"/>
        <v>0</v>
      </c>
      <c r="BU83" s="2">
        <f t="shared" si="629"/>
        <v>0</v>
      </c>
      <c r="BW83" s="37">
        <f t="shared" si="630"/>
        <v>0</v>
      </c>
      <c r="BX83" s="2">
        <f t="shared" si="577"/>
        <v>0</v>
      </c>
      <c r="BY83" s="2">
        <f t="shared" si="578"/>
        <v>0</v>
      </c>
      <c r="BZ83" s="18">
        <f t="shared" si="579"/>
        <v>0</v>
      </c>
    </row>
    <row r="84" spans="1:78" x14ac:dyDescent="0.3">
      <c r="A84" s="192"/>
      <c r="B84" s="70" t="s">
        <v>114</v>
      </c>
      <c r="C84" s="20">
        <v>1</v>
      </c>
      <c r="D84" s="69"/>
      <c r="E84" s="21"/>
      <c r="F84" s="37">
        <v>1.4850000000000001</v>
      </c>
      <c r="H84" s="37">
        <v>0.11799999999999999</v>
      </c>
      <c r="I84" s="53">
        <f t="shared" si="625"/>
        <v>3.3535599999999999E-2</v>
      </c>
      <c r="M84" s="22">
        <v>14.897886100039127</v>
      </c>
      <c r="O84" s="21">
        <v>84.127115013823456</v>
      </c>
      <c r="Q84" s="21">
        <v>0.12989500759219894</v>
      </c>
      <c r="S84" s="21">
        <v>0.84510387854522129</v>
      </c>
      <c r="U84" s="21">
        <v>0</v>
      </c>
      <c r="W84" s="21">
        <v>0</v>
      </c>
      <c r="Y84" s="22">
        <v>0.99589527518472387</v>
      </c>
      <c r="Z84" s="21"/>
      <c r="AA84" s="21">
        <v>5.6237372063791389</v>
      </c>
      <c r="AB84" s="21"/>
      <c r="AC84" s="21">
        <v>8.6832335448460054E-3</v>
      </c>
      <c r="AD84" s="21"/>
      <c r="AE84" s="21">
        <v>5.6493582648699421E-2</v>
      </c>
      <c r="AF84" s="21"/>
      <c r="AG84" s="21">
        <v>0</v>
      </c>
      <c r="AH84" s="21"/>
      <c r="AI84" s="21">
        <v>0</v>
      </c>
      <c r="AJ84" s="21"/>
      <c r="AK84" s="37">
        <f>8*(AG84-$AG$76)/(2*($AA$76-AA84)+2*($AI$76-AI84))</f>
        <v>0</v>
      </c>
      <c r="AM84" s="37">
        <f>(AG84-$AG$76)/(($AA$76-AA84)+($AI$76-AI84))</f>
        <v>0</v>
      </c>
      <c r="AO84" s="37">
        <f>8*(BW84-$BW$76)/(2*($AA$76-AA84)+2*($AI$76-AI84))</f>
        <v>0</v>
      </c>
      <c r="AQ84" s="37">
        <f>(BW84-$BW$76)/(($AA$76-AA84)+($AI$76-AI84))</f>
        <v>0</v>
      </c>
      <c r="AS84" s="37">
        <f>14*(BX84-$BX$76)/(2*($AA$76-AA84)+2*($AI$76-AI84))</f>
        <v>0</v>
      </c>
      <c r="AU84" s="37">
        <f>(BX84-$BX$76)/(($AA$76-AA84)+($AI$76-AI84))</f>
        <v>0</v>
      </c>
      <c r="BG84" s="37">
        <v>0</v>
      </c>
      <c r="BI84" s="2">
        <v>0</v>
      </c>
      <c r="BK84" s="2">
        <v>0</v>
      </c>
      <c r="BM84" s="2">
        <v>0</v>
      </c>
      <c r="BO84" s="37">
        <f t="shared" si="626"/>
        <v>0</v>
      </c>
      <c r="BQ84" s="2">
        <f t="shared" si="627"/>
        <v>0</v>
      </c>
      <c r="BS84" s="2">
        <f t="shared" si="628"/>
        <v>0</v>
      </c>
      <c r="BU84" s="2">
        <f t="shared" si="629"/>
        <v>0</v>
      </c>
      <c r="BW84" s="37">
        <f t="shared" si="630"/>
        <v>0</v>
      </c>
      <c r="BX84" s="2">
        <f t="shared" si="577"/>
        <v>0</v>
      </c>
      <c r="BY84" s="2">
        <f t="shared" si="578"/>
        <v>0</v>
      </c>
      <c r="BZ84" s="18">
        <f t="shared" si="579"/>
        <v>0</v>
      </c>
    </row>
    <row r="85" spans="1:78" x14ac:dyDescent="0.3">
      <c r="A85" s="197"/>
      <c r="B85" s="83" t="s">
        <v>63</v>
      </c>
      <c r="C85" s="80">
        <v>1</v>
      </c>
      <c r="D85" s="79" t="e">
        <f>AVERAGE(D82:D84)</f>
        <v>#DIV/0!</v>
      </c>
      <c r="E85" s="76"/>
      <c r="F85" s="78">
        <f t="shared" ref="F85:I85" si="631">AVERAGE(F82:F84)</f>
        <v>1.4733333333333334</v>
      </c>
      <c r="G85" s="73">
        <f>_xlfn.STDEV.S(F82:F84)</f>
        <v>1.2583057392117986E-2</v>
      </c>
      <c r="H85" s="78">
        <f t="shared" si="631"/>
        <v>0.11333333333333333</v>
      </c>
      <c r="I85" s="82">
        <f t="shared" si="631"/>
        <v>3.2209333333333333E-2</v>
      </c>
      <c r="J85" s="82">
        <f t="shared" ref="J85" si="632">_xlfn.STDEV.S(I82:I84)</f>
        <v>1.1832189540965496E-3</v>
      </c>
      <c r="K85" s="82"/>
      <c r="L85" s="82" t="e">
        <f>_xlfn.STDEV.S(K82:K84)</f>
        <v>#DIV/0!</v>
      </c>
      <c r="M85" s="77">
        <f>AVERAGE(M82:M84)</f>
        <v>15.044077153680348</v>
      </c>
      <c r="N85" s="76">
        <f>_xlfn.STDEV.S(M82:M84)</f>
        <v>0.24447705167459574</v>
      </c>
      <c r="O85" s="76">
        <f t="shared" ref="O85" si="633">AVERAGE(O82:O84)</f>
        <v>84.051483798448771</v>
      </c>
      <c r="P85" s="76">
        <f t="shared" ref="P85" si="634">_xlfn.STDEV.S(O82:O84)</f>
        <v>0.27176603193667831</v>
      </c>
      <c r="Q85" s="76">
        <f t="shared" ref="Q85" si="635">AVERAGE(Q82:Q84)</f>
        <v>0.11637330691288517</v>
      </c>
      <c r="R85" s="76">
        <f t="shared" ref="R85" si="636">_xlfn.STDEV.S(Q82:Q84)</f>
        <v>2.1029125487476943E-2</v>
      </c>
      <c r="S85" s="76">
        <f t="shared" ref="S85" si="637">AVERAGE(S82:S84)</f>
        <v>0.7880657409580033</v>
      </c>
      <c r="T85" s="76">
        <f t="shared" ref="T85" si="638">_xlfn.STDEV.S(S82:S84)</f>
        <v>6.1805145931094874E-2</v>
      </c>
      <c r="U85" s="76">
        <f t="shared" ref="U85" si="639">AVERAGE(U82:U84)</f>
        <v>0</v>
      </c>
      <c r="V85" s="76">
        <f t="shared" ref="V85" si="640">_xlfn.STDEV.S(U82:U84)</f>
        <v>0</v>
      </c>
      <c r="W85" s="76">
        <f t="shared" ref="W85" si="641">AVERAGE(W82:W84)</f>
        <v>0</v>
      </c>
      <c r="X85" s="76">
        <f t="shared" ref="X85" si="642">_xlfn.STDEV.S(W82:W84)</f>
        <v>0</v>
      </c>
      <c r="Y85" s="77">
        <f>AVERAGE(Y82:Y84)</f>
        <v>0.99777568311658704</v>
      </c>
      <c r="Z85" s="76">
        <f>_xlfn.STDEV.S(Y82:Y84)</f>
        <v>1.898971731223115E-2</v>
      </c>
      <c r="AA85" s="76">
        <f t="shared" ref="AA85" si="643">AVERAGE(AA82:AA84)</f>
        <v>5.5744996203820589</v>
      </c>
      <c r="AB85" s="76">
        <f t="shared" ref="AB85" si="644">_xlfn.STDEV.S(AA82:AA84)</f>
        <v>4.4022189415539481E-2</v>
      </c>
      <c r="AC85" s="76">
        <f t="shared" ref="AC85" si="645">AVERAGE(AC82:AC84)</f>
        <v>7.7256986522209331E-3</v>
      </c>
      <c r="AD85" s="76">
        <f t="shared" ref="AD85" si="646">_xlfn.STDEV.S(AC82:AC84)</f>
        <v>1.4511579936630397E-3</v>
      </c>
      <c r="AE85" s="76">
        <f t="shared" ref="AE85" si="647">AVERAGE(AE82:AE84)</f>
        <v>5.2290152975450262E-2</v>
      </c>
      <c r="AF85" s="76">
        <f t="shared" ref="AF85" si="648">_xlfn.STDEV.S(AE82:AE84)</f>
        <v>4.5384574262840836E-3</v>
      </c>
      <c r="AG85" s="76">
        <f t="shared" ref="AG85" si="649">AVERAGE(AG82:AG84)</f>
        <v>0</v>
      </c>
      <c r="AH85" s="76">
        <f t="shared" ref="AH85" si="650">_xlfn.STDEV.S(AG82:AG84)</f>
        <v>0</v>
      </c>
      <c r="AI85" s="76">
        <f t="shared" ref="AI85" si="651">AVERAGE(AI82:AI84)</f>
        <v>0</v>
      </c>
      <c r="AJ85" s="76">
        <f t="shared" ref="AJ85" si="652">_xlfn.STDEV.S(AI82:AI84)</f>
        <v>0</v>
      </c>
      <c r="AK85" s="78">
        <f t="shared" ref="AK85" si="653">AVERAGE(AK82:AK84)</f>
        <v>0</v>
      </c>
      <c r="AL85" s="78">
        <f t="shared" ref="AL85" si="654">_xlfn.STDEV.S(AK82:AK84)</f>
        <v>0</v>
      </c>
      <c r="AM85" s="78">
        <f>AVERAGE(AM82:AM84)</f>
        <v>0</v>
      </c>
      <c r="AN85" s="78">
        <f t="shared" ref="AN85" si="655">_xlfn.STDEV.S(AM82:AM84)</f>
        <v>0</v>
      </c>
      <c r="AO85" s="78">
        <f t="shared" ref="AO85" si="656">AVERAGE(AO82:AO84)</f>
        <v>0</v>
      </c>
      <c r="AP85" s="78">
        <f t="shared" ref="AP85" si="657">_xlfn.STDEV.S(AO82:AO84)</f>
        <v>0</v>
      </c>
      <c r="AQ85" s="78">
        <f t="shared" ref="AQ85" si="658">AVERAGE(AQ82:AQ84)</f>
        <v>0</v>
      </c>
      <c r="AR85" s="78">
        <f t="shared" ref="AR85" si="659">_xlfn.STDEV.S(AQ82:AQ84)</f>
        <v>0</v>
      </c>
      <c r="AS85" s="78">
        <f t="shared" ref="AS85" si="660">AVERAGE(AS82:AS84)</f>
        <v>0</v>
      </c>
      <c r="AT85" s="78">
        <f t="shared" ref="AT85" si="661">_xlfn.STDEV.S(AS82:AS84)</f>
        <v>0</v>
      </c>
      <c r="AU85" s="78">
        <f t="shared" ref="AU85" si="662">AVERAGE(AU82:AU84)</f>
        <v>0</v>
      </c>
      <c r="AV85" s="78">
        <f t="shared" ref="AV85" si="663">_xlfn.STDEV.S(AU82:AU84)</f>
        <v>0</v>
      </c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>
        <f t="shared" ref="BG85" si="664">AVERAGE(BG82:BG84)</f>
        <v>0</v>
      </c>
      <c r="BH85" s="75">
        <f t="shared" ref="BH85" si="665">_xlfn.STDEV.S(BG82:BG84)</f>
        <v>0</v>
      </c>
      <c r="BI85" s="75">
        <f t="shared" ref="BI85" si="666">AVERAGE(BI82:BI84)</f>
        <v>0</v>
      </c>
      <c r="BJ85" s="75">
        <f t="shared" ref="BJ85" si="667">_xlfn.STDEV.S(BI82:BI84)</f>
        <v>0</v>
      </c>
      <c r="BK85" s="75">
        <f t="shared" ref="BK85" si="668">AVERAGE(BK82:BK84)</f>
        <v>0</v>
      </c>
      <c r="BL85" s="75">
        <f t="shared" ref="BL85" si="669">_xlfn.STDEV.S(BK82:BK84)</f>
        <v>0</v>
      </c>
      <c r="BM85" s="75">
        <f t="shared" ref="BM85" si="670">AVERAGE(BM82:BM84)</f>
        <v>0</v>
      </c>
      <c r="BN85" s="75">
        <f t="shared" ref="BN85" si="671">_xlfn.STDEV.S(BM82:BM84)</f>
        <v>0</v>
      </c>
      <c r="BO85" s="78">
        <f t="shared" ref="BO85" si="672">AVERAGE(BO82:BO84)</f>
        <v>0</v>
      </c>
      <c r="BP85" s="75">
        <f t="shared" ref="BP85" si="673">_xlfn.STDEV.S(BO82:BO84)</f>
        <v>0</v>
      </c>
      <c r="BQ85" s="75">
        <f t="shared" ref="BQ85" si="674">AVERAGE(BQ82:BQ84)</f>
        <v>0</v>
      </c>
      <c r="BR85" s="75">
        <f t="shared" ref="BR85" si="675">_xlfn.STDEV.S(BQ82:BQ84)</f>
        <v>0</v>
      </c>
      <c r="BS85" s="75">
        <f t="shared" ref="BS85" si="676">AVERAGE(BS82:BS84)</f>
        <v>0</v>
      </c>
      <c r="BT85" s="75">
        <f t="shared" ref="BT85" si="677">_xlfn.STDEV.S(BS82:BS84)</f>
        <v>0</v>
      </c>
      <c r="BU85" s="75">
        <f t="shared" ref="BU85" si="678">AVERAGE(BU82:BU84)</f>
        <v>0</v>
      </c>
      <c r="BV85" s="75">
        <f t="shared" ref="BV85" si="679">_xlfn.STDEV.S(BU82:BU84)</f>
        <v>0</v>
      </c>
      <c r="BW85" s="78">
        <f t="shared" ref="BW85" si="680">AVERAGE(BW82:BW84)</f>
        <v>0</v>
      </c>
      <c r="BX85" s="75">
        <f t="shared" si="577"/>
        <v>0</v>
      </c>
      <c r="BY85" s="75">
        <f t="shared" si="578"/>
        <v>0</v>
      </c>
      <c r="BZ85" s="119">
        <f t="shared" si="579"/>
        <v>0</v>
      </c>
    </row>
    <row r="86" spans="1:78" x14ac:dyDescent="0.3">
      <c r="A86" s="191" t="s">
        <v>61</v>
      </c>
      <c r="B86" s="70" t="s">
        <v>115</v>
      </c>
      <c r="C86" s="20">
        <v>1</v>
      </c>
      <c r="D86" s="69"/>
      <c r="E86" s="21"/>
      <c r="F86" s="37">
        <v>1.52</v>
      </c>
      <c r="H86" s="37">
        <v>0.13900000000000001</v>
      </c>
      <c r="I86" s="53">
        <f t="shared" ref="I86:I136" si="681">H86*0.2842</f>
        <v>3.9503800000000006E-2</v>
      </c>
      <c r="M86" s="22">
        <v>0.4468505669060871</v>
      </c>
      <c r="O86" s="21">
        <v>0</v>
      </c>
      <c r="Q86" s="21">
        <v>9.9989763474097992E-2</v>
      </c>
      <c r="S86" s="21">
        <v>99.453159669619822</v>
      </c>
      <c r="U86" s="21">
        <v>0</v>
      </c>
      <c r="W86" s="21">
        <v>0</v>
      </c>
      <c r="Y86" s="22">
        <v>3.0575141097846526E-2</v>
      </c>
      <c r="Z86" s="21"/>
      <c r="AA86" s="21">
        <v>0</v>
      </c>
      <c r="AB86" s="21"/>
      <c r="AC86" s="21">
        <v>6.8416633053155936E-3</v>
      </c>
      <c r="AD86" s="21"/>
      <c r="AE86" s="21">
        <v>6.8049469212475175</v>
      </c>
      <c r="AF86" s="21"/>
      <c r="AG86" s="21">
        <v>0</v>
      </c>
      <c r="AH86" s="21"/>
      <c r="AI86" s="21">
        <v>0</v>
      </c>
      <c r="AJ86" s="21"/>
      <c r="BG86" s="37">
        <v>1604.25</v>
      </c>
      <c r="BI86" s="2">
        <v>0</v>
      </c>
      <c r="BK86" s="2">
        <v>0</v>
      </c>
      <c r="BM86" s="2">
        <v>0</v>
      </c>
      <c r="BO86" s="37">
        <f t="shared" ref="BO86:BO88" si="682">(BG86/1000)/60.2*1000</f>
        <v>26.648671096345513</v>
      </c>
      <c r="BQ86" s="2">
        <f t="shared" ref="BQ86:BQ88" si="683">BI86/74.08</f>
        <v>0</v>
      </c>
      <c r="BS86" s="2">
        <f t="shared" ref="BS86:BS88" si="684">(BK86/1000)/88.12*1000</f>
        <v>0</v>
      </c>
      <c r="BU86" s="2">
        <f t="shared" ref="BU86:BU88" si="685">BM86/88.12</f>
        <v>0</v>
      </c>
      <c r="BW86" s="37">
        <f t="shared" ref="BW86:BW88" si="686">BO86*0.05</f>
        <v>1.3324335548172757</v>
      </c>
      <c r="BX86" s="2">
        <f t="shared" si="577"/>
        <v>0</v>
      </c>
      <c r="BY86" s="2">
        <f t="shared" si="578"/>
        <v>0</v>
      </c>
      <c r="BZ86" s="18">
        <f t="shared" si="579"/>
        <v>0</v>
      </c>
    </row>
    <row r="87" spans="1:78" x14ac:dyDescent="0.3">
      <c r="A87" s="192"/>
      <c r="B87" s="70" t="s">
        <v>116</v>
      </c>
      <c r="C87" s="20">
        <v>1</v>
      </c>
      <c r="D87" s="69"/>
      <c r="E87" s="21"/>
      <c r="F87" s="37">
        <v>1.52</v>
      </c>
      <c r="H87" s="37">
        <v>0.13900000000000001</v>
      </c>
      <c r="I87" s="53">
        <f t="shared" si="681"/>
        <v>3.9503800000000006E-2</v>
      </c>
      <c r="M87" s="22">
        <v>0.4439421872474365</v>
      </c>
      <c r="O87" s="21">
        <v>0</v>
      </c>
      <c r="Q87" s="21">
        <v>0.11580361191860483</v>
      </c>
      <c r="S87" s="21">
        <v>99.440254200833948</v>
      </c>
      <c r="U87" s="21">
        <v>0</v>
      </c>
      <c r="W87" s="21">
        <v>0</v>
      </c>
      <c r="Y87" s="22">
        <v>3.0376139183078812E-2</v>
      </c>
      <c r="Z87" s="21"/>
      <c r="AA87" s="21">
        <v>0</v>
      </c>
      <c r="AB87" s="21"/>
      <c r="AC87" s="21">
        <v>7.9237043349119039E-3</v>
      </c>
      <c r="AD87" s="21"/>
      <c r="AE87" s="21">
        <v>6.8040638821326889</v>
      </c>
      <c r="AF87" s="21"/>
      <c r="AG87" s="21">
        <v>0</v>
      </c>
      <c r="AH87" s="21"/>
      <c r="AI87" s="21">
        <v>0</v>
      </c>
      <c r="AJ87" s="21"/>
      <c r="BG87" s="37">
        <v>1542.29</v>
      </c>
      <c r="BI87" s="2">
        <v>0</v>
      </c>
      <c r="BK87" s="2">
        <v>0</v>
      </c>
      <c r="BM87" s="2">
        <v>0</v>
      </c>
      <c r="BO87" s="37">
        <f t="shared" si="682"/>
        <v>25.619435215946844</v>
      </c>
      <c r="BQ87" s="2">
        <f t="shared" si="683"/>
        <v>0</v>
      </c>
      <c r="BS87" s="2">
        <f t="shared" si="684"/>
        <v>0</v>
      </c>
      <c r="BU87" s="2">
        <f t="shared" si="685"/>
        <v>0</v>
      </c>
      <c r="BW87" s="37">
        <f t="shared" si="686"/>
        <v>1.2809717607973423</v>
      </c>
      <c r="BX87" s="2">
        <f t="shared" si="577"/>
        <v>0</v>
      </c>
      <c r="BY87" s="2">
        <f t="shared" si="578"/>
        <v>0</v>
      </c>
      <c r="BZ87" s="18">
        <f t="shared" si="579"/>
        <v>0</v>
      </c>
    </row>
    <row r="88" spans="1:78" x14ac:dyDescent="0.3">
      <c r="A88" s="192"/>
      <c r="B88" s="128" t="s">
        <v>117</v>
      </c>
      <c r="C88" s="37">
        <v>1</v>
      </c>
      <c r="D88" s="37"/>
      <c r="E88" s="37"/>
      <c r="F88" s="37">
        <v>1.54</v>
      </c>
      <c r="H88" s="37">
        <v>0.156</v>
      </c>
      <c r="I88" s="53">
        <f t="shared" si="681"/>
        <v>4.4335199999999998E-2</v>
      </c>
      <c r="M88" s="38">
        <v>0.44451696195158968</v>
      </c>
      <c r="N88" s="24"/>
      <c r="O88" s="24">
        <v>0</v>
      </c>
      <c r="P88" s="24"/>
      <c r="Q88" s="24">
        <v>0.19989576124142305</v>
      </c>
      <c r="R88" s="24"/>
      <c r="S88" s="24">
        <v>99.355587276806972</v>
      </c>
      <c r="T88" s="24"/>
      <c r="U88" s="24">
        <v>0</v>
      </c>
      <c r="V88" s="24"/>
      <c r="W88" s="24">
        <v>0</v>
      </c>
      <c r="X88" s="24"/>
      <c r="Y88" s="22">
        <v>3.0815670876820793E-2</v>
      </c>
      <c r="Z88" s="21"/>
      <c r="AA88" s="21">
        <v>0</v>
      </c>
      <c r="AB88" s="21"/>
      <c r="AC88" s="21">
        <v>1.385756341230032E-2</v>
      </c>
      <c r="AD88" s="21"/>
      <c r="AE88" s="21">
        <v>6.8877215930148559</v>
      </c>
      <c r="AF88" s="21"/>
      <c r="AG88" s="21">
        <v>0</v>
      </c>
      <c r="AH88" s="21"/>
      <c r="AI88" s="21">
        <v>0</v>
      </c>
      <c r="AJ88" s="21"/>
      <c r="AY88" s="52"/>
      <c r="AZ88" s="52"/>
      <c r="BA88" s="52"/>
      <c r="BB88" s="52"/>
      <c r="BC88" s="52"/>
      <c r="BD88" s="52"/>
      <c r="BE88" s="52"/>
      <c r="BF88" s="52"/>
      <c r="BG88" s="37">
        <v>1468.08</v>
      </c>
      <c r="BI88" s="2">
        <v>0</v>
      </c>
      <c r="BK88" s="2">
        <v>0</v>
      </c>
      <c r="BO88" s="37">
        <f t="shared" si="682"/>
        <v>24.386710963455144</v>
      </c>
      <c r="BQ88" s="2">
        <f t="shared" si="683"/>
        <v>0</v>
      </c>
      <c r="BS88" s="2">
        <f t="shared" si="684"/>
        <v>0</v>
      </c>
      <c r="BU88" s="2">
        <f t="shared" si="685"/>
        <v>0</v>
      </c>
      <c r="BW88" s="37">
        <f t="shared" si="686"/>
        <v>1.2193355481727572</v>
      </c>
      <c r="BX88" s="2">
        <f t="shared" si="577"/>
        <v>0</v>
      </c>
      <c r="BY88" s="2">
        <f t="shared" si="578"/>
        <v>0</v>
      </c>
      <c r="BZ88" s="18">
        <f t="shared" si="579"/>
        <v>0</v>
      </c>
    </row>
    <row r="89" spans="1:78" ht="15" thickBot="1" x14ac:dyDescent="0.35">
      <c r="A89" s="193"/>
      <c r="B89" s="66" t="s">
        <v>63</v>
      </c>
      <c r="C89" s="65">
        <v>1</v>
      </c>
      <c r="D89" s="64" t="e">
        <f>AVERAGE(D86:D87)</f>
        <v>#DIV/0!</v>
      </c>
      <c r="E89" s="58"/>
      <c r="F89" s="60">
        <f>AVERAGE(F86:F88)</f>
        <v>1.5266666666666666</v>
      </c>
      <c r="G89" s="55">
        <f>_xlfn.STDEV.S(F86:F87)</f>
        <v>0</v>
      </c>
      <c r="H89" s="60">
        <f>AVERAGE(H86:H88)</f>
        <v>0.14466666666666669</v>
      </c>
      <c r="I89" s="63">
        <f t="shared" ref="I89" si="687">AVERAGE(I86:I88)</f>
        <v>4.111426666666667E-2</v>
      </c>
      <c r="J89" s="63">
        <f t="shared" ref="J89" si="688">_xlfn.STDEV.S(I86:I88)</f>
        <v>2.7894100905627535E-3</v>
      </c>
      <c r="K89" s="63"/>
      <c r="L89" s="63" t="e">
        <f>_xlfn.STDEV.S(K86:K87)</f>
        <v>#DIV/0!</v>
      </c>
      <c r="M89" s="59">
        <f>AVERAGE(M86:M88)</f>
        <v>0.44510323870170443</v>
      </c>
      <c r="N89" s="58">
        <f>_xlfn.STDEV.S(M86:M88)</f>
        <v>1.5402786697565373E-3</v>
      </c>
      <c r="O89" s="58">
        <f t="shared" ref="O89" si="689">AVERAGE(O86:O88)</f>
        <v>0</v>
      </c>
      <c r="P89" s="58">
        <f t="shared" ref="P89" si="690">_xlfn.STDEV.S(O86:O88)</f>
        <v>0</v>
      </c>
      <c r="Q89" s="58">
        <f t="shared" ref="Q89" si="691">AVERAGE(Q86:Q88)</f>
        <v>0.13856304554470864</v>
      </c>
      <c r="R89" s="58">
        <f t="shared" ref="R89" si="692">_xlfn.STDEV.S(Q86:Q88)</f>
        <v>5.3700986599009133E-2</v>
      </c>
      <c r="S89" s="58">
        <f t="shared" ref="S89" si="693">AVERAGE(S86:S88)</f>
        <v>99.416333715753581</v>
      </c>
      <c r="T89" s="58">
        <f t="shared" ref="T89" si="694">_xlfn.STDEV.S(S86:S88)</f>
        <v>5.3002218488157136E-2</v>
      </c>
      <c r="U89" s="58">
        <f t="shared" ref="U89" si="695">AVERAGE(U86:U88)</f>
        <v>0</v>
      </c>
      <c r="V89" s="58">
        <f t="shared" ref="V89" si="696">_xlfn.STDEV.S(U86:U88)</f>
        <v>0</v>
      </c>
      <c r="W89" s="58">
        <f t="shared" ref="W89" si="697">AVERAGE(W86:W88)</f>
        <v>0</v>
      </c>
      <c r="X89" s="58">
        <f t="shared" ref="X89" si="698">_xlfn.STDEV.S(W86:W88)</f>
        <v>0</v>
      </c>
      <c r="Y89" s="59">
        <f>AVERAGE(Y86:Y88)</f>
        <v>3.0588983719248713E-2</v>
      </c>
      <c r="Z89" s="58">
        <f>_xlfn.STDEV.S(Y86:Y88)</f>
        <v>2.2009257387832669E-4</v>
      </c>
      <c r="AA89" s="58">
        <f t="shared" ref="AA89" si="699">AVERAGE(AA86:AA88)</f>
        <v>0</v>
      </c>
      <c r="AB89" s="58">
        <f t="shared" ref="AB89" si="700">_xlfn.STDEV.S(AA86:AA88)</f>
        <v>0</v>
      </c>
      <c r="AC89" s="58">
        <f t="shared" ref="AC89" si="701">AVERAGE(AC86:AC88)</f>
        <v>9.5409770175092726E-3</v>
      </c>
      <c r="AD89" s="58">
        <f t="shared" ref="AD89" si="702">_xlfn.STDEV.S(AC86:AC88)</f>
        <v>3.777220112093525E-3</v>
      </c>
      <c r="AE89" s="58">
        <f t="shared" ref="AE89" si="703">AVERAGE(AE86:AE88)</f>
        <v>6.8322441321316871</v>
      </c>
      <c r="AF89" s="58">
        <f t="shared" ref="AF89" si="704">_xlfn.STDEV.S(AE86:AE88)</f>
        <v>4.804691914214889E-2</v>
      </c>
      <c r="AG89" s="58">
        <f t="shared" ref="AG89" si="705">AVERAGE(AG86:AG88)</f>
        <v>0</v>
      </c>
      <c r="AH89" s="58">
        <f t="shared" ref="AH89" si="706">_xlfn.STDEV.S(AG86:AG88)</f>
        <v>0</v>
      </c>
      <c r="AI89" s="58">
        <f t="shared" ref="AI89" si="707">AVERAGE(AI86:AI88)</f>
        <v>0</v>
      </c>
      <c r="AJ89" s="58">
        <f t="shared" ref="AJ89" si="708">_xlfn.STDEV.S(AI86:AI88)</f>
        <v>0</v>
      </c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5"/>
      <c r="AY89" s="60"/>
      <c r="AZ89" s="60"/>
      <c r="BA89" s="60"/>
      <c r="BB89" s="60"/>
      <c r="BC89" s="60"/>
      <c r="BD89" s="60"/>
      <c r="BE89" s="60"/>
      <c r="BF89" s="60"/>
      <c r="BG89" s="60">
        <f t="shared" ref="BG89" si="709">AVERAGE(BG86:BG88)</f>
        <v>1538.2066666666667</v>
      </c>
      <c r="BH89" s="57">
        <f t="shared" ref="BH89" si="710">_xlfn.STDEV.S(BG86:BG88)</f>
        <v>68.176773415389334</v>
      </c>
      <c r="BI89" s="57">
        <f t="shared" ref="BI89" si="711">AVERAGE(BI86:BI88)</f>
        <v>0</v>
      </c>
      <c r="BJ89" s="57">
        <f t="shared" ref="BJ89" si="712">_xlfn.STDEV.S(BI86:BI88)</f>
        <v>0</v>
      </c>
      <c r="BK89" s="57">
        <f t="shared" ref="BK89" si="713">AVERAGE(BK86:BK88)</f>
        <v>0</v>
      </c>
      <c r="BL89" s="57">
        <f t="shared" ref="BL89" si="714">_xlfn.STDEV.S(BK86:BK88)</f>
        <v>0</v>
      </c>
      <c r="BM89" s="57">
        <f t="shared" ref="BM89" si="715">AVERAGE(BM86:BM88)</f>
        <v>0</v>
      </c>
      <c r="BN89" s="57">
        <f t="shared" ref="BN89" si="716">_xlfn.STDEV.S(BM86:BM88)</f>
        <v>0</v>
      </c>
      <c r="BO89" s="60">
        <f t="shared" ref="BO89" si="717">AVERAGE(BO86:BO88)</f>
        <v>25.5516057585825</v>
      </c>
      <c r="BP89" s="57">
        <f t="shared" ref="BP89" si="718">_xlfn.STDEV.S(BO86:BO88)</f>
        <v>1.1325045417838773</v>
      </c>
      <c r="BQ89" s="57">
        <f t="shared" ref="BQ89" si="719">AVERAGE(BQ86:BQ88)</f>
        <v>0</v>
      </c>
      <c r="BR89" s="57">
        <f t="shared" ref="BR89" si="720">_xlfn.STDEV.S(BQ86:BQ88)</f>
        <v>0</v>
      </c>
      <c r="BS89" s="57">
        <f t="shared" ref="BS89" si="721">AVERAGE(BS86:BS88)</f>
        <v>0</v>
      </c>
      <c r="BT89" s="57">
        <f t="shared" ref="BT89" si="722">_xlfn.STDEV.S(BS86:BS88)</f>
        <v>0</v>
      </c>
      <c r="BU89" s="57">
        <f t="shared" ref="BU89" si="723">AVERAGE(BU86:BU88)</f>
        <v>0</v>
      </c>
      <c r="BV89" s="57">
        <f t="shared" ref="BV89" si="724">_xlfn.STDEV.S(BU86:BU88)</f>
        <v>0</v>
      </c>
      <c r="BW89" s="60">
        <f t="shared" ref="BW89" si="725">AVERAGE(BW86:BW88)</f>
        <v>1.2775802879291251</v>
      </c>
      <c r="BX89" s="57">
        <f t="shared" si="577"/>
        <v>0</v>
      </c>
      <c r="BY89" s="57">
        <f t="shared" si="578"/>
        <v>0</v>
      </c>
      <c r="BZ89" s="61">
        <f t="shared" si="579"/>
        <v>0</v>
      </c>
    </row>
    <row r="90" spans="1:78" x14ac:dyDescent="0.3">
      <c r="A90" s="191" t="s">
        <v>58</v>
      </c>
      <c r="B90" s="70" t="s">
        <v>112</v>
      </c>
      <c r="C90" s="20">
        <v>2</v>
      </c>
      <c r="D90" s="69"/>
      <c r="E90" s="21"/>
      <c r="F90" s="37">
        <v>1.415</v>
      </c>
      <c r="H90" s="37">
        <v>0.11</v>
      </c>
      <c r="I90" s="53">
        <f t="shared" ref="I90" si="726">H90*0.2842</f>
        <v>3.1261999999999998E-2</v>
      </c>
      <c r="M90" s="22">
        <v>15.58258216233804</v>
      </c>
      <c r="O90" s="21">
        <v>83.589087866598817</v>
      </c>
      <c r="Q90" s="21">
        <v>0.37021802218404037</v>
      </c>
      <c r="S90" s="21">
        <v>0.45811194887909495</v>
      </c>
      <c r="U90" s="21">
        <v>0</v>
      </c>
      <c r="W90" s="21">
        <v>0</v>
      </c>
      <c r="Y90" s="22">
        <v>0.99256380486491902</v>
      </c>
      <c r="Z90" s="21"/>
      <c r="AA90" s="21">
        <v>5.3243744992781581</v>
      </c>
      <c r="AB90" s="21"/>
      <c r="AC90" s="21">
        <v>2.3581778995312608E-2</v>
      </c>
      <c r="AD90" s="21"/>
      <c r="AE90" s="21">
        <v>2.9180358832473045E-2</v>
      </c>
      <c r="AF90" s="21"/>
      <c r="AG90" s="21">
        <v>0</v>
      </c>
      <c r="AH90" s="21"/>
      <c r="AI90" s="21">
        <v>0</v>
      </c>
      <c r="AJ90" s="21"/>
      <c r="AK90" s="37">
        <f>8*(AG90-$AG$74)/(2*($AA$74-AA90)+2*($AI$74-AI90))</f>
        <v>0</v>
      </c>
      <c r="AM90" s="37">
        <f>(AG90-$AG$74)/(($AA$74-AA90)+($AI$74-AI90))</f>
        <v>0</v>
      </c>
      <c r="AO90" s="37">
        <f>8*(BW90-$BW$74)/(2*($AA$74-AA90)+2*($AI$74-AI90))</f>
        <v>0</v>
      </c>
      <c r="AQ90" s="37">
        <f>(BW90-$BW$74)/(($AA$74-AA90)+($AI$74-AI90))</f>
        <v>0</v>
      </c>
      <c r="AS90" s="37">
        <f>14*(BX90-$BX$74)/(2*($AA$74-AA90)+2*($AI$74-AI90))</f>
        <v>0</v>
      </c>
      <c r="AU90" s="37">
        <f>(BX90-$BX$74)/(($AA$74-AA90)+($AI$74-AI90))</f>
        <v>0</v>
      </c>
      <c r="BG90" s="127">
        <v>0</v>
      </c>
      <c r="BI90" s="2">
        <v>0</v>
      </c>
      <c r="BK90" s="2">
        <v>0</v>
      </c>
      <c r="BM90" s="2">
        <v>0</v>
      </c>
      <c r="BO90" s="37">
        <f t="shared" ref="BO90:BO92" si="727">(BG90/1000)/60.2*1000</f>
        <v>0</v>
      </c>
      <c r="BQ90" s="2">
        <f t="shared" ref="BQ90:BQ92" si="728">BI90/74.08</f>
        <v>0</v>
      </c>
      <c r="BS90" s="2">
        <f t="shared" ref="BS90:BS92" si="729">(BK90/1000)/88.12*1000</f>
        <v>0</v>
      </c>
      <c r="BU90" s="2">
        <f t="shared" ref="BU90:BU92" si="730">BM90/88.12</f>
        <v>0</v>
      </c>
      <c r="BW90" s="37">
        <f t="shared" ref="BW90:BW92" si="731">BO90*0.05</f>
        <v>0</v>
      </c>
      <c r="BX90" s="2">
        <f t="shared" si="577"/>
        <v>0</v>
      </c>
      <c r="BY90" s="2">
        <f t="shared" si="578"/>
        <v>0</v>
      </c>
      <c r="BZ90" s="18">
        <f t="shared" si="579"/>
        <v>0</v>
      </c>
    </row>
    <row r="91" spans="1:78" x14ac:dyDescent="0.3">
      <c r="A91" s="192"/>
      <c r="B91" s="70" t="s">
        <v>113</v>
      </c>
      <c r="C91" s="20">
        <v>2</v>
      </c>
      <c r="D91" s="69"/>
      <c r="E91" s="21"/>
      <c r="F91" s="37">
        <v>1.425</v>
      </c>
      <c r="H91" s="37">
        <v>0.10199999999999999</v>
      </c>
      <c r="I91" s="53">
        <f t="shared" si="625"/>
        <v>2.8988399999999998E-2</v>
      </c>
      <c r="M91" s="22">
        <v>14.305831699338384</v>
      </c>
      <c r="O91" s="21">
        <v>85.069922797971785</v>
      </c>
      <c r="Q91" s="21">
        <v>6.0540123347592824E-2</v>
      </c>
      <c r="S91" s="21">
        <v>0.56370537934221976</v>
      </c>
      <c r="U91" s="21">
        <v>0</v>
      </c>
      <c r="W91" s="21">
        <v>0</v>
      </c>
      <c r="Y91" s="22">
        <v>0.91767847392015545</v>
      </c>
      <c r="Z91" s="21"/>
      <c r="AA91" s="21">
        <v>5.4569939427819936</v>
      </c>
      <c r="AB91" s="21"/>
      <c r="AC91" s="21">
        <v>3.883476974437377E-3</v>
      </c>
      <c r="AD91" s="21"/>
      <c r="AE91" s="21">
        <v>3.616009912092525E-2</v>
      </c>
      <c r="AF91" s="21"/>
      <c r="AG91" s="21">
        <v>0</v>
      </c>
      <c r="AH91" s="21"/>
      <c r="AI91" s="21">
        <v>0</v>
      </c>
      <c r="AJ91" s="21"/>
      <c r="AK91" s="37">
        <f>8*(AG91-$AG$75)/(2*($AA$75-AA91)+2*($AI$75-AI91))</f>
        <v>0</v>
      </c>
      <c r="AM91" s="37">
        <f>(AG91-$AG$75)/(($AA$75-AA91)+($AI$75-AI91))</f>
        <v>0</v>
      </c>
      <c r="AO91" s="37">
        <f>8*(BW91-$BW$75)/(2*($AA$75-AA91)+2*($AI$75-AI91))</f>
        <v>0</v>
      </c>
      <c r="AQ91" s="37">
        <f>(BW91-$BW$75)/(($AA$75-AA91)+($AI$75-AI91))</f>
        <v>0</v>
      </c>
      <c r="AS91" s="37">
        <f>14*(BX91-$BX$75)/(2*($AA$75-AA91)+2*($AI$75-AI91))</f>
        <v>0</v>
      </c>
      <c r="AU91" s="37">
        <f>(BX91-$BX$75)/(($AA$75-AA91)+($AI$75-AI91))</f>
        <v>0</v>
      </c>
      <c r="BG91" s="37">
        <v>0</v>
      </c>
      <c r="BI91" s="2">
        <v>0</v>
      </c>
      <c r="BK91" s="2">
        <v>0</v>
      </c>
      <c r="BM91" s="2">
        <v>0</v>
      </c>
      <c r="BO91" s="37">
        <f t="shared" si="727"/>
        <v>0</v>
      </c>
      <c r="BQ91" s="2">
        <f t="shared" si="728"/>
        <v>0</v>
      </c>
      <c r="BS91" s="2">
        <f t="shared" si="729"/>
        <v>0</v>
      </c>
      <c r="BU91" s="2">
        <f t="shared" si="730"/>
        <v>0</v>
      </c>
      <c r="BW91" s="37">
        <f t="shared" si="731"/>
        <v>0</v>
      </c>
      <c r="BX91" s="2">
        <f t="shared" si="577"/>
        <v>0</v>
      </c>
      <c r="BY91" s="2">
        <f t="shared" si="578"/>
        <v>0</v>
      </c>
      <c r="BZ91" s="18">
        <f t="shared" si="579"/>
        <v>0</v>
      </c>
    </row>
    <row r="92" spans="1:78" x14ac:dyDescent="0.3">
      <c r="A92" s="192"/>
      <c r="B92" s="70" t="s">
        <v>114</v>
      </c>
      <c r="C92" s="20">
        <v>2</v>
      </c>
      <c r="D92" s="69"/>
      <c r="E92" s="21"/>
      <c r="F92" s="37">
        <v>1.44</v>
      </c>
      <c r="H92" s="37">
        <v>0.10299999999999999</v>
      </c>
      <c r="I92" s="53">
        <f t="shared" si="625"/>
        <v>2.9272599999999999E-2</v>
      </c>
      <c r="M92" s="22">
        <v>15.382105910075841</v>
      </c>
      <c r="O92" s="21">
        <v>84.118261764629722</v>
      </c>
      <c r="Q92" s="21">
        <v>4.224491109653189E-2</v>
      </c>
      <c r="S92" s="21">
        <v>0.45738741419791629</v>
      </c>
      <c r="U92" s="21">
        <v>0</v>
      </c>
      <c r="W92" s="21">
        <v>0</v>
      </c>
      <c r="Y92" s="22">
        <v>0.99710491739892504</v>
      </c>
      <c r="Z92" s="21"/>
      <c r="AA92" s="21">
        <v>5.4527470385977033</v>
      </c>
      <c r="AB92" s="21"/>
      <c r="AC92" s="21">
        <v>2.7384162373918198E-3</v>
      </c>
      <c r="AD92" s="21"/>
      <c r="AE92" s="21">
        <v>2.9648946803466174E-2</v>
      </c>
      <c r="AF92" s="21"/>
      <c r="AG92" s="21">
        <v>0</v>
      </c>
      <c r="AH92" s="21"/>
      <c r="AI92" s="21">
        <v>0</v>
      </c>
      <c r="AJ92" s="21"/>
      <c r="AK92" s="37">
        <f>8*(AG92-$AG$76)/(2*($AA$76-AA92)+2*($AI$76-AI92))</f>
        <v>0</v>
      </c>
      <c r="AM92" s="37">
        <f>(AG92-$AG$76)/(($AA$76-AA92)+($AI$76-AI92))</f>
        <v>0</v>
      </c>
      <c r="AO92" s="37">
        <f>8*(BW92-$BW$76)/(2*($AA$76-AA92)+2*($AI$76-AI92))</f>
        <v>0</v>
      </c>
      <c r="AQ92" s="37">
        <f>(BW92-$BW$76)/(($AA$76-AA92)+($AI$76-AI92))</f>
        <v>0</v>
      </c>
      <c r="AS92" s="37">
        <f>14*(BX92-$BX$76)/(2*($AA$76-AA92)+2*($AI$76-AI92))</f>
        <v>0</v>
      </c>
      <c r="AU92" s="37">
        <f>(BX92-$BX$76)/(($AA$76-AA92)+($AI$76-AI92))</f>
        <v>0</v>
      </c>
      <c r="BG92" s="37">
        <v>0</v>
      </c>
      <c r="BI92" s="2">
        <v>0</v>
      </c>
      <c r="BK92" s="2">
        <v>0</v>
      </c>
      <c r="BM92" s="2">
        <v>0</v>
      </c>
      <c r="BO92" s="37">
        <f t="shared" si="727"/>
        <v>0</v>
      </c>
      <c r="BQ92" s="2">
        <f t="shared" si="728"/>
        <v>0</v>
      </c>
      <c r="BS92" s="2">
        <f t="shared" si="729"/>
        <v>0</v>
      </c>
      <c r="BU92" s="2">
        <f t="shared" si="730"/>
        <v>0</v>
      </c>
      <c r="BW92" s="37">
        <f t="shared" si="731"/>
        <v>0</v>
      </c>
      <c r="BX92" s="2">
        <f t="shared" si="577"/>
        <v>0</v>
      </c>
      <c r="BY92" s="2">
        <f t="shared" si="578"/>
        <v>0</v>
      </c>
      <c r="BZ92" s="18">
        <f t="shared" si="579"/>
        <v>0</v>
      </c>
    </row>
    <row r="93" spans="1:78" x14ac:dyDescent="0.3">
      <c r="A93" s="197"/>
      <c r="B93" s="83" t="s">
        <v>63</v>
      </c>
      <c r="C93" s="80">
        <v>2</v>
      </c>
      <c r="D93" s="79" t="e">
        <f>AVERAGE(D90:D92)</f>
        <v>#DIV/0!</v>
      </c>
      <c r="E93" s="76"/>
      <c r="F93" s="78">
        <f t="shared" ref="F93:I93" si="732">AVERAGE(F90:F92)</f>
        <v>1.4266666666666665</v>
      </c>
      <c r="G93" s="73">
        <f>_xlfn.STDEV.S(F90:F92)</f>
        <v>1.2583057392117868E-2</v>
      </c>
      <c r="H93" s="78">
        <f t="shared" si="732"/>
        <v>0.105</v>
      </c>
      <c r="I93" s="82">
        <f t="shared" si="732"/>
        <v>2.9840999999999996E-2</v>
      </c>
      <c r="J93" s="82">
        <f t="shared" ref="J93" si="733">_xlfn.STDEV.S(I90:I92)</f>
        <v>1.2387990797542592E-3</v>
      </c>
      <c r="K93" s="82"/>
      <c r="L93" s="82" t="e">
        <f>_xlfn.STDEV.S(K90:K92)</f>
        <v>#DIV/0!</v>
      </c>
      <c r="M93" s="77">
        <f>AVERAGE(M90:M92)</f>
        <v>15.090173257250756</v>
      </c>
      <c r="N93" s="76">
        <f>_xlfn.STDEV.S(M90:M92)</f>
        <v>0.68661593451621727</v>
      </c>
      <c r="O93" s="76">
        <f t="shared" ref="O93" si="734">AVERAGE(O90:O92)</f>
        <v>84.259090809733436</v>
      </c>
      <c r="P93" s="76">
        <f t="shared" ref="P93" si="735">_xlfn.STDEV.S(O90:O92)</f>
        <v>0.75039498829097651</v>
      </c>
      <c r="Q93" s="76">
        <f t="shared" ref="Q93" si="736">AVERAGE(Q90:Q92)</f>
        <v>0.1576676855427217</v>
      </c>
      <c r="R93" s="76">
        <f t="shared" ref="R93" si="737">_xlfn.STDEV.S(Q90:Q92)</f>
        <v>0.18430114731759339</v>
      </c>
      <c r="S93" s="76">
        <f t="shared" ref="S93" si="738">AVERAGE(S90:S92)</f>
        <v>0.49306824747307704</v>
      </c>
      <c r="T93" s="76">
        <f t="shared" ref="T93" si="739">_xlfn.STDEV.S(S90:S92)</f>
        <v>6.1174623306154981E-2</v>
      </c>
      <c r="U93" s="76">
        <f t="shared" ref="U93" si="740">AVERAGE(U90:U92)</f>
        <v>0</v>
      </c>
      <c r="V93" s="76">
        <f t="shared" ref="V93" si="741">_xlfn.STDEV.S(U90:U92)</f>
        <v>0</v>
      </c>
      <c r="W93" s="76">
        <f t="shared" ref="W93" si="742">AVERAGE(W90:W92)</f>
        <v>0</v>
      </c>
      <c r="X93" s="76">
        <f t="shared" ref="X93" si="743">_xlfn.STDEV.S(W90:W92)</f>
        <v>0</v>
      </c>
      <c r="Y93" s="77">
        <f>AVERAGE(Y90:Y92)</f>
        <v>0.96911573206133317</v>
      </c>
      <c r="Z93" s="76">
        <f>_xlfn.STDEV.S(Y90:Y92)</f>
        <v>4.4603801066425287E-2</v>
      </c>
      <c r="AA93" s="76">
        <f t="shared" ref="AA93" si="744">AVERAGE(AA90:AA92)</f>
        <v>5.4113718268859516</v>
      </c>
      <c r="AB93" s="76">
        <f t="shared" ref="AB93" si="745">_xlfn.STDEV.S(AA90:AA92)</f>
        <v>7.537181374334144E-2</v>
      </c>
      <c r="AC93" s="76">
        <f t="shared" ref="AC93" si="746">AVERAGE(AC90:AC92)</f>
        <v>1.0067890735713935E-2</v>
      </c>
      <c r="AD93" s="76">
        <f t="shared" ref="AD93" si="747">_xlfn.STDEV.S(AC90:AC92)</f>
        <v>1.1717366297191958E-2</v>
      </c>
      <c r="AE93" s="76">
        <f t="shared" ref="AE93" si="748">AVERAGE(AE90:AE92)</f>
        <v>3.1663134918954824E-2</v>
      </c>
      <c r="AF93" s="76">
        <f t="shared" ref="AF93" si="749">_xlfn.STDEV.S(AE90:AE92)</f>
        <v>3.9015264893362575E-3</v>
      </c>
      <c r="AG93" s="76">
        <f t="shared" ref="AG93" si="750">AVERAGE(AG90:AG92)</f>
        <v>0</v>
      </c>
      <c r="AH93" s="76">
        <f t="shared" ref="AH93" si="751">_xlfn.STDEV.S(AG90:AG92)</f>
        <v>0</v>
      </c>
      <c r="AI93" s="76">
        <f t="shared" ref="AI93" si="752">AVERAGE(AI90:AI92)</f>
        <v>0</v>
      </c>
      <c r="AJ93" s="76">
        <f t="shared" ref="AJ93" si="753">_xlfn.STDEV.S(AI90:AI92)</f>
        <v>0</v>
      </c>
      <c r="AK93" s="78">
        <f t="shared" ref="AK93" si="754">AVERAGE(AK90:AK92)</f>
        <v>0</v>
      </c>
      <c r="AL93" s="78">
        <f t="shared" ref="AL93" si="755">_xlfn.STDEV.S(AK90:AK92)</f>
        <v>0</v>
      </c>
      <c r="AM93" s="78">
        <f>AVERAGE(AM90:AM92)</f>
        <v>0</v>
      </c>
      <c r="AN93" s="78">
        <f t="shared" ref="AN93" si="756">_xlfn.STDEV.S(AM90:AM92)</f>
        <v>0</v>
      </c>
      <c r="AO93" s="78">
        <f t="shared" ref="AO93" si="757">AVERAGE(AO90:AO92)</f>
        <v>0</v>
      </c>
      <c r="AP93" s="78">
        <f t="shared" ref="AP93" si="758">_xlfn.STDEV.S(AO90:AO92)</f>
        <v>0</v>
      </c>
      <c r="AQ93" s="78">
        <f t="shared" ref="AQ93" si="759">AVERAGE(AQ90:AQ92)</f>
        <v>0</v>
      </c>
      <c r="AR93" s="78">
        <f t="shared" ref="AR93" si="760">_xlfn.STDEV.S(AQ90:AQ92)</f>
        <v>0</v>
      </c>
      <c r="AS93" s="78">
        <f t="shared" ref="AS93" si="761">AVERAGE(AS90:AS92)</f>
        <v>0</v>
      </c>
      <c r="AT93" s="78">
        <f t="shared" ref="AT93" si="762">_xlfn.STDEV.S(AS90:AS92)</f>
        <v>0</v>
      </c>
      <c r="AU93" s="78">
        <f t="shared" ref="AU93" si="763">AVERAGE(AU90:AU92)</f>
        <v>0</v>
      </c>
      <c r="AV93" s="78">
        <f t="shared" ref="AV93" si="764">_xlfn.STDEV.S(AU90:AU92)</f>
        <v>0</v>
      </c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>
        <f t="shared" ref="BG93" si="765">AVERAGE(BG90:BG92)</f>
        <v>0</v>
      </c>
      <c r="BH93" s="75">
        <f t="shared" ref="BH93" si="766">_xlfn.STDEV.S(BG90:BG92)</f>
        <v>0</v>
      </c>
      <c r="BI93" s="75">
        <f t="shared" ref="BI93" si="767">AVERAGE(BI90:BI92)</f>
        <v>0</v>
      </c>
      <c r="BJ93" s="75">
        <f t="shared" ref="BJ93" si="768">_xlfn.STDEV.S(BI90:BI92)</f>
        <v>0</v>
      </c>
      <c r="BK93" s="75">
        <f t="shared" ref="BK93" si="769">AVERAGE(BK90:BK92)</f>
        <v>0</v>
      </c>
      <c r="BL93" s="75">
        <f t="shared" ref="BL93" si="770">_xlfn.STDEV.S(BK90:BK92)</f>
        <v>0</v>
      </c>
      <c r="BM93" s="75">
        <f t="shared" ref="BM93" si="771">AVERAGE(BM90:BM92)</f>
        <v>0</v>
      </c>
      <c r="BN93" s="75">
        <f t="shared" ref="BN93" si="772">_xlfn.STDEV.S(BM90:BM92)</f>
        <v>0</v>
      </c>
      <c r="BO93" s="78">
        <f t="shared" ref="BO93" si="773">AVERAGE(BO90:BO92)</f>
        <v>0</v>
      </c>
      <c r="BP93" s="75">
        <f t="shared" ref="BP93" si="774">_xlfn.STDEV.S(BO90:BO92)</f>
        <v>0</v>
      </c>
      <c r="BQ93" s="75">
        <f t="shared" ref="BQ93" si="775">AVERAGE(BQ90:BQ92)</f>
        <v>0</v>
      </c>
      <c r="BR93" s="75">
        <f t="shared" ref="BR93" si="776">_xlfn.STDEV.S(BQ90:BQ92)</f>
        <v>0</v>
      </c>
      <c r="BS93" s="75">
        <f t="shared" ref="BS93" si="777">AVERAGE(BS90:BS92)</f>
        <v>0</v>
      </c>
      <c r="BT93" s="75">
        <f t="shared" ref="BT93" si="778">_xlfn.STDEV.S(BS90:BS92)</f>
        <v>0</v>
      </c>
      <c r="BU93" s="75">
        <f t="shared" ref="BU93" si="779">AVERAGE(BU90:BU92)</f>
        <v>0</v>
      </c>
      <c r="BV93" s="75">
        <f t="shared" ref="BV93" si="780">_xlfn.STDEV.S(BU90:BU92)</f>
        <v>0</v>
      </c>
      <c r="BW93" s="78">
        <f t="shared" ref="BW93" si="781">AVERAGE(BW90:BW92)</f>
        <v>0</v>
      </c>
      <c r="BX93" s="75">
        <f t="shared" si="577"/>
        <v>0</v>
      </c>
      <c r="BY93" s="75">
        <f t="shared" si="578"/>
        <v>0</v>
      </c>
      <c r="BZ93" s="119">
        <f t="shared" si="579"/>
        <v>0</v>
      </c>
    </row>
    <row r="94" spans="1:78" x14ac:dyDescent="0.3">
      <c r="A94" s="191" t="s">
        <v>61</v>
      </c>
      <c r="B94" s="70" t="s">
        <v>115</v>
      </c>
      <c r="C94" s="20">
        <v>2</v>
      </c>
      <c r="D94" s="69"/>
      <c r="E94" s="21"/>
      <c r="F94" s="37">
        <v>1.4650000000000001</v>
      </c>
      <c r="H94" s="37">
        <v>0.13200000000000001</v>
      </c>
      <c r="I94" s="53">
        <f t="shared" ref="I94:I95" si="782">H94*0.2842</f>
        <v>3.7514400000000003E-2</v>
      </c>
      <c r="M94" s="22">
        <v>0.48022012757279281</v>
      </c>
      <c r="O94" s="21">
        <v>0</v>
      </c>
      <c r="Q94" s="21">
        <v>0.16597772168841063</v>
      </c>
      <c r="S94" s="21">
        <v>99.353802150738787</v>
      </c>
      <c r="U94" s="21">
        <v>0</v>
      </c>
      <c r="W94" s="21">
        <v>0</v>
      </c>
      <c r="Y94" s="22">
        <v>3.1669452266473878E-2</v>
      </c>
      <c r="Z94" s="21"/>
      <c r="AA94" s="21">
        <v>0</v>
      </c>
      <c r="AB94" s="21"/>
      <c r="AC94" s="21">
        <v>1.0945862600297663E-2</v>
      </c>
      <c r="AD94" s="21"/>
      <c r="AE94" s="21">
        <v>6.5521628812373374</v>
      </c>
      <c r="AF94" s="21"/>
      <c r="AG94" s="21">
        <v>0</v>
      </c>
      <c r="AH94" s="21"/>
      <c r="AI94" s="21">
        <v>0</v>
      </c>
      <c r="AJ94" s="21"/>
      <c r="BG94" s="37">
        <v>1588.25</v>
      </c>
      <c r="BI94" s="2">
        <v>0</v>
      </c>
      <c r="BK94" s="2">
        <v>0</v>
      </c>
      <c r="BM94" s="2">
        <v>0</v>
      </c>
      <c r="BO94" s="37">
        <f t="shared" ref="BO94:BO96" si="783">(BG94/1000)/60.2*1000</f>
        <v>26.382890365448503</v>
      </c>
      <c r="BQ94" s="2">
        <f t="shared" ref="BQ94:BQ96" si="784">BI94/74.08</f>
        <v>0</v>
      </c>
      <c r="BS94" s="2">
        <f t="shared" ref="BS94:BS96" si="785">(BK94/1000)/88.12*1000</f>
        <v>0</v>
      </c>
      <c r="BU94" s="2">
        <f t="shared" ref="BU94:BU96" si="786">BM94/88.12</f>
        <v>0</v>
      </c>
      <c r="BW94" s="37">
        <f t="shared" ref="BW94:BW96" si="787">BO94*0.05</f>
        <v>1.3191445182724253</v>
      </c>
      <c r="BX94" s="2">
        <f t="shared" si="577"/>
        <v>0</v>
      </c>
      <c r="BY94" s="2">
        <f t="shared" si="578"/>
        <v>0</v>
      </c>
      <c r="BZ94" s="18">
        <f t="shared" si="579"/>
        <v>0</v>
      </c>
    </row>
    <row r="95" spans="1:78" x14ac:dyDescent="0.3">
      <c r="A95" s="192"/>
      <c r="B95" s="70" t="s">
        <v>116</v>
      </c>
      <c r="C95" s="20">
        <v>2</v>
      </c>
      <c r="D95" s="69"/>
      <c r="E95" s="21"/>
      <c r="F95" s="37">
        <v>1.4650000000000001</v>
      </c>
      <c r="H95" s="37">
        <v>0.13200000000000001</v>
      </c>
      <c r="I95" s="53">
        <f t="shared" si="782"/>
        <v>3.7514400000000003E-2</v>
      </c>
      <c r="M95" s="22">
        <v>0.47104418707936441</v>
      </c>
      <c r="O95" s="21">
        <v>0</v>
      </c>
      <c r="Q95" s="21">
        <v>0</v>
      </c>
      <c r="S95" s="21">
        <v>99.528955812920643</v>
      </c>
      <c r="U95" s="21">
        <v>0</v>
      </c>
      <c r="W95" s="21">
        <v>0</v>
      </c>
      <c r="Y95" s="22">
        <v>3.1035017530052451E-2</v>
      </c>
      <c r="Z95" s="21"/>
      <c r="AA95" s="21">
        <v>0</v>
      </c>
      <c r="AB95" s="21"/>
      <c r="AC95" s="21">
        <v>6.2206082310465628E-3</v>
      </c>
      <c r="AD95" s="21"/>
      <c r="AE95" s="21">
        <v>6.5575225703430107</v>
      </c>
      <c r="AF95" s="21"/>
      <c r="AG95" s="21">
        <v>0</v>
      </c>
      <c r="AH95" s="21"/>
      <c r="AI95" s="21">
        <v>0</v>
      </c>
      <c r="AJ95" s="21"/>
      <c r="BG95" s="37">
        <v>1519.55</v>
      </c>
      <c r="BI95" s="2">
        <v>0</v>
      </c>
      <c r="BK95" s="2">
        <v>0</v>
      </c>
      <c r="BM95" s="2">
        <v>0</v>
      </c>
      <c r="BO95" s="37">
        <f t="shared" si="783"/>
        <v>25.241694352159467</v>
      </c>
      <c r="BQ95" s="2">
        <f t="shared" si="784"/>
        <v>0</v>
      </c>
      <c r="BS95" s="2">
        <f t="shared" si="785"/>
        <v>0</v>
      </c>
      <c r="BU95" s="2">
        <f t="shared" si="786"/>
        <v>0</v>
      </c>
      <c r="BW95" s="37">
        <f t="shared" si="787"/>
        <v>1.2620847176079735</v>
      </c>
      <c r="BX95" s="2">
        <f t="shared" si="577"/>
        <v>0</v>
      </c>
      <c r="BY95" s="2">
        <f t="shared" si="578"/>
        <v>0</v>
      </c>
      <c r="BZ95" s="18">
        <f t="shared" si="579"/>
        <v>0</v>
      </c>
    </row>
    <row r="96" spans="1:78" x14ac:dyDescent="0.3">
      <c r="A96" s="192"/>
      <c r="B96" s="128" t="s">
        <v>117</v>
      </c>
      <c r="C96" s="37">
        <v>2</v>
      </c>
      <c r="D96" s="37"/>
      <c r="E96" s="37"/>
      <c r="F96" s="37">
        <v>1.4550000000000001</v>
      </c>
      <c r="H96" s="37">
        <v>0.13500000000000001</v>
      </c>
      <c r="I96" s="53">
        <f t="shared" si="681"/>
        <v>3.8367000000000005E-2</v>
      </c>
      <c r="M96" s="38">
        <v>0.51923253348523246</v>
      </c>
      <c r="N96" s="24"/>
      <c r="O96" s="24">
        <v>0</v>
      </c>
      <c r="P96" s="24"/>
      <c r="Q96" s="24">
        <v>0.293140987766628</v>
      </c>
      <c r="R96" s="24"/>
      <c r="S96" s="24">
        <v>99.187626478748143</v>
      </c>
      <c r="T96" s="24"/>
      <c r="U96" s="24">
        <v>0</v>
      </c>
      <c r="V96" s="24"/>
      <c r="W96" s="24">
        <v>0</v>
      </c>
      <c r="X96" s="24"/>
      <c r="Y96" s="22">
        <v>3.4008498520343537E-2</v>
      </c>
      <c r="Z96" s="21"/>
      <c r="AA96" s="21">
        <v>0</v>
      </c>
      <c r="AB96" s="21"/>
      <c r="AC96" s="21">
        <v>1.9200038914735974E-2</v>
      </c>
      <c r="AD96" s="21"/>
      <c r="AE96" s="21">
        <v>6.4965541078423801</v>
      </c>
      <c r="AF96" s="21"/>
      <c r="AG96" s="21">
        <v>0</v>
      </c>
      <c r="AH96" s="21"/>
      <c r="AI96" s="21">
        <v>0</v>
      </c>
      <c r="AJ96" s="21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37">
        <v>1501.42</v>
      </c>
      <c r="BI96" s="2">
        <v>0</v>
      </c>
      <c r="BK96" s="2">
        <v>0</v>
      </c>
      <c r="BO96" s="37">
        <f t="shared" si="783"/>
        <v>24.940531561461793</v>
      </c>
      <c r="BQ96" s="2">
        <f t="shared" si="784"/>
        <v>0</v>
      </c>
      <c r="BS96" s="2">
        <f t="shared" si="785"/>
        <v>0</v>
      </c>
      <c r="BU96" s="2">
        <f t="shared" si="786"/>
        <v>0</v>
      </c>
      <c r="BW96" s="37">
        <f t="shared" si="787"/>
        <v>1.2470265780730898</v>
      </c>
      <c r="BX96" s="2">
        <f t="shared" si="577"/>
        <v>0</v>
      </c>
      <c r="BY96" s="2">
        <f t="shared" si="578"/>
        <v>0</v>
      </c>
      <c r="BZ96" s="18">
        <f t="shared" si="579"/>
        <v>0</v>
      </c>
    </row>
    <row r="97" spans="1:78" ht="15" thickBot="1" x14ac:dyDescent="0.35">
      <c r="A97" s="193"/>
      <c r="B97" s="66" t="s">
        <v>63</v>
      </c>
      <c r="C97" s="65">
        <v>2</v>
      </c>
      <c r="D97" s="64" t="e">
        <f>AVERAGE(D94:D95)</f>
        <v>#DIV/0!</v>
      </c>
      <c r="E97" s="58"/>
      <c r="F97" s="60">
        <f>AVERAGE(F94:F96)</f>
        <v>1.4616666666666667</v>
      </c>
      <c r="G97" s="55">
        <f>_xlfn.STDEV.S(F94:F95)</f>
        <v>0</v>
      </c>
      <c r="H97" s="60">
        <f>AVERAGE(H94:H96)</f>
        <v>0.13300000000000001</v>
      </c>
      <c r="I97" s="63">
        <f t="shared" ref="I97" si="788">AVERAGE(I94:I96)</f>
        <v>3.7798600000000009E-2</v>
      </c>
      <c r="J97" s="63">
        <f t="shared" ref="J97" si="789">_xlfn.STDEV.S(I94:I96)</f>
        <v>4.9224883951107603E-4</v>
      </c>
      <c r="K97" s="63"/>
      <c r="L97" s="63" t="e">
        <f>_xlfn.STDEV.S(K94:K95)</f>
        <v>#DIV/0!</v>
      </c>
      <c r="M97" s="59">
        <f>AVERAGE(M94:M96)</f>
        <v>0.49016561604579656</v>
      </c>
      <c r="N97" s="58">
        <f>_xlfn.STDEV.S(M94:M96)</f>
        <v>2.5587374583141038E-2</v>
      </c>
      <c r="O97" s="58">
        <f t="shared" ref="O97" si="790">AVERAGE(O94:O96)</f>
        <v>0</v>
      </c>
      <c r="P97" s="58">
        <f t="shared" ref="P97" si="791">_xlfn.STDEV.S(O94:O96)</f>
        <v>0</v>
      </c>
      <c r="Q97" s="58">
        <f t="shared" ref="Q97" si="792">AVERAGE(Q94:Q96)</f>
        <v>0.15303956981834621</v>
      </c>
      <c r="R97" s="58">
        <f t="shared" ref="R97" si="793">_xlfn.STDEV.S(Q94:Q96)</f>
        <v>0.1469981513746286</v>
      </c>
      <c r="S97" s="58">
        <f t="shared" ref="S97" si="794">AVERAGE(S94:S96)</f>
        <v>99.356794814135853</v>
      </c>
      <c r="T97" s="58">
        <f t="shared" ref="T97" si="795">_xlfn.STDEV.S(S94:S96)</f>
        <v>0.17068434496847265</v>
      </c>
      <c r="U97" s="58">
        <f t="shared" ref="U97" si="796">AVERAGE(U94:U96)</f>
        <v>0</v>
      </c>
      <c r="V97" s="58">
        <f t="shared" ref="V97" si="797">_xlfn.STDEV.S(U94:U96)</f>
        <v>0</v>
      </c>
      <c r="W97" s="58">
        <f t="shared" ref="W97" si="798">AVERAGE(W94:W96)</f>
        <v>0</v>
      </c>
      <c r="X97" s="58">
        <f t="shared" ref="X97" si="799">_xlfn.STDEV.S(W94:W96)</f>
        <v>0</v>
      </c>
      <c r="Y97" s="59">
        <f>AVERAGE(Y94:Y96)</f>
        <v>3.2237656105623291E-2</v>
      </c>
      <c r="Z97" s="58">
        <f>_xlfn.STDEV.S(Y94:Y96)</f>
        <v>1.5660584286749045E-3</v>
      </c>
      <c r="AA97" s="58">
        <f t="shared" ref="AA97" si="800">AVERAGE(AA94:AA96)</f>
        <v>0</v>
      </c>
      <c r="AB97" s="58">
        <f t="shared" ref="AB97" si="801">_xlfn.STDEV.S(AA94:AA96)</f>
        <v>0</v>
      </c>
      <c r="AC97" s="58">
        <f t="shared" ref="AC97" si="802">AVERAGE(AC94:AC96)</f>
        <v>1.2122169915360068E-2</v>
      </c>
      <c r="AD97" s="58">
        <f t="shared" ref="AD97" si="803">_xlfn.STDEV.S(AC94:AC96)</f>
        <v>6.5691840735951738E-3</v>
      </c>
      <c r="AE97" s="58">
        <f t="shared" ref="AE97" si="804">AVERAGE(AE94:AE96)</f>
        <v>6.5354131864742415</v>
      </c>
      <c r="AF97" s="58">
        <f t="shared" ref="AF97" si="805">_xlfn.STDEV.S(AE94:AE96)</f>
        <v>3.3759481052221908E-2</v>
      </c>
      <c r="AG97" s="58">
        <f t="shared" ref="AG97" si="806">AVERAGE(AG94:AG96)</f>
        <v>0</v>
      </c>
      <c r="AH97" s="58">
        <f t="shared" ref="AH97" si="807">_xlfn.STDEV.S(AG94:AG96)</f>
        <v>0</v>
      </c>
      <c r="AI97" s="58">
        <f t="shared" ref="AI97" si="808">AVERAGE(AI94:AI96)</f>
        <v>0</v>
      </c>
      <c r="AJ97" s="58">
        <f t="shared" ref="AJ97" si="809">_xlfn.STDEV.S(AI94:AI96)</f>
        <v>0</v>
      </c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>
        <f t="shared" ref="BG97" si="810">AVERAGE(BG94:BG96)</f>
        <v>1536.4066666666668</v>
      </c>
      <c r="BH97" s="57">
        <f t="shared" ref="BH97" si="811">_xlfn.STDEV.S(BG94:BG96)</f>
        <v>45.803631224318138</v>
      </c>
      <c r="BI97" s="57">
        <f t="shared" ref="BI97" si="812">AVERAGE(BI94:BI96)</f>
        <v>0</v>
      </c>
      <c r="BJ97" s="57">
        <f t="shared" ref="BJ97" si="813">_xlfn.STDEV.S(BI94:BI96)</f>
        <v>0</v>
      </c>
      <c r="BK97" s="57">
        <f t="shared" ref="BK97" si="814">AVERAGE(BK94:BK96)</f>
        <v>0</v>
      </c>
      <c r="BL97" s="57">
        <f t="shared" ref="BL97" si="815">_xlfn.STDEV.S(BK94:BK96)</f>
        <v>0</v>
      </c>
      <c r="BM97" s="57">
        <f t="shared" ref="BM97" si="816">AVERAGE(BM94:BM96)</f>
        <v>0</v>
      </c>
      <c r="BN97" s="57">
        <f t="shared" ref="BN97" si="817">_xlfn.STDEV.S(BM94:BM96)</f>
        <v>0</v>
      </c>
      <c r="BO97" s="60">
        <f t="shared" ref="BO97" si="818">AVERAGE(BO94:BO96)</f>
        <v>25.52170542635659</v>
      </c>
      <c r="BP97" s="57">
        <f t="shared" ref="BP97" si="819">_xlfn.STDEV.S(BO94:BO96)</f>
        <v>0.76085766153352408</v>
      </c>
      <c r="BQ97" s="57">
        <f t="shared" ref="BQ97" si="820">AVERAGE(BQ94:BQ96)</f>
        <v>0</v>
      </c>
      <c r="BR97" s="57">
        <f t="shared" ref="BR97" si="821">_xlfn.STDEV.S(BQ94:BQ96)</f>
        <v>0</v>
      </c>
      <c r="BS97" s="57">
        <f t="shared" ref="BS97" si="822">AVERAGE(BS94:BS96)</f>
        <v>0</v>
      </c>
      <c r="BT97" s="57">
        <f t="shared" ref="BT97" si="823">_xlfn.STDEV.S(BS94:BS96)</f>
        <v>0</v>
      </c>
      <c r="BU97" s="57">
        <f t="shared" ref="BU97" si="824">AVERAGE(BU94:BU96)</f>
        <v>0</v>
      </c>
      <c r="BV97" s="57">
        <f t="shared" ref="BV97" si="825">_xlfn.STDEV.S(BU94:BU96)</f>
        <v>0</v>
      </c>
      <c r="BW97" s="60">
        <f t="shared" ref="BW97" si="826">AVERAGE(BW94:BW96)</f>
        <v>1.2760852713178295</v>
      </c>
      <c r="BX97" s="57">
        <f t="shared" si="577"/>
        <v>0</v>
      </c>
      <c r="BY97" s="57">
        <f t="shared" si="578"/>
        <v>0</v>
      </c>
      <c r="BZ97" s="61">
        <f t="shared" si="579"/>
        <v>0</v>
      </c>
    </row>
    <row r="98" spans="1:78" x14ac:dyDescent="0.3">
      <c r="A98" s="191" t="s">
        <v>58</v>
      </c>
      <c r="B98" s="70" t="s">
        <v>112</v>
      </c>
      <c r="C98" s="20">
        <v>3</v>
      </c>
      <c r="D98" s="69"/>
      <c r="E98" s="21"/>
      <c r="F98" s="37">
        <v>1.415</v>
      </c>
      <c r="H98" s="37">
        <v>0.109</v>
      </c>
      <c r="I98" s="53">
        <f t="shared" ref="I98" si="827">H98*0.2842</f>
        <v>3.09778E-2</v>
      </c>
      <c r="M98" s="22">
        <v>15.350406108017326</v>
      </c>
      <c r="O98" s="21">
        <v>84.054065387392512</v>
      </c>
      <c r="Q98" s="21">
        <v>0.33254328429142643</v>
      </c>
      <c r="S98" s="21">
        <v>0.26298522029873767</v>
      </c>
      <c r="U98" s="21">
        <v>0</v>
      </c>
      <c r="W98" s="21">
        <v>0</v>
      </c>
      <c r="Y98" s="22">
        <v>0.97777488570670179</v>
      </c>
      <c r="Z98" s="21"/>
      <c r="AA98" s="21">
        <v>5.3539921744752199</v>
      </c>
      <c r="AB98" s="21"/>
      <c r="AC98" s="21">
        <v>2.1182011049255416E-2</v>
      </c>
      <c r="AD98" s="21"/>
      <c r="AE98" s="21">
        <v>1.675137073968674E-2</v>
      </c>
      <c r="AF98" s="21"/>
      <c r="AG98" s="21">
        <v>0</v>
      </c>
      <c r="AH98" s="21"/>
      <c r="AI98" s="21">
        <v>0</v>
      </c>
      <c r="AJ98" s="21"/>
      <c r="AK98" s="37">
        <f>8*(AG98-$AG$74)/(2*($AA$74-AA98)+2*($AI$74-AI98))</f>
        <v>0</v>
      </c>
      <c r="AM98" s="37">
        <f>(AG98-$AG$74)/(($AA$74-AA98)+($AI$74-AI98))</f>
        <v>0</v>
      </c>
      <c r="AO98" s="37">
        <f>8*(BW98-$BW$74)/(2*($AA$74-AA98)+2*($AI$74-AI98))</f>
        <v>0</v>
      </c>
      <c r="AQ98" s="37">
        <f>(BW98-$BW$74)/(($AA$74-AA98)+($AI$74-AI98))</f>
        <v>0</v>
      </c>
      <c r="AS98" s="37">
        <f>14*(BX98-$BX$74)/(2*($AA$74-AA98)+2*($AI$74-AI98))</f>
        <v>0</v>
      </c>
      <c r="AU98" s="37">
        <f>(BX98-$BX$74)/(($AA$74-AA98)+($AI$74-AI98))</f>
        <v>0</v>
      </c>
      <c r="BG98" s="127">
        <v>0</v>
      </c>
      <c r="BI98" s="2">
        <v>0</v>
      </c>
      <c r="BK98" s="2">
        <v>0</v>
      </c>
      <c r="BM98" s="2">
        <v>0</v>
      </c>
      <c r="BO98" s="37">
        <f t="shared" ref="BO98:BO100" si="828">(BG98/1000)/60.2*1000</f>
        <v>0</v>
      </c>
      <c r="BQ98" s="2">
        <f t="shared" ref="BQ98:BQ100" si="829">BI98/74.08</f>
        <v>0</v>
      </c>
      <c r="BS98" s="2">
        <f t="shared" ref="BS98:BS100" si="830">(BK98/1000)/88.12*1000</f>
        <v>0</v>
      </c>
      <c r="BU98" s="2">
        <f t="shared" ref="BU98:BU100" si="831">BM98/88.12</f>
        <v>0</v>
      </c>
      <c r="BW98" s="37">
        <f t="shared" ref="BW98:BW100" si="832">BO98*0.05</f>
        <v>0</v>
      </c>
      <c r="BX98" s="2">
        <f t="shared" si="577"/>
        <v>0</v>
      </c>
      <c r="BY98" s="2">
        <f t="shared" si="578"/>
        <v>0</v>
      </c>
      <c r="BZ98" s="18">
        <f t="shared" si="579"/>
        <v>0</v>
      </c>
    </row>
    <row r="99" spans="1:78" x14ac:dyDescent="0.3">
      <c r="A99" s="192"/>
      <c r="B99" s="70" t="s">
        <v>113</v>
      </c>
      <c r="C99" s="20">
        <v>3</v>
      </c>
      <c r="D99" s="69"/>
      <c r="E99" s="21"/>
      <c r="F99" s="37">
        <v>1.42</v>
      </c>
      <c r="H99" s="37">
        <v>0.10299999999999999</v>
      </c>
      <c r="I99" s="53">
        <f t="shared" si="625"/>
        <v>2.9272599999999999E-2</v>
      </c>
      <c r="M99" s="22">
        <v>15.111778542354845</v>
      </c>
      <c r="O99" s="21">
        <v>84.247276481977337</v>
      </c>
      <c r="Q99" s="21">
        <v>9.1649402420399748E-2</v>
      </c>
      <c r="S99" s="21">
        <v>0.54929557324741851</v>
      </c>
      <c r="U99" s="21">
        <v>0</v>
      </c>
      <c r="W99" s="21">
        <v>0</v>
      </c>
      <c r="Y99" s="22">
        <v>0.96597634977730662</v>
      </c>
      <c r="Z99" s="21"/>
      <c r="AA99" s="21">
        <v>5.3852613302033303</v>
      </c>
      <c r="AB99" s="21"/>
      <c r="AC99" s="21">
        <v>5.8584206327002954E-3</v>
      </c>
      <c r="AD99" s="21"/>
      <c r="AE99" s="21">
        <v>3.5112116770849064E-2</v>
      </c>
      <c r="AF99" s="21"/>
      <c r="AG99" s="21">
        <v>0</v>
      </c>
      <c r="AH99" s="21"/>
      <c r="AI99" s="21">
        <v>0</v>
      </c>
      <c r="AJ99" s="21"/>
      <c r="AK99" s="37">
        <f>8*(AG99-$AG$75)/(2*($AA$75-AA99)+2*($AI$75-AI99))</f>
        <v>0</v>
      </c>
      <c r="AM99" s="37">
        <f>(AG99-$AG$75)/(($AA$75-AA99)+($AI$75-AI99))</f>
        <v>0</v>
      </c>
      <c r="AO99" s="37">
        <f>8*(BW99-$BW$75)/(2*($AA$75-AA99)+2*($AI$75-AI99))</f>
        <v>0</v>
      </c>
      <c r="AQ99" s="37">
        <f>(BW99-$BW$75)/(($AA$75-AA99)+($AI$75-AI99))</f>
        <v>0</v>
      </c>
      <c r="AS99" s="37">
        <f>14*(BX99-$BX$75)/(2*($AA$75-AA99)+2*($AI$75-AI99))</f>
        <v>0</v>
      </c>
      <c r="AU99" s="37">
        <f>(BX99-$BX$75)/(($AA$75-AA99)+($AI$75-AI99))</f>
        <v>0</v>
      </c>
      <c r="BG99" s="37">
        <v>0</v>
      </c>
      <c r="BI99" s="2">
        <v>0</v>
      </c>
      <c r="BK99" s="2">
        <v>0</v>
      </c>
      <c r="BM99" s="2">
        <v>0</v>
      </c>
      <c r="BO99" s="37">
        <f t="shared" si="828"/>
        <v>0</v>
      </c>
      <c r="BQ99" s="2">
        <f t="shared" si="829"/>
        <v>0</v>
      </c>
      <c r="BS99" s="2">
        <f t="shared" si="830"/>
        <v>0</v>
      </c>
      <c r="BU99" s="2">
        <f t="shared" si="831"/>
        <v>0</v>
      </c>
      <c r="BW99" s="37">
        <f t="shared" si="832"/>
        <v>0</v>
      </c>
      <c r="BX99" s="2">
        <f t="shared" si="577"/>
        <v>0</v>
      </c>
      <c r="BY99" s="2">
        <f t="shared" si="578"/>
        <v>0</v>
      </c>
      <c r="BZ99" s="18">
        <f t="shared" si="579"/>
        <v>0</v>
      </c>
    </row>
    <row r="100" spans="1:78" x14ac:dyDescent="0.3">
      <c r="A100" s="192"/>
      <c r="B100" s="70" t="s">
        <v>114</v>
      </c>
      <c r="C100" s="20">
        <v>3</v>
      </c>
      <c r="D100" s="69"/>
      <c r="E100" s="21"/>
      <c r="F100" s="37">
        <v>1.43</v>
      </c>
      <c r="H100" s="37">
        <v>0.10100000000000001</v>
      </c>
      <c r="I100" s="53">
        <f t="shared" si="625"/>
        <v>2.8704200000000003E-2</v>
      </c>
      <c r="M100" s="22">
        <v>14.381039947722288</v>
      </c>
      <c r="O100" s="21">
        <v>85.163387822077993</v>
      </c>
      <c r="Q100" s="21">
        <v>3.3614864597783636E-2</v>
      </c>
      <c r="S100" s="21">
        <v>0.42195736560194186</v>
      </c>
      <c r="U100" s="21">
        <v>0</v>
      </c>
      <c r="W100" s="21">
        <v>0</v>
      </c>
      <c r="Y100" s="22">
        <v>0.92573972163067419</v>
      </c>
      <c r="Z100" s="21"/>
      <c r="AA100" s="21">
        <v>5.4821578426963784</v>
      </c>
      <c r="AB100" s="21"/>
      <c r="AC100" s="21">
        <v>2.1638640535404179E-3</v>
      </c>
      <c r="AD100" s="21"/>
      <c r="AE100" s="21">
        <v>2.7162339830244495E-2</v>
      </c>
      <c r="AF100" s="21"/>
      <c r="AG100" s="21">
        <v>0</v>
      </c>
      <c r="AH100" s="21"/>
      <c r="AI100" s="21">
        <v>0</v>
      </c>
      <c r="AJ100" s="21"/>
      <c r="AK100" s="37">
        <f>8*(AG100-$AG$76)/(2*($AA$76-AA100)+2*($AI$76-AI100))</f>
        <v>0</v>
      </c>
      <c r="AM100" s="37">
        <f>(AG100-$AG$76)/(($AA$76-AA100)+($AI$76-AI100))</f>
        <v>0</v>
      </c>
      <c r="AO100" s="37">
        <f>8*(BW100-$BW$76)/(2*($AA$76-AA100)+2*($AI$76-AI100))</f>
        <v>0</v>
      </c>
      <c r="AQ100" s="37">
        <f>(BW100-$BW$76)/(($AA$76-AA100)+($AI$76-AI100))</f>
        <v>0</v>
      </c>
      <c r="AS100" s="37">
        <f>14*(BX100-$BX$76)/(2*($AA$76-AA100)+2*($AI$76-AI100))</f>
        <v>0</v>
      </c>
      <c r="AU100" s="37">
        <f>(BX100-$BX$76)/(($AA$76-AA100)+($AI$76-AI100))</f>
        <v>0</v>
      </c>
      <c r="BG100" s="37">
        <v>0</v>
      </c>
      <c r="BI100" s="2">
        <v>0</v>
      </c>
      <c r="BK100" s="2">
        <v>0</v>
      </c>
      <c r="BM100" s="2">
        <v>0</v>
      </c>
      <c r="BO100" s="37">
        <f t="shared" si="828"/>
        <v>0</v>
      </c>
      <c r="BQ100" s="2">
        <f t="shared" si="829"/>
        <v>0</v>
      </c>
      <c r="BS100" s="2">
        <f t="shared" si="830"/>
        <v>0</v>
      </c>
      <c r="BU100" s="2">
        <f t="shared" si="831"/>
        <v>0</v>
      </c>
      <c r="BW100" s="37">
        <f t="shared" si="832"/>
        <v>0</v>
      </c>
      <c r="BX100" s="2">
        <f t="shared" si="577"/>
        <v>0</v>
      </c>
      <c r="BY100" s="2">
        <f t="shared" si="578"/>
        <v>0</v>
      </c>
      <c r="BZ100" s="18">
        <f t="shared" si="579"/>
        <v>0</v>
      </c>
    </row>
    <row r="101" spans="1:78" x14ac:dyDescent="0.3">
      <c r="A101" s="197"/>
      <c r="B101" s="83" t="s">
        <v>63</v>
      </c>
      <c r="C101" s="80">
        <v>3</v>
      </c>
      <c r="D101" s="79" t="e">
        <f>AVERAGE(D98:D100)</f>
        <v>#DIV/0!</v>
      </c>
      <c r="E101" s="76"/>
      <c r="F101" s="78">
        <f t="shared" ref="F101" si="833">AVERAGE(F98:F100)</f>
        <v>1.4216666666666666</v>
      </c>
      <c r="G101" s="73">
        <f>_xlfn.STDEV.S(F98:F100)</f>
        <v>7.6376261582596916E-3</v>
      </c>
      <c r="H101" s="78">
        <f t="shared" ref="H101:I101" si="834">AVERAGE(H98:H100)</f>
        <v>0.10433333333333333</v>
      </c>
      <c r="I101" s="82">
        <f t="shared" si="834"/>
        <v>2.965153333333333E-2</v>
      </c>
      <c r="J101" s="82">
        <f t="shared" ref="J101" si="835">_xlfn.STDEV.S(I98:I100)</f>
        <v>1.1832189540965487E-3</v>
      </c>
      <c r="K101" s="82"/>
      <c r="L101" s="82" t="e">
        <f>_xlfn.STDEV.S(K98:K100)</f>
        <v>#DIV/0!</v>
      </c>
      <c r="M101" s="77">
        <f>AVERAGE(M98:M100)</f>
        <v>14.947741532698153</v>
      </c>
      <c r="N101" s="76">
        <f>_xlfn.STDEV.S(M98:M100)</f>
        <v>0.50507305766999566</v>
      </c>
      <c r="O101" s="76">
        <f t="shared" ref="O101" si="836">AVERAGE(O98:O100)</f>
        <v>84.48824323048261</v>
      </c>
      <c r="P101" s="76">
        <f t="shared" ref="P101" si="837">_xlfn.STDEV.S(O98:O100)</f>
        <v>0.59261943643288895</v>
      </c>
      <c r="Q101" s="76">
        <f t="shared" ref="Q101" si="838">AVERAGE(Q98:Q100)</f>
        <v>0.15260251710320327</v>
      </c>
      <c r="R101" s="76">
        <f t="shared" ref="R101" si="839">_xlfn.STDEV.S(Q98:Q100)</f>
        <v>0.15851186601414391</v>
      </c>
      <c r="S101" s="76">
        <f t="shared" ref="S101" si="840">AVERAGE(S98:S100)</f>
        <v>0.41141271971603272</v>
      </c>
      <c r="T101" s="76">
        <f t="shared" ref="T101" si="841">_xlfn.STDEV.S(S98:S100)</f>
        <v>0.14344614570996284</v>
      </c>
      <c r="U101" s="76">
        <f t="shared" ref="U101" si="842">AVERAGE(U98:U100)</f>
        <v>0</v>
      </c>
      <c r="V101" s="76">
        <f t="shared" ref="V101" si="843">_xlfn.STDEV.S(U98:U100)</f>
        <v>0</v>
      </c>
      <c r="W101" s="76">
        <f t="shared" ref="W101" si="844">AVERAGE(W98:W100)</f>
        <v>0</v>
      </c>
      <c r="X101" s="76">
        <f t="shared" ref="X101" si="845">_xlfn.STDEV.S(W98:W100)</f>
        <v>0</v>
      </c>
      <c r="Y101" s="77">
        <f>AVERAGE(Y98:Y100)</f>
        <v>0.95649698570489416</v>
      </c>
      <c r="Z101" s="76">
        <f>_xlfn.STDEV.S(Y98:Y100)</f>
        <v>2.7282014817784001E-2</v>
      </c>
      <c r="AA101" s="76">
        <f t="shared" ref="AA101" si="846">AVERAGE(AA98:AA100)</f>
        <v>5.4071371157916426</v>
      </c>
      <c r="AB101" s="76">
        <f t="shared" ref="AB101" si="847">_xlfn.STDEV.S(AA98:AA100)</f>
        <v>6.682456228044735E-2</v>
      </c>
      <c r="AC101" s="76">
        <f t="shared" ref="AC101" si="848">AVERAGE(AC98:AC100)</f>
        <v>9.7347652451653752E-3</v>
      </c>
      <c r="AD101" s="76">
        <f t="shared" ref="AD101" si="849">_xlfn.STDEV.S(AC98:AC100)</f>
        <v>1.0084245854479954E-2</v>
      </c>
      <c r="AE101" s="76">
        <f t="shared" ref="AE101" si="850">AVERAGE(AE98:AE100)</f>
        <v>2.6341942446926767E-2</v>
      </c>
      <c r="AF101" s="76">
        <f t="shared" ref="AF101" si="851">_xlfn.STDEV.S(AE98:AE100)</f>
        <v>9.2078248031294864E-3</v>
      </c>
      <c r="AG101" s="76">
        <f t="shared" ref="AG101" si="852">AVERAGE(AG98:AG100)</f>
        <v>0</v>
      </c>
      <c r="AH101" s="76">
        <f t="shared" ref="AH101" si="853">_xlfn.STDEV.S(AG98:AG100)</f>
        <v>0</v>
      </c>
      <c r="AI101" s="76">
        <f t="shared" ref="AI101" si="854">AVERAGE(AI98:AI100)</f>
        <v>0</v>
      </c>
      <c r="AJ101" s="76">
        <f t="shared" ref="AJ101" si="855">_xlfn.STDEV.S(AI98:AI100)</f>
        <v>0</v>
      </c>
      <c r="AK101" s="78">
        <f t="shared" ref="AK101" si="856">AVERAGE(AK98:AK100)</f>
        <v>0</v>
      </c>
      <c r="AL101" s="78">
        <f t="shared" ref="AL101" si="857">_xlfn.STDEV.S(AK98:AK100)</f>
        <v>0</v>
      </c>
      <c r="AM101" s="78">
        <f>AVERAGE(AM98:AM100)</f>
        <v>0</v>
      </c>
      <c r="AN101" s="78">
        <f t="shared" ref="AN101" si="858">_xlfn.STDEV.S(AM98:AM100)</f>
        <v>0</v>
      </c>
      <c r="AO101" s="78">
        <f t="shared" ref="AO101" si="859">AVERAGE(AO98:AO100)</f>
        <v>0</v>
      </c>
      <c r="AP101" s="78">
        <f t="shared" ref="AP101" si="860">_xlfn.STDEV.S(AO98:AO100)</f>
        <v>0</v>
      </c>
      <c r="AQ101" s="78">
        <f t="shared" ref="AQ101" si="861">AVERAGE(AQ98:AQ100)</f>
        <v>0</v>
      </c>
      <c r="AR101" s="78">
        <f t="shared" ref="AR101" si="862">_xlfn.STDEV.S(AQ98:AQ100)</f>
        <v>0</v>
      </c>
      <c r="AS101" s="78">
        <f t="shared" ref="AS101" si="863">AVERAGE(AS98:AS100)</f>
        <v>0</v>
      </c>
      <c r="AT101" s="78">
        <f t="shared" ref="AT101" si="864">_xlfn.STDEV.S(AS98:AS100)</f>
        <v>0</v>
      </c>
      <c r="AU101" s="78">
        <f t="shared" ref="AU101" si="865">AVERAGE(AU98:AU100)</f>
        <v>0</v>
      </c>
      <c r="AV101" s="78">
        <f t="shared" ref="AV101" si="866">_xlfn.STDEV.S(AU98:AU100)</f>
        <v>0</v>
      </c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>
        <f t="shared" ref="BG101" si="867">AVERAGE(BG98:BG100)</f>
        <v>0</v>
      </c>
      <c r="BH101" s="75">
        <f t="shared" ref="BH101" si="868">_xlfn.STDEV.S(BG98:BG100)</f>
        <v>0</v>
      </c>
      <c r="BI101" s="75">
        <f t="shared" ref="BI101" si="869">AVERAGE(BI98:BI100)</f>
        <v>0</v>
      </c>
      <c r="BJ101" s="75">
        <f t="shared" ref="BJ101" si="870">_xlfn.STDEV.S(BI98:BI100)</f>
        <v>0</v>
      </c>
      <c r="BK101" s="75">
        <f t="shared" ref="BK101" si="871">AVERAGE(BK98:BK100)</f>
        <v>0</v>
      </c>
      <c r="BL101" s="75">
        <f t="shared" ref="BL101" si="872">_xlfn.STDEV.S(BK98:BK100)</f>
        <v>0</v>
      </c>
      <c r="BM101" s="75">
        <f t="shared" ref="BM101" si="873">AVERAGE(BM98:BM100)</f>
        <v>0</v>
      </c>
      <c r="BN101" s="75">
        <f t="shared" ref="BN101" si="874">_xlfn.STDEV.S(BM98:BM100)</f>
        <v>0</v>
      </c>
      <c r="BO101" s="78">
        <f t="shared" ref="BO101" si="875">AVERAGE(BO98:BO100)</f>
        <v>0</v>
      </c>
      <c r="BP101" s="75">
        <f t="shared" ref="BP101" si="876">_xlfn.STDEV.S(BO98:BO100)</f>
        <v>0</v>
      </c>
      <c r="BQ101" s="75">
        <f t="shared" ref="BQ101" si="877">AVERAGE(BQ98:BQ100)</f>
        <v>0</v>
      </c>
      <c r="BR101" s="75">
        <f t="shared" ref="BR101" si="878">_xlfn.STDEV.S(BQ98:BQ100)</f>
        <v>0</v>
      </c>
      <c r="BS101" s="75">
        <f t="shared" ref="BS101" si="879">AVERAGE(BS98:BS100)</f>
        <v>0</v>
      </c>
      <c r="BT101" s="75">
        <f t="shared" ref="BT101" si="880">_xlfn.STDEV.S(BS98:BS100)</f>
        <v>0</v>
      </c>
      <c r="BU101" s="75">
        <f t="shared" ref="BU101" si="881">AVERAGE(BU98:BU100)</f>
        <v>0</v>
      </c>
      <c r="BV101" s="75">
        <f t="shared" ref="BV101" si="882">_xlfn.STDEV.S(BU98:BU100)</f>
        <v>0</v>
      </c>
      <c r="BW101" s="78">
        <f t="shared" ref="BW101" si="883">AVERAGE(BW98:BW100)</f>
        <v>0</v>
      </c>
      <c r="BX101" s="75">
        <f t="shared" si="577"/>
        <v>0</v>
      </c>
      <c r="BY101" s="75">
        <f t="shared" si="578"/>
        <v>0</v>
      </c>
      <c r="BZ101" s="119">
        <f t="shared" si="579"/>
        <v>0</v>
      </c>
    </row>
    <row r="102" spans="1:78" x14ac:dyDescent="0.3">
      <c r="A102" s="191" t="s">
        <v>61</v>
      </c>
      <c r="B102" s="70" t="s">
        <v>115</v>
      </c>
      <c r="C102" s="20">
        <v>3</v>
      </c>
      <c r="D102" s="69"/>
      <c r="E102" s="21"/>
      <c r="F102" s="37">
        <v>1.46</v>
      </c>
      <c r="H102" s="37">
        <v>0.13100000000000001</v>
      </c>
      <c r="I102" s="53">
        <f t="shared" ref="I102:I103" si="884">H102*0.2842</f>
        <v>3.7230200000000005E-2</v>
      </c>
      <c r="M102" s="22">
        <v>0.49616435415205645</v>
      </c>
      <c r="O102" s="21">
        <v>0</v>
      </c>
      <c r="Q102" s="21">
        <v>0.10717401484323348</v>
      </c>
      <c r="S102" s="21">
        <v>99.396661631004719</v>
      </c>
      <c r="U102" s="21">
        <v>0</v>
      </c>
      <c r="W102" s="21">
        <v>0</v>
      </c>
      <c r="Y102" s="22">
        <v>3.2609263085947068E-2</v>
      </c>
      <c r="Z102" s="21"/>
      <c r="AA102" s="21">
        <v>0</v>
      </c>
      <c r="AB102" s="21"/>
      <c r="AC102" s="21">
        <v>7.0437660762085836E-3</v>
      </c>
      <c r="AD102" s="21"/>
      <c r="AE102" s="21">
        <v>6.5326173915286283</v>
      </c>
      <c r="AF102" s="21"/>
      <c r="AG102" s="21">
        <v>0</v>
      </c>
      <c r="AH102" s="21"/>
      <c r="AI102" s="21">
        <v>0</v>
      </c>
      <c r="AJ102" s="21"/>
      <c r="BG102" s="37">
        <v>1594.04</v>
      </c>
      <c r="BI102" s="2">
        <v>0</v>
      </c>
      <c r="BK102" s="2">
        <v>0</v>
      </c>
      <c r="BM102" s="2">
        <v>0</v>
      </c>
      <c r="BO102" s="37">
        <f t="shared" ref="BO102:BO104" si="885">(BG102/1000)/60.2*1000</f>
        <v>26.479069767441857</v>
      </c>
      <c r="BQ102" s="2">
        <f t="shared" ref="BQ102:BQ104" si="886">BI102/74.08</f>
        <v>0</v>
      </c>
      <c r="BS102" s="2">
        <f t="shared" ref="BS102:BS104" si="887">(BK102/1000)/88.12*1000</f>
        <v>0</v>
      </c>
      <c r="BU102" s="2">
        <f t="shared" ref="BU102:BU104" si="888">BM102/88.12</f>
        <v>0</v>
      </c>
      <c r="BW102" s="37">
        <f t="shared" ref="BW102:BW104" si="889">BO102*0.05</f>
        <v>1.3239534883720929</v>
      </c>
      <c r="BX102" s="2">
        <f t="shared" si="577"/>
        <v>0</v>
      </c>
      <c r="BY102" s="2">
        <f t="shared" si="578"/>
        <v>0</v>
      </c>
      <c r="BZ102" s="18">
        <f t="shared" si="579"/>
        <v>0</v>
      </c>
    </row>
    <row r="103" spans="1:78" x14ac:dyDescent="0.3">
      <c r="A103" s="192"/>
      <c r="B103" s="70" t="s">
        <v>116</v>
      </c>
      <c r="C103" s="20">
        <v>3</v>
      </c>
      <c r="D103" s="69"/>
      <c r="E103" s="21"/>
      <c r="F103" s="37">
        <v>1.4550000000000001</v>
      </c>
      <c r="H103" s="37">
        <v>0.13</v>
      </c>
      <c r="I103" s="53">
        <f t="shared" si="884"/>
        <v>3.6946E-2</v>
      </c>
      <c r="M103" s="22">
        <v>0.40137242363361769</v>
      </c>
      <c r="O103" s="21">
        <v>0</v>
      </c>
      <c r="Q103" s="21">
        <v>7.3318459258528229E-2</v>
      </c>
      <c r="S103" s="21">
        <v>99.525309117107852</v>
      </c>
      <c r="U103" s="21">
        <v>0</v>
      </c>
      <c r="W103" s="21">
        <v>0</v>
      </c>
      <c r="Y103" s="22">
        <v>2.6288941071599497E-2</v>
      </c>
      <c r="Z103" s="21"/>
      <c r="AA103" s="21">
        <v>0</v>
      </c>
      <c r="AB103" s="21"/>
      <c r="AC103" s="21">
        <v>4.8021850566080547E-3</v>
      </c>
      <c r="AD103" s="21"/>
      <c r="AE103" s="21">
        <v>6.5186715191492519</v>
      </c>
      <c r="AF103" s="21"/>
      <c r="AG103" s="21">
        <v>0</v>
      </c>
      <c r="AH103" s="21"/>
      <c r="AI103" s="21">
        <v>0</v>
      </c>
      <c r="AJ103" s="21"/>
      <c r="BG103" s="37">
        <v>1525.23</v>
      </c>
      <c r="BI103" s="2">
        <v>0</v>
      </c>
      <c r="BK103" s="2">
        <v>0</v>
      </c>
      <c r="BM103" s="2">
        <v>0</v>
      </c>
      <c r="BO103" s="37">
        <f t="shared" si="885"/>
        <v>25.336046511627906</v>
      </c>
      <c r="BQ103" s="2">
        <f t="shared" si="886"/>
        <v>0</v>
      </c>
      <c r="BS103" s="2">
        <f t="shared" si="887"/>
        <v>0</v>
      </c>
      <c r="BU103" s="2">
        <f t="shared" si="888"/>
        <v>0</v>
      </c>
      <c r="BW103" s="37">
        <f t="shared" si="889"/>
        <v>1.2668023255813954</v>
      </c>
      <c r="BX103" s="2">
        <f t="shared" si="577"/>
        <v>0</v>
      </c>
      <c r="BY103" s="2">
        <f t="shared" si="578"/>
        <v>0</v>
      </c>
      <c r="BZ103" s="18">
        <f t="shared" si="579"/>
        <v>0</v>
      </c>
    </row>
    <row r="104" spans="1:78" x14ac:dyDescent="0.3">
      <c r="A104" s="192"/>
      <c r="B104" s="128" t="s">
        <v>117</v>
      </c>
      <c r="C104" s="37">
        <v>3</v>
      </c>
      <c r="D104" s="37"/>
      <c r="E104" s="37"/>
      <c r="F104" s="37">
        <v>1.45</v>
      </c>
      <c r="H104" s="37">
        <v>0.13200000000000001</v>
      </c>
      <c r="I104" s="53">
        <f t="shared" si="681"/>
        <v>3.7514400000000003E-2</v>
      </c>
      <c r="M104" s="38">
        <v>0.45684623598779989</v>
      </c>
      <c r="N104" s="24"/>
      <c r="O104" s="24">
        <v>0</v>
      </c>
      <c r="P104" s="24"/>
      <c r="Q104" s="24">
        <v>0.29786560800902917</v>
      </c>
      <c r="R104" s="24"/>
      <c r="S104" s="24">
        <v>99.24528815600317</v>
      </c>
      <c r="T104" s="24"/>
      <c r="U104" s="24">
        <v>0</v>
      </c>
      <c r="V104" s="24"/>
      <c r="W104" s="24">
        <v>0</v>
      </c>
      <c r="X104" s="24"/>
      <c r="Y104" s="22">
        <v>2.9819518186304666E-2</v>
      </c>
      <c r="Z104" s="21"/>
      <c r="AA104" s="21">
        <v>0</v>
      </c>
      <c r="AB104" s="21"/>
      <c r="AC104" s="21">
        <v>1.944244740441977E-2</v>
      </c>
      <c r="AD104" s="21"/>
      <c r="AE104" s="21">
        <v>6.4779929042734103</v>
      </c>
      <c r="AF104" s="21"/>
      <c r="AG104" s="21">
        <v>0</v>
      </c>
      <c r="AH104" s="21"/>
      <c r="AI104" s="21">
        <v>0</v>
      </c>
      <c r="AJ104" s="21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37">
        <v>1489.09</v>
      </c>
      <c r="BI104" s="2">
        <v>0</v>
      </c>
      <c r="BK104" s="2">
        <v>0</v>
      </c>
      <c r="BO104" s="37">
        <f t="shared" si="885"/>
        <v>24.735714285714284</v>
      </c>
      <c r="BQ104" s="2">
        <f t="shared" si="886"/>
        <v>0</v>
      </c>
      <c r="BS104" s="2">
        <f t="shared" si="887"/>
        <v>0</v>
      </c>
      <c r="BU104" s="2">
        <f t="shared" si="888"/>
        <v>0</v>
      </c>
      <c r="BW104" s="37">
        <f t="shared" si="889"/>
        <v>1.2367857142857144</v>
      </c>
      <c r="BX104" s="2">
        <f t="shared" si="577"/>
        <v>0</v>
      </c>
      <c r="BY104" s="2">
        <f t="shared" si="578"/>
        <v>0</v>
      </c>
      <c r="BZ104" s="18">
        <f t="shared" si="579"/>
        <v>0</v>
      </c>
    </row>
    <row r="105" spans="1:78" ht="15" thickBot="1" x14ac:dyDescent="0.35">
      <c r="A105" s="193"/>
      <c r="B105" s="66" t="s">
        <v>63</v>
      </c>
      <c r="C105" s="65">
        <v>3</v>
      </c>
      <c r="D105" s="64" t="e">
        <f>AVERAGE(D102:D103)</f>
        <v>#DIV/0!</v>
      </c>
      <c r="E105" s="58"/>
      <c r="F105" s="60">
        <f>AVERAGE(F102:F104)</f>
        <v>1.4550000000000001</v>
      </c>
      <c r="G105" s="55">
        <f>_xlfn.STDEV.S(F102:F103)</f>
        <v>3.5355339059326622E-3</v>
      </c>
      <c r="H105" s="60">
        <f>AVERAGE(H102:H104)</f>
        <v>0.13100000000000001</v>
      </c>
      <c r="I105" s="63">
        <f t="shared" ref="I105" si="890">AVERAGE(I102:I104)</f>
        <v>3.7230199999999998E-2</v>
      </c>
      <c r="J105" s="63">
        <f t="shared" ref="J105" si="891">_xlfn.STDEV.S(I102:I104)</f>
        <v>2.8420000000000181E-4</v>
      </c>
      <c r="K105" s="63"/>
      <c r="L105" s="63" t="e">
        <f>_xlfn.STDEV.S(K102:K103)</f>
        <v>#DIV/0!</v>
      </c>
      <c r="M105" s="59">
        <f>AVERAGE(M102:M104)</f>
        <v>0.45146100459115801</v>
      </c>
      <c r="N105" s="58">
        <f>_xlfn.STDEV.S(M102:M104)</f>
        <v>4.7624868091677305E-2</v>
      </c>
      <c r="O105" s="58">
        <f t="shared" ref="O105" si="892">AVERAGE(O102:O104)</f>
        <v>0</v>
      </c>
      <c r="P105" s="58">
        <f t="shared" ref="P105" si="893">_xlfn.STDEV.S(O102:O104)</f>
        <v>0</v>
      </c>
      <c r="Q105" s="58">
        <f t="shared" ref="Q105" si="894">AVERAGE(Q102:Q104)</f>
        <v>0.1594526940369303</v>
      </c>
      <c r="R105" s="58">
        <f t="shared" ref="R105" si="895">_xlfn.STDEV.S(Q102:Q104)</f>
        <v>0.12105845995498621</v>
      </c>
      <c r="S105" s="58">
        <f t="shared" ref="S105" si="896">AVERAGE(S102:S104)</f>
        <v>99.389086301371933</v>
      </c>
      <c r="T105" s="58">
        <f t="shared" ref="T105" si="897">_xlfn.STDEV.S(S102:S104)</f>
        <v>0.14016409625428961</v>
      </c>
      <c r="U105" s="58">
        <f t="shared" ref="U105" si="898">AVERAGE(U102:U104)</f>
        <v>0</v>
      </c>
      <c r="V105" s="58">
        <f t="shared" ref="V105" si="899">_xlfn.STDEV.S(U102:U104)</f>
        <v>0</v>
      </c>
      <c r="W105" s="58">
        <f t="shared" ref="W105" si="900">AVERAGE(W102:W104)</f>
        <v>0</v>
      </c>
      <c r="X105" s="58">
        <f t="shared" ref="X105" si="901">_xlfn.STDEV.S(W102:W104)</f>
        <v>0</v>
      </c>
      <c r="Y105" s="59">
        <f>AVERAGE(Y102:Y104)</f>
        <v>2.957257411461708E-2</v>
      </c>
      <c r="Z105" s="58">
        <f>_xlfn.STDEV.S(Y102:Y104)</f>
        <v>3.1673890860088329E-3</v>
      </c>
      <c r="AA105" s="58">
        <f t="shared" ref="AA105" si="902">AVERAGE(AA102:AA104)</f>
        <v>0</v>
      </c>
      <c r="AB105" s="58">
        <f t="shared" ref="AB105" si="903">_xlfn.STDEV.S(AA102:AA104)</f>
        <v>0</v>
      </c>
      <c r="AC105" s="58">
        <f t="shared" ref="AC105" si="904">AVERAGE(AC102:AC104)</f>
        <v>1.0429466179078804E-2</v>
      </c>
      <c r="AD105" s="58">
        <f t="shared" ref="AD105" si="905">_xlfn.STDEV.S(AC102:AC104)</f>
        <v>7.8855275215498379E-3</v>
      </c>
      <c r="AE105" s="58">
        <f t="shared" ref="AE105" si="906">AVERAGE(AE102:AE104)</f>
        <v>6.5097606049837635</v>
      </c>
      <c r="AF105" s="58">
        <f t="shared" ref="AF105" si="907">_xlfn.STDEV.S(AE102:AE104)</f>
        <v>2.8381542336920196E-2</v>
      </c>
      <c r="AG105" s="58">
        <f t="shared" ref="AG105" si="908">AVERAGE(AG102:AG104)</f>
        <v>0</v>
      </c>
      <c r="AH105" s="58">
        <f t="shared" ref="AH105" si="909">_xlfn.STDEV.S(AG102:AG104)</f>
        <v>0</v>
      </c>
      <c r="AI105" s="58">
        <f t="shared" ref="AI105" si="910">AVERAGE(AI102:AI104)</f>
        <v>0</v>
      </c>
      <c r="AJ105" s="58">
        <f t="shared" ref="AJ105" si="911">_xlfn.STDEV.S(AI102:AI104)</f>
        <v>0</v>
      </c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>
        <f t="shared" ref="BG105" si="912">AVERAGE(BG102:BG104)</f>
        <v>1536.12</v>
      </c>
      <c r="BH105" s="57">
        <f t="shared" ref="BH105" si="913">_xlfn.STDEV.S(BG102:BG104)</f>
        <v>53.315754707215781</v>
      </c>
      <c r="BI105" s="57">
        <f t="shared" ref="BI105" si="914">AVERAGE(BI102:BI104)</f>
        <v>0</v>
      </c>
      <c r="BJ105" s="57">
        <f t="shared" ref="BJ105" si="915">_xlfn.STDEV.S(BI102:BI104)</f>
        <v>0</v>
      </c>
      <c r="BK105" s="57">
        <f t="shared" ref="BK105" si="916">AVERAGE(BK102:BK104)</f>
        <v>0</v>
      </c>
      <c r="BL105" s="57">
        <f t="shared" ref="BL105" si="917">_xlfn.STDEV.S(BK102:BK104)</f>
        <v>0</v>
      </c>
      <c r="BM105" s="57">
        <f t="shared" ref="BM105" si="918">AVERAGE(BM102:BM104)</f>
        <v>0</v>
      </c>
      <c r="BN105" s="57">
        <f t="shared" ref="BN105" si="919">_xlfn.STDEV.S(BM102:BM104)</f>
        <v>0</v>
      </c>
      <c r="BO105" s="60">
        <f t="shared" ref="BO105" si="920">AVERAGE(BO102:BO104)</f>
        <v>25.516943521594683</v>
      </c>
      <c r="BP105" s="57">
        <f t="shared" ref="BP105" si="921">_xlfn.STDEV.S(BO102:BO104)</f>
        <v>0.88564376590059291</v>
      </c>
      <c r="BQ105" s="57">
        <f t="shared" ref="BQ105" si="922">AVERAGE(BQ102:BQ104)</f>
        <v>0</v>
      </c>
      <c r="BR105" s="57">
        <f t="shared" ref="BR105" si="923">_xlfn.STDEV.S(BQ102:BQ104)</f>
        <v>0</v>
      </c>
      <c r="BS105" s="57">
        <f t="shared" ref="BS105" si="924">AVERAGE(BS102:BS104)</f>
        <v>0</v>
      </c>
      <c r="BT105" s="57">
        <f t="shared" ref="BT105" si="925">_xlfn.STDEV.S(BS102:BS104)</f>
        <v>0</v>
      </c>
      <c r="BU105" s="57">
        <f t="shared" ref="BU105" si="926">AVERAGE(BU102:BU104)</f>
        <v>0</v>
      </c>
      <c r="BV105" s="57">
        <f t="shared" ref="BV105" si="927">_xlfn.STDEV.S(BU102:BU104)</f>
        <v>0</v>
      </c>
      <c r="BW105" s="60">
        <f t="shared" ref="BW105" si="928">AVERAGE(BW102:BW104)</f>
        <v>1.2758471760797343</v>
      </c>
      <c r="BX105" s="57">
        <f t="shared" si="577"/>
        <v>0</v>
      </c>
      <c r="BY105" s="57">
        <f t="shared" si="578"/>
        <v>0</v>
      </c>
      <c r="BZ105" s="61">
        <f t="shared" si="579"/>
        <v>0</v>
      </c>
    </row>
    <row r="106" spans="1:78" x14ac:dyDescent="0.3">
      <c r="A106" s="191" t="s">
        <v>58</v>
      </c>
      <c r="B106" s="70" t="s">
        <v>112</v>
      </c>
      <c r="C106" s="20">
        <v>4</v>
      </c>
      <c r="D106" s="69"/>
      <c r="E106" s="21"/>
      <c r="F106" s="37">
        <v>1.415</v>
      </c>
      <c r="H106" s="37">
        <v>0.106</v>
      </c>
      <c r="I106" s="53">
        <f t="shared" ref="I106" si="929">H106*0.2842</f>
        <v>3.0125200000000001E-2</v>
      </c>
      <c r="M106" s="22">
        <v>15.49802507028922</v>
      </c>
      <c r="O106" s="21">
        <v>84.11260492322144</v>
      </c>
      <c r="Q106" s="21">
        <v>0.1965517695102266</v>
      </c>
      <c r="S106" s="21">
        <v>0.19281823697912015</v>
      </c>
      <c r="U106" s="21">
        <v>0</v>
      </c>
      <c r="W106" s="21">
        <v>0</v>
      </c>
      <c r="Y106" s="22">
        <v>0.98717777139896756</v>
      </c>
      <c r="Z106" s="21"/>
      <c r="AA106" s="21">
        <v>5.3577209675476425</v>
      </c>
      <c r="AB106" s="21"/>
      <c r="AC106" s="21">
        <v>1.2519758931194456E-2</v>
      </c>
      <c r="AD106" s="21"/>
      <c r="AE106" s="21">
        <v>1.2281944093059443E-2</v>
      </c>
      <c r="AF106" s="21"/>
      <c r="AG106" s="21">
        <v>0</v>
      </c>
      <c r="AH106" s="21"/>
      <c r="AI106" s="21">
        <v>0</v>
      </c>
      <c r="AJ106" s="21"/>
      <c r="AK106" s="37">
        <f>8*(AG106-$AG$74)/(2*($AA$74-AA106)+2*($AI$74-AI106))</f>
        <v>0</v>
      </c>
      <c r="AM106" s="37">
        <f>(AG106-$AG$74)/(($AA$74-AA106)+($AI$74-AI106))</f>
        <v>0</v>
      </c>
      <c r="AO106" s="37">
        <f>8*(BW106-$BW$74)/(2*($AA$74-AA106)+2*($AI$74-AI106))</f>
        <v>0</v>
      </c>
      <c r="AQ106" s="37">
        <f>(BW106-$BW$74)/(($AA$74-AA106)+($AI$74-AI106))</f>
        <v>0</v>
      </c>
      <c r="AS106" s="37">
        <f>14*(BX106-$BX$74)/(2*($AA$74-AA106)+2*($AI$74-AI106))</f>
        <v>0</v>
      </c>
      <c r="AU106" s="37">
        <f>(BX106-$BX$74)/(($AA$74-AA106)+($AI$74-AI106))</f>
        <v>0</v>
      </c>
      <c r="BG106" s="127">
        <v>0</v>
      </c>
      <c r="BI106" s="2">
        <v>0</v>
      </c>
      <c r="BK106" s="2">
        <v>0</v>
      </c>
      <c r="BM106" s="2">
        <v>0</v>
      </c>
      <c r="BO106" s="37">
        <f t="shared" ref="BO106:BO108" si="930">(BG106/1000)/60.2*1000</f>
        <v>0</v>
      </c>
      <c r="BQ106" s="2">
        <f t="shared" ref="BQ106:BQ108" si="931">BI106/74.08</f>
        <v>0</v>
      </c>
      <c r="BS106" s="2">
        <f t="shared" ref="BS106:BS108" si="932">(BK106/1000)/88.12*1000</f>
        <v>0</v>
      </c>
      <c r="BU106" s="2">
        <f t="shared" ref="BU106:BU108" si="933">BM106/88.12</f>
        <v>0</v>
      </c>
      <c r="BW106" s="37">
        <f t="shared" ref="BW106:BW108" si="934">BO106*0.05</f>
        <v>0</v>
      </c>
      <c r="BX106" s="2">
        <f t="shared" si="577"/>
        <v>0</v>
      </c>
      <c r="BY106" s="2">
        <f t="shared" si="578"/>
        <v>0</v>
      </c>
      <c r="BZ106" s="18">
        <f t="shared" si="579"/>
        <v>0</v>
      </c>
    </row>
    <row r="107" spans="1:78" x14ac:dyDescent="0.3">
      <c r="A107" s="192"/>
      <c r="B107" s="70" t="s">
        <v>113</v>
      </c>
      <c r="C107" s="20">
        <v>4</v>
      </c>
      <c r="D107" s="69"/>
      <c r="E107" s="21"/>
      <c r="F107" s="37">
        <v>1.42</v>
      </c>
      <c r="H107" s="37">
        <v>0.10199999999999999</v>
      </c>
      <c r="I107" s="53">
        <f t="shared" si="625"/>
        <v>2.8988399999999998E-2</v>
      </c>
      <c r="M107" s="22">
        <v>13.992959992405105</v>
      </c>
      <c r="O107" s="21">
        <v>85.341780349979118</v>
      </c>
      <c r="Q107" s="21">
        <v>0.33162969779871559</v>
      </c>
      <c r="S107" s="21">
        <v>0.33362995981706889</v>
      </c>
      <c r="U107" s="21">
        <v>0</v>
      </c>
      <c r="W107" s="21">
        <v>0</v>
      </c>
      <c r="Y107" s="22">
        <v>0.89445913848980085</v>
      </c>
      <c r="Z107" s="21"/>
      <c r="AA107" s="21">
        <v>5.4552242963933297</v>
      </c>
      <c r="AB107" s="21"/>
      <c r="AC107" s="21">
        <v>2.1198460793975849E-2</v>
      </c>
      <c r="AD107" s="21"/>
      <c r="AE107" s="21">
        <v>2.1326321707082235E-2</v>
      </c>
      <c r="AF107" s="21"/>
      <c r="AG107" s="21">
        <v>0</v>
      </c>
      <c r="AH107" s="21"/>
      <c r="AI107" s="21">
        <v>0</v>
      </c>
      <c r="AJ107" s="21"/>
      <c r="AK107" s="37">
        <f>8*(AG107-$AG$75)/(2*($AA$75-AA107)+2*($AI$75-AI107))</f>
        <v>0</v>
      </c>
      <c r="AM107" s="37">
        <f>(AG107-$AG$75)/(($AA$75-AA107)+($AI$75-AI107))</f>
        <v>0</v>
      </c>
      <c r="AO107" s="37">
        <f>8*(BW107-$BW$75)/(2*($AA$75-AA107)+2*($AI$75-AI107))</f>
        <v>0</v>
      </c>
      <c r="AQ107" s="37">
        <f>(BW107-$BW$75)/(($AA$75-AA107)+($AI$75-AI107))</f>
        <v>0</v>
      </c>
      <c r="AS107" s="37">
        <f>14*(BX107-$BX$75)/(2*($AA$75-AA107)+2*($AI$75-AI107))</f>
        <v>0</v>
      </c>
      <c r="AU107" s="37">
        <f>(BX107-$BX$75)/(($AA$75-AA107)+($AI$75-AI107))</f>
        <v>0</v>
      </c>
      <c r="BG107" s="37">
        <v>0</v>
      </c>
      <c r="BI107" s="2">
        <v>0</v>
      </c>
      <c r="BK107" s="2">
        <v>0</v>
      </c>
      <c r="BM107" s="2">
        <v>0</v>
      </c>
      <c r="BO107" s="37">
        <f t="shared" si="930"/>
        <v>0</v>
      </c>
      <c r="BQ107" s="2">
        <f t="shared" si="931"/>
        <v>0</v>
      </c>
      <c r="BS107" s="2">
        <f t="shared" si="932"/>
        <v>0</v>
      </c>
      <c r="BU107" s="2">
        <f t="shared" si="933"/>
        <v>0</v>
      </c>
      <c r="BW107" s="37">
        <f t="shared" si="934"/>
        <v>0</v>
      </c>
      <c r="BX107" s="2">
        <f t="shared" si="577"/>
        <v>0</v>
      </c>
      <c r="BY107" s="2">
        <f t="shared" si="578"/>
        <v>0</v>
      </c>
      <c r="BZ107" s="18">
        <f t="shared" si="579"/>
        <v>0</v>
      </c>
    </row>
    <row r="108" spans="1:78" x14ac:dyDescent="0.3">
      <c r="A108" s="192"/>
      <c r="B108" s="70" t="s">
        <v>114</v>
      </c>
      <c r="C108" s="20">
        <v>4</v>
      </c>
      <c r="D108" s="69"/>
      <c r="E108" s="21"/>
      <c r="F108" s="37">
        <v>1.425</v>
      </c>
      <c r="H108" s="37">
        <v>0.105</v>
      </c>
      <c r="I108" s="53">
        <f t="shared" si="625"/>
        <v>2.9840999999999999E-2</v>
      </c>
      <c r="M108" s="22">
        <v>15.511508710678948</v>
      </c>
      <c r="O108" s="21">
        <v>83.981309396907349</v>
      </c>
      <c r="Q108" s="21">
        <v>0.20573055514361166</v>
      </c>
      <c r="S108" s="21">
        <v>0.30145133727007617</v>
      </c>
      <c r="U108" s="21">
        <v>0</v>
      </c>
      <c r="W108" s="21">
        <v>0</v>
      </c>
      <c r="Y108" s="22">
        <v>0.99501922998810166</v>
      </c>
      <c r="Z108" s="21"/>
      <c r="AA108" s="21">
        <v>5.3871624848441764</v>
      </c>
      <c r="AB108" s="21"/>
      <c r="AC108" s="21">
        <v>1.3197030822868362E-2</v>
      </c>
      <c r="AD108" s="21"/>
      <c r="AE108" s="21">
        <v>1.9337247142365545E-2</v>
      </c>
      <c r="AF108" s="21"/>
      <c r="AG108" s="21">
        <v>0</v>
      </c>
      <c r="AH108" s="21"/>
      <c r="AI108" s="21">
        <v>0</v>
      </c>
      <c r="AJ108" s="21"/>
      <c r="AK108" s="37">
        <f>8*(AG108-$AG$76)/(2*($AA$76-AA108)+2*($AI$76-AI108))</f>
        <v>0</v>
      </c>
      <c r="AM108" s="37">
        <f>(AG108-$AG$76)/(($AA$76-AA108)+($AI$76-AI108))</f>
        <v>0</v>
      </c>
      <c r="AO108" s="37">
        <f>8*(BW108-$BW$76)/(2*($AA$76-AA108)+2*($AI$76-AI108))</f>
        <v>0</v>
      </c>
      <c r="AQ108" s="37">
        <f>(BW108-$BW$76)/(($AA$76-AA108)+($AI$76-AI108))</f>
        <v>0</v>
      </c>
      <c r="AS108" s="37">
        <f>14*(BX108-$BX$76)/(2*($AA$76-AA108)+2*($AI$76-AI108))</f>
        <v>0</v>
      </c>
      <c r="AU108" s="37">
        <f>(BX108-$BX$76)/(($AA$76-AA108)+($AI$76-AI108))</f>
        <v>0</v>
      </c>
      <c r="BG108" s="37">
        <v>0</v>
      </c>
      <c r="BI108" s="2">
        <v>0</v>
      </c>
      <c r="BK108" s="2">
        <v>0</v>
      </c>
      <c r="BM108" s="2">
        <v>0</v>
      </c>
      <c r="BO108" s="37">
        <f t="shared" si="930"/>
        <v>0</v>
      </c>
      <c r="BQ108" s="2">
        <f t="shared" si="931"/>
        <v>0</v>
      </c>
      <c r="BS108" s="2">
        <f t="shared" si="932"/>
        <v>0</v>
      </c>
      <c r="BU108" s="2">
        <f t="shared" si="933"/>
        <v>0</v>
      </c>
      <c r="BW108" s="37">
        <f t="shared" si="934"/>
        <v>0</v>
      </c>
      <c r="BX108" s="2">
        <f t="shared" si="577"/>
        <v>0</v>
      </c>
      <c r="BY108" s="2">
        <f t="shared" si="578"/>
        <v>0</v>
      </c>
      <c r="BZ108" s="18">
        <f t="shared" si="579"/>
        <v>0</v>
      </c>
    </row>
    <row r="109" spans="1:78" x14ac:dyDescent="0.3">
      <c r="A109" s="197"/>
      <c r="B109" s="83" t="s">
        <v>63</v>
      </c>
      <c r="C109" s="80">
        <v>4</v>
      </c>
      <c r="D109" s="79" t="e">
        <f>AVERAGE(D106:D108)</f>
        <v>#DIV/0!</v>
      </c>
      <c r="E109" s="76"/>
      <c r="F109" s="78">
        <f t="shared" ref="F109" si="935">AVERAGE(F106:F108)</f>
        <v>1.42</v>
      </c>
      <c r="G109" s="73">
        <f>_xlfn.STDEV.S(F106:F108)</f>
        <v>5.0000000000000044E-3</v>
      </c>
      <c r="H109" s="78">
        <f t="shared" ref="H109:I109" si="936">AVERAGE(H106:H108)</f>
        <v>0.10433333333333333</v>
      </c>
      <c r="I109" s="82">
        <f t="shared" si="936"/>
        <v>2.965153333333333E-2</v>
      </c>
      <c r="J109" s="82">
        <f t="shared" ref="J109" si="937">_xlfn.STDEV.S(I106:I108)</f>
        <v>5.9160947704827674E-4</v>
      </c>
      <c r="K109" s="82"/>
      <c r="L109" s="82" t="e">
        <f>_xlfn.STDEV.S(K106:K108)</f>
        <v>#DIV/0!</v>
      </c>
      <c r="M109" s="77">
        <f>AVERAGE(M106:M108)</f>
        <v>15.000831257791091</v>
      </c>
      <c r="N109" s="76">
        <f>_xlfn.STDEV.S(M106:M108)</f>
        <v>0.87286815604225221</v>
      </c>
      <c r="O109" s="76">
        <f t="shared" ref="O109" si="938">AVERAGE(O106:O108)</f>
        <v>84.478564890035969</v>
      </c>
      <c r="P109" s="76">
        <f t="shared" ref="P109" si="939">_xlfn.STDEV.S(O106:O108)</f>
        <v>0.75044341993328845</v>
      </c>
      <c r="Q109" s="76">
        <f t="shared" ref="Q109" si="940">AVERAGE(Q106:Q108)</f>
        <v>0.24463734081751798</v>
      </c>
      <c r="R109" s="76">
        <f t="shared" ref="R109" si="941">_xlfn.STDEV.S(Q106:Q108)</f>
        <v>7.5477249262834126E-2</v>
      </c>
      <c r="S109" s="76">
        <f t="shared" ref="S109" si="942">AVERAGE(S106:S108)</f>
        <v>0.27596651135542172</v>
      </c>
      <c r="T109" s="76">
        <f t="shared" ref="T109" si="943">_xlfn.STDEV.S(S106:S108)</f>
        <v>7.3784094397593716E-2</v>
      </c>
      <c r="U109" s="76">
        <f t="shared" ref="U109" si="944">AVERAGE(U106:U108)</f>
        <v>0</v>
      </c>
      <c r="V109" s="76">
        <f t="shared" ref="V109" si="945">_xlfn.STDEV.S(U106:U108)</f>
        <v>0</v>
      </c>
      <c r="W109" s="76">
        <f t="shared" ref="W109" si="946">AVERAGE(W106:W108)</f>
        <v>0</v>
      </c>
      <c r="X109" s="76">
        <f t="shared" ref="X109" si="947">_xlfn.STDEV.S(W106:W108)</f>
        <v>0</v>
      </c>
      <c r="Y109" s="77">
        <f>AVERAGE(Y106:Y108)</f>
        <v>0.95888537995895673</v>
      </c>
      <c r="Z109" s="76">
        <f>_xlfn.STDEV.S(Y106:Y108)</f>
        <v>5.5932348069634603E-2</v>
      </c>
      <c r="AA109" s="76">
        <f t="shared" ref="AA109" si="948">AVERAGE(AA106:AA108)</f>
        <v>5.4000359162617153</v>
      </c>
      <c r="AB109" s="76">
        <f t="shared" ref="AB109" si="949">_xlfn.STDEV.S(AA106:AA108)</f>
        <v>5.0010186075879912E-2</v>
      </c>
      <c r="AC109" s="76">
        <f t="shared" ref="AC109" si="950">AVERAGE(AC106:AC108)</f>
        <v>1.5638416849346224E-2</v>
      </c>
      <c r="AD109" s="76">
        <f t="shared" ref="AD109" si="951">_xlfn.STDEV.S(AC106:AC108)</f>
        <v>4.827032297744888E-3</v>
      </c>
      <c r="AE109" s="76">
        <f t="shared" ref="AE109" si="952">AVERAGE(AE106:AE108)</f>
        <v>1.7648504314169075E-2</v>
      </c>
      <c r="AF109" s="76">
        <f t="shared" ref="AF109" si="953">_xlfn.STDEV.S(AE106:AE108)</f>
        <v>4.7527971617877685E-3</v>
      </c>
      <c r="AG109" s="76">
        <f t="shared" ref="AG109" si="954">AVERAGE(AG106:AG108)</f>
        <v>0</v>
      </c>
      <c r="AH109" s="76">
        <f t="shared" ref="AH109" si="955">_xlfn.STDEV.S(AG106:AG108)</f>
        <v>0</v>
      </c>
      <c r="AI109" s="76">
        <f t="shared" ref="AI109" si="956">AVERAGE(AI106:AI108)</f>
        <v>0</v>
      </c>
      <c r="AJ109" s="76">
        <f t="shared" ref="AJ109" si="957">_xlfn.STDEV.S(AI106:AI108)</f>
        <v>0</v>
      </c>
      <c r="AK109" s="78">
        <f t="shared" ref="AK109" si="958">AVERAGE(AK106:AK108)</f>
        <v>0</v>
      </c>
      <c r="AL109" s="78">
        <f t="shared" ref="AL109" si="959">_xlfn.STDEV.S(AK106:AK108)</f>
        <v>0</v>
      </c>
      <c r="AM109" s="78">
        <f>AVERAGE(AM106:AM108)</f>
        <v>0</v>
      </c>
      <c r="AN109" s="78">
        <f t="shared" ref="AN109" si="960">_xlfn.STDEV.S(AM106:AM108)</f>
        <v>0</v>
      </c>
      <c r="AO109" s="78">
        <f t="shared" ref="AO109" si="961">AVERAGE(AO106:AO108)</f>
        <v>0</v>
      </c>
      <c r="AP109" s="78">
        <f t="shared" ref="AP109" si="962">_xlfn.STDEV.S(AO106:AO108)</f>
        <v>0</v>
      </c>
      <c r="AQ109" s="78">
        <f t="shared" ref="AQ109" si="963">AVERAGE(AQ106:AQ108)</f>
        <v>0</v>
      </c>
      <c r="AR109" s="78">
        <f t="shared" ref="AR109" si="964">_xlfn.STDEV.S(AQ106:AQ108)</f>
        <v>0</v>
      </c>
      <c r="AS109" s="78">
        <f t="shared" ref="AS109" si="965">AVERAGE(AS106:AS108)</f>
        <v>0</v>
      </c>
      <c r="AT109" s="78">
        <f t="shared" ref="AT109" si="966">_xlfn.STDEV.S(AS106:AS108)</f>
        <v>0</v>
      </c>
      <c r="AU109" s="78">
        <f t="shared" ref="AU109" si="967">AVERAGE(AU106:AU108)</f>
        <v>0</v>
      </c>
      <c r="AV109" s="78">
        <f t="shared" ref="AV109" si="968">_xlfn.STDEV.S(AU106:AU108)</f>
        <v>0</v>
      </c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>
        <f t="shared" ref="BG109" si="969">AVERAGE(BG106:BG108)</f>
        <v>0</v>
      </c>
      <c r="BH109" s="75">
        <f t="shared" ref="BH109" si="970">_xlfn.STDEV.S(BG106:BG108)</f>
        <v>0</v>
      </c>
      <c r="BI109" s="75">
        <f t="shared" ref="BI109" si="971">AVERAGE(BI106:BI108)</f>
        <v>0</v>
      </c>
      <c r="BJ109" s="75">
        <f t="shared" ref="BJ109" si="972">_xlfn.STDEV.S(BI106:BI108)</f>
        <v>0</v>
      </c>
      <c r="BK109" s="75">
        <f t="shared" ref="BK109" si="973">AVERAGE(BK106:BK108)</f>
        <v>0</v>
      </c>
      <c r="BL109" s="75">
        <f t="shared" ref="BL109" si="974">_xlfn.STDEV.S(BK106:BK108)</f>
        <v>0</v>
      </c>
      <c r="BM109" s="75">
        <f t="shared" ref="BM109" si="975">AVERAGE(BM106:BM108)</f>
        <v>0</v>
      </c>
      <c r="BN109" s="75">
        <f t="shared" ref="BN109" si="976">_xlfn.STDEV.S(BM106:BM108)</f>
        <v>0</v>
      </c>
      <c r="BO109" s="78">
        <f t="shared" ref="BO109" si="977">AVERAGE(BO106:BO108)</f>
        <v>0</v>
      </c>
      <c r="BP109" s="75">
        <f t="shared" ref="BP109" si="978">_xlfn.STDEV.S(BO106:BO108)</f>
        <v>0</v>
      </c>
      <c r="BQ109" s="75">
        <f t="shared" ref="BQ109" si="979">AVERAGE(BQ106:BQ108)</f>
        <v>0</v>
      </c>
      <c r="BR109" s="75">
        <f t="shared" ref="BR109" si="980">_xlfn.STDEV.S(BQ106:BQ108)</f>
        <v>0</v>
      </c>
      <c r="BS109" s="75">
        <f t="shared" ref="BS109" si="981">AVERAGE(BS106:BS108)</f>
        <v>0</v>
      </c>
      <c r="BT109" s="75">
        <f t="shared" ref="BT109" si="982">_xlfn.STDEV.S(BS106:BS108)</f>
        <v>0</v>
      </c>
      <c r="BU109" s="75">
        <f t="shared" ref="BU109" si="983">AVERAGE(BU106:BU108)</f>
        <v>0</v>
      </c>
      <c r="BV109" s="75">
        <f t="shared" ref="BV109" si="984">_xlfn.STDEV.S(BU106:BU108)</f>
        <v>0</v>
      </c>
      <c r="BW109" s="78">
        <f t="shared" ref="BW109" si="985">AVERAGE(BW106:BW108)</f>
        <v>0</v>
      </c>
      <c r="BX109" s="75">
        <f t="shared" si="577"/>
        <v>0</v>
      </c>
      <c r="BY109" s="75">
        <f t="shared" si="578"/>
        <v>0</v>
      </c>
      <c r="BZ109" s="119">
        <f t="shared" si="579"/>
        <v>0</v>
      </c>
    </row>
    <row r="110" spans="1:78" x14ac:dyDescent="0.3">
      <c r="A110" s="191" t="s">
        <v>61</v>
      </c>
      <c r="B110" s="70" t="s">
        <v>115</v>
      </c>
      <c r="C110" s="20">
        <v>4</v>
      </c>
      <c r="D110" s="69"/>
      <c r="E110" s="21"/>
      <c r="F110" s="37">
        <v>1.45</v>
      </c>
      <c r="H110" s="37">
        <v>0.129</v>
      </c>
      <c r="I110" s="53">
        <f t="shared" ref="I110:I111" si="986">H110*0.2842</f>
        <v>3.6661800000000001E-2</v>
      </c>
      <c r="M110" s="22">
        <v>0.50300372040613084</v>
      </c>
      <c r="O110" s="21">
        <v>0</v>
      </c>
      <c r="Q110" s="21">
        <v>7.1674932105872419E-2</v>
      </c>
      <c r="S110" s="21">
        <v>99.425321347487994</v>
      </c>
      <c r="U110" s="21">
        <v>0</v>
      </c>
      <c r="W110" s="21">
        <v>0</v>
      </c>
      <c r="Y110" s="22">
        <v>3.2832334835806956E-2</v>
      </c>
      <c r="Z110" s="21"/>
      <c r="AA110" s="21">
        <v>0</v>
      </c>
      <c r="AB110" s="21"/>
      <c r="AC110" s="21">
        <v>4.6784054963523699E-3</v>
      </c>
      <c r="AD110" s="21"/>
      <c r="AE110" s="21">
        <v>6.4897441295319762</v>
      </c>
      <c r="AF110" s="21"/>
      <c r="AG110" s="21">
        <v>0</v>
      </c>
      <c r="AH110" s="21"/>
      <c r="AI110" s="21">
        <v>0</v>
      </c>
      <c r="AJ110" s="21"/>
      <c r="BG110" s="37">
        <v>1598.65</v>
      </c>
      <c r="BI110" s="2">
        <v>0</v>
      </c>
      <c r="BK110" s="2">
        <v>0</v>
      </c>
      <c r="BM110" s="2">
        <v>0</v>
      </c>
      <c r="BO110" s="37">
        <f t="shared" ref="BO110:BO112" si="987">(BG110/1000)/60.2*1000</f>
        <v>26.555647840531563</v>
      </c>
      <c r="BQ110" s="2">
        <f t="shared" ref="BQ110:BQ112" si="988">BI110/74.08</f>
        <v>0</v>
      </c>
      <c r="BS110" s="2">
        <f t="shared" ref="BS110:BS112" si="989">(BK110/1000)/88.12*1000</f>
        <v>0</v>
      </c>
      <c r="BU110" s="2">
        <f t="shared" ref="BU110:BU112" si="990">BM110/88.12</f>
        <v>0</v>
      </c>
      <c r="BW110" s="37">
        <f t="shared" ref="BW110:BW112" si="991">BO110*0.05</f>
        <v>1.3277823920265783</v>
      </c>
      <c r="BX110" s="2">
        <f t="shared" si="577"/>
        <v>0</v>
      </c>
      <c r="BY110" s="2">
        <f t="shared" si="578"/>
        <v>0</v>
      </c>
      <c r="BZ110" s="18">
        <f t="shared" si="579"/>
        <v>0</v>
      </c>
    </row>
    <row r="111" spans="1:78" x14ac:dyDescent="0.3">
      <c r="A111" s="192"/>
      <c r="B111" s="70" t="s">
        <v>116</v>
      </c>
      <c r="C111" s="20">
        <v>4</v>
      </c>
      <c r="D111" s="69"/>
      <c r="E111" s="21"/>
      <c r="F111" s="37">
        <v>1.45</v>
      </c>
      <c r="H111" s="37">
        <v>0.127</v>
      </c>
      <c r="I111" s="53">
        <f t="shared" si="986"/>
        <v>3.6093400000000005E-2</v>
      </c>
      <c r="M111" s="22">
        <v>0.46357696175103352</v>
      </c>
      <c r="O111" s="21">
        <v>0</v>
      </c>
      <c r="Q111" s="21">
        <v>6.7518374216315791E-2</v>
      </c>
      <c r="S111" s="21">
        <v>99.46890466403265</v>
      </c>
      <c r="U111" s="21">
        <v>0</v>
      </c>
      <c r="W111" s="21">
        <v>0</v>
      </c>
      <c r="Y111" s="22">
        <v>3.025884981146253E-2</v>
      </c>
      <c r="Z111" s="21"/>
      <c r="AA111" s="21">
        <v>0</v>
      </c>
      <c r="AB111" s="21"/>
      <c r="AC111" s="21">
        <v>4.4070963690875636E-3</v>
      </c>
      <c r="AD111" s="21"/>
      <c r="AE111" s="21">
        <v>6.4925889236835843</v>
      </c>
      <c r="AF111" s="21"/>
      <c r="AG111" s="21">
        <v>0</v>
      </c>
      <c r="AH111" s="21"/>
      <c r="AI111" s="21">
        <v>0</v>
      </c>
      <c r="AJ111" s="21"/>
      <c r="BG111" s="37">
        <v>1530.56</v>
      </c>
      <c r="BI111" s="2">
        <v>0</v>
      </c>
      <c r="BK111" s="2">
        <v>0</v>
      </c>
      <c r="BM111" s="2">
        <v>0</v>
      </c>
      <c r="BO111" s="37">
        <f t="shared" si="987"/>
        <v>25.424584717607971</v>
      </c>
      <c r="BQ111" s="2">
        <f t="shared" si="988"/>
        <v>0</v>
      </c>
      <c r="BS111" s="2">
        <f t="shared" si="989"/>
        <v>0</v>
      </c>
      <c r="BU111" s="2">
        <f t="shared" si="990"/>
        <v>0</v>
      </c>
      <c r="BW111" s="37">
        <f t="shared" si="991"/>
        <v>1.2712292358803987</v>
      </c>
      <c r="BX111" s="2">
        <f t="shared" si="577"/>
        <v>0</v>
      </c>
      <c r="BY111" s="2">
        <f t="shared" si="578"/>
        <v>0</v>
      </c>
      <c r="BZ111" s="18">
        <f t="shared" si="579"/>
        <v>0</v>
      </c>
    </row>
    <row r="112" spans="1:78" x14ac:dyDescent="0.3">
      <c r="A112" s="192"/>
      <c r="B112" s="128" t="s">
        <v>117</v>
      </c>
      <c r="C112" s="37">
        <v>4</v>
      </c>
      <c r="D112" s="37"/>
      <c r="E112" s="37"/>
      <c r="F112" s="37">
        <v>1.4450000000000001</v>
      </c>
      <c r="H112" s="37">
        <v>0.13</v>
      </c>
      <c r="I112" s="53">
        <f t="shared" si="681"/>
        <v>3.6946E-2</v>
      </c>
      <c r="M112" s="38">
        <v>0.46173177144790134</v>
      </c>
      <c r="N112" s="24"/>
      <c r="O112" s="24">
        <v>0</v>
      </c>
      <c r="P112" s="24"/>
      <c r="Q112" s="24">
        <v>0.12663150528261222</v>
      </c>
      <c r="R112" s="24"/>
      <c r="S112" s="24">
        <v>99.411636723269481</v>
      </c>
      <c r="T112" s="24"/>
      <c r="U112" s="24">
        <v>0</v>
      </c>
      <c r="V112" s="24"/>
      <c r="W112" s="24">
        <v>0</v>
      </c>
      <c r="X112" s="24"/>
      <c r="Y112" s="22">
        <v>3.003448398741362E-2</v>
      </c>
      <c r="Z112" s="21"/>
      <c r="AA112" s="21">
        <v>0</v>
      </c>
      <c r="AB112" s="21"/>
      <c r="AC112" s="21">
        <v>8.2370591605300438E-3</v>
      </c>
      <c r="AD112" s="21"/>
      <c r="AE112" s="21">
        <v>6.4664755513028664</v>
      </c>
      <c r="AF112" s="21"/>
      <c r="AG112" s="21">
        <v>0</v>
      </c>
      <c r="AH112" s="21"/>
      <c r="AI112" s="21">
        <v>0</v>
      </c>
      <c r="AJ112" s="21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37">
        <v>1477.97</v>
      </c>
      <c r="BI112" s="2">
        <v>0</v>
      </c>
      <c r="BK112" s="2">
        <v>0</v>
      </c>
      <c r="BO112" s="37">
        <f t="shared" si="987"/>
        <v>24.550996677740862</v>
      </c>
      <c r="BQ112" s="2">
        <f t="shared" si="988"/>
        <v>0</v>
      </c>
      <c r="BS112" s="2">
        <f t="shared" si="989"/>
        <v>0</v>
      </c>
      <c r="BU112" s="2">
        <f t="shared" si="990"/>
        <v>0</v>
      </c>
      <c r="BW112" s="37">
        <f t="shared" si="991"/>
        <v>1.2275498338870432</v>
      </c>
      <c r="BX112" s="2">
        <f t="shared" si="577"/>
        <v>0</v>
      </c>
      <c r="BY112" s="2">
        <f t="shared" si="578"/>
        <v>0</v>
      </c>
      <c r="BZ112" s="18">
        <f t="shared" si="579"/>
        <v>0</v>
      </c>
    </row>
    <row r="113" spans="1:78" ht="15" thickBot="1" x14ac:dyDescent="0.35">
      <c r="A113" s="193"/>
      <c r="B113" s="66" t="s">
        <v>63</v>
      </c>
      <c r="C113" s="65">
        <v>4</v>
      </c>
      <c r="D113" s="64" t="e">
        <f>AVERAGE(D110:D111)</f>
        <v>#DIV/0!</v>
      </c>
      <c r="E113" s="58"/>
      <c r="F113" s="60">
        <f>AVERAGE(F110:F112)</f>
        <v>1.4483333333333333</v>
      </c>
      <c r="G113" s="55">
        <f>_xlfn.STDEV.S(F110:F111)</f>
        <v>0</v>
      </c>
      <c r="H113" s="60">
        <f>AVERAGE(H110:H112)</f>
        <v>0.12866666666666668</v>
      </c>
      <c r="I113" s="63">
        <f t="shared" ref="I113" si="992">AVERAGE(I110:I112)</f>
        <v>3.6567066666666669E-2</v>
      </c>
      <c r="J113" s="63">
        <f t="shared" ref="J113" si="993">_xlfn.STDEV.S(I110:I112)</f>
        <v>4.3412267083548075E-4</v>
      </c>
      <c r="K113" s="63"/>
      <c r="L113" s="63" t="e">
        <f>_xlfn.STDEV.S(K110:K111)</f>
        <v>#DIV/0!</v>
      </c>
      <c r="M113" s="59">
        <f>AVERAGE(M110:M112)</f>
        <v>0.47610415120168853</v>
      </c>
      <c r="N113" s="58">
        <f>_xlfn.STDEV.S(M110:M112)</f>
        <v>2.3313972191630655E-2</v>
      </c>
      <c r="O113" s="58">
        <f t="shared" ref="O113" si="994">AVERAGE(O110:O112)</f>
        <v>0</v>
      </c>
      <c r="P113" s="58">
        <f t="shared" ref="P113" si="995">_xlfn.STDEV.S(O110:O112)</f>
        <v>0</v>
      </c>
      <c r="Q113" s="58">
        <f t="shared" ref="Q113" si="996">AVERAGE(Q110:Q112)</f>
        <v>8.8608270534933475E-2</v>
      </c>
      <c r="R113" s="58">
        <f t="shared" ref="R113" si="997">_xlfn.STDEV.S(Q110:Q112)</f>
        <v>3.299460605735613E-2</v>
      </c>
      <c r="S113" s="58">
        <f t="shared" ref="S113" si="998">AVERAGE(S110:S112)</f>
        <v>99.435287578263384</v>
      </c>
      <c r="T113" s="58">
        <f t="shared" ref="T113" si="999">_xlfn.STDEV.S(S110:S112)</f>
        <v>2.9906497232450115E-2</v>
      </c>
      <c r="U113" s="58">
        <f t="shared" ref="U113" si="1000">AVERAGE(U110:U112)</f>
        <v>0</v>
      </c>
      <c r="V113" s="58">
        <f t="shared" ref="V113" si="1001">_xlfn.STDEV.S(U110:U112)</f>
        <v>0</v>
      </c>
      <c r="W113" s="58">
        <f t="shared" ref="W113" si="1002">AVERAGE(W110:W112)</f>
        <v>0</v>
      </c>
      <c r="X113" s="58">
        <f t="shared" ref="X113" si="1003">_xlfn.STDEV.S(W110:W112)</f>
        <v>0</v>
      </c>
      <c r="Y113" s="59">
        <f>AVERAGE(Y110:Y112)</f>
        <v>3.1041889544894369E-2</v>
      </c>
      <c r="Z113" s="58">
        <f>_xlfn.STDEV.S(Y110:Y112)</f>
        <v>1.5546239933062853E-3</v>
      </c>
      <c r="AA113" s="58">
        <f t="shared" ref="AA113" si="1004">AVERAGE(AA110:AA112)</f>
        <v>0</v>
      </c>
      <c r="AB113" s="58">
        <f t="shared" ref="AB113" si="1005">_xlfn.STDEV.S(AA110:AA112)</f>
        <v>0</v>
      </c>
      <c r="AC113" s="58">
        <f t="shared" ref="AC113" si="1006">AVERAGE(AC110:AC112)</f>
        <v>5.7741870086566588E-3</v>
      </c>
      <c r="AD113" s="58">
        <f t="shared" ref="AD113" si="1007">_xlfn.STDEV.S(AC110:AC112)</f>
        <v>2.1372193588841963E-3</v>
      </c>
      <c r="AE113" s="58">
        <f t="shared" ref="AE113" si="1008">AVERAGE(AE110:AE112)</f>
        <v>6.482936201506142</v>
      </c>
      <c r="AF113" s="58">
        <f t="shared" ref="AF113" si="1009">_xlfn.STDEV.S(AE110:AE112)</f>
        <v>1.4326128830818555E-2</v>
      </c>
      <c r="AG113" s="58">
        <f t="shared" ref="AG113" si="1010">AVERAGE(AG110:AG112)</f>
        <v>0</v>
      </c>
      <c r="AH113" s="58">
        <f t="shared" ref="AH113" si="1011">_xlfn.STDEV.S(AG110:AG112)</f>
        <v>0</v>
      </c>
      <c r="AI113" s="58">
        <f t="shared" ref="AI113" si="1012">AVERAGE(AI110:AI112)</f>
        <v>0</v>
      </c>
      <c r="AJ113" s="58">
        <f t="shared" ref="AJ113" si="1013">_xlfn.STDEV.S(AI110:AI112)</f>
        <v>0</v>
      </c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>
        <f t="shared" ref="BG113" si="1014">AVERAGE(BG110:BG112)</f>
        <v>1535.7266666666667</v>
      </c>
      <c r="BH113" s="57">
        <f t="shared" ref="BH113" si="1015">_xlfn.STDEV.S(BG110:BG112)</f>
        <v>60.505672736804918</v>
      </c>
      <c r="BI113" s="57">
        <f t="shared" ref="BI113" si="1016">AVERAGE(BI110:BI112)</f>
        <v>0</v>
      </c>
      <c r="BJ113" s="57">
        <f t="shared" ref="BJ113" si="1017">_xlfn.STDEV.S(BI110:BI112)</f>
        <v>0</v>
      </c>
      <c r="BK113" s="57">
        <f t="shared" ref="BK113" si="1018">AVERAGE(BK110:BK112)</f>
        <v>0</v>
      </c>
      <c r="BL113" s="57">
        <f t="shared" ref="BL113" si="1019">_xlfn.STDEV.S(BK110:BK112)</f>
        <v>0</v>
      </c>
      <c r="BM113" s="57">
        <f t="shared" ref="BM113" si="1020">AVERAGE(BM110:BM112)</f>
        <v>0</v>
      </c>
      <c r="BN113" s="57">
        <f t="shared" ref="BN113" si="1021">_xlfn.STDEV.S(BM110:BM112)</f>
        <v>0</v>
      </c>
      <c r="BO113" s="60">
        <f t="shared" ref="BO113" si="1022">AVERAGE(BO110:BO112)</f>
        <v>25.510409745293469</v>
      </c>
      <c r="BP113" s="57">
        <f t="shared" ref="BP113" si="1023">_xlfn.STDEV.S(BO110:BO112)</f>
        <v>1.0050776202127074</v>
      </c>
      <c r="BQ113" s="57">
        <f t="shared" ref="BQ113" si="1024">AVERAGE(BQ110:BQ112)</f>
        <v>0</v>
      </c>
      <c r="BR113" s="57">
        <f t="shared" ref="BR113" si="1025">_xlfn.STDEV.S(BQ110:BQ112)</f>
        <v>0</v>
      </c>
      <c r="BS113" s="57">
        <f t="shared" ref="BS113" si="1026">AVERAGE(BS110:BS112)</f>
        <v>0</v>
      </c>
      <c r="BT113" s="57">
        <f t="shared" ref="BT113" si="1027">_xlfn.STDEV.S(BS110:BS112)</f>
        <v>0</v>
      </c>
      <c r="BU113" s="57">
        <f t="shared" ref="BU113" si="1028">AVERAGE(BU110:BU112)</f>
        <v>0</v>
      </c>
      <c r="BV113" s="57">
        <f t="shared" ref="BV113" si="1029">_xlfn.STDEV.S(BU110:BU112)</f>
        <v>0</v>
      </c>
      <c r="BW113" s="60">
        <f t="shared" ref="BW113" si="1030">AVERAGE(BW110:BW112)</f>
        <v>1.2755204872646735</v>
      </c>
      <c r="BX113" s="57">
        <f t="shared" si="577"/>
        <v>0</v>
      </c>
      <c r="BY113" s="57">
        <f t="shared" si="578"/>
        <v>0</v>
      </c>
      <c r="BZ113" s="61">
        <f t="shared" si="579"/>
        <v>0</v>
      </c>
    </row>
    <row r="114" spans="1:78" x14ac:dyDescent="0.3">
      <c r="A114" s="174" t="s">
        <v>58</v>
      </c>
      <c r="B114" s="70" t="s">
        <v>112</v>
      </c>
      <c r="C114" s="20">
        <v>5</v>
      </c>
      <c r="D114" s="69"/>
      <c r="E114" s="21"/>
      <c r="F114" s="37">
        <v>1.41</v>
      </c>
      <c r="H114" s="37">
        <v>0.104</v>
      </c>
      <c r="I114" s="53">
        <f t="shared" ref="I114" si="1031">H114*0.2842</f>
        <v>2.9556800000000001E-2</v>
      </c>
      <c r="L114" s="68"/>
      <c r="M114" s="22">
        <v>14.683643706402217</v>
      </c>
      <c r="O114" s="21">
        <v>84.620641589686926</v>
      </c>
      <c r="Q114" s="21">
        <v>0.144775599074949</v>
      </c>
      <c r="S114" s="21">
        <v>0.55093910483588604</v>
      </c>
      <c r="U114" s="21">
        <v>0</v>
      </c>
      <c r="W114" s="21">
        <v>0</v>
      </c>
      <c r="Y114" s="22">
        <v>0.93199915651619891</v>
      </c>
      <c r="Z114" s="21"/>
      <c r="AA114" s="21">
        <v>5.3710351573745472</v>
      </c>
      <c r="AB114" s="21"/>
      <c r="AC114" s="21">
        <v>9.1891862074499047E-3</v>
      </c>
      <c r="AD114" s="21"/>
      <c r="AE114" s="21">
        <v>3.4969166459341103E-2</v>
      </c>
      <c r="AF114" s="21"/>
      <c r="AG114" s="21">
        <v>0</v>
      </c>
      <c r="AH114" s="21"/>
      <c r="AI114" s="21">
        <v>0</v>
      </c>
      <c r="AJ114" s="21"/>
      <c r="AK114" s="37">
        <f>8*(AG114-$AG$74)/(2*($AA$74-AA114)+2*($AI$74-AI114))</f>
        <v>0</v>
      </c>
      <c r="AM114" s="37">
        <f>(AG114-$AG$74)/(($AA$74-AA114)+($AI$74-AI114))</f>
        <v>0</v>
      </c>
      <c r="AO114" s="37">
        <f>8*(BW114-$BW$74)/(2*($AA$74-AA114)+2*($AI$74-AI114))</f>
        <v>0</v>
      </c>
      <c r="AQ114" s="37">
        <f>(BW114-$BW$74)/(($AA$74-AA114)+($AI$74-AI114))</f>
        <v>0</v>
      </c>
      <c r="AS114" s="37">
        <f>14*(BX114-$BX$74)/(2*($AA$74-AA114)+2*($AI$74-AI114))</f>
        <v>0</v>
      </c>
      <c r="AU114" s="37">
        <f>(BX114-$BX$74)/(($AA$74-AA114)+($AI$74-AI114))</f>
        <v>0</v>
      </c>
      <c r="BG114" s="127">
        <v>0</v>
      </c>
      <c r="BI114" s="2">
        <v>0</v>
      </c>
      <c r="BK114" s="2">
        <v>0</v>
      </c>
      <c r="BM114" s="2">
        <v>0</v>
      </c>
      <c r="BO114" s="37">
        <f t="shared" ref="BO114:BO116" si="1032">(BG114/1000)/60.2*1000</f>
        <v>0</v>
      </c>
      <c r="BQ114" s="2">
        <f t="shared" ref="BQ114:BQ116" si="1033">BI114/74.08</f>
        <v>0</v>
      </c>
      <c r="BS114" s="2">
        <f t="shared" ref="BS114:BS116" si="1034">(BK114/1000)/88.12*1000</f>
        <v>0</v>
      </c>
      <c r="BU114" s="2">
        <f t="shared" ref="BU114:BU116" si="1035">BM114/88.12</f>
        <v>0</v>
      </c>
      <c r="BW114" s="37">
        <f t="shared" ref="BW114:BW116" si="1036">BO114*0.05</f>
        <v>0</v>
      </c>
      <c r="BX114" s="2">
        <f t="shared" si="577"/>
        <v>0</v>
      </c>
      <c r="BY114" s="2">
        <f t="shared" si="578"/>
        <v>0</v>
      </c>
      <c r="BZ114" s="18">
        <f t="shared" si="579"/>
        <v>0</v>
      </c>
    </row>
    <row r="115" spans="1:78" x14ac:dyDescent="0.3">
      <c r="A115" s="173"/>
      <c r="B115" s="70" t="s">
        <v>113</v>
      </c>
      <c r="C115" s="20">
        <v>5</v>
      </c>
      <c r="D115" s="69"/>
      <c r="E115" s="21"/>
      <c r="F115" s="37">
        <v>1.415</v>
      </c>
      <c r="H115" s="37">
        <v>0.10199999999999999</v>
      </c>
      <c r="I115" s="53">
        <f t="shared" si="625"/>
        <v>2.8988399999999998E-2</v>
      </c>
      <c r="L115" s="68"/>
      <c r="M115" s="22">
        <v>14.72623143856508</v>
      </c>
      <c r="O115" s="21">
        <v>84.684464008787558</v>
      </c>
      <c r="Q115" s="21">
        <v>0.33688406324311976</v>
      </c>
      <c r="S115" s="21">
        <v>0.25242048940425477</v>
      </c>
      <c r="U115" s="21">
        <v>0</v>
      </c>
      <c r="W115" s="21">
        <v>0</v>
      </c>
      <c r="Y115" s="22">
        <v>0.93801682902793193</v>
      </c>
      <c r="Z115" s="21"/>
      <c r="AA115" s="21">
        <v>5.3941466782483971</v>
      </c>
      <c r="AB115" s="21"/>
      <c r="AC115" s="21">
        <v>2.1458505665326404E-2</v>
      </c>
      <c r="AD115" s="21"/>
      <c r="AE115" s="21">
        <v>1.6078429029207832E-2</v>
      </c>
      <c r="AF115" s="21"/>
      <c r="AG115" s="21">
        <v>0</v>
      </c>
      <c r="AH115" s="21"/>
      <c r="AI115" s="21">
        <v>0</v>
      </c>
      <c r="AJ115" s="21"/>
      <c r="AK115" s="37">
        <f>8*(AG115-$AG$75)/(2*($AA$75-AA115)+2*($AI$75-AI115))</f>
        <v>0</v>
      </c>
      <c r="AM115" s="37">
        <f>(AG115-$AG$75)/(($AA$75-AA115)+($AI$75-AI115))</f>
        <v>0</v>
      </c>
      <c r="AO115" s="37">
        <f>8*(BW115-$BW$75)/(2*($AA$75-AA115)+2*($AI$75-AI115))</f>
        <v>0</v>
      </c>
      <c r="AQ115" s="37">
        <f>(BW115-$BW$75)/(($AA$75-AA115)+($AI$75-AI115))</f>
        <v>0</v>
      </c>
      <c r="AS115" s="37">
        <f>14*(BX115-$BX$75)/(2*($AA$75-AA115)+2*($AI$75-AI115))</f>
        <v>0</v>
      </c>
      <c r="AU115" s="37">
        <f>(BX115-$BX$75)/(($AA$75-AA115)+($AI$75-AI115))</f>
        <v>0</v>
      </c>
      <c r="BG115" s="37">
        <v>0</v>
      </c>
      <c r="BI115" s="2">
        <v>0</v>
      </c>
      <c r="BK115" s="2">
        <v>0</v>
      </c>
      <c r="BM115" s="2">
        <v>0</v>
      </c>
      <c r="BO115" s="37">
        <f t="shared" si="1032"/>
        <v>0</v>
      </c>
      <c r="BQ115" s="2">
        <f t="shared" si="1033"/>
        <v>0</v>
      </c>
      <c r="BS115" s="2">
        <f t="shared" si="1034"/>
        <v>0</v>
      </c>
      <c r="BU115" s="2">
        <f t="shared" si="1035"/>
        <v>0</v>
      </c>
      <c r="BW115" s="37">
        <f t="shared" si="1036"/>
        <v>0</v>
      </c>
      <c r="BX115" s="2">
        <f t="shared" si="577"/>
        <v>0</v>
      </c>
      <c r="BY115" s="2">
        <f t="shared" si="578"/>
        <v>0</v>
      </c>
      <c r="BZ115" s="18">
        <f t="shared" si="579"/>
        <v>0</v>
      </c>
    </row>
    <row r="116" spans="1:78" x14ac:dyDescent="0.3">
      <c r="A116" s="173"/>
      <c r="B116" s="70" t="s">
        <v>114</v>
      </c>
      <c r="C116" s="20">
        <v>5</v>
      </c>
      <c r="D116" s="69"/>
      <c r="E116" s="21"/>
      <c r="F116" s="37">
        <v>1.425</v>
      </c>
      <c r="H116" s="37">
        <v>0.10299999999999999</v>
      </c>
      <c r="I116" s="53">
        <f t="shared" si="625"/>
        <v>2.9272599999999999E-2</v>
      </c>
      <c r="L116" s="68"/>
      <c r="M116" s="22">
        <v>14.614944962209236</v>
      </c>
      <c r="O116" s="21">
        <v>84.748346827220033</v>
      </c>
      <c r="Q116" s="21">
        <v>0.14570895050270558</v>
      </c>
      <c r="S116" s="21">
        <v>0.49099926006801847</v>
      </c>
      <c r="U116" s="21">
        <v>0</v>
      </c>
      <c r="W116" s="21">
        <v>0</v>
      </c>
      <c r="Y116" s="22">
        <v>0.93750721182939012</v>
      </c>
      <c r="Z116" s="21"/>
      <c r="AA116" s="21">
        <v>5.4363657575571853</v>
      </c>
      <c r="AB116" s="21"/>
      <c r="AC116" s="21">
        <v>9.3468153508344653E-3</v>
      </c>
      <c r="AD116" s="21"/>
      <c r="AE116" s="21">
        <v>3.1496208060100624E-2</v>
      </c>
      <c r="AF116" s="21"/>
      <c r="AG116" s="21">
        <v>0</v>
      </c>
      <c r="AH116" s="21"/>
      <c r="AI116" s="21">
        <v>0</v>
      </c>
      <c r="AJ116" s="21"/>
      <c r="AK116" s="37">
        <f>8*(AG116-$AG$76)/(2*($AA$76-AA116)+2*($AI$76-AI116))</f>
        <v>0</v>
      </c>
      <c r="AM116" s="37">
        <f>(AG116-$AG$76)/(($AA$76-AA116)+($AI$76-AI116))</f>
        <v>0</v>
      </c>
      <c r="AO116" s="37">
        <f>8*(BW116-$BW$76)/(2*($AA$76-AA116)+2*($AI$76-AI116))</f>
        <v>0</v>
      </c>
      <c r="AQ116" s="37">
        <f>(BW116-$BW$76)/(($AA$76-AA116)+($AI$76-AI116))</f>
        <v>0</v>
      </c>
      <c r="AS116" s="37">
        <f>14*(BX116-$BX$76)/(2*($AA$76-AA116)+2*($AI$76-AI116))</f>
        <v>0</v>
      </c>
      <c r="AU116" s="37">
        <f>(BX116-$BX$76)/(($AA$76-AA116)+($AI$76-AI116))</f>
        <v>0</v>
      </c>
      <c r="BG116" s="37">
        <v>0</v>
      </c>
      <c r="BI116" s="2">
        <v>0</v>
      </c>
      <c r="BK116" s="2">
        <v>0</v>
      </c>
      <c r="BM116" s="2">
        <v>0</v>
      </c>
      <c r="BO116" s="37">
        <f t="shared" si="1032"/>
        <v>0</v>
      </c>
      <c r="BQ116" s="2">
        <f t="shared" si="1033"/>
        <v>0</v>
      </c>
      <c r="BS116" s="2">
        <f t="shared" si="1034"/>
        <v>0</v>
      </c>
      <c r="BU116" s="2">
        <f t="shared" si="1035"/>
        <v>0</v>
      </c>
      <c r="BW116" s="37">
        <f t="shared" si="1036"/>
        <v>0</v>
      </c>
      <c r="BX116" s="2">
        <f t="shared" si="577"/>
        <v>0</v>
      </c>
      <c r="BY116" s="2">
        <f t="shared" si="578"/>
        <v>0</v>
      </c>
      <c r="BZ116" s="18">
        <f t="shared" si="579"/>
        <v>0</v>
      </c>
    </row>
    <row r="117" spans="1:78" x14ac:dyDescent="0.3">
      <c r="A117" s="180"/>
      <c r="B117" s="83" t="s">
        <v>63</v>
      </c>
      <c r="C117" s="80">
        <v>5</v>
      </c>
      <c r="D117" s="79" t="e">
        <f>AVERAGE(D114:D116)</f>
        <v>#DIV/0!</v>
      </c>
      <c r="E117" s="76"/>
      <c r="F117" s="78">
        <f t="shared" ref="F117" si="1037">AVERAGE(F114:F116)</f>
        <v>1.4166666666666667</v>
      </c>
      <c r="G117" s="73">
        <f>_xlfn.STDEV.S(F114:F116)</f>
        <v>7.6376261582597887E-3</v>
      </c>
      <c r="H117" s="78">
        <f t="shared" ref="H117:I117" si="1038">AVERAGE(H114:H116)</f>
        <v>0.10299999999999999</v>
      </c>
      <c r="I117" s="82">
        <f t="shared" si="1038"/>
        <v>2.9272599999999999E-2</v>
      </c>
      <c r="J117" s="82">
        <f t="shared" ref="J117" si="1039">_xlfn.STDEV.S(I114:I116)</f>
        <v>2.8420000000000181E-4</v>
      </c>
      <c r="K117" s="82"/>
      <c r="L117" s="81" t="e">
        <f>_xlfn.STDEV.S(K114:K116)</f>
        <v>#DIV/0!</v>
      </c>
      <c r="M117" s="77">
        <f>AVERAGE(M114:M116)</f>
        <v>14.674940035725511</v>
      </c>
      <c r="N117" s="76">
        <f>_xlfn.STDEV.S(M114:M116)</f>
        <v>5.6151450269439497E-2</v>
      </c>
      <c r="O117" s="76">
        <f t="shared" ref="O117" si="1040">AVERAGE(O114:O116)</f>
        <v>84.684484141898167</v>
      </c>
      <c r="P117" s="76">
        <f t="shared" ref="P117" si="1041">_xlfn.STDEV.S(O114:O116)</f>
        <v>6.3852621147086897E-2</v>
      </c>
      <c r="Q117" s="76">
        <f t="shared" ref="Q117" si="1042">AVERAGE(Q114:Q116)</f>
        <v>0.20912287094025814</v>
      </c>
      <c r="R117" s="76">
        <f t="shared" ref="R117" si="1043">_xlfn.STDEV.S(Q114:Q116)</f>
        <v>0.11064542231926501</v>
      </c>
      <c r="S117" s="76">
        <f t="shared" ref="S117" si="1044">AVERAGE(S114:S116)</f>
        <v>0.43145295143605306</v>
      </c>
      <c r="T117" s="76">
        <f t="shared" ref="T117" si="1045">_xlfn.STDEV.S(S114:S116)</f>
        <v>0.15791663336575579</v>
      </c>
      <c r="U117" s="76">
        <f t="shared" ref="U117" si="1046">AVERAGE(U114:U116)</f>
        <v>0</v>
      </c>
      <c r="V117" s="76">
        <f t="shared" ref="V117" si="1047">_xlfn.STDEV.S(U114:U116)</f>
        <v>0</v>
      </c>
      <c r="W117" s="76">
        <f t="shared" ref="W117" si="1048">AVERAGE(W114:W116)</f>
        <v>0</v>
      </c>
      <c r="X117" s="76">
        <f t="shared" ref="X117" si="1049">_xlfn.STDEV.S(W114:W116)</f>
        <v>0</v>
      </c>
      <c r="Y117" s="77">
        <f>AVERAGE(Y114:Y116)</f>
        <v>0.93584106579117365</v>
      </c>
      <c r="Z117" s="76">
        <f>_xlfn.STDEV.S(Y114:Y116)</f>
        <v>3.3369338591160468E-3</v>
      </c>
      <c r="AA117" s="76">
        <f t="shared" ref="AA117" si="1050">AVERAGE(AA114:AA116)</f>
        <v>5.4005158643933768</v>
      </c>
      <c r="AB117" s="76">
        <f t="shared" ref="AB117" si="1051">_xlfn.STDEV.S(AA114:AA116)</f>
        <v>3.3127733535030408E-2</v>
      </c>
      <c r="AC117" s="76">
        <f t="shared" ref="AC117" si="1052">AVERAGE(AC114:AC116)</f>
        <v>1.3331502407870259E-2</v>
      </c>
      <c r="AD117" s="76">
        <f t="shared" ref="AD117" si="1053">_xlfn.STDEV.S(AC114:AC116)</f>
        <v>7.038632551620955E-3</v>
      </c>
      <c r="AE117" s="76">
        <f t="shared" ref="AE117" si="1054">AVERAGE(AE114:AE116)</f>
        <v>2.7514601182883191E-2</v>
      </c>
      <c r="AF117" s="76">
        <f t="shared" ref="AF117" si="1055">_xlfn.STDEV.S(AE114:AE116)</f>
        <v>1.0055092498683844E-2</v>
      </c>
      <c r="AG117" s="76">
        <f t="shared" ref="AG117" si="1056">AVERAGE(AG114:AG116)</f>
        <v>0</v>
      </c>
      <c r="AH117" s="76">
        <f t="shared" ref="AH117" si="1057">_xlfn.STDEV.S(AG114:AG116)</f>
        <v>0</v>
      </c>
      <c r="AI117" s="76">
        <f t="shared" ref="AI117" si="1058">AVERAGE(AI114:AI116)</f>
        <v>0</v>
      </c>
      <c r="AJ117" s="76">
        <f t="shared" ref="AJ117" si="1059">_xlfn.STDEV.S(AI114:AI116)</f>
        <v>0</v>
      </c>
      <c r="AK117" s="78">
        <f t="shared" ref="AK117" si="1060">AVERAGE(AK114:AK116)</f>
        <v>0</v>
      </c>
      <c r="AL117" s="78">
        <f t="shared" ref="AL117" si="1061">_xlfn.STDEV.S(AK114:AK116)</f>
        <v>0</v>
      </c>
      <c r="AM117" s="78">
        <f>AVERAGE(AM114:AM116)</f>
        <v>0</v>
      </c>
      <c r="AN117" s="78">
        <f t="shared" ref="AN117" si="1062">_xlfn.STDEV.S(AM114:AM116)</f>
        <v>0</v>
      </c>
      <c r="AO117" s="78">
        <f t="shared" ref="AO117" si="1063">AVERAGE(AO114:AO116)</f>
        <v>0</v>
      </c>
      <c r="AP117" s="78">
        <f t="shared" ref="AP117" si="1064">_xlfn.STDEV.S(AO114:AO116)</f>
        <v>0</v>
      </c>
      <c r="AQ117" s="78">
        <f t="shared" ref="AQ117" si="1065">AVERAGE(AQ114:AQ116)</f>
        <v>0</v>
      </c>
      <c r="AR117" s="78">
        <f t="shared" ref="AR117" si="1066">_xlfn.STDEV.S(AQ114:AQ116)</f>
        <v>0</v>
      </c>
      <c r="AS117" s="78">
        <f t="shared" ref="AS117" si="1067">AVERAGE(AS114:AS116)</f>
        <v>0</v>
      </c>
      <c r="AT117" s="78">
        <f t="shared" ref="AT117" si="1068">_xlfn.STDEV.S(AS114:AS116)</f>
        <v>0</v>
      </c>
      <c r="AU117" s="78">
        <f t="shared" ref="AU117" si="1069">AVERAGE(AU114:AU116)</f>
        <v>0</v>
      </c>
      <c r="AV117" s="78">
        <f t="shared" ref="AV117" si="1070">_xlfn.STDEV.S(AU114:AU116)</f>
        <v>0</v>
      </c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>
        <f t="shared" ref="BG117" si="1071">AVERAGE(BG114:BG116)</f>
        <v>0</v>
      </c>
      <c r="BH117" s="75">
        <f t="shared" ref="BH117" si="1072">_xlfn.STDEV.S(BG114:BG116)</f>
        <v>0</v>
      </c>
      <c r="BI117" s="75">
        <f t="shared" ref="BI117" si="1073">AVERAGE(BI114:BI116)</f>
        <v>0</v>
      </c>
      <c r="BJ117" s="75">
        <f t="shared" ref="BJ117" si="1074">_xlfn.STDEV.S(BI114:BI116)</f>
        <v>0</v>
      </c>
      <c r="BK117" s="75">
        <f t="shared" ref="BK117" si="1075">AVERAGE(BK114:BK116)</f>
        <v>0</v>
      </c>
      <c r="BL117" s="75">
        <f t="shared" ref="BL117" si="1076">_xlfn.STDEV.S(BK114:BK116)</f>
        <v>0</v>
      </c>
      <c r="BM117" s="75">
        <f t="shared" ref="BM117" si="1077">AVERAGE(BM114:BM116)</f>
        <v>0</v>
      </c>
      <c r="BN117" s="75">
        <f t="shared" ref="BN117" si="1078">_xlfn.STDEV.S(BM114:BM116)</f>
        <v>0</v>
      </c>
      <c r="BO117" s="78">
        <f t="shared" ref="BO117" si="1079">AVERAGE(BO114:BO116)</f>
        <v>0</v>
      </c>
      <c r="BP117" s="75">
        <f t="shared" ref="BP117" si="1080">_xlfn.STDEV.S(BO114:BO116)</f>
        <v>0</v>
      </c>
      <c r="BQ117" s="75">
        <f t="shared" ref="BQ117" si="1081">AVERAGE(BQ114:BQ116)</f>
        <v>0</v>
      </c>
      <c r="BR117" s="75">
        <f t="shared" ref="BR117" si="1082">_xlfn.STDEV.S(BQ114:BQ116)</f>
        <v>0</v>
      </c>
      <c r="BS117" s="75">
        <f t="shared" ref="BS117" si="1083">AVERAGE(BS114:BS116)</f>
        <v>0</v>
      </c>
      <c r="BT117" s="75">
        <f t="shared" ref="BT117" si="1084">_xlfn.STDEV.S(BS114:BS116)</f>
        <v>0</v>
      </c>
      <c r="BU117" s="75">
        <f t="shared" ref="BU117" si="1085">AVERAGE(BU114:BU116)</f>
        <v>0</v>
      </c>
      <c r="BV117" s="75">
        <f t="shared" ref="BV117" si="1086">_xlfn.STDEV.S(BU114:BU116)</f>
        <v>0</v>
      </c>
      <c r="BW117" s="78">
        <f t="shared" ref="BW117" si="1087">AVERAGE(BW114:BW116)</f>
        <v>0</v>
      </c>
      <c r="BX117" s="75">
        <f t="shared" si="577"/>
        <v>0</v>
      </c>
      <c r="BY117" s="75">
        <f t="shared" si="578"/>
        <v>0</v>
      </c>
      <c r="BZ117" s="119">
        <f t="shared" si="579"/>
        <v>0</v>
      </c>
    </row>
    <row r="118" spans="1:78" x14ac:dyDescent="0.3">
      <c r="A118" s="174" t="s">
        <v>61</v>
      </c>
      <c r="B118" s="70" t="s">
        <v>115</v>
      </c>
      <c r="C118" s="20">
        <v>5</v>
      </c>
      <c r="D118" s="69"/>
      <c r="E118" s="21"/>
      <c r="F118" s="37">
        <v>1.4450000000000001</v>
      </c>
      <c r="H118" s="37">
        <v>0.121</v>
      </c>
      <c r="I118" s="53">
        <f t="shared" ref="I118:I119" si="1088">H118*0.2842</f>
        <v>3.4388200000000001E-2</v>
      </c>
      <c r="L118" s="68"/>
      <c r="M118" s="22">
        <v>0.35457465265502336</v>
      </c>
      <c r="O118" s="21">
        <v>0</v>
      </c>
      <c r="Q118" s="21">
        <v>7.6739789146153772E-2</v>
      </c>
      <c r="S118" s="21">
        <v>99.568685558198823</v>
      </c>
      <c r="U118" s="21">
        <v>0</v>
      </c>
      <c r="W118" s="21">
        <v>0</v>
      </c>
      <c r="Y118" s="129">
        <v>2.3064184416236689E-2</v>
      </c>
      <c r="Z118" s="130"/>
      <c r="AA118" s="130">
        <v>0</v>
      </c>
      <c r="AB118" s="130"/>
      <c r="AC118" s="130">
        <v>4.9917292047721162E-3</v>
      </c>
      <c r="AD118" s="130"/>
      <c r="AE118" s="130">
        <v>6.4766911808298024</v>
      </c>
      <c r="AF118" s="130"/>
      <c r="AG118" s="130">
        <v>0</v>
      </c>
      <c r="AH118" s="130"/>
      <c r="AI118" s="130">
        <v>0</v>
      </c>
      <c r="AJ118" s="130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37">
        <v>1576.59</v>
      </c>
      <c r="BI118" s="2">
        <v>0</v>
      </c>
      <c r="BK118" s="2">
        <v>0</v>
      </c>
      <c r="BM118" s="2">
        <v>0</v>
      </c>
      <c r="BO118" s="37">
        <f t="shared" ref="BO118:BO120" si="1089">(BG118/1000)/60.2*1000</f>
        <v>26.189202657807307</v>
      </c>
      <c r="BQ118" s="2">
        <f t="shared" ref="BQ118:BQ120" si="1090">BI118/74.08</f>
        <v>0</v>
      </c>
      <c r="BS118" s="2">
        <f t="shared" ref="BS118:BS120" si="1091">(BK118/1000)/88.12*1000</f>
        <v>0</v>
      </c>
      <c r="BU118" s="2">
        <f t="shared" ref="BU118:BU120" si="1092">BM118/88.12</f>
        <v>0</v>
      </c>
      <c r="BW118" s="37">
        <f t="shared" ref="BW118:BW120" si="1093">BO118*0.05</f>
        <v>1.3094601328903654</v>
      </c>
      <c r="BX118" s="2">
        <f t="shared" si="577"/>
        <v>0</v>
      </c>
      <c r="BY118" s="2">
        <f t="shared" si="578"/>
        <v>0</v>
      </c>
      <c r="BZ118" s="18">
        <f t="shared" si="579"/>
        <v>0</v>
      </c>
    </row>
    <row r="119" spans="1:78" x14ac:dyDescent="0.3">
      <c r="A119" s="173"/>
      <c r="B119" s="70" t="s">
        <v>116</v>
      </c>
      <c r="C119" s="20">
        <v>5</v>
      </c>
      <c r="D119" s="69"/>
      <c r="E119" s="21"/>
      <c r="F119" s="37">
        <v>1.45</v>
      </c>
      <c r="H119" s="37">
        <v>0.123</v>
      </c>
      <c r="I119" s="53">
        <f t="shared" si="1088"/>
        <v>3.4956599999999997E-2</v>
      </c>
      <c r="L119" s="68"/>
      <c r="M119" s="22">
        <v>0.43200443230142477</v>
      </c>
      <c r="O119" s="21">
        <v>0</v>
      </c>
      <c r="Q119" s="21">
        <v>9.4383800981830121E-2</v>
      </c>
      <c r="S119" s="21">
        <v>99.473611766716743</v>
      </c>
      <c r="U119" s="21">
        <v>0</v>
      </c>
      <c r="W119" s="21">
        <v>0</v>
      </c>
      <c r="Y119" s="32">
        <v>2.8198030345423654E-2</v>
      </c>
      <c r="Z119" s="33"/>
      <c r="AA119" s="33">
        <v>0</v>
      </c>
      <c r="AB119" s="33"/>
      <c r="AC119" s="33">
        <v>6.1606712459493793E-3</v>
      </c>
      <c r="AD119" s="33"/>
      <c r="AE119" s="33">
        <v>6.4928961682727619</v>
      </c>
      <c r="AF119" s="33"/>
      <c r="AG119" s="33">
        <v>0</v>
      </c>
      <c r="AH119" s="33"/>
      <c r="AI119" s="33">
        <v>0</v>
      </c>
      <c r="AJ119" s="33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2"/>
      <c r="AZ119" s="132"/>
      <c r="BA119" s="132"/>
      <c r="BB119" s="132"/>
      <c r="BC119" s="132"/>
      <c r="BD119" s="132"/>
      <c r="BE119" s="132"/>
      <c r="BF119" s="132"/>
      <c r="BG119" s="37">
        <v>1529.44</v>
      </c>
      <c r="BI119" s="2">
        <v>0</v>
      </c>
      <c r="BK119" s="2">
        <v>0</v>
      </c>
      <c r="BM119" s="2">
        <v>0</v>
      </c>
      <c r="BO119" s="37">
        <f t="shared" si="1089"/>
        <v>25.405980066445185</v>
      </c>
      <c r="BQ119" s="2">
        <f t="shared" si="1090"/>
        <v>0</v>
      </c>
      <c r="BS119" s="2">
        <f t="shared" si="1091"/>
        <v>0</v>
      </c>
      <c r="BU119" s="2">
        <f t="shared" si="1092"/>
        <v>0</v>
      </c>
      <c r="BW119" s="37">
        <f t="shared" si="1093"/>
        <v>1.2702990033222594</v>
      </c>
      <c r="BX119" s="2">
        <f t="shared" si="577"/>
        <v>0</v>
      </c>
      <c r="BY119" s="2">
        <f t="shared" si="578"/>
        <v>0</v>
      </c>
      <c r="BZ119" s="18">
        <f t="shared" si="579"/>
        <v>0</v>
      </c>
    </row>
    <row r="120" spans="1:78" x14ac:dyDescent="0.3">
      <c r="A120" s="173"/>
      <c r="B120" s="128" t="s">
        <v>117</v>
      </c>
      <c r="C120" s="37">
        <v>5</v>
      </c>
      <c r="D120" s="37"/>
      <c r="E120" s="37"/>
      <c r="F120" s="37">
        <v>1.44</v>
      </c>
      <c r="H120" s="37">
        <v>0.121</v>
      </c>
      <c r="I120" s="53">
        <f t="shared" si="681"/>
        <v>3.4388200000000001E-2</v>
      </c>
      <c r="M120" s="38">
        <v>0.40823499025214627</v>
      </c>
      <c r="N120" s="24"/>
      <c r="O120" s="24">
        <v>0</v>
      </c>
      <c r="P120" s="24"/>
      <c r="Q120" s="24">
        <v>0.27855474355153803</v>
      </c>
      <c r="R120" s="24"/>
      <c r="S120" s="24">
        <v>99.313210266196322</v>
      </c>
      <c r="T120" s="24"/>
      <c r="U120" s="24">
        <v>0</v>
      </c>
      <c r="V120" s="24"/>
      <c r="W120" s="24">
        <v>0</v>
      </c>
      <c r="X120" s="24"/>
      <c r="Y120" s="22">
        <v>2.6462769052193472E-2</v>
      </c>
      <c r="Z120" s="21"/>
      <c r="AA120" s="21">
        <v>0</v>
      </c>
      <c r="AB120" s="21"/>
      <c r="AC120" s="21">
        <v>1.8056585111541835E-2</v>
      </c>
      <c r="AD120" s="21"/>
      <c r="AE120" s="21">
        <v>6.4377199648737511</v>
      </c>
      <c r="AF120" s="21"/>
      <c r="AG120" s="21">
        <v>0</v>
      </c>
      <c r="AH120" s="21"/>
      <c r="AI120" s="21">
        <v>0</v>
      </c>
      <c r="AJ120" s="21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37">
        <v>1480.32</v>
      </c>
      <c r="BI120" s="2">
        <v>0</v>
      </c>
      <c r="BK120" s="2">
        <v>0</v>
      </c>
      <c r="BO120" s="37">
        <f t="shared" si="1089"/>
        <v>24.590033222591359</v>
      </c>
      <c r="BQ120" s="2">
        <f t="shared" si="1090"/>
        <v>0</v>
      </c>
      <c r="BS120" s="2">
        <f t="shared" si="1091"/>
        <v>0</v>
      </c>
      <c r="BU120" s="2">
        <f t="shared" si="1092"/>
        <v>0</v>
      </c>
      <c r="BW120" s="37">
        <f t="shared" si="1093"/>
        <v>1.2295016611295679</v>
      </c>
      <c r="BX120" s="2">
        <f t="shared" si="577"/>
        <v>0</v>
      </c>
      <c r="BY120" s="2">
        <f t="shared" si="578"/>
        <v>0</v>
      </c>
      <c r="BZ120" s="18">
        <f t="shared" si="579"/>
        <v>0</v>
      </c>
    </row>
    <row r="121" spans="1:78" ht="15" thickBot="1" x14ac:dyDescent="0.35">
      <c r="A121" s="175"/>
      <c r="B121" s="66" t="s">
        <v>63</v>
      </c>
      <c r="C121" s="65">
        <v>5</v>
      </c>
      <c r="D121" s="64" t="e">
        <f>AVERAGE(D118:D119)</f>
        <v>#DIV/0!</v>
      </c>
      <c r="E121" s="58"/>
      <c r="F121" s="60">
        <f>AVERAGE(F118:F120)</f>
        <v>1.4450000000000001</v>
      </c>
      <c r="G121" s="55">
        <f>_xlfn.STDEV.S(F118:F119)</f>
        <v>3.5355339059326622E-3</v>
      </c>
      <c r="H121" s="60">
        <f>AVERAGE(H118:H120)</f>
        <v>0.12166666666666666</v>
      </c>
      <c r="I121" s="63">
        <f t="shared" ref="I121" si="1094">AVERAGE(I118:I120)</f>
        <v>3.4577666666666666E-2</v>
      </c>
      <c r="J121" s="63">
        <f t="shared" ref="J121" si="1095">_xlfn.STDEV.S(I118:I120)</f>
        <v>3.2816589300738137E-4</v>
      </c>
      <c r="K121" s="63"/>
      <c r="L121" s="62" t="e">
        <f>_xlfn.STDEV.S(K118:K119)</f>
        <v>#DIV/0!</v>
      </c>
      <c r="M121" s="59">
        <f>AVERAGE(M118:M120)</f>
        <v>0.39827135840286482</v>
      </c>
      <c r="N121" s="58">
        <f>_xlfn.STDEV.S(M118:M120)</f>
        <v>3.9664822749428515E-2</v>
      </c>
      <c r="O121" s="58">
        <f t="shared" ref="O121" si="1096">AVERAGE(O118:O120)</f>
        <v>0</v>
      </c>
      <c r="P121" s="58">
        <f t="shared" ref="P121" si="1097">_xlfn.STDEV.S(O118:O120)</f>
        <v>0</v>
      </c>
      <c r="Q121" s="58">
        <f t="shared" ref="Q121" si="1098">AVERAGE(Q118:Q120)</f>
        <v>0.14989277789317398</v>
      </c>
      <c r="R121" s="58">
        <f t="shared" ref="R121" si="1099">_xlfn.STDEV.S(Q118:Q120)</f>
        <v>0.11177322507523846</v>
      </c>
      <c r="S121" s="58">
        <f t="shared" ref="S121" si="1100">AVERAGE(S118:S120)</f>
        <v>99.451835863703977</v>
      </c>
      <c r="T121" s="58">
        <f t="shared" ref="T121" si="1101">_xlfn.STDEV.S(S118:S120)</f>
        <v>0.12912222376476218</v>
      </c>
      <c r="U121" s="58">
        <f t="shared" ref="U121" si="1102">AVERAGE(U118:U120)</f>
        <v>0</v>
      </c>
      <c r="V121" s="58">
        <f t="shared" ref="V121" si="1103">_xlfn.STDEV.S(U118:U120)</f>
        <v>0</v>
      </c>
      <c r="W121" s="58">
        <f t="shared" ref="W121" si="1104">AVERAGE(W118:W120)</f>
        <v>0</v>
      </c>
      <c r="X121" s="58">
        <f t="shared" ref="X121" si="1105">_xlfn.STDEV.S(W118:W120)</f>
        <v>0</v>
      </c>
      <c r="Y121" s="59">
        <f>AVERAGE(Y118:Y120)</f>
        <v>2.5908327937951271E-2</v>
      </c>
      <c r="Z121" s="58">
        <f>_xlfn.STDEV.S(Y118:Y120)</f>
        <v>2.6114454269674089E-3</v>
      </c>
      <c r="AA121" s="58">
        <f t="shared" ref="AA121" si="1106">AVERAGE(AA118:AA120)</f>
        <v>0</v>
      </c>
      <c r="AB121" s="58">
        <f t="shared" ref="AB121" si="1107">_xlfn.STDEV.S(AA118:AA120)</f>
        <v>0</v>
      </c>
      <c r="AC121" s="58">
        <f t="shared" ref="AC121" si="1108">AVERAGE(AC118:AC120)</f>
        <v>9.7363285207544437E-3</v>
      </c>
      <c r="AD121" s="58">
        <f t="shared" ref="AD121" si="1109">_xlfn.STDEV.S(AC118:AC120)</f>
        <v>7.2292190917355456E-3</v>
      </c>
      <c r="AE121" s="58">
        <f t="shared" ref="AE121" si="1110">AVERAGE(AE118:AE120)</f>
        <v>6.4691024379921052</v>
      </c>
      <c r="AF121" s="58">
        <f t="shared" ref="AF121" si="1111">_xlfn.STDEV.S(AE118:AE120)</f>
        <v>2.8360097298401159E-2</v>
      </c>
      <c r="AG121" s="58">
        <f t="shared" ref="AG121" si="1112">AVERAGE(AG118:AG120)</f>
        <v>0</v>
      </c>
      <c r="AH121" s="58">
        <f t="shared" ref="AH121" si="1113">_xlfn.STDEV.S(AG118:AG120)</f>
        <v>0</v>
      </c>
      <c r="AI121" s="58">
        <f t="shared" ref="AI121" si="1114">AVERAGE(AI118:AI120)</f>
        <v>0</v>
      </c>
      <c r="AJ121" s="58">
        <f t="shared" ref="AJ121" si="1115">_xlfn.STDEV.S(AI118:AI120)</f>
        <v>0</v>
      </c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3"/>
      <c r="BA121" s="133"/>
      <c r="BB121" s="133"/>
      <c r="BC121" s="133"/>
      <c r="BD121" s="133"/>
      <c r="BE121" s="133"/>
      <c r="BF121" s="133"/>
      <c r="BG121" s="60">
        <f t="shared" ref="BG121" si="1116">AVERAGE(BG118:BG120)</f>
        <v>1528.7833333333331</v>
      </c>
      <c r="BH121" s="57">
        <f t="shared" ref="BH121" si="1117">_xlfn.STDEV.S(BG118:BG120)</f>
        <v>48.138359271306001</v>
      </c>
      <c r="BI121" s="57">
        <f t="shared" ref="BI121" si="1118">AVERAGE(BI118:BI120)</f>
        <v>0</v>
      </c>
      <c r="BJ121" s="57">
        <f t="shared" ref="BJ121" si="1119">_xlfn.STDEV.S(BI118:BI120)</f>
        <v>0</v>
      </c>
      <c r="BK121" s="57">
        <f t="shared" ref="BK121" si="1120">AVERAGE(BK118:BK120)</f>
        <v>0</v>
      </c>
      <c r="BL121" s="57">
        <f t="shared" ref="BL121" si="1121">_xlfn.STDEV.S(BK118:BK120)</f>
        <v>0</v>
      </c>
      <c r="BM121" s="57">
        <f t="shared" ref="BM121" si="1122">AVERAGE(BM118:BM120)</f>
        <v>0</v>
      </c>
      <c r="BN121" s="57">
        <f t="shared" ref="BN121" si="1123">_xlfn.STDEV.S(BM118:BM120)</f>
        <v>0</v>
      </c>
      <c r="BO121" s="60">
        <f t="shared" ref="BO121" si="1124">AVERAGE(BO118:BO120)</f>
        <v>25.395071982281284</v>
      </c>
      <c r="BP121" s="57">
        <f t="shared" ref="BP121" si="1125">_xlfn.STDEV.S(BO118:BO120)</f>
        <v>0.79964051945691128</v>
      </c>
      <c r="BQ121" s="57">
        <f t="shared" ref="BQ121" si="1126">AVERAGE(BQ118:BQ120)</f>
        <v>0</v>
      </c>
      <c r="BR121" s="57">
        <f t="shared" ref="BR121" si="1127">_xlfn.STDEV.S(BQ118:BQ120)</f>
        <v>0</v>
      </c>
      <c r="BS121" s="57">
        <f t="shared" ref="BS121" si="1128">AVERAGE(BS118:BS120)</f>
        <v>0</v>
      </c>
      <c r="BT121" s="57">
        <f t="shared" ref="BT121" si="1129">_xlfn.STDEV.S(BS118:BS120)</f>
        <v>0</v>
      </c>
      <c r="BU121" s="57">
        <f t="shared" ref="BU121" si="1130">AVERAGE(BU118:BU120)</f>
        <v>0</v>
      </c>
      <c r="BV121" s="57">
        <f t="shared" ref="BV121" si="1131">_xlfn.STDEV.S(BU118:BU120)</f>
        <v>0</v>
      </c>
      <c r="BW121" s="60">
        <f t="shared" ref="BW121" si="1132">AVERAGE(BW118:BW120)</f>
        <v>1.2697535991140643</v>
      </c>
      <c r="BX121" s="57">
        <f t="shared" si="577"/>
        <v>0</v>
      </c>
      <c r="BY121" s="57">
        <f t="shared" si="578"/>
        <v>0</v>
      </c>
      <c r="BZ121" s="61">
        <f t="shared" si="579"/>
        <v>0</v>
      </c>
    </row>
    <row r="122" spans="1:78" x14ac:dyDescent="0.3">
      <c r="A122" s="174" t="s">
        <v>58</v>
      </c>
      <c r="B122" s="70" t="s">
        <v>112</v>
      </c>
      <c r="C122" s="20">
        <v>6</v>
      </c>
      <c r="D122" s="69"/>
      <c r="E122" s="21"/>
      <c r="F122" s="37">
        <v>1.405</v>
      </c>
      <c r="H122" s="37">
        <v>9.5000000000000001E-2</v>
      </c>
      <c r="I122" s="53">
        <f t="shared" ref="I122" si="1133">H122*0.2842</f>
        <v>2.6999000000000002E-2</v>
      </c>
      <c r="L122" s="68"/>
      <c r="M122" s="22">
        <v>14.333443109001678</v>
      </c>
      <c r="O122" s="21">
        <v>84.960920178237004</v>
      </c>
      <c r="Q122" s="21">
        <v>0.24553768870100276</v>
      </c>
      <c r="S122" s="21">
        <v>0.46009902406030873</v>
      </c>
      <c r="U122" s="21">
        <v>0</v>
      </c>
      <c r="W122" s="21">
        <v>0</v>
      </c>
      <c r="Y122" s="22">
        <v>0.90654511069578059</v>
      </c>
      <c r="Z122" s="21"/>
      <c r="AA122" s="21">
        <v>5.373510481890051</v>
      </c>
      <c r="AB122" s="21"/>
      <c r="AC122" s="21">
        <v>1.5529485099337036E-2</v>
      </c>
      <c r="AD122" s="21"/>
      <c r="AE122" s="21">
        <v>2.9099813459044322E-2</v>
      </c>
      <c r="AF122" s="21"/>
      <c r="AG122" s="21">
        <v>0</v>
      </c>
      <c r="AH122" s="21"/>
      <c r="AI122" s="21">
        <v>0</v>
      </c>
      <c r="AJ122" s="21"/>
      <c r="AK122" s="37">
        <f>8*(AG122-$AG$74)/(2*($AA$74-AA122)+2*($AI$74-AI122))</f>
        <v>0</v>
      </c>
      <c r="AM122" s="37">
        <f>(AG122-$AG$74)/(($AA$74-AA122)+($AI$74-AI122))</f>
        <v>0</v>
      </c>
      <c r="AO122" s="37">
        <f>8*(BW122-$BW$74)/(2*($AA$74-AA122)+2*($AI$74-AI122))</f>
        <v>0</v>
      </c>
      <c r="AQ122" s="37">
        <f>(BW122-$BW$74)/(($AA$74-AA122)+($AI$74-AI122))</f>
        <v>0</v>
      </c>
      <c r="AS122" s="37">
        <f>14*(BX122-$BX$74)/(2*($AA$74-AA122)+2*($AI$74-AI122))</f>
        <v>0</v>
      </c>
      <c r="AU122" s="37">
        <f>(BX122-$BX$74)/(($AA$74-AA122)+($AI$74-AI122))</f>
        <v>0</v>
      </c>
      <c r="BG122" s="127">
        <v>0</v>
      </c>
      <c r="BI122" s="2">
        <v>0</v>
      </c>
      <c r="BK122" s="2">
        <v>0</v>
      </c>
      <c r="BM122" s="2">
        <v>0</v>
      </c>
      <c r="BO122" s="37">
        <f t="shared" ref="BO122:BO124" si="1134">(BG122/1000)/60.2*1000</f>
        <v>0</v>
      </c>
      <c r="BQ122" s="2">
        <f t="shared" ref="BQ122:BQ124" si="1135">BI122/74.08</f>
        <v>0</v>
      </c>
      <c r="BS122" s="2">
        <f t="shared" ref="BS122:BS124" si="1136">(BK122/1000)/88.12*1000</f>
        <v>0</v>
      </c>
      <c r="BU122" s="2">
        <f t="shared" ref="BU122:BU124" si="1137">BM122/88.12</f>
        <v>0</v>
      </c>
      <c r="BW122" s="37">
        <f t="shared" ref="BW122:BW124" si="1138">BO122*0.05</f>
        <v>0</v>
      </c>
      <c r="BX122" s="2">
        <f t="shared" si="577"/>
        <v>0</v>
      </c>
      <c r="BY122" s="2">
        <f t="shared" si="578"/>
        <v>0</v>
      </c>
      <c r="BZ122" s="18">
        <f t="shared" si="579"/>
        <v>0</v>
      </c>
    </row>
    <row r="123" spans="1:78" x14ac:dyDescent="0.3">
      <c r="A123" s="173"/>
      <c r="B123" s="70" t="s">
        <v>113</v>
      </c>
      <c r="C123" s="20">
        <v>6</v>
      </c>
      <c r="D123" s="69"/>
      <c r="E123" s="21"/>
      <c r="F123" s="37">
        <v>1.405</v>
      </c>
      <c r="H123" s="37">
        <v>9.9000000000000005E-2</v>
      </c>
      <c r="I123" s="53">
        <f t="shared" si="625"/>
        <v>2.8135800000000002E-2</v>
      </c>
      <c r="L123" s="68"/>
      <c r="M123" s="22">
        <v>14.140272393939583</v>
      </c>
      <c r="O123" s="21">
        <v>84.71235736445189</v>
      </c>
      <c r="Q123" s="21">
        <v>0.29594999150566181</v>
      </c>
      <c r="S123" s="21">
        <v>0.8514202501028636</v>
      </c>
      <c r="U123" s="21">
        <v>0</v>
      </c>
      <c r="W123" s="21">
        <v>0</v>
      </c>
      <c r="Y123" s="22">
        <v>0.89432767166613281</v>
      </c>
      <c r="Z123" s="21"/>
      <c r="AA123" s="21">
        <v>5.3577896671615814</v>
      </c>
      <c r="AB123" s="21"/>
      <c r="AC123" s="21">
        <v>1.8717904398101174E-2</v>
      </c>
      <c r="AD123" s="21"/>
      <c r="AE123" s="21">
        <v>5.3849647918398094E-2</v>
      </c>
      <c r="AF123" s="21"/>
      <c r="AG123" s="21">
        <v>0</v>
      </c>
      <c r="AH123" s="21"/>
      <c r="AI123" s="21">
        <v>0</v>
      </c>
      <c r="AJ123" s="21"/>
      <c r="AK123" s="37">
        <f>8*(AG123-$AG$75)/(2*($AA$75-AA123)+2*($AI$75-AI123))</f>
        <v>0</v>
      </c>
      <c r="AM123" s="37">
        <f>(AG123-$AG$75)/(($AA$75-AA123)+($AI$75-AI123))</f>
        <v>0</v>
      </c>
      <c r="AO123" s="37">
        <f>8*(BW123-$BW$75)/(2*($AA$75-AA123)+2*($AI$75-AI123))</f>
        <v>0</v>
      </c>
      <c r="AQ123" s="37">
        <f>(BW123-$BW$75)/(($AA$75-AA123)+($AI$75-AI123))</f>
        <v>0</v>
      </c>
      <c r="AS123" s="37">
        <f>14*(BX123-$BX$75)/(2*($AA$75-AA123)+2*($AI$75-AI123))</f>
        <v>0</v>
      </c>
      <c r="AU123" s="37">
        <f>(BX123-$BX$75)/(($AA$75-AA123)+($AI$75-AI123))</f>
        <v>0</v>
      </c>
      <c r="BG123" s="37">
        <v>0</v>
      </c>
      <c r="BI123" s="2">
        <v>0</v>
      </c>
      <c r="BK123" s="2">
        <v>0</v>
      </c>
      <c r="BM123" s="2">
        <v>0</v>
      </c>
      <c r="BO123" s="37">
        <f t="shared" si="1134"/>
        <v>0</v>
      </c>
      <c r="BQ123" s="2">
        <f t="shared" si="1135"/>
        <v>0</v>
      </c>
      <c r="BS123" s="2">
        <f t="shared" si="1136"/>
        <v>0</v>
      </c>
      <c r="BU123" s="2">
        <f t="shared" si="1137"/>
        <v>0</v>
      </c>
      <c r="BW123" s="37">
        <f t="shared" si="1138"/>
        <v>0</v>
      </c>
      <c r="BX123" s="2">
        <f t="shared" si="577"/>
        <v>0</v>
      </c>
      <c r="BY123" s="2">
        <f t="shared" si="578"/>
        <v>0</v>
      </c>
      <c r="BZ123" s="18">
        <f t="shared" si="579"/>
        <v>0</v>
      </c>
    </row>
    <row r="124" spans="1:78" x14ac:dyDescent="0.3">
      <c r="A124" s="173"/>
      <c r="B124" s="70" t="s">
        <v>114</v>
      </c>
      <c r="C124" s="20">
        <v>6</v>
      </c>
      <c r="D124" s="69"/>
      <c r="E124" s="21"/>
      <c r="F124" s="37">
        <v>1.415</v>
      </c>
      <c r="H124" s="37">
        <v>9.4E-2</v>
      </c>
      <c r="I124" s="53">
        <f t="shared" si="625"/>
        <v>2.67148E-2</v>
      </c>
      <c r="L124" s="68"/>
      <c r="M124" s="22">
        <v>14.732743500505965</v>
      </c>
      <c r="O124" s="21">
        <v>80.292567373473872</v>
      </c>
      <c r="Q124" s="21">
        <v>0.13570678828173258</v>
      </c>
      <c r="S124" s="21">
        <v>4.838982337738428</v>
      </c>
      <c r="U124" s="21">
        <v>0</v>
      </c>
      <c r="W124" s="21">
        <v>0</v>
      </c>
      <c r="Y124" s="22">
        <v>0.93843162786616208</v>
      </c>
      <c r="Z124" s="21"/>
      <c r="AA124" s="21">
        <v>5.1143960188579181</v>
      </c>
      <c r="AB124" s="21"/>
      <c r="AC124" s="21">
        <v>8.6441158929659815E-3</v>
      </c>
      <c r="AD124" s="21"/>
      <c r="AE124" s="21">
        <v>0.30822867935381665</v>
      </c>
      <c r="AF124" s="21"/>
      <c r="AG124" s="21">
        <v>0</v>
      </c>
      <c r="AH124" s="21"/>
      <c r="AI124" s="21">
        <v>0</v>
      </c>
      <c r="AJ124" s="21"/>
      <c r="AK124" s="37">
        <f>8*(AG124-$AG$76)/(2*($AA$76-AA124)+2*($AI$76-AI124))</f>
        <v>0</v>
      </c>
      <c r="AM124" s="37">
        <f>(AG124-$AG$76)/(($AA$76-AA124)+($AI$76-AI124))</f>
        <v>0</v>
      </c>
      <c r="AO124" s="37">
        <f>8*(BW124-$BW$76)/(2*($AA$76-AA124)+2*($AI$76-AI124))</f>
        <v>0</v>
      </c>
      <c r="AQ124" s="37">
        <f>(BW124-$BW$76)/(($AA$76-AA124)+($AI$76-AI124))</f>
        <v>0</v>
      </c>
      <c r="AS124" s="37">
        <f>14*(BX124-$BX$76)/(2*($AA$76-AA124)+2*($AI$76-AI124))</f>
        <v>0</v>
      </c>
      <c r="AU124" s="37">
        <f>(BX124-$BX$76)/(($AA$76-AA124)+($AI$76-AI124))</f>
        <v>0</v>
      </c>
      <c r="BG124" s="37">
        <v>0</v>
      </c>
      <c r="BI124" s="2">
        <v>0</v>
      </c>
      <c r="BK124" s="2">
        <v>0</v>
      </c>
      <c r="BM124" s="2">
        <v>0</v>
      </c>
      <c r="BO124" s="37">
        <f t="shared" si="1134"/>
        <v>0</v>
      </c>
      <c r="BQ124" s="2">
        <f t="shared" si="1135"/>
        <v>0</v>
      </c>
      <c r="BS124" s="2">
        <f t="shared" si="1136"/>
        <v>0</v>
      </c>
      <c r="BU124" s="2">
        <f t="shared" si="1137"/>
        <v>0</v>
      </c>
      <c r="BW124" s="37">
        <f t="shared" si="1138"/>
        <v>0</v>
      </c>
      <c r="BX124" s="2">
        <f t="shared" si="577"/>
        <v>0</v>
      </c>
      <c r="BY124" s="2">
        <f t="shared" si="578"/>
        <v>0</v>
      </c>
      <c r="BZ124" s="18">
        <f t="shared" si="579"/>
        <v>0</v>
      </c>
    </row>
    <row r="125" spans="1:78" x14ac:dyDescent="0.3">
      <c r="A125" s="180"/>
      <c r="B125" s="83" t="s">
        <v>63</v>
      </c>
      <c r="C125" s="80">
        <v>6</v>
      </c>
      <c r="D125" s="79" t="e">
        <f>AVERAGE(D122:D124)</f>
        <v>#DIV/0!</v>
      </c>
      <c r="E125" s="76"/>
      <c r="F125" s="78">
        <f t="shared" ref="F125" si="1139">AVERAGE(F122:F124)</f>
        <v>1.4083333333333332</v>
      </c>
      <c r="G125" s="73">
        <f>_xlfn.STDEV.S(F122:F124)</f>
        <v>5.7735026918962632E-3</v>
      </c>
      <c r="H125" s="78">
        <f t="shared" ref="H125:I125" si="1140">AVERAGE(H122:H124)</f>
        <v>9.6000000000000016E-2</v>
      </c>
      <c r="I125" s="82">
        <f t="shared" si="1140"/>
        <v>2.7283200000000004E-2</v>
      </c>
      <c r="J125" s="82">
        <f t="shared" ref="J125" si="1141">_xlfn.STDEV.S(I122:I124)</f>
        <v>7.5192252260455753E-4</v>
      </c>
      <c r="K125" s="82"/>
      <c r="L125" s="81" t="e">
        <f>_xlfn.STDEV.S(K122:K124)</f>
        <v>#DIV/0!</v>
      </c>
      <c r="M125" s="77">
        <f>AVERAGE(M122:M124)</f>
        <v>14.402153001149074</v>
      </c>
      <c r="N125" s="76">
        <f>_xlfn.STDEV.S(M122:M124)</f>
        <v>0.30215275935886893</v>
      </c>
      <c r="O125" s="76">
        <f t="shared" ref="O125" si="1142">AVERAGE(O122:O124)</f>
        <v>83.321948305387579</v>
      </c>
      <c r="P125" s="76">
        <f t="shared" ref="P125" si="1143">_xlfn.STDEV.S(O122:O124)</f>
        <v>2.626462923987507</v>
      </c>
      <c r="Q125" s="76">
        <f t="shared" ref="Q125" si="1144">AVERAGE(Q122:Q124)</f>
        <v>0.22573148949613239</v>
      </c>
      <c r="R125" s="76">
        <f t="shared" ref="R125" si="1145">_xlfn.STDEV.S(Q122:Q124)</f>
        <v>8.1937080678247468E-2</v>
      </c>
      <c r="S125" s="76">
        <f t="shared" ref="S125" si="1146">AVERAGE(S122:S124)</f>
        <v>2.0501672039672001</v>
      </c>
      <c r="T125" s="76">
        <f t="shared" ref="T125" si="1147">_xlfn.STDEV.S(S122:S124)</f>
        <v>2.4230972872031855</v>
      </c>
      <c r="U125" s="76">
        <f t="shared" ref="U125" si="1148">AVERAGE(U122:U124)</f>
        <v>0</v>
      </c>
      <c r="V125" s="76">
        <f t="shared" ref="V125" si="1149">_xlfn.STDEV.S(U122:U124)</f>
        <v>0</v>
      </c>
      <c r="W125" s="76">
        <f t="shared" ref="W125" si="1150">AVERAGE(W122:W124)</f>
        <v>0</v>
      </c>
      <c r="X125" s="76">
        <f t="shared" ref="X125" si="1151">_xlfn.STDEV.S(W122:W124)</f>
        <v>0</v>
      </c>
      <c r="Y125" s="77">
        <f>AVERAGE(Y122:Y124)</f>
        <v>0.91310147007602527</v>
      </c>
      <c r="Z125" s="76">
        <f>_xlfn.STDEV.S(Y122:Y124)</f>
        <v>2.2771234581500314E-2</v>
      </c>
      <c r="AA125" s="76">
        <f t="shared" ref="AA125" si="1152">AVERAGE(AA122:AA124)</f>
        <v>5.2818987226365168</v>
      </c>
      <c r="AB125" s="76">
        <f t="shared" ref="AB125" si="1153">_xlfn.STDEV.S(AA122:AA124)</f>
        <v>0.14527440529490207</v>
      </c>
      <c r="AC125" s="76">
        <f t="shared" ref="AC125" si="1154">AVERAGE(AC122:AC124)</f>
        <v>1.4297168463468063E-2</v>
      </c>
      <c r="AD125" s="76">
        <f t="shared" ref="AD125" si="1155">_xlfn.STDEV.S(AC122:AC124)</f>
        <v>5.1487141044952211E-3</v>
      </c>
      <c r="AE125" s="76">
        <f t="shared" ref="AE125" si="1156">AVERAGE(AE122:AE124)</f>
        <v>0.13039271357708634</v>
      </c>
      <c r="AF125" s="76">
        <f t="shared" ref="AF125" si="1157">_xlfn.STDEV.S(AE122:AE124)</f>
        <v>0.15450683356812459</v>
      </c>
      <c r="AG125" s="76">
        <f t="shared" ref="AG125" si="1158">AVERAGE(AG122:AG124)</f>
        <v>0</v>
      </c>
      <c r="AH125" s="76">
        <f t="shared" ref="AH125" si="1159">_xlfn.STDEV.S(AG122:AG124)</f>
        <v>0</v>
      </c>
      <c r="AI125" s="76">
        <f t="shared" ref="AI125" si="1160">AVERAGE(AI122:AI124)</f>
        <v>0</v>
      </c>
      <c r="AJ125" s="76">
        <f t="shared" ref="AJ125" si="1161">_xlfn.STDEV.S(AI122:AI124)</f>
        <v>0</v>
      </c>
      <c r="AK125" s="78">
        <f t="shared" ref="AK125" si="1162">AVERAGE(AK122:AK124)</f>
        <v>0</v>
      </c>
      <c r="AL125" s="78">
        <f t="shared" ref="AL125" si="1163">_xlfn.STDEV.S(AK122:AK124)</f>
        <v>0</v>
      </c>
      <c r="AM125" s="78">
        <f>AVERAGE(AM122:AM124)</f>
        <v>0</v>
      </c>
      <c r="AN125" s="78">
        <f t="shared" ref="AN125" si="1164">_xlfn.STDEV.S(AM122:AM124)</f>
        <v>0</v>
      </c>
      <c r="AO125" s="78">
        <f t="shared" ref="AO125" si="1165">AVERAGE(AO122:AO124)</f>
        <v>0</v>
      </c>
      <c r="AP125" s="78">
        <f t="shared" ref="AP125" si="1166">_xlfn.STDEV.S(AO122:AO124)</f>
        <v>0</v>
      </c>
      <c r="AQ125" s="78">
        <f t="shared" ref="AQ125" si="1167">AVERAGE(AQ122:AQ124)</f>
        <v>0</v>
      </c>
      <c r="AR125" s="78">
        <f t="shared" ref="AR125" si="1168">_xlfn.STDEV.S(AQ122:AQ124)</f>
        <v>0</v>
      </c>
      <c r="AS125" s="78">
        <f t="shared" ref="AS125" si="1169">AVERAGE(AS122:AS124)</f>
        <v>0</v>
      </c>
      <c r="AT125" s="78">
        <f t="shared" ref="AT125" si="1170">_xlfn.STDEV.S(AS122:AS124)</f>
        <v>0</v>
      </c>
      <c r="AU125" s="78">
        <f t="shared" ref="AU125" si="1171">AVERAGE(AU122:AU124)</f>
        <v>0</v>
      </c>
      <c r="AV125" s="78">
        <f t="shared" ref="AV125" si="1172">_xlfn.STDEV.S(AU122:AU124)</f>
        <v>0</v>
      </c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>
        <f t="shared" ref="BG125" si="1173">AVERAGE(BG122:BG124)</f>
        <v>0</v>
      </c>
      <c r="BH125" s="75">
        <f t="shared" ref="BH125" si="1174">_xlfn.STDEV.S(BG122:BG124)</f>
        <v>0</v>
      </c>
      <c r="BI125" s="75">
        <f t="shared" ref="BI125" si="1175">AVERAGE(BI122:BI124)</f>
        <v>0</v>
      </c>
      <c r="BJ125" s="75">
        <f t="shared" ref="BJ125" si="1176">_xlfn.STDEV.S(BI122:BI124)</f>
        <v>0</v>
      </c>
      <c r="BK125" s="75">
        <f t="shared" ref="BK125" si="1177">AVERAGE(BK122:BK124)</f>
        <v>0</v>
      </c>
      <c r="BL125" s="75">
        <f t="shared" ref="BL125" si="1178">_xlfn.STDEV.S(BK122:BK124)</f>
        <v>0</v>
      </c>
      <c r="BM125" s="75">
        <f t="shared" ref="BM125" si="1179">AVERAGE(BM122:BM124)</f>
        <v>0</v>
      </c>
      <c r="BN125" s="75">
        <f t="shared" ref="BN125" si="1180">_xlfn.STDEV.S(BM122:BM124)</f>
        <v>0</v>
      </c>
      <c r="BO125" s="78">
        <f t="shared" ref="BO125" si="1181">AVERAGE(BO122:BO124)</f>
        <v>0</v>
      </c>
      <c r="BP125" s="75">
        <f t="shared" ref="BP125" si="1182">_xlfn.STDEV.S(BO122:BO124)</f>
        <v>0</v>
      </c>
      <c r="BQ125" s="75">
        <f t="shared" ref="BQ125" si="1183">AVERAGE(BQ122:BQ124)</f>
        <v>0</v>
      </c>
      <c r="BR125" s="75">
        <f t="shared" ref="BR125" si="1184">_xlfn.STDEV.S(BQ122:BQ124)</f>
        <v>0</v>
      </c>
      <c r="BS125" s="75">
        <f t="shared" ref="BS125" si="1185">AVERAGE(BS122:BS124)</f>
        <v>0</v>
      </c>
      <c r="BT125" s="75">
        <f t="shared" ref="BT125" si="1186">_xlfn.STDEV.S(BS122:BS124)</f>
        <v>0</v>
      </c>
      <c r="BU125" s="75">
        <f t="shared" ref="BU125" si="1187">AVERAGE(BU122:BU124)</f>
        <v>0</v>
      </c>
      <c r="BV125" s="75">
        <f t="shared" ref="BV125" si="1188">_xlfn.STDEV.S(BU122:BU124)</f>
        <v>0</v>
      </c>
      <c r="BW125" s="78">
        <f t="shared" ref="BW125" si="1189">AVERAGE(BW122:BW124)</f>
        <v>0</v>
      </c>
      <c r="BX125" s="75">
        <f t="shared" si="577"/>
        <v>0</v>
      </c>
      <c r="BY125" s="75">
        <f t="shared" si="578"/>
        <v>0</v>
      </c>
      <c r="BZ125" s="119">
        <f t="shared" si="579"/>
        <v>0</v>
      </c>
    </row>
    <row r="126" spans="1:78" x14ac:dyDescent="0.3">
      <c r="A126" s="174" t="s">
        <v>61</v>
      </c>
      <c r="B126" s="70" t="s">
        <v>115</v>
      </c>
      <c r="C126" s="20">
        <v>6</v>
      </c>
      <c r="D126" s="69"/>
      <c r="E126" s="21"/>
      <c r="F126" s="37">
        <v>1.44</v>
      </c>
      <c r="H126" s="37">
        <v>0.115</v>
      </c>
      <c r="I126" s="53">
        <f t="shared" ref="I126:I127" si="1190">H126*0.2842</f>
        <v>3.2683000000000004E-2</v>
      </c>
      <c r="L126" s="68"/>
      <c r="M126" s="22">
        <v>0.40533984111355698</v>
      </c>
      <c r="O126" s="21">
        <v>0</v>
      </c>
      <c r="Q126" s="21">
        <v>8.7619602119904813E-2</v>
      </c>
      <c r="S126" s="21">
        <v>99.50704055676654</v>
      </c>
      <c r="U126" s="21">
        <v>0</v>
      </c>
      <c r="W126" s="21">
        <v>0</v>
      </c>
      <c r="Y126" s="129">
        <v>2.6275098556387058E-2</v>
      </c>
      <c r="Z126" s="130"/>
      <c r="AA126" s="130">
        <v>0</v>
      </c>
      <c r="AB126" s="130"/>
      <c r="AC126" s="130">
        <v>5.6797122998006721E-3</v>
      </c>
      <c r="AD126" s="130"/>
      <c r="AE126" s="130">
        <v>6.4502845081812987</v>
      </c>
      <c r="AF126" s="130"/>
      <c r="AG126" s="130">
        <v>0</v>
      </c>
      <c r="AH126" s="130"/>
      <c r="AI126" s="130">
        <v>0</v>
      </c>
      <c r="AJ126" s="130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  <c r="AV126" s="131"/>
      <c r="AW126" s="131"/>
      <c r="AX126" s="131"/>
      <c r="AY126" s="131"/>
      <c r="AZ126" s="131"/>
      <c r="BA126" s="131"/>
      <c r="BB126" s="131"/>
      <c r="BC126" s="131"/>
      <c r="BD126" s="131"/>
      <c r="BE126" s="131"/>
      <c r="BF126" s="131"/>
      <c r="BG126" s="37">
        <v>1602.2</v>
      </c>
      <c r="BI126" s="2">
        <v>0</v>
      </c>
      <c r="BK126" s="2">
        <v>0</v>
      </c>
      <c r="BM126" s="2">
        <v>0</v>
      </c>
      <c r="BO126" s="37">
        <f t="shared" ref="BO126:BO128" si="1191">(BG126/1000)/60.2*1000</f>
        <v>26.614617940199334</v>
      </c>
      <c r="BQ126" s="2">
        <f t="shared" ref="BQ126:BQ128" si="1192">BI126/74.08</f>
        <v>0</v>
      </c>
      <c r="BS126" s="2">
        <f t="shared" ref="BS126:BS128" si="1193">(BK126/1000)/88.12*1000</f>
        <v>0</v>
      </c>
      <c r="BU126" s="2">
        <f t="shared" ref="BU126:BU128" si="1194">BM126/88.12</f>
        <v>0</v>
      </c>
      <c r="BW126" s="37">
        <f t="shared" ref="BW126:BW128" si="1195">BO126*0.05</f>
        <v>1.3307308970099667</v>
      </c>
      <c r="BX126" s="2">
        <f t="shared" si="577"/>
        <v>0</v>
      </c>
      <c r="BY126" s="2">
        <f t="shared" si="578"/>
        <v>0</v>
      </c>
      <c r="BZ126" s="18">
        <f t="shared" si="579"/>
        <v>0</v>
      </c>
    </row>
    <row r="127" spans="1:78" x14ac:dyDescent="0.3">
      <c r="A127" s="173"/>
      <c r="B127" s="70" t="s">
        <v>116</v>
      </c>
      <c r="C127" s="20">
        <v>6</v>
      </c>
      <c r="D127" s="69"/>
      <c r="E127" s="21"/>
      <c r="F127" s="37">
        <v>1.4450000000000001</v>
      </c>
      <c r="H127" s="37">
        <v>0.11799999999999999</v>
      </c>
      <c r="I127" s="53">
        <f t="shared" si="1190"/>
        <v>3.3535599999999999E-2</v>
      </c>
      <c r="L127" s="68"/>
      <c r="M127" s="22">
        <v>0.43101785404354659</v>
      </c>
      <c r="O127" s="21">
        <v>0</v>
      </c>
      <c r="Q127" s="21">
        <v>0.10133976713531069</v>
      </c>
      <c r="S127" s="21">
        <v>99.467642378821139</v>
      </c>
      <c r="U127" s="21">
        <v>0</v>
      </c>
      <c r="W127" s="21">
        <v>0</v>
      </c>
      <c r="Y127" s="32">
        <v>2.8036621337461834E-2</v>
      </c>
      <c r="Z127" s="33"/>
      <c r="AA127" s="33">
        <v>0</v>
      </c>
      <c r="AB127" s="33"/>
      <c r="AC127" s="33">
        <v>6.5918955582573392E-3</v>
      </c>
      <c r="AD127" s="33"/>
      <c r="AE127" s="33">
        <v>6.470118577555092</v>
      </c>
      <c r="AF127" s="33"/>
      <c r="AG127" s="33">
        <v>0</v>
      </c>
      <c r="AH127" s="33"/>
      <c r="AI127" s="33">
        <v>0</v>
      </c>
      <c r="AJ127" s="33"/>
      <c r="AK127" s="132"/>
      <c r="AL127" s="132"/>
      <c r="AM127" s="132"/>
      <c r="AN127" s="132"/>
      <c r="AO127" s="132"/>
      <c r="AP127" s="132"/>
      <c r="AQ127" s="132"/>
      <c r="AR127" s="132"/>
      <c r="AS127" s="132"/>
      <c r="AT127" s="132"/>
      <c r="AU127" s="132"/>
      <c r="AV127" s="132"/>
      <c r="AW127" s="132"/>
      <c r="AX127" s="132"/>
      <c r="AY127" s="132"/>
      <c r="AZ127" s="132"/>
      <c r="BA127" s="132"/>
      <c r="BB127" s="132"/>
      <c r="BC127" s="132"/>
      <c r="BD127" s="132"/>
      <c r="BE127" s="132"/>
      <c r="BF127" s="132"/>
      <c r="BG127" s="37">
        <v>1516.96</v>
      </c>
      <c r="BI127" s="2">
        <v>0</v>
      </c>
      <c r="BK127" s="2">
        <v>0</v>
      </c>
      <c r="BM127" s="2">
        <v>0</v>
      </c>
      <c r="BO127" s="37">
        <f t="shared" si="1191"/>
        <v>25.198671096345514</v>
      </c>
      <c r="BQ127" s="2">
        <f t="shared" si="1192"/>
        <v>0</v>
      </c>
      <c r="BS127" s="2">
        <f t="shared" si="1193"/>
        <v>0</v>
      </c>
      <c r="BU127" s="2">
        <f t="shared" si="1194"/>
        <v>0</v>
      </c>
      <c r="BW127" s="37">
        <f t="shared" si="1195"/>
        <v>1.2599335548172759</v>
      </c>
      <c r="BX127" s="2">
        <f t="shared" si="577"/>
        <v>0</v>
      </c>
      <c r="BY127" s="2">
        <f t="shared" si="578"/>
        <v>0</v>
      </c>
      <c r="BZ127" s="18">
        <f t="shared" si="579"/>
        <v>0</v>
      </c>
    </row>
    <row r="128" spans="1:78" x14ac:dyDescent="0.3">
      <c r="A128" s="173"/>
      <c r="B128" s="128" t="s">
        <v>117</v>
      </c>
      <c r="C128" s="37">
        <v>6</v>
      </c>
      <c r="D128" s="37"/>
      <c r="E128" s="37"/>
      <c r="F128" s="37">
        <v>1.4350000000000001</v>
      </c>
      <c r="H128" s="37">
        <v>0.114</v>
      </c>
      <c r="I128" s="53">
        <f t="shared" si="681"/>
        <v>3.2398800000000005E-2</v>
      </c>
      <c r="M128" s="38">
        <v>4.4133861363419129</v>
      </c>
      <c r="N128" s="24"/>
      <c r="O128" s="24">
        <v>0</v>
      </c>
      <c r="P128" s="24"/>
      <c r="Q128" s="24">
        <v>0.10940324200983868</v>
      </c>
      <c r="R128" s="24"/>
      <c r="S128" s="24">
        <v>95.47721062164824</v>
      </c>
      <c r="T128" s="24"/>
      <c r="U128" s="24">
        <v>0</v>
      </c>
      <c r="V128" s="24"/>
      <c r="W128" s="24">
        <v>0</v>
      </c>
      <c r="X128" s="24"/>
      <c r="Y128" s="22">
        <v>0.28509289639121421</v>
      </c>
      <c r="Z128" s="21"/>
      <c r="AA128" s="21">
        <v>0</v>
      </c>
      <c r="AB128" s="21"/>
      <c r="AC128" s="21">
        <v>7.0671557338570301E-3</v>
      </c>
      <c r="AD128" s="21"/>
      <c r="AE128" s="21">
        <v>6.1675714914990891</v>
      </c>
      <c r="AF128" s="21"/>
      <c r="AG128" s="21">
        <v>0</v>
      </c>
      <c r="AH128" s="21"/>
      <c r="AI128" s="21">
        <v>0</v>
      </c>
      <c r="AJ128" s="21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37">
        <v>1476.25</v>
      </c>
      <c r="BI128" s="2">
        <v>0</v>
      </c>
      <c r="BK128" s="2">
        <v>0</v>
      </c>
      <c r="BO128" s="37">
        <f t="shared" si="1191"/>
        <v>24.522425249169437</v>
      </c>
      <c r="BQ128" s="2">
        <f t="shared" si="1192"/>
        <v>0</v>
      </c>
      <c r="BS128" s="2">
        <f t="shared" si="1193"/>
        <v>0</v>
      </c>
      <c r="BU128" s="2">
        <f t="shared" si="1194"/>
        <v>0</v>
      </c>
      <c r="BW128" s="37">
        <f t="shared" si="1195"/>
        <v>1.2261212624584719</v>
      </c>
      <c r="BX128" s="2">
        <f t="shared" si="577"/>
        <v>0</v>
      </c>
      <c r="BY128" s="2">
        <f t="shared" si="578"/>
        <v>0</v>
      </c>
      <c r="BZ128" s="18">
        <f t="shared" si="579"/>
        <v>0</v>
      </c>
    </row>
    <row r="129" spans="1:78" ht="15" thickBot="1" x14ac:dyDescent="0.35">
      <c r="A129" s="175"/>
      <c r="B129" s="66" t="s">
        <v>63</v>
      </c>
      <c r="C129" s="65">
        <v>6</v>
      </c>
      <c r="D129" s="64" t="e">
        <f>AVERAGE(D126:D127)</f>
        <v>#DIV/0!</v>
      </c>
      <c r="E129" s="58"/>
      <c r="F129" s="60">
        <f>AVERAGE(F126:F128)</f>
        <v>1.4400000000000002</v>
      </c>
      <c r="G129" s="55">
        <f>_xlfn.STDEV.S(F126:F127)</f>
        <v>3.5355339059328192E-3</v>
      </c>
      <c r="H129" s="60">
        <f>AVERAGE(H126:H128)</f>
        <v>0.11566666666666665</v>
      </c>
      <c r="I129" s="63">
        <f t="shared" ref="I129" si="1196">AVERAGE(I126:I128)</f>
        <v>3.2872466666666669E-2</v>
      </c>
      <c r="J129" s="63">
        <f t="shared" ref="J129" si="1197">_xlfn.STDEV.S(I126:I128)</f>
        <v>5.9160947704827154E-4</v>
      </c>
      <c r="K129" s="63"/>
      <c r="L129" s="62" t="e">
        <f>_xlfn.STDEV.S(K126:K127)</f>
        <v>#DIV/0!</v>
      </c>
      <c r="M129" s="59">
        <f>AVERAGE(M126:M128)</f>
        <v>1.7499146104996723</v>
      </c>
      <c r="N129" s="58">
        <f>_xlfn.STDEV.S(M126:M128)</f>
        <v>2.3066697350978318</v>
      </c>
      <c r="O129" s="58">
        <f t="shared" ref="O129" si="1198">AVERAGE(O126:O128)</f>
        <v>0</v>
      </c>
      <c r="P129" s="58">
        <f t="shared" ref="P129" si="1199">_xlfn.STDEV.S(O126:O128)</f>
        <v>0</v>
      </c>
      <c r="Q129" s="58">
        <f t="shared" ref="Q129" si="1200">AVERAGE(Q126:Q128)</f>
        <v>9.9454203755018067E-2</v>
      </c>
      <c r="R129" s="58">
        <f t="shared" ref="R129" si="1201">_xlfn.STDEV.S(Q126:Q128)</f>
        <v>1.1013548640624643E-2</v>
      </c>
      <c r="S129" s="58">
        <f t="shared" ref="S129" si="1202">AVERAGE(S126:S128)</f>
        <v>98.150631185745297</v>
      </c>
      <c r="T129" s="58">
        <f t="shared" ref="T129" si="1203">_xlfn.STDEV.S(S126:S128)</f>
        <v>2.3153339259184977</v>
      </c>
      <c r="U129" s="58">
        <f t="shared" ref="U129" si="1204">AVERAGE(U126:U128)</f>
        <v>0</v>
      </c>
      <c r="V129" s="58">
        <f t="shared" ref="V129" si="1205">_xlfn.STDEV.S(U126:U128)</f>
        <v>0</v>
      </c>
      <c r="W129" s="58">
        <f t="shared" ref="W129" si="1206">AVERAGE(W126:W128)</f>
        <v>0</v>
      </c>
      <c r="X129" s="58">
        <f t="shared" ref="X129" si="1207">_xlfn.STDEV.S(W126:W128)</f>
        <v>0</v>
      </c>
      <c r="Y129" s="59">
        <f>AVERAGE(Y126:Y128)</f>
        <v>0.11313487209502104</v>
      </c>
      <c r="Z129" s="58">
        <f>_xlfn.STDEV.S(Y126:Y128)</f>
        <v>0.14892262195688966</v>
      </c>
      <c r="AA129" s="58">
        <f t="shared" ref="AA129" si="1208">AVERAGE(AA126:AA128)</f>
        <v>0</v>
      </c>
      <c r="AB129" s="58">
        <f t="shared" ref="AB129" si="1209">_xlfn.STDEV.S(AA126:AA128)</f>
        <v>0</v>
      </c>
      <c r="AC129" s="58">
        <f t="shared" ref="AC129" si="1210">AVERAGE(AC126:AC128)</f>
        <v>6.4462545306383469E-3</v>
      </c>
      <c r="AD129" s="58">
        <f t="shared" ref="AD129" si="1211">_xlfn.STDEV.S(AC126:AC128)</f>
        <v>7.0509453435050955E-4</v>
      </c>
      <c r="AE129" s="58">
        <f t="shared" ref="AE129" si="1212">AVERAGE(AE126:AE128)</f>
        <v>6.3626581924118257</v>
      </c>
      <c r="AF129" s="58">
        <f t="shared" ref="AF129" si="1213">_xlfn.STDEV.S(AE126:AE128)</f>
        <v>0.16924084386383517</v>
      </c>
      <c r="AG129" s="58">
        <f t="shared" ref="AG129" si="1214">AVERAGE(AG126:AG128)</f>
        <v>0</v>
      </c>
      <c r="AH129" s="58">
        <f t="shared" ref="AH129" si="1215">_xlfn.STDEV.S(AG126:AG128)</f>
        <v>0</v>
      </c>
      <c r="AI129" s="58">
        <f t="shared" ref="AI129" si="1216">AVERAGE(AI126:AI128)</f>
        <v>0</v>
      </c>
      <c r="AJ129" s="58">
        <f t="shared" ref="AJ129" si="1217">_xlfn.STDEV.S(AI126:AI128)</f>
        <v>0</v>
      </c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3"/>
      <c r="BA129" s="133"/>
      <c r="BB129" s="133"/>
      <c r="BC129" s="133"/>
      <c r="BD129" s="133"/>
      <c r="BE129" s="133"/>
      <c r="BF129" s="133"/>
      <c r="BG129" s="60">
        <f t="shared" ref="BG129" si="1218">AVERAGE(BG126:BG128)</f>
        <v>1531.8033333333333</v>
      </c>
      <c r="BH129" s="57">
        <f t="shared" ref="BH129" si="1219">_xlfn.STDEV.S(BG126:BG128)</f>
        <v>64.273587369411217</v>
      </c>
      <c r="BI129" s="57">
        <f t="shared" ref="BI129" si="1220">AVERAGE(BI126:BI128)</f>
        <v>0</v>
      </c>
      <c r="BJ129" s="57">
        <f t="shared" ref="BJ129" si="1221">_xlfn.STDEV.S(BI126:BI128)</f>
        <v>0</v>
      </c>
      <c r="BK129" s="57">
        <f t="shared" ref="BK129" si="1222">AVERAGE(BK126:BK128)</f>
        <v>0</v>
      </c>
      <c r="BL129" s="57">
        <f t="shared" ref="BL129" si="1223">_xlfn.STDEV.S(BK126:BK128)</f>
        <v>0</v>
      </c>
      <c r="BM129" s="57">
        <f t="shared" ref="BM129" si="1224">AVERAGE(BM126:BM128)</f>
        <v>0</v>
      </c>
      <c r="BN129" s="57">
        <f t="shared" ref="BN129" si="1225">_xlfn.STDEV.S(BM126:BM128)</f>
        <v>0</v>
      </c>
      <c r="BO129" s="60">
        <f t="shared" ref="BO129" si="1226">AVERAGE(BO126:BO128)</f>
        <v>25.445238095238096</v>
      </c>
      <c r="BP129" s="57">
        <f t="shared" ref="BP129" si="1227">_xlfn.STDEV.S(BO126:BO128)</f>
        <v>1.0676675642759319</v>
      </c>
      <c r="BQ129" s="57">
        <f t="shared" ref="BQ129" si="1228">AVERAGE(BQ126:BQ128)</f>
        <v>0</v>
      </c>
      <c r="BR129" s="57">
        <f t="shared" ref="BR129" si="1229">_xlfn.STDEV.S(BQ126:BQ128)</f>
        <v>0</v>
      </c>
      <c r="BS129" s="57">
        <f t="shared" ref="BS129" si="1230">AVERAGE(BS126:BS128)</f>
        <v>0</v>
      </c>
      <c r="BT129" s="57">
        <f t="shared" ref="BT129" si="1231">_xlfn.STDEV.S(BS126:BS128)</f>
        <v>0</v>
      </c>
      <c r="BU129" s="57">
        <f t="shared" ref="BU129" si="1232">AVERAGE(BU126:BU128)</f>
        <v>0</v>
      </c>
      <c r="BV129" s="57">
        <f t="shared" ref="BV129" si="1233">_xlfn.STDEV.S(BU126:BU128)</f>
        <v>0</v>
      </c>
      <c r="BW129" s="60">
        <f t="shared" ref="BW129" si="1234">AVERAGE(BW126:BW128)</f>
        <v>1.2722619047619048</v>
      </c>
      <c r="BX129" s="57">
        <f t="shared" si="577"/>
        <v>0</v>
      </c>
      <c r="BY129" s="57">
        <f t="shared" si="578"/>
        <v>0</v>
      </c>
      <c r="BZ129" s="61">
        <f t="shared" si="579"/>
        <v>0</v>
      </c>
    </row>
    <row r="130" spans="1:78" x14ac:dyDescent="0.3">
      <c r="A130" s="174" t="s">
        <v>58</v>
      </c>
      <c r="B130" s="70" t="s">
        <v>112</v>
      </c>
      <c r="C130" s="20">
        <v>7</v>
      </c>
      <c r="D130" s="69">
        <v>7.12</v>
      </c>
      <c r="E130" s="21"/>
      <c r="F130" s="37">
        <v>1.395</v>
      </c>
      <c r="H130" s="37">
        <v>9.2999999999999999E-2</v>
      </c>
      <c r="I130" s="53">
        <f t="shared" ref="I130" si="1235">H130*0.2842</f>
        <v>2.6430600000000002E-2</v>
      </c>
      <c r="L130" s="68"/>
      <c r="M130" s="22">
        <v>14.668159294834746</v>
      </c>
      <c r="O130" s="21">
        <v>84.816072347182796</v>
      </c>
      <c r="Q130" s="21">
        <v>0.19893807434032154</v>
      </c>
      <c r="S130" s="21">
        <v>0.31683028364213306</v>
      </c>
      <c r="U130" s="21">
        <v>0</v>
      </c>
      <c r="W130" s="21">
        <v>0</v>
      </c>
      <c r="Y130" s="22">
        <v>0.92111190202667859</v>
      </c>
      <c r="Z130" s="21"/>
      <c r="AA130" s="21">
        <v>5.3261688908476019</v>
      </c>
      <c r="AB130" s="21"/>
      <c r="AC130" s="21">
        <v>1.2492653260567336E-2</v>
      </c>
      <c r="AD130" s="21"/>
      <c r="AE130" s="21">
        <v>1.9895894182716204E-2</v>
      </c>
      <c r="AF130" s="21"/>
      <c r="AG130" s="21">
        <v>0</v>
      </c>
      <c r="AH130" s="21"/>
      <c r="AI130" s="21">
        <v>0</v>
      </c>
      <c r="AJ130" s="21"/>
      <c r="AK130" s="37">
        <f>8*(AG130-$AG$74)/(2*($AA$74-AA130)+2*($AI$74-AI130))</f>
        <v>0</v>
      </c>
      <c r="AM130" s="37">
        <f>(AG130-$AG$74)/(($AA$74-AA130)+($AI$74-AI130))</f>
        <v>0</v>
      </c>
      <c r="AO130" s="37">
        <f>8*(BW130-$BW$74)/(2*($AA$74-AA130)+2*($AI$74-AI130))</f>
        <v>0</v>
      </c>
      <c r="AQ130" s="37">
        <f>(BW130-$BW$74)/(($AA$74-AA130)+($AI$74-AI130))</f>
        <v>0</v>
      </c>
      <c r="AS130" s="37">
        <f>14*(BX130-$BX$74)/(2*($AA$74-AA130)+2*($AI$74-AI130))</f>
        <v>0</v>
      </c>
      <c r="AU130" s="37">
        <f>(BX130-$BX$74)/(($AA$74-AA130)+($AI$74-AI130))</f>
        <v>0</v>
      </c>
      <c r="BG130" s="127">
        <v>0</v>
      </c>
      <c r="BI130" s="2">
        <v>0</v>
      </c>
      <c r="BK130" s="2">
        <v>0</v>
      </c>
      <c r="BM130" s="2">
        <v>0</v>
      </c>
      <c r="BO130" s="37">
        <f t="shared" ref="BO130:BO132" si="1236">(BG130/1000)/60.2*1000</f>
        <v>0</v>
      </c>
      <c r="BQ130" s="2">
        <f t="shared" ref="BQ130:BQ132" si="1237">BI130/74.08</f>
        <v>0</v>
      </c>
      <c r="BS130" s="2">
        <f t="shared" ref="BS130:BS132" si="1238">(BK130/1000)/88.12*1000</f>
        <v>0</v>
      </c>
      <c r="BU130" s="2">
        <f t="shared" ref="BU130:BU132" si="1239">BM130/88.12</f>
        <v>0</v>
      </c>
      <c r="BW130" s="37">
        <f t="shared" ref="BW130:BW132" si="1240">BO130*0.05</f>
        <v>0</v>
      </c>
      <c r="BX130" s="2">
        <f t="shared" si="577"/>
        <v>0</v>
      </c>
      <c r="BY130" s="2">
        <f t="shared" si="578"/>
        <v>0</v>
      </c>
      <c r="BZ130" s="18">
        <f t="shared" si="579"/>
        <v>0</v>
      </c>
    </row>
    <row r="131" spans="1:78" x14ac:dyDescent="0.3">
      <c r="A131" s="173"/>
      <c r="B131" s="70" t="s">
        <v>113</v>
      </c>
      <c r="C131" s="20">
        <v>7</v>
      </c>
      <c r="D131" s="69">
        <v>7.1</v>
      </c>
      <c r="E131" s="21"/>
      <c r="F131" s="37">
        <v>1.405</v>
      </c>
      <c r="H131" s="37">
        <v>0.10199999999999999</v>
      </c>
      <c r="I131" s="53">
        <f t="shared" si="625"/>
        <v>2.8988399999999998E-2</v>
      </c>
      <c r="L131" s="68"/>
      <c r="M131" s="22">
        <v>14.595303068048535</v>
      </c>
      <c r="O131" s="21">
        <v>84.828401323583705</v>
      </c>
      <c r="Q131" s="21">
        <v>0.20305516191418946</v>
      </c>
      <c r="S131" s="21">
        <v>0.37324044645359611</v>
      </c>
      <c r="U131" s="21">
        <v>0</v>
      </c>
      <c r="W131" s="21">
        <v>0</v>
      </c>
      <c r="Y131" s="22">
        <v>0.92310692796157345</v>
      </c>
      <c r="Z131" s="21"/>
      <c r="AA131" s="21">
        <v>5.3651290819118769</v>
      </c>
      <c r="AB131" s="21"/>
      <c r="AC131" s="21">
        <v>1.2842599146275162E-2</v>
      </c>
      <c r="AD131" s="21"/>
      <c r="AE131" s="21">
        <v>2.3606282124489803E-2</v>
      </c>
      <c r="AF131" s="21"/>
      <c r="AG131" s="21">
        <v>0</v>
      </c>
      <c r="AH131" s="21"/>
      <c r="AI131" s="21">
        <v>0</v>
      </c>
      <c r="AJ131" s="21"/>
      <c r="AK131" s="37">
        <f>8*(AG131-$AG$75)/(2*($AA$75-AA131)+2*($AI$75-AI131))</f>
        <v>0</v>
      </c>
      <c r="AM131" s="37">
        <f>(AG131-$AG$75)/(($AA$75-AA131)+($AI$75-AI131))</f>
        <v>0</v>
      </c>
      <c r="AO131" s="37">
        <f>8*(BW131-$BW$75)/(2*($AA$75-AA131)+2*($AI$75-AI131))</f>
        <v>0</v>
      </c>
      <c r="AQ131" s="37">
        <f>(BW131-$BW$75)/(($AA$75-AA131)+($AI$75-AI131))</f>
        <v>0</v>
      </c>
      <c r="AS131" s="37">
        <f>14*(BX131-$BX$75)/(2*($AA$75-AA131)+2*($AI$75-AI131))</f>
        <v>0</v>
      </c>
      <c r="AU131" s="37">
        <f>(BX131-$BX$75)/(($AA$75-AA131)+($AI$75-AI131))</f>
        <v>0</v>
      </c>
      <c r="BG131" s="37">
        <v>0</v>
      </c>
      <c r="BI131" s="2">
        <v>0</v>
      </c>
      <c r="BK131" s="2">
        <v>0</v>
      </c>
      <c r="BM131" s="2">
        <v>0</v>
      </c>
      <c r="BO131" s="37">
        <f t="shared" si="1236"/>
        <v>0</v>
      </c>
      <c r="BQ131" s="2">
        <f t="shared" si="1237"/>
        <v>0</v>
      </c>
      <c r="BS131" s="2">
        <f t="shared" si="1238"/>
        <v>0</v>
      </c>
      <c r="BU131" s="2">
        <f t="shared" si="1239"/>
        <v>0</v>
      </c>
      <c r="BW131" s="37">
        <f t="shared" si="1240"/>
        <v>0</v>
      </c>
      <c r="BX131" s="2">
        <f t="shared" si="577"/>
        <v>0</v>
      </c>
      <c r="BY131" s="2">
        <f t="shared" si="578"/>
        <v>0</v>
      </c>
      <c r="BZ131" s="18">
        <f t="shared" si="579"/>
        <v>0</v>
      </c>
    </row>
    <row r="132" spans="1:78" x14ac:dyDescent="0.3">
      <c r="A132" s="173"/>
      <c r="B132" s="70" t="s">
        <v>114</v>
      </c>
      <c r="C132" s="20">
        <v>7</v>
      </c>
      <c r="D132" s="69">
        <v>7.05</v>
      </c>
      <c r="E132" s="21"/>
      <c r="F132" s="37">
        <v>1.415</v>
      </c>
      <c r="H132" s="37">
        <v>9.2999999999999999E-2</v>
      </c>
      <c r="I132" s="53">
        <f t="shared" si="625"/>
        <v>2.6430600000000002E-2</v>
      </c>
      <c r="L132" s="68"/>
      <c r="M132" s="22">
        <v>16.073965580035132</v>
      </c>
      <c r="O132" s="21">
        <v>83.34660827676197</v>
      </c>
      <c r="Q132" s="21">
        <v>0.13636195649166405</v>
      </c>
      <c r="S132" s="21">
        <v>0.44306418671121511</v>
      </c>
      <c r="U132" s="21">
        <v>0</v>
      </c>
      <c r="W132" s="21">
        <v>0</v>
      </c>
      <c r="Y132" s="22">
        <v>1.0238634565937423</v>
      </c>
      <c r="Z132" s="21"/>
      <c r="AA132" s="21">
        <v>5.3089292757726314</v>
      </c>
      <c r="AB132" s="21"/>
      <c r="AC132" s="21">
        <v>8.6858481453296419E-3</v>
      </c>
      <c r="AD132" s="21"/>
      <c r="AE132" s="21">
        <v>2.8221861459158878E-2</v>
      </c>
      <c r="AF132" s="21"/>
      <c r="AG132" s="21">
        <v>0</v>
      </c>
      <c r="AH132" s="21"/>
      <c r="AI132" s="21">
        <v>0</v>
      </c>
      <c r="AJ132" s="21"/>
      <c r="AK132" s="37">
        <f>8*(AG132-$AG$76)/(2*($AA$76-AA132)+2*($AI$76-AI132))</f>
        <v>0</v>
      </c>
      <c r="AM132" s="37">
        <f>(AG132-$AG$76)/(($AA$76-AA132)+($AI$76-AI132))</f>
        <v>0</v>
      </c>
      <c r="AO132" s="37">
        <f>8*(BW132-$BW$76)/(2*($AA$76-AA132)+2*($AI$76-AI132))</f>
        <v>0</v>
      </c>
      <c r="AQ132" s="37">
        <f>(BW132-$BW$76)/(($AA$76-AA132)+($AI$76-AI132))</f>
        <v>0</v>
      </c>
      <c r="AS132" s="37">
        <f>14*(BX132-$BX$76)/(2*($AA$76-AA132)+2*($AI$76-AI132))</f>
        <v>0</v>
      </c>
      <c r="AU132" s="37">
        <f>(BX132-$BX$76)/(($AA$76-AA132)+($AI$76-AI132))</f>
        <v>0</v>
      </c>
      <c r="BG132" s="37">
        <v>0</v>
      </c>
      <c r="BI132" s="2">
        <v>0</v>
      </c>
      <c r="BK132" s="2">
        <v>0</v>
      </c>
      <c r="BM132" s="2">
        <v>0</v>
      </c>
      <c r="BO132" s="37">
        <f t="shared" si="1236"/>
        <v>0</v>
      </c>
      <c r="BQ132" s="2">
        <f t="shared" si="1237"/>
        <v>0</v>
      </c>
      <c r="BS132" s="2">
        <f t="shared" si="1238"/>
        <v>0</v>
      </c>
      <c r="BU132" s="2">
        <f t="shared" si="1239"/>
        <v>0</v>
      </c>
      <c r="BW132" s="37">
        <f t="shared" si="1240"/>
        <v>0</v>
      </c>
      <c r="BX132" s="2">
        <f t="shared" si="577"/>
        <v>0</v>
      </c>
      <c r="BY132" s="2">
        <f t="shared" si="578"/>
        <v>0</v>
      </c>
      <c r="BZ132" s="18">
        <f t="shared" si="579"/>
        <v>0</v>
      </c>
    </row>
    <row r="133" spans="1:78" x14ac:dyDescent="0.3">
      <c r="A133" s="180"/>
      <c r="B133" s="83" t="s">
        <v>63</v>
      </c>
      <c r="C133" s="80">
        <v>7</v>
      </c>
      <c r="D133" s="79">
        <f>AVERAGE(D130:D132)</f>
        <v>7.09</v>
      </c>
      <c r="E133" s="77">
        <f>_xlfn.STDEV.S(D130:D132)</f>
        <v>3.6055512754639987E-2</v>
      </c>
      <c r="F133" s="78">
        <f t="shared" ref="F133" si="1241">AVERAGE(F130:F132)</f>
        <v>1.405</v>
      </c>
      <c r="G133" s="73">
        <f>_xlfn.STDEV.S(F130:F132)</f>
        <v>1.0000000000000009E-2</v>
      </c>
      <c r="H133" s="78">
        <f t="shared" ref="H133:I133" si="1242">AVERAGE(H130:H132)</f>
        <v>9.6000000000000016E-2</v>
      </c>
      <c r="I133" s="82">
        <f t="shared" si="1242"/>
        <v>2.7283199999999997E-2</v>
      </c>
      <c r="J133" s="82">
        <f t="shared" ref="J133" si="1243">_xlfn.STDEV.S(I130:I132)</f>
        <v>1.4767465185332221E-3</v>
      </c>
      <c r="K133" s="82"/>
      <c r="L133" s="81" t="e">
        <f>_xlfn.STDEV.S(K130:K132)</f>
        <v>#DIV/0!</v>
      </c>
      <c r="M133" s="77">
        <f>AVERAGE(M130:M132)</f>
        <v>15.112475980972803</v>
      </c>
      <c r="N133" s="76">
        <f>_xlfn.STDEV.S(M130:M132)</f>
        <v>0.83347087188105007</v>
      </c>
      <c r="O133" s="76">
        <f t="shared" ref="O133" si="1244">AVERAGE(O130:O132)</f>
        <v>84.330360649176157</v>
      </c>
      <c r="P133" s="76">
        <f t="shared" ref="P133" si="1245">_xlfn.STDEV.S(O130:O132)</f>
        <v>0.85197684744814528</v>
      </c>
      <c r="Q133" s="76">
        <f t="shared" ref="Q133" si="1246">AVERAGE(Q130:Q132)</f>
        <v>0.17945173091539168</v>
      </c>
      <c r="R133" s="76">
        <f t="shared" ref="R133" si="1247">_xlfn.STDEV.S(Q130:Q132)</f>
        <v>3.7373574854949597E-2</v>
      </c>
      <c r="S133" s="76">
        <f t="shared" ref="S133" si="1248">AVERAGE(S130:S132)</f>
        <v>0.37771163893564808</v>
      </c>
      <c r="T133" s="76">
        <f t="shared" ref="T133" si="1249">_xlfn.STDEV.S(S130:S132)</f>
        <v>6.3235616883780751E-2</v>
      </c>
      <c r="U133" s="76">
        <f t="shared" ref="U133" si="1250">AVERAGE(U130:U132)</f>
        <v>0</v>
      </c>
      <c r="V133" s="76">
        <f t="shared" ref="V133" si="1251">_xlfn.STDEV.S(U130:U132)</f>
        <v>0</v>
      </c>
      <c r="W133" s="76">
        <f t="shared" ref="W133" si="1252">AVERAGE(W130:W132)</f>
        <v>0</v>
      </c>
      <c r="X133" s="76">
        <f t="shared" ref="X133" si="1253">_xlfn.STDEV.S(W130:W132)</f>
        <v>0</v>
      </c>
      <c r="Y133" s="77">
        <f>AVERAGE(Y130:Y132)</f>
        <v>0.95602742886066483</v>
      </c>
      <c r="Z133" s="76">
        <f>_xlfn.STDEV.S(Y130:Y132)</f>
        <v>5.8756191385013846E-2</v>
      </c>
      <c r="AA133" s="76">
        <f t="shared" ref="AA133" si="1254">AVERAGE(AA130:AA132)</f>
        <v>5.3334090828440361</v>
      </c>
      <c r="AB133" s="76">
        <f t="shared" ref="AB133" si="1255">_xlfn.STDEV.S(AA130:AA132)</f>
        <v>2.8790967987046251E-2</v>
      </c>
      <c r="AC133" s="76">
        <f t="shared" ref="AC133" si="1256">AVERAGE(AC130:AC132)</f>
        <v>1.1340366850724046E-2</v>
      </c>
      <c r="AD133" s="76">
        <f t="shared" ref="AD133" si="1257">_xlfn.STDEV.S(AC130:AC132)</f>
        <v>2.3055298086768579E-3</v>
      </c>
      <c r="AE133" s="76">
        <f t="shared" ref="AE133" si="1258">AVERAGE(AE130:AE132)</f>
        <v>2.3908012588788292E-2</v>
      </c>
      <c r="AF133" s="76">
        <f t="shared" ref="AF133" si="1259">_xlfn.STDEV.S(AE130:AE132)</f>
        <v>4.1711765398881042E-3</v>
      </c>
      <c r="AG133" s="76">
        <f t="shared" ref="AG133" si="1260">AVERAGE(AG130:AG132)</f>
        <v>0</v>
      </c>
      <c r="AH133" s="76">
        <f t="shared" ref="AH133" si="1261">_xlfn.STDEV.S(AG130:AG132)</f>
        <v>0</v>
      </c>
      <c r="AI133" s="76">
        <f t="shared" ref="AI133" si="1262">AVERAGE(AI130:AI132)</f>
        <v>0</v>
      </c>
      <c r="AJ133" s="76">
        <f t="shared" ref="AJ133" si="1263">_xlfn.STDEV.S(AI130:AI132)</f>
        <v>0</v>
      </c>
      <c r="AK133" s="78">
        <f t="shared" ref="AK133" si="1264">AVERAGE(AK130:AK132)</f>
        <v>0</v>
      </c>
      <c r="AL133" s="78">
        <f t="shared" ref="AL133" si="1265">_xlfn.STDEV.S(AK130:AK132)</f>
        <v>0</v>
      </c>
      <c r="AM133" s="78">
        <f>AVERAGE(AM130:AM132)</f>
        <v>0</v>
      </c>
      <c r="AN133" s="78">
        <f t="shared" ref="AN133" si="1266">_xlfn.STDEV.S(AM130:AM132)</f>
        <v>0</v>
      </c>
      <c r="AO133" s="78">
        <f t="shared" ref="AO133" si="1267">AVERAGE(AO130:AO132)</f>
        <v>0</v>
      </c>
      <c r="AP133" s="78">
        <f t="shared" ref="AP133" si="1268">_xlfn.STDEV.S(AO130:AO132)</f>
        <v>0</v>
      </c>
      <c r="AQ133" s="78">
        <f t="shared" ref="AQ133" si="1269">AVERAGE(AQ130:AQ132)</f>
        <v>0</v>
      </c>
      <c r="AR133" s="78">
        <f t="shared" ref="AR133" si="1270">_xlfn.STDEV.S(AQ130:AQ132)</f>
        <v>0</v>
      </c>
      <c r="AS133" s="78">
        <f t="shared" ref="AS133" si="1271">AVERAGE(AS130:AS132)</f>
        <v>0</v>
      </c>
      <c r="AT133" s="78">
        <f t="shared" ref="AT133" si="1272">_xlfn.STDEV.S(AS130:AS132)</f>
        <v>0</v>
      </c>
      <c r="AU133" s="78">
        <f t="shared" ref="AU133" si="1273">AVERAGE(AU130:AU132)</f>
        <v>0</v>
      </c>
      <c r="AV133" s="78">
        <f t="shared" ref="AV133" si="1274">_xlfn.STDEV.S(AU130:AU132)</f>
        <v>0</v>
      </c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>
        <f t="shared" ref="BG133" si="1275">AVERAGE(BG130:BG132)</f>
        <v>0</v>
      </c>
      <c r="BH133" s="75">
        <f t="shared" ref="BH133" si="1276">_xlfn.STDEV.S(BG130:BG132)</f>
        <v>0</v>
      </c>
      <c r="BI133" s="75">
        <f t="shared" ref="BI133" si="1277">AVERAGE(BI130:BI132)</f>
        <v>0</v>
      </c>
      <c r="BJ133" s="75">
        <f t="shared" ref="BJ133" si="1278">_xlfn.STDEV.S(BI130:BI132)</f>
        <v>0</v>
      </c>
      <c r="BK133" s="75">
        <f t="shared" ref="BK133" si="1279">AVERAGE(BK130:BK132)</f>
        <v>0</v>
      </c>
      <c r="BL133" s="75">
        <f t="shared" ref="BL133" si="1280">_xlfn.STDEV.S(BK130:BK132)</f>
        <v>0</v>
      </c>
      <c r="BM133" s="75">
        <f t="shared" ref="BM133" si="1281">AVERAGE(BM130:BM132)</f>
        <v>0</v>
      </c>
      <c r="BN133" s="75">
        <f t="shared" ref="BN133" si="1282">_xlfn.STDEV.S(BM130:BM132)</f>
        <v>0</v>
      </c>
      <c r="BO133" s="78">
        <f t="shared" ref="BO133" si="1283">AVERAGE(BO130:BO132)</f>
        <v>0</v>
      </c>
      <c r="BP133" s="75">
        <f t="shared" ref="BP133" si="1284">_xlfn.STDEV.S(BO130:BO132)</f>
        <v>0</v>
      </c>
      <c r="BQ133" s="75">
        <f t="shared" ref="BQ133" si="1285">AVERAGE(BQ130:BQ132)</f>
        <v>0</v>
      </c>
      <c r="BR133" s="75">
        <f t="shared" ref="BR133" si="1286">_xlfn.STDEV.S(BQ130:BQ132)</f>
        <v>0</v>
      </c>
      <c r="BS133" s="75">
        <f t="shared" ref="BS133" si="1287">AVERAGE(BS130:BS132)</f>
        <v>0</v>
      </c>
      <c r="BT133" s="75">
        <f t="shared" ref="BT133" si="1288">_xlfn.STDEV.S(BS130:BS132)</f>
        <v>0</v>
      </c>
      <c r="BU133" s="75">
        <f t="shared" ref="BU133" si="1289">AVERAGE(BU130:BU132)</f>
        <v>0</v>
      </c>
      <c r="BV133" s="75">
        <f t="shared" ref="BV133" si="1290">_xlfn.STDEV.S(BU130:BU132)</f>
        <v>0</v>
      </c>
      <c r="BW133" s="78">
        <f t="shared" ref="BW133" si="1291">AVERAGE(BW130:BW132)</f>
        <v>0</v>
      </c>
      <c r="BX133" s="75">
        <f t="shared" si="577"/>
        <v>0</v>
      </c>
      <c r="BY133" s="75">
        <f t="shared" si="578"/>
        <v>0</v>
      </c>
      <c r="BZ133" s="119">
        <f t="shared" si="579"/>
        <v>0</v>
      </c>
    </row>
    <row r="134" spans="1:78" x14ac:dyDescent="0.3">
      <c r="A134" s="174" t="s">
        <v>61</v>
      </c>
      <c r="B134" s="70" t="s">
        <v>115</v>
      </c>
      <c r="C134" s="20">
        <v>7</v>
      </c>
      <c r="D134" s="69">
        <v>7.08</v>
      </c>
      <c r="E134" s="21"/>
      <c r="F134" s="37">
        <v>1.4350000000000001</v>
      </c>
      <c r="H134" s="37">
        <v>0.112</v>
      </c>
      <c r="I134" s="53">
        <f t="shared" ref="I134:I135" si="1292">H134*0.2842</f>
        <v>3.1830400000000002E-2</v>
      </c>
      <c r="L134" s="68"/>
      <c r="M134" s="22">
        <v>0.45997086504637064</v>
      </c>
      <c r="O134" s="21">
        <v>0</v>
      </c>
      <c r="Q134" s="21">
        <v>0.12353981051651468</v>
      </c>
      <c r="S134" s="21">
        <v>99.416489324437123</v>
      </c>
      <c r="U134" s="21">
        <v>0</v>
      </c>
      <c r="W134" s="21">
        <v>0</v>
      </c>
      <c r="Y134" s="129">
        <v>2.9712883060881327E-2</v>
      </c>
      <c r="Z134" s="130"/>
      <c r="AA134" s="130">
        <v>0</v>
      </c>
      <c r="AB134" s="130"/>
      <c r="AC134" s="130">
        <v>7.9803401088688174E-3</v>
      </c>
      <c r="AD134" s="130"/>
      <c r="AE134" s="130">
        <v>6.422038320454412</v>
      </c>
      <c r="AF134" s="130"/>
      <c r="AG134" s="130">
        <v>0</v>
      </c>
      <c r="AH134" s="130"/>
      <c r="AI134" s="130">
        <v>0</v>
      </c>
      <c r="AJ134" s="130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G134" s="37">
        <v>1578.03</v>
      </c>
      <c r="BI134" s="2">
        <v>0</v>
      </c>
      <c r="BK134" s="2">
        <v>0</v>
      </c>
      <c r="BM134" s="2">
        <v>0</v>
      </c>
      <c r="BO134" s="37">
        <f t="shared" ref="BO134:BO136" si="1293">(BG134/1000)/60.2*1000</f>
        <v>26.213122923588038</v>
      </c>
      <c r="BQ134" s="2">
        <f t="shared" ref="BQ134:BQ136" si="1294">BI134/74.08</f>
        <v>0</v>
      </c>
      <c r="BS134" s="2">
        <f t="shared" ref="BS134:BS136" si="1295">(BK134/1000)/88.12*1000</f>
        <v>0</v>
      </c>
      <c r="BU134" s="2">
        <f t="shared" ref="BU134:BU136" si="1296">BM134/88.12</f>
        <v>0</v>
      </c>
      <c r="BW134" s="37">
        <f t="shared" ref="BW134:BW136" si="1297">BO134*0.05</f>
        <v>1.310656146179402</v>
      </c>
      <c r="BX134" s="2">
        <f t="shared" si="577"/>
        <v>0</v>
      </c>
      <c r="BY134" s="2">
        <f t="shared" si="578"/>
        <v>0</v>
      </c>
      <c r="BZ134" s="18">
        <f t="shared" si="579"/>
        <v>0</v>
      </c>
    </row>
    <row r="135" spans="1:78" x14ac:dyDescent="0.3">
      <c r="A135" s="173"/>
      <c r="B135" s="70" t="s">
        <v>116</v>
      </c>
      <c r="C135" s="20">
        <v>7</v>
      </c>
      <c r="D135" s="69">
        <v>7.11</v>
      </c>
      <c r="E135" s="21"/>
      <c r="F135" s="37">
        <v>1.4350000000000001</v>
      </c>
      <c r="H135" s="37">
        <v>0.115</v>
      </c>
      <c r="I135" s="53">
        <f t="shared" si="1292"/>
        <v>3.2683000000000004E-2</v>
      </c>
      <c r="L135" s="68"/>
      <c r="M135" s="22">
        <v>4.085461991418641</v>
      </c>
      <c r="O135" s="21">
        <v>0</v>
      </c>
      <c r="Q135" s="21">
        <v>6.2104226173699442E-2</v>
      </c>
      <c r="S135" s="21">
        <v>95.852433782407658</v>
      </c>
      <c r="U135" s="21">
        <v>0</v>
      </c>
      <c r="W135" s="21">
        <v>0</v>
      </c>
      <c r="Y135" s="32">
        <v>0.26390987696244572</v>
      </c>
      <c r="Z135" s="33"/>
      <c r="AA135" s="33">
        <v>0</v>
      </c>
      <c r="AB135" s="33"/>
      <c r="AC135" s="33">
        <v>4.0117662880661551E-3</v>
      </c>
      <c r="AD135" s="33"/>
      <c r="AE135" s="33">
        <v>6.1918099003736504</v>
      </c>
      <c r="AF135" s="33"/>
      <c r="AG135" s="33">
        <v>0</v>
      </c>
      <c r="AH135" s="33"/>
      <c r="AI135" s="33">
        <v>0</v>
      </c>
      <c r="AJ135" s="33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37">
        <v>1525.56</v>
      </c>
      <c r="BI135" s="2">
        <v>0</v>
      </c>
      <c r="BK135" s="2">
        <v>0</v>
      </c>
      <c r="BM135" s="2">
        <v>0</v>
      </c>
      <c r="BO135" s="37">
        <f t="shared" si="1293"/>
        <v>25.341528239202656</v>
      </c>
      <c r="BQ135" s="2">
        <f t="shared" si="1294"/>
        <v>0</v>
      </c>
      <c r="BS135" s="2">
        <f t="shared" si="1295"/>
        <v>0</v>
      </c>
      <c r="BU135" s="2">
        <f t="shared" si="1296"/>
        <v>0</v>
      </c>
      <c r="BW135" s="37">
        <f t="shared" si="1297"/>
        <v>1.267076411960133</v>
      </c>
      <c r="BX135" s="2">
        <f t="shared" si="577"/>
        <v>0</v>
      </c>
      <c r="BY135" s="2">
        <f t="shared" si="578"/>
        <v>0</v>
      </c>
      <c r="BZ135" s="18">
        <f t="shared" si="579"/>
        <v>0</v>
      </c>
    </row>
    <row r="136" spans="1:78" x14ac:dyDescent="0.3">
      <c r="A136" s="173"/>
      <c r="B136" s="128" t="s">
        <v>117</v>
      </c>
      <c r="C136" s="37">
        <v>7</v>
      </c>
      <c r="D136" s="37">
        <v>7.13</v>
      </c>
      <c r="E136" s="69"/>
      <c r="F136" s="37">
        <v>1.405</v>
      </c>
      <c r="H136" s="37">
        <v>0.111</v>
      </c>
      <c r="I136" s="53">
        <f t="shared" si="681"/>
        <v>3.1546200000000003E-2</v>
      </c>
      <c r="M136" s="38">
        <v>0.41946645882868122</v>
      </c>
      <c r="N136" s="24"/>
      <c r="O136" s="24">
        <v>0</v>
      </c>
      <c r="P136" s="24"/>
      <c r="Q136" s="24">
        <v>8.2805123624496255E-2</v>
      </c>
      <c r="R136" s="24"/>
      <c r="S136" s="24">
        <v>99.497728417546824</v>
      </c>
      <c r="T136" s="24"/>
      <c r="U136" s="24">
        <v>0</v>
      </c>
      <c r="V136" s="24"/>
      <c r="W136" s="24">
        <v>0</v>
      </c>
      <c r="X136" s="24"/>
      <c r="Y136" s="22">
        <v>2.6529931744955264E-2</v>
      </c>
      <c r="Z136" s="21"/>
      <c r="AA136" s="21">
        <v>0</v>
      </c>
      <c r="AB136" s="21"/>
      <c r="AC136" s="21">
        <v>5.2371631429718023E-3</v>
      </c>
      <c r="AD136" s="21"/>
      <c r="AE136" s="21">
        <v>6.2929177962562877</v>
      </c>
      <c r="AF136" s="21"/>
      <c r="AG136" s="21">
        <v>0</v>
      </c>
      <c r="AH136" s="21"/>
      <c r="AI136" s="21">
        <v>0</v>
      </c>
      <c r="AJ136" s="21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37">
        <v>1466.35</v>
      </c>
      <c r="BI136" s="2">
        <v>0</v>
      </c>
      <c r="BK136" s="2">
        <v>0</v>
      </c>
      <c r="BO136" s="37">
        <f t="shared" si="1293"/>
        <v>24.357973421926904</v>
      </c>
      <c r="BQ136" s="2">
        <f t="shared" si="1294"/>
        <v>0</v>
      </c>
      <c r="BS136" s="2">
        <f t="shared" si="1295"/>
        <v>0</v>
      </c>
      <c r="BU136" s="2">
        <f t="shared" si="1296"/>
        <v>0</v>
      </c>
      <c r="BW136" s="37">
        <f t="shared" si="1297"/>
        <v>1.2178986710963453</v>
      </c>
      <c r="BX136" s="2">
        <f t="shared" si="577"/>
        <v>0</v>
      </c>
      <c r="BY136" s="2">
        <f t="shared" si="578"/>
        <v>0</v>
      </c>
      <c r="BZ136" s="18">
        <f t="shared" si="579"/>
        <v>0</v>
      </c>
    </row>
    <row r="137" spans="1:78" ht="15" thickBot="1" x14ac:dyDescent="0.35">
      <c r="A137" s="175"/>
      <c r="B137" s="66" t="s">
        <v>63</v>
      </c>
      <c r="C137" s="65">
        <v>7</v>
      </c>
      <c r="D137" s="64">
        <f>AVERAGE(D134:D136)</f>
        <v>7.1066666666666665</v>
      </c>
      <c r="E137" s="64">
        <f>_xlfn.STDEV.S(D134:D136)</f>
        <v>2.5166114784235766E-2</v>
      </c>
      <c r="F137" s="60">
        <f>AVERAGE(F134:F136)</f>
        <v>1.425</v>
      </c>
      <c r="G137" s="55">
        <f>_xlfn.STDEV.S(F134:F135)</f>
        <v>0</v>
      </c>
      <c r="H137" s="60">
        <f>AVERAGE(H134:H136)</f>
        <v>0.11266666666666668</v>
      </c>
      <c r="I137" s="63">
        <f t="shared" ref="I137" si="1298">AVERAGE(I134:I136)</f>
        <v>3.2019866666666667E-2</v>
      </c>
      <c r="J137" s="63">
        <f t="shared" ref="J137" si="1299">_xlfn.STDEV.S(I134:I136)</f>
        <v>5.9160947704827533E-4</v>
      </c>
      <c r="K137" s="63"/>
      <c r="L137" s="62" t="e">
        <f>_xlfn.STDEV.S(K134:K135)</f>
        <v>#DIV/0!</v>
      </c>
      <c r="M137" s="59">
        <f>AVERAGE(M134:M136)</f>
        <v>1.654966438431231</v>
      </c>
      <c r="N137" s="58">
        <f>_xlfn.STDEV.S(M134:M136)</f>
        <v>2.1049683196070776</v>
      </c>
      <c r="O137" s="58">
        <f t="shared" ref="O137" si="1300">AVERAGE(O134:O136)</f>
        <v>0</v>
      </c>
      <c r="P137" s="58">
        <f t="shared" ref="P137" si="1301">_xlfn.STDEV.S(O134:O136)</f>
        <v>0</v>
      </c>
      <c r="Q137" s="58">
        <f t="shared" ref="Q137" si="1302">AVERAGE(Q134:Q136)</f>
        <v>8.9483053438236801E-2</v>
      </c>
      <c r="R137" s="58">
        <f t="shared" ref="R137" si="1303">_xlfn.STDEV.S(Q134:Q136)</f>
        <v>3.1257460162875089E-2</v>
      </c>
      <c r="S137" s="58">
        <f t="shared" ref="S137" si="1304">AVERAGE(S134:S136)</f>
        <v>98.255550508130526</v>
      </c>
      <c r="T137" s="58">
        <f t="shared" ref="T137" si="1305">_xlfn.STDEV.S(S134:S136)</f>
        <v>2.081556495906153</v>
      </c>
      <c r="U137" s="58">
        <f t="shared" ref="U137" si="1306">AVERAGE(U134:U136)</f>
        <v>0</v>
      </c>
      <c r="V137" s="58">
        <f t="shared" ref="V137" si="1307">_xlfn.STDEV.S(U134:U136)</f>
        <v>0</v>
      </c>
      <c r="W137" s="58">
        <f t="shared" ref="W137" si="1308">AVERAGE(W134:W136)</f>
        <v>0</v>
      </c>
      <c r="X137" s="58">
        <f t="shared" ref="X137" si="1309">_xlfn.STDEV.S(W134:W136)</f>
        <v>0</v>
      </c>
      <c r="Y137" s="59">
        <f>AVERAGE(Y134:Y136)</f>
        <v>0.10671756392276077</v>
      </c>
      <c r="Z137" s="58">
        <f>_xlfn.STDEV.S(Y134:Y136)</f>
        <v>0.13614183873389041</v>
      </c>
      <c r="AA137" s="58">
        <f t="shared" ref="AA137" si="1310">AVERAGE(AA134:AA136)</f>
        <v>0</v>
      </c>
      <c r="AB137" s="58">
        <f t="shared" ref="AB137" si="1311">_xlfn.STDEV.S(AA134:AA136)</f>
        <v>0</v>
      </c>
      <c r="AC137" s="58">
        <f t="shared" ref="AC137" si="1312">AVERAGE(AC134:AC136)</f>
        <v>5.7430898466355922E-3</v>
      </c>
      <c r="AD137" s="58">
        <f t="shared" ref="AD137" si="1313">_xlfn.STDEV.S(AC134:AC136)</f>
        <v>2.0320841308617468E-3</v>
      </c>
      <c r="AE137" s="58">
        <f t="shared" ref="AE137" si="1314">AVERAGE(AE134:AE136)</f>
        <v>6.3022553390281173</v>
      </c>
      <c r="AF137" s="58">
        <f t="shared" ref="AF137" si="1315">_xlfn.STDEV.S(AE134:AE136)</f>
        <v>0.11539789266699245</v>
      </c>
      <c r="AG137" s="58">
        <f t="shared" ref="AG137" si="1316">AVERAGE(AG134:AG136)</f>
        <v>0</v>
      </c>
      <c r="AH137" s="58">
        <f t="shared" ref="AH137" si="1317">_xlfn.STDEV.S(AG134:AG136)</f>
        <v>0</v>
      </c>
      <c r="AI137" s="58">
        <f t="shared" ref="AI137" si="1318">AVERAGE(AI134:AI136)</f>
        <v>0</v>
      </c>
      <c r="AJ137" s="58">
        <f t="shared" ref="AJ137" si="1319">_xlfn.STDEV.S(AI134:AI136)</f>
        <v>0</v>
      </c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3"/>
      <c r="BA137" s="133"/>
      <c r="BB137" s="133"/>
      <c r="BC137" s="133"/>
      <c r="BD137" s="133"/>
      <c r="BE137" s="133"/>
      <c r="BF137" s="133"/>
      <c r="BG137" s="60">
        <f t="shared" ref="BG137" si="1320">AVERAGE(BG134:BG136)</f>
        <v>1523.3133333333335</v>
      </c>
      <c r="BH137" s="57">
        <f t="shared" ref="BH137" si="1321">_xlfn.STDEV.S(BG134:BG136)</f>
        <v>55.873886864378221</v>
      </c>
      <c r="BI137" s="57">
        <f t="shared" ref="BI137" si="1322">AVERAGE(BI134:BI136)</f>
        <v>0</v>
      </c>
      <c r="BJ137" s="57">
        <f t="shared" ref="BJ137" si="1323">_xlfn.STDEV.S(BI134:BI136)</f>
        <v>0</v>
      </c>
      <c r="BK137" s="57">
        <f t="shared" ref="BK137" si="1324">AVERAGE(BK134:BK136)</f>
        <v>0</v>
      </c>
      <c r="BL137" s="57">
        <f t="shared" ref="BL137" si="1325">_xlfn.STDEV.S(BK134:BK136)</f>
        <v>0</v>
      </c>
      <c r="BM137" s="57">
        <f t="shared" ref="BM137" si="1326">AVERAGE(BM134:BM136)</f>
        <v>0</v>
      </c>
      <c r="BN137" s="57">
        <f t="shared" ref="BN137" si="1327">_xlfn.STDEV.S(BM134:BM136)</f>
        <v>0</v>
      </c>
      <c r="BO137" s="60">
        <f t="shared" ref="BO137" si="1328">AVERAGE(BO134:BO136)</f>
        <v>25.304208194905865</v>
      </c>
      <c r="BP137" s="57">
        <f t="shared" ref="BP137" si="1329">_xlfn.STDEV.S(BO134:BO136)</f>
        <v>0.9281376555544576</v>
      </c>
      <c r="BQ137" s="57">
        <f t="shared" ref="BQ137" si="1330">AVERAGE(BQ134:BQ136)</f>
        <v>0</v>
      </c>
      <c r="BR137" s="57">
        <f t="shared" ref="BR137" si="1331">_xlfn.STDEV.S(BQ134:BQ136)</f>
        <v>0</v>
      </c>
      <c r="BS137" s="57">
        <f t="shared" ref="BS137" si="1332">AVERAGE(BS134:BS136)</f>
        <v>0</v>
      </c>
      <c r="BT137" s="57">
        <f t="shared" ref="BT137" si="1333">_xlfn.STDEV.S(BS134:BS136)</f>
        <v>0</v>
      </c>
      <c r="BU137" s="57">
        <f t="shared" ref="BU137" si="1334">AVERAGE(BU134:BU136)</f>
        <v>0</v>
      </c>
      <c r="BV137" s="57">
        <f t="shared" ref="BV137" si="1335">_xlfn.STDEV.S(BU134:BU136)</f>
        <v>0</v>
      </c>
      <c r="BW137" s="60">
        <f t="shared" ref="BW137" si="1336">AVERAGE(BW134:BW136)</f>
        <v>1.2652104097452934</v>
      </c>
      <c r="BX137" s="57">
        <f t="shared" si="577"/>
        <v>0</v>
      </c>
      <c r="BY137" s="57">
        <f t="shared" si="578"/>
        <v>0</v>
      </c>
      <c r="BZ137" s="61">
        <f t="shared" si="579"/>
        <v>0</v>
      </c>
    </row>
    <row r="138" spans="1:78" x14ac:dyDescent="0.3">
      <c r="B138" s="2"/>
      <c r="C138" s="2"/>
      <c r="D138" s="2"/>
      <c r="F138" s="2"/>
      <c r="H138" s="2"/>
      <c r="I138" s="109"/>
      <c r="J138" s="109"/>
      <c r="K138" s="109"/>
      <c r="L138" s="109"/>
      <c r="M138" s="21"/>
      <c r="Y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O138" s="2"/>
      <c r="BW138" s="2"/>
      <c r="BZ138" s="2"/>
    </row>
    <row r="139" spans="1:78" x14ac:dyDescent="0.3">
      <c r="B139" s="2"/>
      <c r="C139" s="2"/>
      <c r="D139" s="2"/>
      <c r="F139" s="2"/>
      <c r="H139" s="2"/>
      <c r="I139" s="109"/>
      <c r="J139" s="109"/>
      <c r="K139" s="109"/>
      <c r="L139" s="109"/>
      <c r="M139" s="21"/>
      <c r="Y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O139" s="2"/>
      <c r="BW139" s="2"/>
      <c r="BZ139" s="2"/>
    </row>
    <row r="140" spans="1:78" x14ac:dyDescent="0.3">
      <c r="B140" s="2"/>
      <c r="C140" s="2"/>
      <c r="D140" s="2"/>
      <c r="F140" s="2"/>
      <c r="H140" s="2"/>
      <c r="I140" s="109"/>
      <c r="J140" s="109"/>
      <c r="K140" s="109"/>
      <c r="L140" s="109"/>
      <c r="M140" s="21"/>
      <c r="Y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O140" s="2"/>
      <c r="BW140" s="2"/>
      <c r="BZ140" s="2"/>
    </row>
    <row r="141" spans="1:78" x14ac:dyDescent="0.3">
      <c r="B141" s="2"/>
      <c r="C141" s="2"/>
      <c r="D141" s="2"/>
      <c r="F141" s="2"/>
      <c r="H141" s="2"/>
      <c r="I141" s="109"/>
      <c r="J141" s="109"/>
      <c r="K141" s="109"/>
      <c r="L141" s="109"/>
      <c r="M141" s="21"/>
      <c r="Y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O141" s="2"/>
      <c r="BW141" s="2"/>
      <c r="BZ141" s="2"/>
    </row>
    <row r="142" spans="1:78" x14ac:dyDescent="0.3">
      <c r="B142" s="2"/>
      <c r="C142" s="2"/>
      <c r="D142" s="2"/>
      <c r="F142" s="2"/>
      <c r="H142" s="2"/>
      <c r="I142" s="109"/>
      <c r="J142" s="109"/>
      <c r="K142" s="109"/>
      <c r="L142" s="109"/>
      <c r="M142" s="21"/>
      <c r="Y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O142" s="2"/>
      <c r="BW142" s="2"/>
      <c r="BZ142" s="2"/>
    </row>
    <row r="143" spans="1:78" x14ac:dyDescent="0.3">
      <c r="B143" s="2"/>
      <c r="C143" s="2"/>
      <c r="D143" s="2"/>
      <c r="F143" s="2"/>
      <c r="H143" s="2"/>
      <c r="I143" s="109"/>
      <c r="J143" s="109"/>
      <c r="K143" s="109"/>
      <c r="L143" s="109"/>
      <c r="M143" s="21"/>
      <c r="Y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O143" s="2"/>
      <c r="BW143" s="2"/>
      <c r="BZ143" s="2"/>
    </row>
    <row r="144" spans="1:78" x14ac:dyDescent="0.3">
      <c r="B144" s="2"/>
      <c r="C144" s="2"/>
      <c r="D144" s="2"/>
      <c r="F144" s="2"/>
      <c r="H144" s="2"/>
      <c r="I144" s="109"/>
      <c r="J144" s="109"/>
      <c r="K144" s="109"/>
      <c r="L144" s="109"/>
      <c r="M144" s="21"/>
      <c r="Y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O144" s="2"/>
      <c r="BW144" s="2"/>
      <c r="BZ144" s="2"/>
    </row>
    <row r="145" spans="1:78" ht="15" thickBot="1" x14ac:dyDescent="0.35">
      <c r="B145" s="2"/>
      <c r="C145" s="2"/>
      <c r="D145" s="2"/>
      <c r="F145" s="2"/>
      <c r="H145" s="2"/>
      <c r="I145" s="109"/>
      <c r="J145" s="109"/>
      <c r="K145" s="109"/>
      <c r="L145" s="109"/>
      <c r="M145" s="21"/>
      <c r="Y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O145" s="2"/>
      <c r="BW145" s="2"/>
      <c r="BZ145" s="2"/>
    </row>
    <row r="146" spans="1:78" ht="15" thickBot="1" x14ac:dyDescent="0.35">
      <c r="B146" s="2"/>
      <c r="C146" s="2"/>
      <c r="D146" s="2"/>
      <c r="F146" s="2"/>
      <c r="H146" s="2"/>
      <c r="I146" s="108"/>
      <c r="J146" s="108"/>
      <c r="K146" s="108"/>
      <c r="L146" s="108"/>
      <c r="M146" s="184" t="s">
        <v>8</v>
      </c>
      <c r="N146" s="185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AI146" s="57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187" t="s">
        <v>10</v>
      </c>
      <c r="BH146" s="188"/>
      <c r="BI146" s="188"/>
      <c r="BJ146" s="188"/>
      <c r="BK146" s="188"/>
      <c r="BL146" s="188"/>
      <c r="BM146" s="188"/>
      <c r="BN146" s="188"/>
      <c r="BO146" s="115"/>
      <c r="BP146" s="105"/>
      <c r="BQ146" s="105"/>
      <c r="BR146" s="105"/>
      <c r="BS146" s="105"/>
      <c r="BT146" s="105"/>
      <c r="BU146" s="105"/>
      <c r="BV146" s="105"/>
      <c r="BW146" s="105"/>
      <c r="BX146" s="105"/>
      <c r="BY146" s="105"/>
      <c r="BZ146" s="105"/>
    </row>
    <row r="147" spans="1:78" ht="16.2" thickBot="1" x14ac:dyDescent="0.35">
      <c r="B147" s="2"/>
      <c r="C147" s="2"/>
      <c r="D147" s="2"/>
      <c r="F147" s="2"/>
      <c r="H147" s="103" t="s">
        <v>91</v>
      </c>
      <c r="I147" s="189" t="s">
        <v>90</v>
      </c>
      <c r="J147" s="190"/>
      <c r="K147" s="189" t="s">
        <v>44</v>
      </c>
      <c r="L147" s="190"/>
      <c r="M147" s="176" t="s">
        <v>89</v>
      </c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67" t="s">
        <v>88</v>
      </c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7"/>
      <c r="AK147" s="5"/>
      <c r="AL147" s="6"/>
      <c r="AM147" s="5"/>
      <c r="AN147" s="6"/>
      <c r="AO147" s="5"/>
      <c r="AP147" s="6"/>
      <c r="AQ147" s="5"/>
      <c r="AR147" s="6"/>
      <c r="AS147" s="5"/>
      <c r="AT147" s="6"/>
      <c r="AU147" s="5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178" t="s">
        <v>13</v>
      </c>
      <c r="BH147" s="179"/>
      <c r="BI147" s="179"/>
      <c r="BJ147" s="179"/>
      <c r="BK147" s="179"/>
      <c r="BL147" s="179"/>
      <c r="BM147" s="179"/>
      <c r="BN147" s="179"/>
      <c r="BO147" s="178" t="s">
        <v>87</v>
      </c>
      <c r="BP147" s="179"/>
      <c r="BQ147" s="179"/>
      <c r="BR147" s="179"/>
      <c r="BS147" s="179"/>
      <c r="BT147" s="179"/>
      <c r="BU147" s="179"/>
      <c r="BV147" s="179"/>
      <c r="BW147" s="194" t="s">
        <v>86</v>
      </c>
      <c r="BX147" s="179"/>
      <c r="BY147" s="179"/>
      <c r="BZ147" s="195"/>
    </row>
    <row r="148" spans="1:78" ht="16.2" thickBot="1" x14ac:dyDescent="0.35">
      <c r="A148" s="8" t="s">
        <v>85</v>
      </c>
      <c r="B148" s="10" t="s">
        <v>84</v>
      </c>
      <c r="C148" s="11" t="s">
        <v>16</v>
      </c>
      <c r="D148" s="12" t="s">
        <v>0</v>
      </c>
      <c r="E148" s="12" t="s">
        <v>47</v>
      </c>
      <c r="F148" s="102" t="s">
        <v>83</v>
      </c>
      <c r="G148" s="101" t="s">
        <v>47</v>
      </c>
      <c r="H148" s="14" t="s">
        <v>82</v>
      </c>
      <c r="I148" s="49" t="s">
        <v>81</v>
      </c>
      <c r="J148" s="49" t="s">
        <v>47</v>
      </c>
      <c r="K148" s="49" t="s">
        <v>49</v>
      </c>
      <c r="L148" s="49" t="s">
        <v>47</v>
      </c>
      <c r="M148" s="99" t="s">
        <v>80</v>
      </c>
      <c r="N148" s="99" t="s">
        <v>47</v>
      </c>
      <c r="O148" s="99" t="s">
        <v>79</v>
      </c>
      <c r="P148" s="99" t="s">
        <v>47</v>
      </c>
      <c r="Q148" s="99" t="s">
        <v>78</v>
      </c>
      <c r="R148" s="99" t="s">
        <v>47</v>
      </c>
      <c r="S148" s="99" t="s">
        <v>77</v>
      </c>
      <c r="T148" s="99" t="s">
        <v>47</v>
      </c>
      <c r="U148" s="99" t="s">
        <v>76</v>
      </c>
      <c r="V148" s="99" t="s">
        <v>47</v>
      </c>
      <c r="W148" s="99" t="s">
        <v>59</v>
      </c>
      <c r="X148" s="100" t="s">
        <v>47</v>
      </c>
      <c r="Y148" s="15" t="s">
        <v>80</v>
      </c>
      <c r="Z148" s="15" t="s">
        <v>47</v>
      </c>
      <c r="AA148" s="15" t="s">
        <v>79</v>
      </c>
      <c r="AB148" s="15" t="s">
        <v>47</v>
      </c>
      <c r="AC148" s="15" t="s">
        <v>78</v>
      </c>
      <c r="AD148" s="15" t="s">
        <v>47</v>
      </c>
      <c r="AE148" s="15" t="s">
        <v>77</v>
      </c>
      <c r="AF148" s="15" t="s">
        <v>47</v>
      </c>
      <c r="AG148" s="15" t="s">
        <v>76</v>
      </c>
      <c r="AH148" s="15" t="s">
        <v>47</v>
      </c>
      <c r="AI148" s="15" t="s">
        <v>59</v>
      </c>
      <c r="AJ148" s="98" t="s">
        <v>47</v>
      </c>
      <c r="AK148" s="15" t="s">
        <v>50</v>
      </c>
      <c r="AL148" s="15" t="s">
        <v>47</v>
      </c>
      <c r="AM148" s="15" t="s">
        <v>75</v>
      </c>
      <c r="AN148" s="15" t="s">
        <v>47</v>
      </c>
      <c r="AO148" s="15" t="s">
        <v>51</v>
      </c>
      <c r="AP148" s="15" t="s">
        <v>47</v>
      </c>
      <c r="AQ148" s="15" t="s">
        <v>74</v>
      </c>
      <c r="AR148" s="15" t="s">
        <v>47</v>
      </c>
      <c r="AS148" s="15" t="s">
        <v>52</v>
      </c>
      <c r="AT148" s="15" t="s">
        <v>47</v>
      </c>
      <c r="AU148" s="15" t="s">
        <v>73</v>
      </c>
      <c r="AV148" s="15" t="s">
        <v>47</v>
      </c>
      <c r="AW148" s="15" t="s">
        <v>53</v>
      </c>
      <c r="AX148" s="15" t="s">
        <v>47</v>
      </c>
      <c r="AY148" s="15" t="s">
        <v>54</v>
      </c>
      <c r="AZ148" s="15" t="s">
        <v>47</v>
      </c>
      <c r="BA148" s="15" t="s">
        <v>72</v>
      </c>
      <c r="BB148" s="15" t="s">
        <v>47</v>
      </c>
      <c r="BC148" s="15" t="s">
        <v>71</v>
      </c>
      <c r="BD148" s="15" t="s">
        <v>47</v>
      </c>
      <c r="BE148" s="15" t="s">
        <v>70</v>
      </c>
      <c r="BF148" s="15" t="s">
        <v>47</v>
      </c>
      <c r="BG148" s="17" t="s">
        <v>30</v>
      </c>
      <c r="BH148" s="17" t="s">
        <v>47</v>
      </c>
      <c r="BI148" s="17" t="s">
        <v>31</v>
      </c>
      <c r="BJ148" s="17" t="s">
        <v>47</v>
      </c>
      <c r="BK148" s="17" t="s">
        <v>32</v>
      </c>
      <c r="BL148" s="17" t="s">
        <v>47</v>
      </c>
      <c r="BM148" s="17" t="s">
        <v>33</v>
      </c>
      <c r="BN148" s="17"/>
      <c r="BO148" s="17" t="s">
        <v>30</v>
      </c>
      <c r="BP148" s="17" t="s">
        <v>47</v>
      </c>
      <c r="BQ148" s="17" t="s">
        <v>31</v>
      </c>
      <c r="BR148" s="17" t="s">
        <v>47</v>
      </c>
      <c r="BS148" s="17" t="s">
        <v>32</v>
      </c>
      <c r="BT148" s="17" t="s">
        <v>47</v>
      </c>
      <c r="BU148" s="17" t="s">
        <v>33</v>
      </c>
      <c r="BV148" s="17" t="s">
        <v>47</v>
      </c>
      <c r="BW148" s="17" t="s">
        <v>30</v>
      </c>
      <c r="BX148" s="17" t="s">
        <v>31</v>
      </c>
      <c r="BY148" s="17" t="s">
        <v>32</v>
      </c>
      <c r="BZ148" s="17" t="s">
        <v>38</v>
      </c>
    </row>
    <row r="149" spans="1:78" x14ac:dyDescent="0.3">
      <c r="A149" s="172" t="s">
        <v>59</v>
      </c>
      <c r="B149" s="95" t="s">
        <v>118</v>
      </c>
      <c r="C149" s="94">
        <v>0</v>
      </c>
      <c r="D149" s="93">
        <v>7.11</v>
      </c>
      <c r="E149" s="88"/>
      <c r="F149" s="90">
        <v>1.512</v>
      </c>
      <c r="G149" s="85"/>
      <c r="H149" s="90">
        <v>0.193</v>
      </c>
      <c r="I149" s="92">
        <f>H149*0.2842</f>
        <v>5.4850600000000006E-2</v>
      </c>
      <c r="J149" s="92"/>
      <c r="K149" s="92"/>
      <c r="L149" s="91"/>
      <c r="M149" s="89">
        <v>0.8831127490767029</v>
      </c>
      <c r="O149" s="88">
        <v>0</v>
      </c>
      <c r="Q149" s="88">
        <v>0.53257373563371624</v>
      </c>
      <c r="S149" s="88">
        <v>82.84657573676408</v>
      </c>
      <c r="U149" s="88">
        <v>0</v>
      </c>
      <c r="W149" s="88">
        <v>15.737737778525496</v>
      </c>
      <c r="X149" s="88"/>
      <c r="Y149" s="89">
        <v>6.0107755944687029E-2</v>
      </c>
      <c r="AA149" s="88">
        <v>0</v>
      </c>
      <c r="AC149" s="88">
        <v>3.6248839298821285E-2</v>
      </c>
      <c r="AE149" s="88">
        <v>5.638828972228926</v>
      </c>
      <c r="AG149" s="88">
        <v>0</v>
      </c>
      <c r="AI149" s="88">
        <v>1.071165717516926</v>
      </c>
      <c r="AJ149" s="87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G149" s="90">
        <v>0</v>
      </c>
      <c r="BH149" s="87"/>
      <c r="BI149" s="2">
        <v>0</v>
      </c>
      <c r="BK149" s="2">
        <v>0</v>
      </c>
      <c r="BM149" s="2">
        <v>0</v>
      </c>
      <c r="BN149" s="87"/>
      <c r="BO149" s="90">
        <f>(BG149/1000)/60.2*1000</f>
        <v>0</v>
      </c>
      <c r="BP149" s="87"/>
      <c r="BQ149" s="87">
        <f>BI149/74.08</f>
        <v>0</v>
      </c>
      <c r="BR149" s="87"/>
      <c r="BS149" s="87">
        <f>(BK149/1000)/88.12*1000</f>
        <v>0</v>
      </c>
      <c r="BT149" s="87"/>
      <c r="BU149" s="87">
        <f>BM149/88.12</f>
        <v>0</v>
      </c>
      <c r="BV149" s="87"/>
      <c r="BW149" s="90">
        <f>BO149*0.05</f>
        <v>0</v>
      </c>
      <c r="BX149" s="87">
        <f>BQ149*0.05</f>
        <v>0</v>
      </c>
      <c r="BY149" s="87">
        <f>BS149*0.05</f>
        <v>0</v>
      </c>
      <c r="BZ149" s="23">
        <f>BU149*0.05</f>
        <v>0</v>
      </c>
    </row>
    <row r="150" spans="1:78" x14ac:dyDescent="0.3">
      <c r="A150" s="173"/>
      <c r="B150" s="70" t="s">
        <v>119</v>
      </c>
      <c r="C150" s="20">
        <v>0</v>
      </c>
      <c r="D150" s="69">
        <v>7.07</v>
      </c>
      <c r="E150" s="21"/>
      <c r="F150" s="37">
        <v>1.5620000000000001</v>
      </c>
      <c r="H150" s="37">
        <v>0.184</v>
      </c>
      <c r="I150" s="53">
        <f t="shared" ref="I150:I151" si="1337">H150*0.2842</f>
        <v>5.22928E-2</v>
      </c>
      <c r="L150" s="68"/>
      <c r="M150" s="22">
        <v>0.77902014582301882</v>
      </c>
      <c r="O150" s="21">
        <v>0</v>
      </c>
      <c r="Q150" s="21">
        <v>0.34507525179268922</v>
      </c>
      <c r="S150" s="21">
        <v>83.727166100989464</v>
      </c>
      <c r="U150" s="21">
        <v>0</v>
      </c>
      <c r="W150" s="21">
        <v>15.148738501394837</v>
      </c>
      <c r="Y150" s="22">
        <v>5.4776248754015017E-2</v>
      </c>
      <c r="AA150" s="21">
        <v>0</v>
      </c>
      <c r="AC150" s="21">
        <v>2.4263721461376606E-2</v>
      </c>
      <c r="AE150" s="21">
        <v>5.8872162708593931</v>
      </c>
      <c r="AG150" s="21">
        <v>0</v>
      </c>
      <c r="AI150" s="21">
        <v>1.0651727980478232</v>
      </c>
      <c r="BG150" s="37">
        <v>0.01</v>
      </c>
      <c r="BI150" s="2">
        <v>0</v>
      </c>
      <c r="BK150" s="2">
        <v>0</v>
      </c>
      <c r="BM150" s="2">
        <v>0</v>
      </c>
      <c r="BO150" s="37">
        <f>(BG150/1000)/60.2*1000</f>
        <v>1.6611295681063124E-4</v>
      </c>
      <c r="BQ150" s="2">
        <f>BI150/74.08</f>
        <v>0</v>
      </c>
      <c r="BS150" s="2">
        <f t="shared" ref="BS150:BS151" si="1338">(BK150/1000)/88.12*1000</f>
        <v>0</v>
      </c>
      <c r="BU150" s="2">
        <f t="shared" ref="BU150:BU151" si="1339">BM150/88.12</f>
        <v>0</v>
      </c>
      <c r="BW150" s="37">
        <f>BO150*0.05</f>
        <v>8.3056478405315619E-6</v>
      </c>
      <c r="BX150" s="2">
        <f t="shared" ref="BX150:BX204" si="1340">BQ150*0.05</f>
        <v>0</v>
      </c>
      <c r="BY150" s="2">
        <f t="shared" ref="BY150:BY204" si="1341">BS150*0.05</f>
        <v>0</v>
      </c>
      <c r="BZ150" s="18">
        <f t="shared" ref="BZ150:BZ204" si="1342">BU150*0.05</f>
        <v>0</v>
      </c>
    </row>
    <row r="151" spans="1:78" x14ac:dyDescent="0.3">
      <c r="A151" s="173"/>
      <c r="B151" s="70" t="s">
        <v>120</v>
      </c>
      <c r="C151" s="20">
        <v>0</v>
      </c>
      <c r="D151" s="69">
        <v>7.1</v>
      </c>
      <c r="E151" s="21"/>
      <c r="F151" s="37">
        <v>1.5680000000000001</v>
      </c>
      <c r="H151" s="37">
        <v>0.185</v>
      </c>
      <c r="I151" s="53">
        <f t="shared" si="1337"/>
        <v>5.2576999999999999E-2</v>
      </c>
      <c r="L151" s="68"/>
      <c r="M151" s="22">
        <v>0.77157543770810189</v>
      </c>
      <c r="O151" s="21">
        <v>0</v>
      </c>
      <c r="Q151" s="21">
        <v>0.44219239151745682</v>
      </c>
      <c r="S151" s="21">
        <v>83.762993262675039</v>
      </c>
      <c r="U151" s="21">
        <v>0</v>
      </c>
      <c r="W151" s="21">
        <v>15.02323890809941</v>
      </c>
      <c r="Y151" s="22">
        <v>5.4461176745741295E-2</v>
      </c>
      <c r="AA151" s="21">
        <v>0</v>
      </c>
      <c r="AC151" s="21">
        <v>3.1211877430402258E-2</v>
      </c>
      <c r="AE151" s="21">
        <v>5.9123592559936951</v>
      </c>
      <c r="AG151" s="21">
        <v>0</v>
      </c>
      <c r="AI151" s="21">
        <v>1.0604060594487585</v>
      </c>
      <c r="BG151" s="37">
        <v>0.03</v>
      </c>
      <c r="BI151" s="2">
        <v>0</v>
      </c>
      <c r="BK151" s="2">
        <v>0</v>
      </c>
      <c r="BM151" s="2">
        <v>0</v>
      </c>
      <c r="BO151" s="37">
        <f>(BG151/1000)/60.2*1000</f>
        <v>4.9833887043189363E-4</v>
      </c>
      <c r="BQ151" s="2">
        <f>BI151/74.08</f>
        <v>0</v>
      </c>
      <c r="BS151" s="2">
        <f t="shared" si="1338"/>
        <v>0</v>
      </c>
      <c r="BU151" s="2">
        <f t="shared" si="1339"/>
        <v>0</v>
      </c>
      <c r="BW151" s="37">
        <f>BO151*0.05</f>
        <v>2.4916943521594682E-5</v>
      </c>
      <c r="BX151" s="2">
        <f t="shared" si="1340"/>
        <v>0</v>
      </c>
      <c r="BY151" s="2">
        <f t="shared" si="1341"/>
        <v>0</v>
      </c>
      <c r="BZ151" s="18">
        <f t="shared" si="1342"/>
        <v>0</v>
      </c>
    </row>
    <row r="152" spans="1:78" x14ac:dyDescent="0.3">
      <c r="A152" s="173"/>
      <c r="B152" s="83" t="s">
        <v>63</v>
      </c>
      <c r="C152" s="80">
        <v>0</v>
      </c>
      <c r="D152" s="79">
        <f>AVERAGE(D149:D151)</f>
        <v>7.0933333333333337</v>
      </c>
      <c r="E152" s="77">
        <f>_xlfn.STDEV.S(D149:D151)</f>
        <v>2.081665999466124E-2</v>
      </c>
      <c r="F152" s="78">
        <f t="shared" ref="F152" si="1343">AVERAGE(F149:F151)</f>
        <v>1.5473333333333332</v>
      </c>
      <c r="G152" s="73">
        <f>_xlfn.STDEV.S(F149:F151)</f>
        <v>3.0746273486933907E-2</v>
      </c>
      <c r="H152" s="78">
        <f t="shared" ref="H152:I152" si="1344">AVERAGE(H149:H151)</f>
        <v>0.18733333333333335</v>
      </c>
      <c r="I152" s="82">
        <f t="shared" si="1344"/>
        <v>5.3240133333333328E-2</v>
      </c>
      <c r="J152" s="82">
        <f>_xlfn.STDEV.S(I149:I151)</f>
        <v>1.4019253094702813E-3</v>
      </c>
      <c r="K152" s="82"/>
      <c r="L152" s="81" t="e">
        <f>_xlfn.STDEV.S(K149:K151)</f>
        <v>#DIV/0!</v>
      </c>
      <c r="M152" s="77">
        <f>AVERAGE(M149:M151)</f>
        <v>0.81123611086927438</v>
      </c>
      <c r="N152" s="76">
        <f>_xlfn.STDEV.S(M149:M151)</f>
        <v>6.2358193204503934E-2</v>
      </c>
      <c r="O152" s="76">
        <f t="shared" ref="O152" si="1345">AVERAGE(O149:O151)</f>
        <v>0</v>
      </c>
      <c r="P152" s="76">
        <f t="shared" ref="P152" si="1346">_xlfn.STDEV.S(O149:O151)</f>
        <v>0</v>
      </c>
      <c r="Q152" s="76">
        <f t="shared" ref="Q152" si="1347">AVERAGE(Q149:Q151)</f>
        <v>0.4399471263146208</v>
      </c>
      <c r="R152" s="76">
        <f t="shared" ref="R152" si="1348">_xlfn.STDEV.S(Q149:Q151)</f>
        <v>9.3769404778660206E-2</v>
      </c>
      <c r="S152" s="76">
        <f t="shared" ref="S152" si="1349">AVERAGE(S149:S151)</f>
        <v>83.445578366809528</v>
      </c>
      <c r="T152" s="76">
        <f t="shared" ref="T152" si="1350">_xlfn.STDEV.S(S149:S151)</f>
        <v>0.519060699224699</v>
      </c>
      <c r="U152" s="76">
        <f t="shared" ref="U152" si="1351">AVERAGE(U149:U151)</f>
        <v>0</v>
      </c>
      <c r="V152" s="76">
        <f t="shared" ref="V152" si="1352">_xlfn.STDEV.S(U149:U151)</f>
        <v>0</v>
      </c>
      <c r="W152" s="76">
        <f t="shared" ref="W152" si="1353">AVERAGE(W149:W151)</f>
        <v>15.303238396006579</v>
      </c>
      <c r="X152" s="76">
        <f>_xlfn.STDEV.S(W149:W151)</f>
        <v>0.38148371136434928</v>
      </c>
      <c r="Y152" s="77">
        <v>5.64483938148145E-2</v>
      </c>
      <c r="Z152" s="76">
        <f>_xlfn.STDEV.S(Y149:Y151)</f>
        <v>3.1730137079373937E-3</v>
      </c>
      <c r="AA152" s="76">
        <v>0</v>
      </c>
      <c r="AB152" s="75">
        <f>_xlfn.STDEV.S(AA149:AA151)</f>
        <v>0</v>
      </c>
      <c r="AC152" s="76">
        <v>3.057481273020005E-2</v>
      </c>
      <c r="AD152" s="75">
        <f>_xlfn.STDEV.S(AC149:AC151)</f>
        <v>6.0179025389699775E-3</v>
      </c>
      <c r="AE152" s="76">
        <v>5.8128014996940047</v>
      </c>
      <c r="AF152" s="75">
        <f>_xlfn.STDEV.S(AE149:AE151)</f>
        <v>0.15118820277986841</v>
      </c>
      <c r="AG152" s="76">
        <v>0</v>
      </c>
      <c r="AH152" s="75">
        <f>_xlfn.STDEV.S(AG149:AG151)</f>
        <v>0</v>
      </c>
      <c r="AI152" s="76">
        <v>1.0655815250045026</v>
      </c>
      <c r="AJ152" s="75">
        <f>_xlfn.STDEV.S(AI149:AI151)</f>
        <v>5.3914611868961532E-3</v>
      </c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5"/>
      <c r="BI152" s="75"/>
      <c r="BJ152" s="75"/>
      <c r="BK152" s="75"/>
      <c r="BL152" s="75"/>
      <c r="BM152" s="75"/>
      <c r="BN152" s="75"/>
      <c r="BO152" s="78">
        <f>AVERAGE(BO149:BO151)</f>
        <v>2.2148394241417496E-4</v>
      </c>
      <c r="BP152" s="75">
        <f>_xlfn.STDEV.S(BO149:BO151)</f>
        <v>2.5374173283254924E-4</v>
      </c>
      <c r="BQ152" s="75">
        <f>AVERAGE(BQ149:BQ151)</f>
        <v>0</v>
      </c>
      <c r="BR152" s="75">
        <f>_xlfn.STDEV.S(BQ149:BQ151)</f>
        <v>0</v>
      </c>
      <c r="BS152" s="75">
        <f>AVERAGE(BS149:BS151)</f>
        <v>0</v>
      </c>
      <c r="BT152" s="75">
        <f>_xlfn.STDEV.S(BS149:BS151)</f>
        <v>0</v>
      </c>
      <c r="BU152" s="75">
        <f>AVERAGE(BU149:BU151)</f>
        <v>0</v>
      </c>
      <c r="BV152" s="75">
        <f>_xlfn.STDEV.S(BU149:BU151)</f>
        <v>0</v>
      </c>
      <c r="BW152" s="78">
        <f>AVERAGE(BW149:BW151)</f>
        <v>1.1074197120708749E-5</v>
      </c>
      <c r="BX152" s="75">
        <f t="shared" si="1340"/>
        <v>0</v>
      </c>
      <c r="BY152" s="75">
        <f t="shared" si="1341"/>
        <v>0</v>
      </c>
      <c r="BZ152" s="119">
        <f t="shared" si="1342"/>
        <v>0</v>
      </c>
    </row>
    <row r="153" spans="1:78" x14ac:dyDescent="0.3">
      <c r="A153" s="174" t="s">
        <v>60</v>
      </c>
      <c r="B153" s="70" t="s">
        <v>121</v>
      </c>
      <c r="C153" s="20">
        <v>0</v>
      </c>
      <c r="D153" s="69">
        <v>7.15</v>
      </c>
      <c r="E153" s="21"/>
      <c r="F153" s="37">
        <v>1.57</v>
      </c>
      <c r="H153" s="37">
        <v>0.188</v>
      </c>
      <c r="I153" s="53">
        <f>H153*0.2842</f>
        <v>5.3429600000000001E-2</v>
      </c>
      <c r="L153" s="68"/>
      <c r="M153" s="22">
        <v>0.7535244799189762</v>
      </c>
      <c r="O153" s="21">
        <v>0</v>
      </c>
      <c r="Q153" s="21">
        <v>0.46624645191475483</v>
      </c>
      <c r="S153" s="21">
        <v>83.90155915675804</v>
      </c>
      <c r="U153" s="21">
        <v>0</v>
      </c>
      <c r="W153" s="21">
        <v>14.878669911408227</v>
      </c>
      <c r="Y153" s="22">
        <v>5.3254901654119828E-2</v>
      </c>
      <c r="AA153" s="21">
        <v>0</v>
      </c>
      <c r="AC153" s="21">
        <v>3.2951695140644201E-2</v>
      </c>
      <c r="AE153" s="21">
        <v>5.9296935940301658</v>
      </c>
      <c r="AG153" s="21">
        <v>0</v>
      </c>
      <c r="AI153" s="21">
        <v>1.0515412889589955</v>
      </c>
      <c r="BG153" s="37">
        <v>0</v>
      </c>
      <c r="BI153" s="2">
        <v>0</v>
      </c>
      <c r="BK153" s="2">
        <v>0</v>
      </c>
      <c r="BM153" s="2">
        <v>0</v>
      </c>
      <c r="BO153" s="37">
        <f>(BG153/1000)/60.2*1000</f>
        <v>0</v>
      </c>
      <c r="BQ153" s="2">
        <f>BI153/74.08</f>
        <v>0</v>
      </c>
      <c r="BS153" s="2">
        <f>(BK153/1000)/88.12*1000</f>
        <v>0</v>
      </c>
      <c r="BU153" s="2">
        <f>BM153/88.12</f>
        <v>0</v>
      </c>
      <c r="BW153" s="37">
        <f>BO153*0.05</f>
        <v>0</v>
      </c>
      <c r="BX153" s="2">
        <f t="shared" si="1340"/>
        <v>0</v>
      </c>
      <c r="BY153" s="2">
        <f t="shared" si="1341"/>
        <v>0</v>
      </c>
      <c r="BZ153" s="18">
        <f t="shared" si="1342"/>
        <v>0</v>
      </c>
    </row>
    <row r="154" spans="1:78" x14ac:dyDescent="0.3">
      <c r="A154" s="173"/>
      <c r="B154" s="70" t="s">
        <v>122</v>
      </c>
      <c r="C154" s="20">
        <v>0</v>
      </c>
      <c r="D154" s="69">
        <v>7.14</v>
      </c>
      <c r="E154" s="21"/>
      <c r="F154" s="37">
        <v>1.5840000000000001</v>
      </c>
      <c r="H154" s="37">
        <v>0.193</v>
      </c>
      <c r="I154" s="53">
        <f t="shared" ref="I154:I155" si="1354">H154*0.2842</f>
        <v>5.4850600000000006E-2</v>
      </c>
      <c r="L154" s="68"/>
      <c r="M154" s="22">
        <v>0.72467959400480575</v>
      </c>
      <c r="O154" s="21">
        <v>0</v>
      </c>
      <c r="Q154" s="21">
        <v>0.45149843896257852</v>
      </c>
      <c r="S154" s="21">
        <v>83.853989389890629</v>
      </c>
      <c r="U154" s="21">
        <v>0</v>
      </c>
      <c r="W154" s="21">
        <v>14.96983257714199</v>
      </c>
      <c r="Y154" s="22">
        <v>5.1673012137582811E-2</v>
      </c>
      <c r="AA154" s="21">
        <v>0</v>
      </c>
      <c r="AC154" s="21">
        <v>3.2193930268800006E-2</v>
      </c>
      <c r="AE154" s="21">
        <v>5.9791778978943135</v>
      </c>
      <c r="AG154" s="21">
        <v>0</v>
      </c>
      <c r="AI154" s="21">
        <v>1.0674184106405387</v>
      </c>
      <c r="BG154" s="37">
        <v>0</v>
      </c>
      <c r="BI154" s="2">
        <v>0</v>
      </c>
      <c r="BK154" s="2">
        <v>0</v>
      </c>
      <c r="BM154" s="2">
        <v>0</v>
      </c>
      <c r="BO154" s="37">
        <f>(BG154/1000)/60.2*1000</f>
        <v>0</v>
      </c>
      <c r="BQ154" s="2">
        <f>BI154/74.08</f>
        <v>0</v>
      </c>
      <c r="BS154" s="2">
        <f t="shared" ref="BS154:BS155" si="1355">(BK154/1000)/88.12*1000</f>
        <v>0</v>
      </c>
      <c r="BU154" s="2">
        <f t="shared" ref="BU154:BU155" si="1356">BM154/88.12</f>
        <v>0</v>
      </c>
      <c r="BW154" s="37">
        <f>BO154*0.05</f>
        <v>0</v>
      </c>
      <c r="BX154" s="2">
        <f t="shared" si="1340"/>
        <v>0</v>
      </c>
      <c r="BY154" s="2">
        <f t="shared" si="1341"/>
        <v>0</v>
      </c>
      <c r="BZ154" s="18">
        <f t="shared" si="1342"/>
        <v>0</v>
      </c>
    </row>
    <row r="155" spans="1:78" x14ac:dyDescent="0.3">
      <c r="A155" s="173"/>
      <c r="B155" s="70" t="s">
        <v>123</v>
      </c>
      <c r="C155" s="20">
        <v>0</v>
      </c>
      <c r="D155" s="69">
        <v>7.08</v>
      </c>
      <c r="E155" s="21"/>
      <c r="F155" s="37">
        <v>1.57</v>
      </c>
      <c r="G155" s="67"/>
      <c r="H155" s="37">
        <v>0.16800000000000001</v>
      </c>
      <c r="I155" s="53">
        <f t="shared" si="1354"/>
        <v>4.7745600000000006E-2</v>
      </c>
      <c r="L155" s="68"/>
      <c r="M155" s="22">
        <v>0.9087915596809184</v>
      </c>
      <c r="O155" s="21">
        <v>0</v>
      </c>
      <c r="Q155" s="21">
        <v>0.15922733005489778</v>
      </c>
      <c r="S155" s="21">
        <v>83.275184377592296</v>
      </c>
      <c r="U155" s="21">
        <v>0</v>
      </c>
      <c r="W155" s="21">
        <v>15.656796732671898</v>
      </c>
      <c r="Y155" s="22">
        <v>6.4228311653664508E-2</v>
      </c>
      <c r="AA155" s="21">
        <v>0</v>
      </c>
      <c r="AC155" s="21">
        <v>1.1253298371452303E-2</v>
      </c>
      <c r="AE155" s="21">
        <v>5.8854249230685021</v>
      </c>
      <c r="AG155" s="21">
        <v>0</v>
      </c>
      <c r="AI155" s="21">
        <v>1.1065349466903081</v>
      </c>
      <c r="BG155" s="37">
        <v>0</v>
      </c>
      <c r="BI155" s="2">
        <v>0</v>
      </c>
      <c r="BK155" s="2">
        <v>0</v>
      </c>
      <c r="BM155" s="2">
        <v>0</v>
      </c>
      <c r="BO155" s="37">
        <f>(BG155/1000)/60.2*1000</f>
        <v>0</v>
      </c>
      <c r="BQ155" s="2">
        <f>BI155/74.08</f>
        <v>0</v>
      </c>
      <c r="BS155" s="2">
        <f t="shared" si="1355"/>
        <v>0</v>
      </c>
      <c r="BU155" s="2">
        <f t="shared" si="1356"/>
        <v>0</v>
      </c>
      <c r="BW155" s="37">
        <f>BO155*0.05</f>
        <v>0</v>
      </c>
      <c r="BX155" s="2">
        <f t="shared" si="1340"/>
        <v>0</v>
      </c>
      <c r="BY155" s="2">
        <f t="shared" si="1341"/>
        <v>0</v>
      </c>
      <c r="BZ155" s="18">
        <f t="shared" si="1342"/>
        <v>0</v>
      </c>
    </row>
    <row r="156" spans="1:78" ht="15" thickBot="1" x14ac:dyDescent="0.35">
      <c r="A156" s="175"/>
      <c r="B156" s="66" t="s">
        <v>63</v>
      </c>
      <c r="C156" s="65">
        <v>0</v>
      </c>
      <c r="D156" s="64">
        <f>AVERAGE(D153:D155)</f>
        <v>7.1233333333333322</v>
      </c>
      <c r="E156" s="77">
        <f>_xlfn.STDEV.S(D153:D155)</f>
        <v>3.7859388972001841E-2</v>
      </c>
      <c r="F156" s="60">
        <f t="shared" ref="F156" si="1357">AVERAGE(F153:F155)</f>
        <v>1.5746666666666667</v>
      </c>
      <c r="G156" s="55">
        <f>_xlfn.STDEV.S(F153:F155)</f>
        <v>8.0829037686547672E-3</v>
      </c>
      <c r="H156" s="60">
        <f t="shared" ref="H156:I156" si="1358">AVERAGE(H153:H155)</f>
        <v>0.18300000000000002</v>
      </c>
      <c r="I156" s="63">
        <f t="shared" si="1358"/>
        <v>5.2008600000000009E-2</v>
      </c>
      <c r="J156" s="63">
        <f>_xlfn.STDEV.S(I153:I155)</f>
        <v>3.7596126130227821E-3</v>
      </c>
      <c r="K156" s="63"/>
      <c r="L156" s="62" t="e">
        <f>_xlfn.STDEV.S(K153:K155)</f>
        <v>#DIV/0!</v>
      </c>
      <c r="M156" s="77">
        <f>AVERAGE(M153:M155)</f>
        <v>0.79566521120156686</v>
      </c>
      <c r="N156" s="58">
        <f>_xlfn.STDEV.S(M153:M155)</f>
        <v>9.9026182906613719E-2</v>
      </c>
      <c r="O156" s="58">
        <f t="shared" ref="O156" si="1359">AVERAGE(O153:O155)</f>
        <v>0</v>
      </c>
      <c r="P156" s="58">
        <f t="shared" ref="P156" si="1360">_xlfn.STDEV.S(O153:O155)</f>
        <v>0</v>
      </c>
      <c r="Q156" s="58">
        <f t="shared" ref="Q156" si="1361">AVERAGE(Q153:Q155)</f>
        <v>0.35899074031074374</v>
      </c>
      <c r="R156" s="58">
        <f t="shared" ref="R156" si="1362">_xlfn.STDEV.S(Q153:Q155)</f>
        <v>0.17315727252787697</v>
      </c>
      <c r="S156" s="58">
        <f t="shared" ref="S156" si="1363">AVERAGE(S153:S155)</f>
        <v>83.676910974746988</v>
      </c>
      <c r="T156" s="58">
        <f t="shared" ref="T156" si="1364">_xlfn.STDEV.S(S153:S155)</f>
        <v>0.34871752870492628</v>
      </c>
      <c r="U156" s="58">
        <f t="shared" ref="U156" si="1365">AVERAGE(U153:U155)</f>
        <v>0</v>
      </c>
      <c r="V156" s="58">
        <f t="shared" ref="V156" si="1366">_xlfn.STDEV.S(U153:U155)</f>
        <v>0</v>
      </c>
      <c r="W156" s="76">
        <f t="shared" ref="W156" si="1367">AVERAGE(W153:W155)</f>
        <v>15.168433073740706</v>
      </c>
      <c r="X156" s="76">
        <f>_xlfn.STDEV.S(W153:W155)</f>
        <v>0.42538447953518288</v>
      </c>
      <c r="Y156" s="59">
        <v>5.6385408481789044E-2</v>
      </c>
      <c r="Z156" s="76">
        <f>_xlfn.STDEV.S(Y153:Y155)</f>
        <v>6.8380509820557076E-3</v>
      </c>
      <c r="AA156" s="58">
        <v>0</v>
      </c>
      <c r="AB156" s="57">
        <f>_xlfn.STDEV.S(AA153:AA155)</f>
        <v>0</v>
      </c>
      <c r="AC156" s="58">
        <v>2.5466307926965508E-2</v>
      </c>
      <c r="AD156" s="57">
        <f>_xlfn.STDEV.S(AC153:AC155)</f>
        <v>1.2314657216873002E-2</v>
      </c>
      <c r="AE156" s="58">
        <v>5.9314321383309938</v>
      </c>
      <c r="AF156" s="57">
        <f>_xlfn.STDEV.S(AE153:AE155)</f>
        <v>4.6900660703094212E-2</v>
      </c>
      <c r="AG156" s="58">
        <v>0</v>
      </c>
      <c r="AH156" s="57">
        <f>_xlfn.STDEV.S(AG153:AG155)</f>
        <v>0</v>
      </c>
      <c r="AI156" s="58">
        <v>1.0751648820966142</v>
      </c>
      <c r="AJ156" s="57">
        <f>_xlfn.STDEV.S(AI153:AI155)</f>
        <v>2.8303382530751205E-2</v>
      </c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57"/>
      <c r="BI156" s="57"/>
      <c r="BJ156" s="57"/>
      <c r="BK156" s="57"/>
      <c r="BL156" s="57"/>
      <c r="BM156" s="57"/>
      <c r="BN156" s="57"/>
      <c r="BO156" s="60">
        <f>AVERAGE(BO153:BO155)</f>
        <v>0</v>
      </c>
      <c r="BP156" s="57">
        <f>_xlfn.STDEV.S(BO153:BO155)</f>
        <v>0</v>
      </c>
      <c r="BQ156" s="57">
        <f>AVERAGE(BQ153:BQ155)</f>
        <v>0</v>
      </c>
      <c r="BR156" s="57">
        <f>_xlfn.STDEV.S(BQ153:BQ155)</f>
        <v>0</v>
      </c>
      <c r="BS156" s="57">
        <f>AVERAGE(BS153:BS155)</f>
        <v>0</v>
      </c>
      <c r="BT156" s="57">
        <f>_xlfn.STDEV.S(BS153:BS155)</f>
        <v>0</v>
      </c>
      <c r="BU156" s="57">
        <f>AVERAGE(BU153:BU155)</f>
        <v>0</v>
      </c>
      <c r="BV156" s="57">
        <f>_xlfn.STDEV.S(BU153:BU155)</f>
        <v>0</v>
      </c>
      <c r="BW156" s="60">
        <f>AVERAGE(BW153:BW155)</f>
        <v>0</v>
      </c>
      <c r="BX156" s="57">
        <f t="shared" si="1340"/>
        <v>0</v>
      </c>
      <c r="BY156" s="57">
        <f t="shared" si="1341"/>
        <v>0</v>
      </c>
      <c r="BZ156" s="61">
        <f t="shared" si="1342"/>
        <v>0</v>
      </c>
    </row>
    <row r="157" spans="1:78" x14ac:dyDescent="0.3">
      <c r="A157" s="172" t="s">
        <v>59</v>
      </c>
      <c r="B157" s="95" t="s">
        <v>118</v>
      </c>
      <c r="C157" s="94">
        <v>1</v>
      </c>
      <c r="D157" s="93"/>
      <c r="E157" s="88"/>
      <c r="F157" s="90">
        <v>1.47</v>
      </c>
      <c r="G157" s="85"/>
      <c r="H157" s="90">
        <v>0.22800000000000001</v>
      </c>
      <c r="I157" s="92">
        <f>H157*0.2842</f>
        <v>6.4797600000000011E-2</v>
      </c>
      <c r="J157" s="92"/>
      <c r="K157" s="92"/>
      <c r="L157" s="91"/>
      <c r="M157" s="89">
        <v>3.9155227335513119</v>
      </c>
      <c r="O157" s="21">
        <v>0</v>
      </c>
      <c r="Q157" s="21">
        <v>0.32115800819241308</v>
      </c>
      <c r="S157" s="21">
        <v>82.65292841107204</v>
      </c>
      <c r="U157" s="21">
        <v>0.5127833842575128</v>
      </c>
      <c r="W157" s="88">
        <v>12.597607462926721</v>
      </c>
      <c r="X157" s="88"/>
      <c r="Y157" s="89">
        <v>0.25910133655886686</v>
      </c>
      <c r="Z157" s="87"/>
      <c r="AA157" s="21">
        <v>0</v>
      </c>
      <c r="AC157" s="21">
        <v>2.1251943822521362E-2</v>
      </c>
      <c r="AE157" s="21">
        <v>5.4693806367942175</v>
      </c>
      <c r="AG157" s="21">
        <v>3.393234295074473E-2</v>
      </c>
      <c r="AI157" s="88">
        <v>0.83361971139108326</v>
      </c>
      <c r="AJ157" s="87"/>
      <c r="AK157" s="22">
        <f>8*(AG157-$AG$149)/(2*($AA$149-AA157)+2*($AI$149-AI157))</f>
        <v>0.57138140950715333</v>
      </c>
      <c r="AL157" s="22"/>
      <c r="AM157" s="22">
        <f>(AG157-$AG$149)/(($AA$149-AA157)+($AI$149-AI157))</f>
        <v>0.14284535237678833</v>
      </c>
      <c r="AN157" s="22"/>
      <c r="AO157" s="37">
        <f>8*(BW157-$BW$149)/(2*($AA$149-AA157)+2*($AI$149-AI157))</f>
        <v>1.3146605320678227E-2</v>
      </c>
      <c r="AQ157" s="37">
        <f>(BW157-$BW$149)/($AI$149-AI157)</f>
        <v>3.2866513301695569E-3</v>
      </c>
      <c r="AS157" s="37">
        <f>14*(BX157-$BX$149)/(2*($AA$149-AA157)+2*($AI$149-AI157))</f>
        <v>0</v>
      </c>
      <c r="AU157" s="37">
        <f>(BX157-$BX$149)/(($AA$149-AA157)+($AI$149-AI157))</f>
        <v>0</v>
      </c>
      <c r="AY157" s="90"/>
      <c r="AZ157" s="90"/>
      <c r="BA157" s="90"/>
      <c r="BB157" s="90"/>
      <c r="BC157" s="90"/>
      <c r="BD157" s="90"/>
      <c r="BE157" s="90"/>
      <c r="BF157" s="90"/>
      <c r="BG157" s="90">
        <v>0.94</v>
      </c>
      <c r="BH157" s="87"/>
      <c r="BI157" s="2">
        <v>0</v>
      </c>
      <c r="BK157" s="2">
        <v>0</v>
      </c>
      <c r="BM157" s="2">
        <v>0</v>
      </c>
      <c r="BN157" s="87"/>
      <c r="BO157" s="90">
        <f t="shared" ref="BO157:BO159" si="1368">(BG157/1000)/60.2*1000</f>
        <v>1.5614617940199336E-2</v>
      </c>
      <c r="BP157" s="87"/>
      <c r="BQ157" s="87">
        <f t="shared" ref="BQ157:BQ159" si="1369">BI157/74.08</f>
        <v>0</v>
      </c>
      <c r="BR157" s="87"/>
      <c r="BS157" s="87">
        <f t="shared" ref="BS157:BS159" si="1370">(BK157/1000)/88.12*1000</f>
        <v>0</v>
      </c>
      <c r="BT157" s="87"/>
      <c r="BU157" s="87">
        <f t="shared" ref="BU157:BU159" si="1371">BM157/88.12</f>
        <v>0</v>
      </c>
      <c r="BV157" s="87"/>
      <c r="BW157" s="90">
        <f t="shared" ref="BW157:BW159" si="1372">BO157*0.05</f>
        <v>7.8073089700996683E-4</v>
      </c>
      <c r="BX157" s="87">
        <f t="shared" si="1340"/>
        <v>0</v>
      </c>
      <c r="BY157" s="87">
        <f t="shared" si="1341"/>
        <v>0</v>
      </c>
      <c r="BZ157" s="23">
        <f t="shared" si="1342"/>
        <v>0</v>
      </c>
    </row>
    <row r="158" spans="1:78" x14ac:dyDescent="0.3">
      <c r="A158" s="173"/>
      <c r="B158" s="70" t="s">
        <v>119</v>
      </c>
      <c r="C158" s="20">
        <v>1</v>
      </c>
      <c r="D158" s="69"/>
      <c r="E158" s="21"/>
      <c r="F158" s="37">
        <v>1.56</v>
      </c>
      <c r="H158" s="37">
        <v>0.23400000000000001</v>
      </c>
      <c r="I158" s="53">
        <f t="shared" ref="I158:I159" si="1373">H158*0.2842</f>
        <v>6.6502800000000001E-2</v>
      </c>
      <c r="L158" s="68"/>
      <c r="M158" s="22">
        <v>3.6118104258699755</v>
      </c>
      <c r="O158" s="21">
        <v>0</v>
      </c>
      <c r="Q158" s="21">
        <v>0.29350632176209301</v>
      </c>
      <c r="S158" s="21">
        <v>84.258323744928248</v>
      </c>
      <c r="U158" s="21">
        <v>0.63538361581824598</v>
      </c>
      <c r="W158" s="21">
        <v>11.200975891621413</v>
      </c>
      <c r="Y158" s="22">
        <v>0.25363671185107539</v>
      </c>
      <c r="AA158" s="21">
        <v>0</v>
      </c>
      <c r="AC158" s="21">
        <v>2.0611264042549995E-2</v>
      </c>
      <c r="AE158" s="21">
        <v>5.9169783739686084</v>
      </c>
      <c r="AG158" s="21">
        <v>4.4619343785566798E-2</v>
      </c>
      <c r="AI158" s="21">
        <v>0.78658023530947563</v>
      </c>
      <c r="AK158" s="22">
        <f>8*(AG158-$AG$150)/(2*($AA$150-AA158)+2*($AI$150-AI158))</f>
        <v>0.64063941042780836</v>
      </c>
      <c r="AL158" s="22"/>
      <c r="AM158" s="22">
        <f>(AG158-$AG$150)/(($AA$150-AA158)+($AI$150-AI158))</f>
        <v>0.16015985260695209</v>
      </c>
      <c r="AN158" s="22"/>
      <c r="AO158" s="37">
        <f>8*(BW158-$BW$150)/(2*($AA$150-AA158)+2*($AI$150-AI158))</f>
        <v>1.7410724432819807E-2</v>
      </c>
      <c r="AQ158" s="37">
        <f>(BW158-$BW$150)/($AI$150-AI158)</f>
        <v>4.3526811082049517E-3</v>
      </c>
      <c r="AS158" s="37">
        <f>14*(BX158-$BX$150)/(2*($AA$150-AA158)+2*($AI$150-AI158))</f>
        <v>0</v>
      </c>
      <c r="AU158" s="37">
        <f>(BX158-$BX$150)/(($AA$150-AA158)+($AI$150-AI158))</f>
        <v>0</v>
      </c>
      <c r="BG158" s="37">
        <v>1.47</v>
      </c>
      <c r="BI158" s="2">
        <v>0</v>
      </c>
      <c r="BK158" s="2">
        <v>0</v>
      </c>
      <c r="BM158" s="2">
        <v>0</v>
      </c>
      <c r="BO158" s="37">
        <f t="shared" si="1368"/>
        <v>2.441860465116279E-2</v>
      </c>
      <c r="BQ158" s="2">
        <f t="shared" si="1369"/>
        <v>0</v>
      </c>
      <c r="BS158" s="2">
        <f t="shared" si="1370"/>
        <v>0</v>
      </c>
      <c r="BU158" s="2">
        <f t="shared" si="1371"/>
        <v>0</v>
      </c>
      <c r="BW158" s="37">
        <f t="shared" si="1372"/>
        <v>1.2209302325581397E-3</v>
      </c>
      <c r="BX158" s="2">
        <f t="shared" si="1340"/>
        <v>0</v>
      </c>
      <c r="BY158" s="2">
        <f t="shared" si="1341"/>
        <v>0</v>
      </c>
      <c r="BZ158" s="18">
        <f t="shared" si="1342"/>
        <v>0</v>
      </c>
    </row>
    <row r="159" spans="1:78" x14ac:dyDescent="0.3">
      <c r="A159" s="173"/>
      <c r="B159" s="70" t="s">
        <v>120</v>
      </c>
      <c r="C159" s="20">
        <v>1</v>
      </c>
      <c r="D159" s="69"/>
      <c r="E159" s="21"/>
      <c r="F159" s="37">
        <v>1.51</v>
      </c>
      <c r="H159" s="37">
        <v>0.23899999999999999</v>
      </c>
      <c r="I159" s="53">
        <f t="shared" si="1373"/>
        <v>6.7923799999999993E-2</v>
      </c>
      <c r="L159" s="68"/>
      <c r="M159" s="22">
        <v>3.9460890448477266</v>
      </c>
      <c r="O159" s="21">
        <v>0</v>
      </c>
      <c r="Q159" s="21">
        <v>0.28219758285799851</v>
      </c>
      <c r="S159" s="21">
        <v>84.227590454661595</v>
      </c>
      <c r="U159" s="21">
        <v>0.72994727330056108</v>
      </c>
      <c r="W159" s="21">
        <v>10.814175644332106</v>
      </c>
      <c r="Y159" s="22">
        <v>0.26822941166688796</v>
      </c>
      <c r="AA159" s="21">
        <v>0</v>
      </c>
      <c r="AC159" s="21">
        <v>1.9181952247795689E-2</v>
      </c>
      <c r="AE159" s="21">
        <v>5.7252425824681978</v>
      </c>
      <c r="AG159" s="21">
        <v>4.9617057658873469E-2</v>
      </c>
      <c r="AI159" s="21">
        <v>0.7350771707822733</v>
      </c>
      <c r="AK159" s="22">
        <f>8*(AG159-$AG$151)/(2*($AA$151-AA159)+2*($AI$151-AI159))</f>
        <v>0.61005412537758341</v>
      </c>
      <c r="AL159" s="22"/>
      <c r="AM159" s="22">
        <f>(AG159-$AG$150)/(($AA$150-AA159)+($AI$150-AI159))</f>
        <v>0.15031116307081027</v>
      </c>
      <c r="AN159" s="22"/>
      <c r="AO159" s="37">
        <f>8*(BW159-$BW$151)/(2*($AA$151-AA159)+2*($AI$151-AI159))</f>
        <v>1.8483722921727511E-2</v>
      </c>
      <c r="AQ159" s="37">
        <f t="shared" ref="AQ159" si="1374">(BW159-$BW$149)/($AI$149-AI159)</f>
        <v>4.5471326455655053E-3</v>
      </c>
      <c r="AS159" s="37">
        <f>14*(BX159-$BX$151)/(2*($AA$151-AA159)+2*($AI$151-AI159))</f>
        <v>0</v>
      </c>
      <c r="AU159" s="37">
        <f>(BX159-$BX$151)/(($AA$151-AA159)+($AI$151-AI159))</f>
        <v>0</v>
      </c>
      <c r="BG159" s="37">
        <v>1.84</v>
      </c>
      <c r="BI159" s="2">
        <v>0</v>
      </c>
      <c r="BK159" s="2">
        <v>0</v>
      </c>
      <c r="BM159" s="2">
        <v>0</v>
      </c>
      <c r="BO159" s="37">
        <f t="shared" si="1368"/>
        <v>3.0564784053156147E-2</v>
      </c>
      <c r="BQ159" s="2">
        <f t="shared" si="1369"/>
        <v>0</v>
      </c>
      <c r="BS159" s="2">
        <f t="shared" si="1370"/>
        <v>0</v>
      </c>
      <c r="BU159" s="2">
        <f t="shared" si="1371"/>
        <v>0</v>
      </c>
      <c r="BW159" s="37">
        <f t="shared" si="1372"/>
        <v>1.5282392026578074E-3</v>
      </c>
      <c r="BX159" s="2">
        <f t="shared" si="1340"/>
        <v>0</v>
      </c>
      <c r="BY159" s="2">
        <f t="shared" si="1341"/>
        <v>0</v>
      </c>
      <c r="BZ159" s="18">
        <f t="shared" si="1342"/>
        <v>0</v>
      </c>
    </row>
    <row r="160" spans="1:78" x14ac:dyDescent="0.3">
      <c r="A160" s="173"/>
      <c r="B160" s="83" t="s">
        <v>63</v>
      </c>
      <c r="C160" s="80">
        <v>1</v>
      </c>
      <c r="D160" s="79" t="e">
        <f>AVERAGE(D157:D159)</f>
        <v>#DIV/0!</v>
      </c>
      <c r="E160" s="76"/>
      <c r="F160" s="78">
        <f t="shared" ref="F160" si="1375">AVERAGE(F157:F159)</f>
        <v>1.5133333333333334</v>
      </c>
      <c r="G160" s="73">
        <f>_xlfn.STDEV.S(F157:F159)</f>
        <v>4.5092497528228984E-2</v>
      </c>
      <c r="H160" s="78">
        <f t="shared" ref="H160:I160" si="1376">AVERAGE(H157:H159)</f>
        <v>0.23366666666666669</v>
      </c>
      <c r="I160" s="82">
        <f t="shared" si="1376"/>
        <v>6.6408066666666668E-2</v>
      </c>
      <c r="J160" s="82">
        <f>_xlfn.STDEV.S(I157:I159)</f>
        <v>1.5652515495387011E-3</v>
      </c>
      <c r="K160" s="82"/>
      <c r="L160" s="81" t="e">
        <f>_xlfn.STDEV.S(K157:K159)</f>
        <v>#DIV/0!</v>
      </c>
      <c r="M160" s="77">
        <f>AVERAGE(M157:M159)</f>
        <v>3.8244740680896712</v>
      </c>
      <c r="N160" s="76">
        <f>_xlfn.STDEV.S(M157:M159)</f>
        <v>0.18480514978803333</v>
      </c>
      <c r="O160" s="76">
        <f t="shared" ref="O160" si="1377">AVERAGE(O157:O159)</f>
        <v>0</v>
      </c>
      <c r="P160" s="76">
        <f t="shared" ref="P160" si="1378">_xlfn.STDEV.S(O157:O159)</f>
        <v>0</v>
      </c>
      <c r="Q160" s="76">
        <f t="shared" ref="Q160" si="1379">AVERAGE(Q157:Q159)</f>
        <v>0.29895397093750153</v>
      </c>
      <c r="R160" s="76">
        <f t="shared" ref="R160" si="1380">_xlfn.STDEV.S(Q157:Q159)</f>
        <v>2.0043361661990985E-2</v>
      </c>
      <c r="S160" s="76">
        <f t="shared" ref="S160" si="1381">AVERAGE(S157:S159)</f>
        <v>83.712947536887285</v>
      </c>
      <c r="T160" s="76">
        <f t="shared" ref="T160" si="1382">_xlfn.STDEV.S(S157:S159)</f>
        <v>0.91813209512752336</v>
      </c>
      <c r="U160" s="76">
        <f t="shared" ref="U160" si="1383">AVERAGE(U157:U159)</f>
        <v>0.62603809112543995</v>
      </c>
      <c r="V160" s="76">
        <f t="shared" ref="V160" si="1384">_xlfn.STDEV.S(U157:U159)</f>
        <v>0.10888316123218129</v>
      </c>
      <c r="W160" s="76">
        <f t="shared" ref="W160" si="1385">AVERAGE(W157:W159)</f>
        <v>11.53758633296008</v>
      </c>
      <c r="X160" s="76">
        <f>_xlfn.STDEV.S(W157:W159)</f>
        <v>0.93815627952254455</v>
      </c>
      <c r="Y160" s="77">
        <v>0.2603224866922767</v>
      </c>
      <c r="Z160" s="75">
        <f>_xlfn.STDEV.S(Y157:Y159)</f>
        <v>7.3725930116105877E-3</v>
      </c>
      <c r="AA160" s="76">
        <v>0</v>
      </c>
      <c r="AB160" s="75">
        <f>_xlfn.STDEV.S(AA157:AA159)</f>
        <v>0</v>
      </c>
      <c r="AC160" s="76">
        <v>2.0348386704289016E-2</v>
      </c>
      <c r="AD160" s="75">
        <f>_xlfn.STDEV.S(AC157:AC159)</f>
        <v>1.0597380105890331E-3</v>
      </c>
      <c r="AE160" s="76">
        <v>5.7038671977436737</v>
      </c>
      <c r="AF160" s="75">
        <f>_xlfn.STDEV.S(AE157:AE159)</f>
        <v>0.22456316235081794</v>
      </c>
      <c r="AG160" s="76">
        <v>4.2722914798394997E-2</v>
      </c>
      <c r="AH160" s="75">
        <f>_xlfn.STDEV.S(AG157:AG159)</f>
        <v>8.0124840746416716E-3</v>
      </c>
      <c r="AI160" s="76">
        <v>0.78509237249427732</v>
      </c>
      <c r="AJ160" s="75">
        <f>_xlfn.STDEV.S(AI157:AI159)</f>
        <v>4.9288116004036688E-2</v>
      </c>
      <c r="AK160" s="77">
        <f t="shared" ref="AK160" si="1386">AVERAGE(AK157:AK159)</f>
        <v>0.60735831510418159</v>
      </c>
      <c r="AL160" s="77">
        <f t="shared" ref="AL160" si="1387">_xlfn.STDEV.S(AK157:AK159)</f>
        <v>3.470761037083938E-2</v>
      </c>
      <c r="AM160" s="77">
        <f>AVERAGE(AM157:AM159)</f>
        <v>0.15110545601818356</v>
      </c>
      <c r="AN160" s="77">
        <f t="shared" ref="AN160" si="1388">_xlfn.STDEV.S(AM157:AM159)</f>
        <v>8.6845354233701204E-3</v>
      </c>
      <c r="AO160" s="78">
        <f t="shared" ref="AO160" si="1389">AVERAGE(AO157:AO159)</f>
        <v>1.6347017558408516E-2</v>
      </c>
      <c r="AP160" s="78">
        <f t="shared" ref="AP160" si="1390">_xlfn.STDEV.S(AO157:AO159)</f>
        <v>2.8230852462970179E-3</v>
      </c>
      <c r="AQ160" s="78">
        <f t="shared" ref="AQ160" si="1391">AVERAGE(AQ157:AQ159)</f>
        <v>4.0621550279800051E-3</v>
      </c>
      <c r="AR160" s="78">
        <f t="shared" ref="AR160" si="1392">_xlfn.STDEV.S(AQ157:AQ159)</f>
        <v>6.7860691057764031E-4</v>
      </c>
      <c r="AS160" s="78">
        <f t="shared" ref="AS160" si="1393">AVERAGE(AS157:AS159)</f>
        <v>0</v>
      </c>
      <c r="AT160" s="78">
        <f t="shared" ref="AT160" si="1394">_xlfn.STDEV.S(AS157:AS159)</f>
        <v>0</v>
      </c>
      <c r="AU160" s="78">
        <f t="shared" ref="AU160" si="1395">AVERAGE(AU157:AU159)</f>
        <v>0</v>
      </c>
      <c r="AV160" s="78">
        <f t="shared" ref="AV160" si="1396">_xlfn.STDEV.S(AU157:AU159)</f>
        <v>0</v>
      </c>
      <c r="AW160" s="78"/>
      <c r="AX160" s="78"/>
      <c r="AY160" s="77">
        <f>SUM(AK160,AO160,AS160,AW160)</f>
        <v>0.6237053326625901</v>
      </c>
      <c r="AZ160" s="77">
        <f>SUM(AL160,AP160,AT160,AX160)</f>
        <v>3.75306956171364E-2</v>
      </c>
      <c r="BA160" s="78"/>
      <c r="BB160" s="78"/>
      <c r="BC160" s="78"/>
      <c r="BD160" s="78"/>
      <c r="BE160" s="78"/>
      <c r="BF160" s="78"/>
      <c r="BG160" s="78"/>
      <c r="BH160" s="75"/>
      <c r="BI160" s="75"/>
      <c r="BJ160" s="75"/>
      <c r="BK160" s="75"/>
      <c r="BL160" s="75"/>
      <c r="BM160" s="75"/>
      <c r="BN160" s="75"/>
      <c r="BO160" s="78">
        <f t="shared" ref="BO160" si="1397">AVERAGE(BO157:BO159)</f>
        <v>2.3532668881506093E-2</v>
      </c>
      <c r="BP160" s="75">
        <f t="shared" ref="BP160" si="1398">_xlfn.STDEV.S(BO157:BO159)</f>
        <v>7.5143548187597779E-3</v>
      </c>
      <c r="BQ160" s="75">
        <f t="shared" ref="BQ160" si="1399">AVERAGE(BQ157:BQ159)</f>
        <v>0</v>
      </c>
      <c r="BR160" s="75">
        <f t="shared" ref="BR160" si="1400">_xlfn.STDEV.S(BQ157:BQ159)</f>
        <v>0</v>
      </c>
      <c r="BS160" s="75">
        <f t="shared" ref="BS160" si="1401">AVERAGE(BS157:BS159)</f>
        <v>0</v>
      </c>
      <c r="BT160" s="75">
        <f t="shared" ref="BT160" si="1402">_xlfn.STDEV.S(BS157:BS159)</f>
        <v>0</v>
      </c>
      <c r="BU160" s="75">
        <f t="shared" ref="BU160" si="1403">AVERAGE(BU157:BU159)</f>
        <v>0</v>
      </c>
      <c r="BV160" s="75">
        <f t="shared" ref="BV160" si="1404">_xlfn.STDEV.S(BU157:BU159)</f>
        <v>0</v>
      </c>
      <c r="BW160" s="78">
        <f t="shared" ref="BW160" si="1405">AVERAGE(BW157:BW159)</f>
        <v>1.1766334440753046E-3</v>
      </c>
      <c r="BX160" s="75">
        <f t="shared" si="1340"/>
        <v>0</v>
      </c>
      <c r="BY160" s="75">
        <f t="shared" si="1341"/>
        <v>0</v>
      </c>
      <c r="BZ160" s="119">
        <f t="shared" si="1342"/>
        <v>0</v>
      </c>
    </row>
    <row r="161" spans="1:78" x14ac:dyDescent="0.3">
      <c r="A161" s="174" t="s">
        <v>60</v>
      </c>
      <c r="B161" s="70" t="s">
        <v>121</v>
      </c>
      <c r="C161" s="20">
        <v>1</v>
      </c>
      <c r="D161" s="69"/>
      <c r="E161" s="21"/>
      <c r="F161" s="37">
        <v>1.5760000000000001</v>
      </c>
      <c r="H161" s="37">
        <v>0.193</v>
      </c>
      <c r="I161" s="53">
        <f>H161*0.2842</f>
        <v>5.4850600000000006E-2</v>
      </c>
      <c r="K161" s="53">
        <f>(I161-$I$153)/($AI$153/1000-AI161/1000)*0.05</f>
        <v>0.39882463656074174</v>
      </c>
      <c r="L161" s="68"/>
      <c r="M161" s="22">
        <v>3.4774934977275946</v>
      </c>
      <c r="O161" s="21">
        <v>1.1280977830046508</v>
      </c>
      <c r="Q161" s="21">
        <v>9.2552011231113548E-2</v>
      </c>
      <c r="S161" s="21">
        <v>82.990927514072581</v>
      </c>
      <c r="U161" s="21">
        <v>0</v>
      </c>
      <c r="W161" s="21">
        <v>12.310929193964073</v>
      </c>
      <c r="Y161" s="22">
        <v>0.24670906562696671</v>
      </c>
      <c r="AA161" s="21">
        <v>8.0032342307123222E-2</v>
      </c>
      <c r="AC161" s="21">
        <v>6.5660569107160944E-3</v>
      </c>
      <c r="AE161" s="21">
        <v>5.8877505294809396</v>
      </c>
      <c r="AG161" s="21">
        <v>0</v>
      </c>
      <c r="AI161" s="21">
        <v>0.87339281595417084</v>
      </c>
      <c r="AK161" s="22"/>
      <c r="AL161" s="22"/>
      <c r="AM161" s="22"/>
      <c r="AN161" s="22"/>
      <c r="AO161" s="37">
        <f>8*(BW161-$BW$153)/2*($AI$153-AI161)</f>
        <v>6.6287803908771949E-4</v>
      </c>
      <c r="AQ161" s="37">
        <f>(BW161-$BW$153)/($AI$153-AI161)</f>
        <v>5.2216701184654131E-3</v>
      </c>
      <c r="AS161" s="37">
        <f>14*(BX161-$BX$153)/(2*($AA$153-AA161)+2*($AI$153-AI161))</f>
        <v>0</v>
      </c>
      <c r="AU161" s="37">
        <f>(BX161-$BX$153)/(($AA$153-AA161)+($AI$153-AI161))</f>
        <v>0</v>
      </c>
      <c r="AW161" s="22">
        <f>2*(AA161-$AA$153)/2*($AI$153-AI161)</f>
        <v>1.4257639573013424E-2</v>
      </c>
      <c r="BG161" s="37">
        <v>1.1200000000000001</v>
      </c>
      <c r="BI161" s="2">
        <v>0</v>
      </c>
      <c r="BK161" s="2">
        <v>0</v>
      </c>
      <c r="BM161" s="2">
        <v>0</v>
      </c>
      <c r="BO161" s="37">
        <f t="shared" ref="BO161:BO163" si="1406">(BG161/1000)/60.2*1000</f>
        <v>1.8604651162790697E-2</v>
      </c>
      <c r="BQ161" s="2">
        <f t="shared" ref="BQ161:BQ163" si="1407">BI161/74.08</f>
        <v>0</v>
      </c>
      <c r="BS161" s="2">
        <f t="shared" ref="BS161:BS163" si="1408">(BK161/1000)/88.12*1000</f>
        <v>0</v>
      </c>
      <c r="BU161" s="2">
        <f t="shared" ref="BU161:BU163" si="1409">BM161/88.12</f>
        <v>0</v>
      </c>
      <c r="BW161" s="37">
        <f t="shared" ref="BW161:BW163" si="1410">BO161*0.05</f>
        <v>9.3023255813953494E-4</v>
      </c>
      <c r="BX161" s="2">
        <f t="shared" si="1340"/>
        <v>0</v>
      </c>
      <c r="BY161" s="2">
        <f t="shared" si="1341"/>
        <v>0</v>
      </c>
      <c r="BZ161" s="18">
        <f t="shared" si="1342"/>
        <v>0</v>
      </c>
    </row>
    <row r="162" spans="1:78" x14ac:dyDescent="0.3">
      <c r="A162" s="173"/>
      <c r="B162" s="70" t="s">
        <v>122</v>
      </c>
      <c r="C162" s="20">
        <v>1</v>
      </c>
      <c r="D162" s="69"/>
      <c r="E162" s="21"/>
      <c r="F162" s="37">
        <v>1.58</v>
      </c>
      <c r="H162" s="37">
        <v>0.20799999999999999</v>
      </c>
      <c r="I162" s="53">
        <f t="shared" ref="I162:I163" si="1411">H162*0.2842</f>
        <v>5.9113600000000002E-2</v>
      </c>
      <c r="K162" s="53">
        <f>(I162-$I$154)/($AI$154/1000-AI162/1000)*0.05</f>
        <v>0.92943213722953466</v>
      </c>
      <c r="L162" s="68"/>
      <c r="M162" s="22">
        <v>3.1352450224875374</v>
      </c>
      <c r="O162" s="21">
        <v>2.9772102728043675</v>
      </c>
      <c r="Q162" s="21">
        <v>0.25017604454831571</v>
      </c>
      <c r="S162" s="21">
        <v>81.854030969882345</v>
      </c>
      <c r="U162" s="21">
        <v>0</v>
      </c>
      <c r="W162" s="21">
        <v>11.783337690277451</v>
      </c>
      <c r="Y162" s="22">
        <v>0.22299295502878291</v>
      </c>
      <c r="AA162" s="21">
        <v>0.21175280136413452</v>
      </c>
      <c r="AC162" s="21">
        <v>1.7793663669380122E-2</v>
      </c>
      <c r="AE162" s="21">
        <v>5.8218327805555541</v>
      </c>
      <c r="AG162" s="21">
        <v>0</v>
      </c>
      <c r="AI162" s="21">
        <v>0.83808482999272438</v>
      </c>
      <c r="AK162" s="22"/>
      <c r="AL162" s="22"/>
      <c r="AM162" s="22"/>
      <c r="AN162" s="22"/>
      <c r="AO162" s="37">
        <f>8*(BW162-$BW$154)/2*($AI$154-AI162)</f>
        <v>1.4019062737275028E-3</v>
      </c>
      <c r="AQ162" s="37">
        <f>(BW162-$BW$154)/($AI$154-AI162)</f>
        <v>6.6638265462078666E-3</v>
      </c>
      <c r="AS162" s="37">
        <f>14*(BX162-$BX$154)/(2*($AA$154-AA162)+2*($AI$154-AI162))</f>
        <v>0</v>
      </c>
      <c r="AU162" s="37">
        <f>(BX162-$BX$154)/(($AA$154-AA162)+($AI$154-AI162))</f>
        <v>0</v>
      </c>
      <c r="AW162" s="22">
        <f>2*(AA162-$AA$154)/2*($AI$154-AI162)</f>
        <v>4.8562028149042341E-2</v>
      </c>
      <c r="BG162" s="37">
        <v>1.84</v>
      </c>
      <c r="BI162" s="2">
        <v>0</v>
      </c>
      <c r="BK162" s="2">
        <v>0</v>
      </c>
      <c r="BM162" s="2">
        <v>0</v>
      </c>
      <c r="BO162" s="37">
        <f t="shared" si="1406"/>
        <v>3.0564784053156147E-2</v>
      </c>
      <c r="BQ162" s="2">
        <f t="shared" si="1407"/>
        <v>0</v>
      </c>
      <c r="BS162" s="2">
        <f t="shared" si="1408"/>
        <v>0</v>
      </c>
      <c r="BU162" s="2">
        <f t="shared" si="1409"/>
        <v>0</v>
      </c>
      <c r="BW162" s="37">
        <f t="shared" si="1410"/>
        <v>1.5282392026578074E-3</v>
      </c>
      <c r="BX162" s="2">
        <f t="shared" si="1340"/>
        <v>0</v>
      </c>
      <c r="BY162" s="2">
        <f t="shared" si="1341"/>
        <v>0</v>
      </c>
      <c r="BZ162" s="18">
        <f t="shared" si="1342"/>
        <v>0</v>
      </c>
    </row>
    <row r="163" spans="1:78" x14ac:dyDescent="0.3">
      <c r="A163" s="173"/>
      <c r="B163" s="70" t="s">
        <v>123</v>
      </c>
      <c r="C163" s="20">
        <v>1</v>
      </c>
      <c r="D163" s="69"/>
      <c r="E163" s="21"/>
      <c r="F163" s="37">
        <v>1.5720000000000001</v>
      </c>
      <c r="G163" s="67"/>
      <c r="H163" s="37">
        <v>0.19</v>
      </c>
      <c r="I163" s="53">
        <f t="shared" si="1411"/>
        <v>5.3998000000000004E-2</v>
      </c>
      <c r="K163" s="53">
        <f>(I163-$I$155)/($AI$155/1000-AI163/1000)*0.05</f>
        <v>1.7323868754072393</v>
      </c>
      <c r="L163" s="68"/>
      <c r="M163" s="22">
        <v>2.9211725067028307</v>
      </c>
      <c r="O163" s="21">
        <v>3.5015419619741111</v>
      </c>
      <c r="Q163" s="21">
        <v>0.63635361104888288</v>
      </c>
      <c r="S163" s="21">
        <v>79.854152147178752</v>
      </c>
      <c r="U163" s="21">
        <v>0</v>
      </c>
      <c r="W163" s="21">
        <v>13.086779773095438</v>
      </c>
      <c r="Y163" s="22">
        <v>0.20671515381365754</v>
      </c>
      <c r="AA163" s="21">
        <v>0.24778467673292004</v>
      </c>
      <c r="AC163" s="21">
        <v>4.5031210682015398E-2</v>
      </c>
      <c r="AE163" s="21">
        <v>5.6508348294688782</v>
      </c>
      <c r="AG163" s="21">
        <v>0</v>
      </c>
      <c r="AI163" s="21">
        <v>0.92607871925178575</v>
      </c>
      <c r="AK163" s="22"/>
      <c r="AL163" s="22"/>
      <c r="AM163" s="22"/>
      <c r="AN163" s="22"/>
      <c r="AO163" s="37">
        <f>8*(BW163-$BW$155)/2*($AI$155-AI163)</f>
        <v>8.6331218442349533E-4</v>
      </c>
      <c r="AQ163" s="37">
        <f>(BW163-$BW$155)/($AI$155-AI163)</f>
        <v>6.6277196748114539E-3</v>
      </c>
      <c r="AS163" s="37">
        <f>14*(BX163-$BX$155)/(2*($AA$155-AA163)+2*($AI$153-AI163))</f>
        <v>0</v>
      </c>
      <c r="AU163" s="37">
        <f>(BX163-$BX$155)/(($AA$155-AA163)+($AI$155-AI163))</f>
        <v>0</v>
      </c>
      <c r="AW163" s="22">
        <f>2*(AA163-$AA$155)/2*($AI$155-AI163)</f>
        <v>4.4714287980296544E-2</v>
      </c>
      <c r="BG163" s="37">
        <v>1.44</v>
      </c>
      <c r="BI163" s="2">
        <v>0</v>
      </c>
      <c r="BK163" s="2">
        <v>0</v>
      </c>
      <c r="BM163" s="2">
        <v>0</v>
      </c>
      <c r="BO163" s="37">
        <f t="shared" si="1406"/>
        <v>2.3920265780730893E-2</v>
      </c>
      <c r="BQ163" s="2">
        <f t="shared" si="1407"/>
        <v>0</v>
      </c>
      <c r="BS163" s="2">
        <f t="shared" si="1408"/>
        <v>0</v>
      </c>
      <c r="BU163" s="2">
        <f t="shared" si="1409"/>
        <v>0</v>
      </c>
      <c r="BW163" s="37">
        <f t="shared" si="1410"/>
        <v>1.1960132890365448E-3</v>
      </c>
      <c r="BX163" s="2">
        <f t="shared" si="1340"/>
        <v>0</v>
      </c>
      <c r="BY163" s="2">
        <f t="shared" si="1341"/>
        <v>0</v>
      </c>
      <c r="BZ163" s="18">
        <f t="shared" si="1342"/>
        <v>0</v>
      </c>
    </row>
    <row r="164" spans="1:78" ht="15" thickBot="1" x14ac:dyDescent="0.35">
      <c r="A164" s="175"/>
      <c r="B164" s="66" t="s">
        <v>63</v>
      </c>
      <c r="C164" s="65">
        <v>1</v>
      </c>
      <c r="D164" s="64" t="e">
        <f>AVERAGE(D161:D163)</f>
        <v>#DIV/0!</v>
      </c>
      <c r="E164" s="58"/>
      <c r="F164" s="60">
        <f t="shared" ref="F164" si="1412">AVERAGE(F161:F163)</f>
        <v>1.5759999999999998</v>
      </c>
      <c r="G164" s="55">
        <f>_xlfn.STDEV.S(F161:F163)</f>
        <v>4.0000000000000036E-3</v>
      </c>
      <c r="H164" s="60">
        <f t="shared" ref="H164:I164" si="1413">AVERAGE(H161:H163)</f>
        <v>0.19699999999999998</v>
      </c>
      <c r="I164" s="63">
        <f t="shared" si="1413"/>
        <v>5.59874E-2</v>
      </c>
      <c r="J164" s="63">
        <f>_xlfn.STDEV.S(I161:I163)</f>
        <v>2.7407255462741963E-3</v>
      </c>
      <c r="K164" s="63">
        <f>AVERAGE(K161:K163)</f>
        <v>1.0202145497325052</v>
      </c>
      <c r="L164" s="62">
        <f>_xlfn.STDEV.S(K161:K163)</f>
        <v>0.67140013854199854</v>
      </c>
      <c r="M164" s="59">
        <f>AVERAGE(M161:M163)</f>
        <v>3.1779703423059877</v>
      </c>
      <c r="N164" s="58">
        <f>_xlfn.STDEV.S(M161:M163)</f>
        <v>0.28061067509787563</v>
      </c>
      <c r="O164" s="58">
        <f t="shared" ref="O164" si="1414">AVERAGE(O161:O163)</f>
        <v>2.5356166725943763</v>
      </c>
      <c r="P164" s="58">
        <f t="shared" ref="P164" si="1415">_xlfn.STDEV.S(O161:O163)</f>
        <v>1.2468211573761565</v>
      </c>
      <c r="Q164" s="58">
        <f t="shared" ref="Q164" si="1416">AVERAGE(Q161:Q163)</f>
        <v>0.32636055560943739</v>
      </c>
      <c r="R164" s="58">
        <f t="shared" ref="R164" si="1417">_xlfn.STDEV.S(Q161:Q163)</f>
        <v>0.27979118067821213</v>
      </c>
      <c r="S164" s="58">
        <f t="shared" ref="S164" si="1418">AVERAGE(S161:S163)</f>
        <v>81.566370210377897</v>
      </c>
      <c r="T164" s="58">
        <f t="shared" ref="T164" si="1419">_xlfn.STDEV.S(S161:S163)</f>
        <v>1.5880495773139414</v>
      </c>
      <c r="U164" s="58">
        <f t="shared" ref="U164" si="1420">AVERAGE(U161:U163)</f>
        <v>0</v>
      </c>
      <c r="V164" s="58">
        <f t="shared" ref="V164" si="1421">_xlfn.STDEV.S(U161:U163)</f>
        <v>0</v>
      </c>
      <c r="W164" s="58">
        <f t="shared" ref="W164" si="1422">AVERAGE(W161:W163)</f>
        <v>12.393682219112321</v>
      </c>
      <c r="X164" s="58">
        <f t="shared" ref="X164" si="1423">_xlfn.STDEV.S(W161:W163)</f>
        <v>0.65564957347169317</v>
      </c>
      <c r="Y164" s="59">
        <v>0.22547239148980239</v>
      </c>
      <c r="Z164" s="57">
        <f>_xlfn.STDEV.S(Y161:Y163)</f>
        <v>2.0111910635388724E-2</v>
      </c>
      <c r="AA164" s="58">
        <v>0.17985660680139259</v>
      </c>
      <c r="AB164" s="57">
        <f>_xlfn.STDEV.S(AA161:AA163)</f>
        <v>8.8307626210958209E-2</v>
      </c>
      <c r="AC164" s="58">
        <v>2.3130310420703872E-2</v>
      </c>
      <c r="AD164" s="57">
        <f>_xlfn.STDEV.S(AC161:AC163)</f>
        <v>1.9780087526948306E-2</v>
      </c>
      <c r="AE164" s="58">
        <v>5.7868060465017903</v>
      </c>
      <c r="AF164" s="57">
        <f>_xlfn.STDEV.S(AE161:AE163)</f>
        <v>0.12228007320044453</v>
      </c>
      <c r="AG164" s="58">
        <v>0</v>
      </c>
      <c r="AH164" s="57">
        <f>_xlfn.STDEV.S(AG161:AG163)</f>
        <v>0</v>
      </c>
      <c r="AI164" s="58">
        <v>0.87918545506622703</v>
      </c>
      <c r="AJ164" s="57">
        <f>_xlfn.STDEV.S(AI161:AI163)</f>
        <v>4.4282018220106918E-2</v>
      </c>
      <c r="AK164" s="77"/>
      <c r="AL164" s="77"/>
      <c r="AM164" s="77"/>
      <c r="AN164" s="77"/>
      <c r="AO164" s="60">
        <f t="shared" ref="AO164" si="1424">AVERAGE(AO161:AO163)</f>
        <v>9.7603216574623916E-4</v>
      </c>
      <c r="AP164" s="60">
        <f t="shared" ref="AP164" si="1425">_xlfn.STDEV.S(AO161:AO163)</f>
        <v>3.8219108903891051E-4</v>
      </c>
      <c r="AQ164" s="60">
        <f t="shared" ref="AQ164" si="1426">AVERAGE(AQ161:AQ163)</f>
        <v>6.1710721131615779E-3</v>
      </c>
      <c r="AR164" s="60">
        <f t="shared" ref="AR164" si="1427">_xlfn.STDEV.S(AQ161:AQ163)</f>
        <v>8.2240442434990677E-4</v>
      </c>
      <c r="AS164" s="60">
        <f t="shared" ref="AS164" si="1428">AVERAGE(AS161:AS163)</f>
        <v>0</v>
      </c>
      <c r="AT164" s="60">
        <f t="shared" ref="AT164" si="1429">_xlfn.STDEV.S(AS161:AS163)</f>
        <v>0</v>
      </c>
      <c r="AU164" s="60">
        <f t="shared" ref="AU164" si="1430">AVERAGE(AU161:AU163)</f>
        <v>0</v>
      </c>
      <c r="AV164" s="65">
        <f t="shared" ref="AV164" si="1431">_xlfn.STDEV.S(AU161:AU163)</f>
        <v>0</v>
      </c>
      <c r="AW164" s="59">
        <f t="shared" ref="AW164" si="1432">AVERAGE(AW161:AW163)</f>
        <v>3.5844651900784105E-2</v>
      </c>
      <c r="AX164" s="59">
        <f t="shared" ref="AX164" si="1433">_xlfn.STDEV.S(AW161:AW163)</f>
        <v>1.8793631954229527E-2</v>
      </c>
      <c r="AY164" s="77">
        <f>SUM(AK164,AO164,AS164,AW164)</f>
        <v>3.6820684066530343E-2</v>
      </c>
      <c r="AZ164" s="77">
        <f>SUM(AL164,AP164,AT164,AX164)</f>
        <v>1.9175823043268439E-2</v>
      </c>
      <c r="BA164" s="60"/>
      <c r="BB164" s="60"/>
      <c r="BC164" s="60"/>
      <c r="BD164" s="60"/>
      <c r="BE164" s="60"/>
      <c r="BF164" s="60"/>
      <c r="BG164" s="60"/>
      <c r="BH164" s="57"/>
      <c r="BI164" s="57"/>
      <c r="BJ164" s="57"/>
      <c r="BK164" s="57"/>
      <c r="BL164" s="57"/>
      <c r="BM164" s="57"/>
      <c r="BN164" s="57"/>
      <c r="BO164" s="60">
        <f t="shared" ref="BO164" si="1434">AVERAGE(BO161:BO163)</f>
        <v>2.4363233665559245E-2</v>
      </c>
      <c r="BP164" s="57">
        <f t="shared" ref="BP164" si="1435">_xlfn.STDEV.S(BO161:BO163)</f>
        <v>5.9923584755121632E-3</v>
      </c>
      <c r="BQ164" s="57">
        <f t="shared" ref="BQ164" si="1436">AVERAGE(BQ161:BQ163)</f>
        <v>0</v>
      </c>
      <c r="BR164" s="57">
        <f t="shared" ref="BR164" si="1437">_xlfn.STDEV.S(BQ161:BQ163)</f>
        <v>0</v>
      </c>
      <c r="BS164" s="57">
        <f t="shared" ref="BS164" si="1438">AVERAGE(BS161:BS163)</f>
        <v>0</v>
      </c>
      <c r="BT164" s="57">
        <f t="shared" ref="BT164" si="1439">_xlfn.STDEV.S(BS161:BS163)</f>
        <v>0</v>
      </c>
      <c r="BU164" s="57">
        <f t="shared" ref="BU164" si="1440">AVERAGE(BU161:BU163)</f>
        <v>0</v>
      </c>
      <c r="BV164" s="57">
        <f t="shared" ref="BV164" si="1441">_xlfn.STDEV.S(BU161:BU163)</f>
        <v>0</v>
      </c>
      <c r="BW164" s="60">
        <f t="shared" ref="BW164" si="1442">AVERAGE(BW161:BW163)</f>
        <v>1.2181616832779624E-3</v>
      </c>
      <c r="BX164" s="57">
        <f t="shared" si="1340"/>
        <v>0</v>
      </c>
      <c r="BY164" s="57">
        <f t="shared" si="1341"/>
        <v>0</v>
      </c>
      <c r="BZ164" s="61">
        <f t="shared" si="1342"/>
        <v>0</v>
      </c>
    </row>
    <row r="165" spans="1:78" x14ac:dyDescent="0.3">
      <c r="A165" s="172" t="s">
        <v>59</v>
      </c>
      <c r="B165" s="95" t="s">
        <v>118</v>
      </c>
      <c r="C165" s="94">
        <v>2</v>
      </c>
      <c r="D165" s="93"/>
      <c r="E165" s="88"/>
      <c r="F165" s="90">
        <v>1.3540000000000001</v>
      </c>
      <c r="G165" s="85"/>
      <c r="H165" s="90">
        <v>0.224</v>
      </c>
      <c r="I165" s="92">
        <f>H165*0.2842</f>
        <v>6.3660800000000003E-2</v>
      </c>
      <c r="J165" s="92"/>
      <c r="K165" s="92"/>
      <c r="L165" s="91"/>
      <c r="M165" s="89">
        <v>7.1979913960672732</v>
      </c>
      <c r="O165" s="88">
        <v>0</v>
      </c>
      <c r="Q165" s="88">
        <v>0.27356811026029093</v>
      </c>
      <c r="S165" s="88">
        <v>84.815397097251022</v>
      </c>
      <c r="U165" s="88">
        <v>2.003535236600769</v>
      </c>
      <c r="W165" s="88">
        <v>5.7095081598206647</v>
      </c>
      <c r="X165" s="88"/>
      <c r="Y165" s="89">
        <v>0.43872517536841532</v>
      </c>
      <c r="AA165" s="21">
        <v>0</v>
      </c>
      <c r="AC165" s="21">
        <v>1.6674265158850766E-2</v>
      </c>
      <c r="AE165" s="21">
        <v>5.1695880028092018</v>
      </c>
      <c r="AG165" s="21">
        <v>0.12211758804195393</v>
      </c>
      <c r="AI165" s="88">
        <v>0.34800055054988122</v>
      </c>
      <c r="AJ165" s="87"/>
      <c r="AK165" s="22">
        <f>8*(AG165-$AG$149)/(2*($AA$149-AA165)+2*($AI$149-AI165))</f>
        <v>0.67546167110960376</v>
      </c>
      <c r="AL165" s="22"/>
      <c r="AM165" s="22">
        <f>(AG165-$AG$149)/(($AA$149-AA165)+($AI$149-AI165))</f>
        <v>0.16886541777740094</v>
      </c>
      <c r="AN165" s="22"/>
      <c r="AO165" s="37">
        <f>8*(BW165-$BW$149)/(2*($AA$149-AA165)+2*($AI$149-AI165))</f>
        <v>2.6507686060631856E-2</v>
      </c>
      <c r="AQ165" s="37">
        <f>(BW165-$BW$149)/(($AA$149-AA165)+($AI$149-AI165))</f>
        <v>6.6269215151579641E-3</v>
      </c>
      <c r="AS165" s="37">
        <f>14*(BX165-$BX$149)/(2*($AA$149-AA165)+2*($AI$149-AI165))</f>
        <v>0</v>
      </c>
      <c r="AU165" s="37">
        <f>(BX165-$BX$149)/(($AA$149-AA165)+($AI$149-AI165))</f>
        <v>0</v>
      </c>
      <c r="AV165" s="94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>
        <v>5.77</v>
      </c>
      <c r="BH165" s="87"/>
      <c r="BI165" s="2">
        <v>0</v>
      </c>
      <c r="BK165" s="2">
        <v>0</v>
      </c>
      <c r="BM165" s="2">
        <v>0</v>
      </c>
      <c r="BN165" s="87"/>
      <c r="BO165" s="90">
        <f t="shared" ref="BO165:BO167" si="1443">(BG165/1000)/60.2*1000</f>
        <v>9.5847176079734211E-2</v>
      </c>
      <c r="BP165" s="87"/>
      <c r="BQ165" s="87">
        <f t="shared" ref="BQ165:BQ167" si="1444">BI165/74.08</f>
        <v>0</v>
      </c>
      <c r="BR165" s="87"/>
      <c r="BS165" s="87">
        <f t="shared" ref="BS165:BS167" si="1445">(BK165/1000)/88.12*1000</f>
        <v>0</v>
      </c>
      <c r="BT165" s="87"/>
      <c r="BU165" s="87">
        <f t="shared" ref="BU165:BU167" si="1446">BM165/88.12</f>
        <v>0</v>
      </c>
      <c r="BV165" s="87"/>
      <c r="BW165" s="90">
        <f t="shared" ref="BW165:BW167" si="1447">BO165*0.05</f>
        <v>4.7923588039867106E-3</v>
      </c>
      <c r="BX165" s="87">
        <f t="shared" si="1340"/>
        <v>0</v>
      </c>
      <c r="BY165" s="87">
        <f t="shared" si="1341"/>
        <v>0</v>
      </c>
      <c r="BZ165" s="23">
        <f t="shared" si="1342"/>
        <v>0</v>
      </c>
    </row>
    <row r="166" spans="1:78" x14ac:dyDescent="0.3">
      <c r="A166" s="173"/>
      <c r="B166" s="70" t="s">
        <v>119</v>
      </c>
      <c r="C166" s="20">
        <v>2</v>
      </c>
      <c r="D166" s="69"/>
      <c r="E166" s="21"/>
      <c r="F166" s="37">
        <v>1.476</v>
      </c>
      <c r="H166" s="37">
        <v>0.22600000000000001</v>
      </c>
      <c r="I166" s="53">
        <f t="shared" ref="I166:I167" si="1448">H166*0.2842</f>
        <v>6.42292E-2</v>
      </c>
      <c r="L166" s="68"/>
      <c r="M166" s="22">
        <v>6.1713504069928122</v>
      </c>
      <c r="O166" s="21">
        <v>0</v>
      </c>
      <c r="Q166" s="21">
        <v>4.3698682072926744E-2</v>
      </c>
      <c r="S166" s="21">
        <v>86.554967025559009</v>
      </c>
      <c r="U166" s="21">
        <v>1.9042822465149829</v>
      </c>
      <c r="W166" s="21">
        <v>5.3257016388602727</v>
      </c>
      <c r="Y166" s="22">
        <v>0.41004274516260963</v>
      </c>
      <c r="AA166" s="21">
        <v>0</v>
      </c>
      <c r="AC166" s="21">
        <v>2.9034694800132528E-3</v>
      </c>
      <c r="AE166" s="21">
        <v>5.7509676077384846</v>
      </c>
      <c r="AG166" s="21">
        <v>0.12652613584227065</v>
      </c>
      <c r="AI166" s="21">
        <v>0.35385534379004502</v>
      </c>
      <c r="AK166" s="22">
        <f>8*(AG166-$AG$150)/(2*($AA$150-AA166)+2*($AI$150-AI166))</f>
        <v>0.71150305723507901</v>
      </c>
      <c r="AL166" s="22"/>
      <c r="AM166" s="22">
        <f>(AG166-$AG$150)/(($AA$150-AA166)+($AI$150-AI166))</f>
        <v>0.17787576430876975</v>
      </c>
      <c r="AN166" s="22"/>
      <c r="AO166" s="37">
        <f>8*(BW166-$BW$150)/(2*($AA$150-AA166)+2*($AI$150-AI166))</f>
        <v>3.8438804681884299E-2</v>
      </c>
      <c r="AQ166" s="37">
        <f>(BW166-$BW$150)/(($AA$150-AA166)+($AI$150-AI166))</f>
        <v>9.6097011704710748E-3</v>
      </c>
      <c r="AS166" s="37">
        <f>14*(BX166-$BX$150)/(2*($AA$150-AA166)+2*($AI$150-AI166))</f>
        <v>0</v>
      </c>
      <c r="AU166" s="37">
        <f>(BX166-$BX$150)/(($AA$150-AA166)+($AI$150-AI166))</f>
        <v>0</v>
      </c>
      <c r="BG166" s="37">
        <v>8.24</v>
      </c>
      <c r="BI166" s="2">
        <v>0</v>
      </c>
      <c r="BK166" s="2">
        <v>0</v>
      </c>
      <c r="BM166" s="2">
        <v>0</v>
      </c>
      <c r="BO166" s="37">
        <f t="shared" si="1443"/>
        <v>0.13687707641196012</v>
      </c>
      <c r="BQ166" s="2">
        <f t="shared" si="1444"/>
        <v>0</v>
      </c>
      <c r="BS166" s="2">
        <f t="shared" si="1445"/>
        <v>0</v>
      </c>
      <c r="BU166" s="2">
        <f t="shared" si="1446"/>
        <v>0</v>
      </c>
      <c r="BW166" s="37">
        <f t="shared" si="1447"/>
        <v>6.8438538205980066E-3</v>
      </c>
      <c r="BX166" s="2">
        <f t="shared" si="1340"/>
        <v>0</v>
      </c>
      <c r="BY166" s="2">
        <f t="shared" si="1341"/>
        <v>0</v>
      </c>
      <c r="BZ166" s="18">
        <f t="shared" si="1342"/>
        <v>0</v>
      </c>
    </row>
    <row r="167" spans="1:78" x14ac:dyDescent="0.3">
      <c r="A167" s="173"/>
      <c r="B167" s="70" t="s">
        <v>120</v>
      </c>
      <c r="C167" s="20">
        <v>2</v>
      </c>
      <c r="D167" s="69"/>
      <c r="E167" s="21"/>
      <c r="F167" s="37">
        <v>1.42</v>
      </c>
      <c r="H167" s="37">
        <v>0.247</v>
      </c>
      <c r="I167" s="53">
        <f t="shared" si="1448"/>
        <v>7.0197400000000007E-2</v>
      </c>
      <c r="L167" s="68"/>
      <c r="M167" s="22">
        <v>7.5440148619687539</v>
      </c>
      <c r="O167" s="21">
        <v>0</v>
      </c>
      <c r="Q167" s="21">
        <v>0.16760899572390556</v>
      </c>
      <c r="S167" s="21">
        <v>86.876421187216977</v>
      </c>
      <c r="U167" s="21">
        <v>2.4403757773616785</v>
      </c>
      <c r="W167" s="21">
        <v>2.9715791777286751</v>
      </c>
      <c r="Y167" s="22">
        <v>0.48222913792745103</v>
      </c>
      <c r="AA167" s="21">
        <v>0</v>
      </c>
      <c r="AC167" s="21">
        <v>1.0713915997738601E-2</v>
      </c>
      <c r="AE167" s="21">
        <v>5.5533217340985797</v>
      </c>
      <c r="AG167" s="21">
        <v>0.15599390097556645</v>
      </c>
      <c r="AI167" s="21">
        <v>0.18994952838484983</v>
      </c>
      <c r="AK167" s="22">
        <f>8*(AG167-$AG$151)/(2*($AA$151-AA167)+2*($AI$151-AI167))</f>
        <v>0.71683717869244601</v>
      </c>
      <c r="AL167" s="22"/>
      <c r="AM167" s="22">
        <f>(AG167-$AG$150)/(($AA$150-AA167)+($AI$150-AI167))</f>
        <v>0.17823326502234774</v>
      </c>
      <c r="AN167" s="22"/>
      <c r="AO167" s="37">
        <f>8*(BW167-$BW$151)/(2*($AA$151-AA167)+2*($AI$151-AI167))</f>
        <v>2.2098611145073714E-2</v>
      </c>
      <c r="AQ167" s="37">
        <f>(BW167-$BW$151)/(($AA$151-AA167)+($AI$151-AI167))</f>
        <v>5.5246527862684285E-3</v>
      </c>
      <c r="AS167" s="37">
        <f>14*(BX167-$BX$151)/(2*($AA$151-AA167)+2*($AI$151-AI167))</f>
        <v>0</v>
      </c>
      <c r="AU167" s="37">
        <f>(BX167-$BX$151)/(($AA$151-AA167)+($AI$151-AI167))</f>
        <v>0</v>
      </c>
      <c r="BG167" s="37">
        <v>5.82</v>
      </c>
      <c r="BI167" s="2">
        <v>0</v>
      </c>
      <c r="BK167" s="2">
        <v>0</v>
      </c>
      <c r="BM167" s="2">
        <v>0</v>
      </c>
      <c r="BO167" s="37">
        <f t="shared" si="1443"/>
        <v>9.6677740863787373E-2</v>
      </c>
      <c r="BQ167" s="2">
        <f t="shared" si="1444"/>
        <v>0</v>
      </c>
      <c r="BS167" s="2">
        <f t="shared" si="1445"/>
        <v>0</v>
      </c>
      <c r="BU167" s="2">
        <f t="shared" si="1446"/>
        <v>0</v>
      </c>
      <c r="BW167" s="37">
        <f t="shared" si="1447"/>
        <v>4.833887043189369E-3</v>
      </c>
      <c r="BX167" s="2">
        <f t="shared" si="1340"/>
        <v>0</v>
      </c>
      <c r="BY167" s="2">
        <f t="shared" si="1341"/>
        <v>0</v>
      </c>
      <c r="BZ167" s="18">
        <f t="shared" si="1342"/>
        <v>0</v>
      </c>
    </row>
    <row r="168" spans="1:78" x14ac:dyDescent="0.3">
      <c r="A168" s="173"/>
      <c r="B168" s="83" t="s">
        <v>63</v>
      </c>
      <c r="C168" s="80">
        <v>2</v>
      </c>
      <c r="D168" s="79" t="e">
        <f>AVERAGE(D165:D167)</f>
        <v>#DIV/0!</v>
      </c>
      <c r="E168" s="76"/>
      <c r="F168" s="78">
        <f t="shared" ref="F168" si="1449">AVERAGE(F165:F167)</f>
        <v>1.4166666666666667</v>
      </c>
      <c r="G168" s="73">
        <f>_xlfn.STDEV.S(F165:F167)</f>
        <v>6.1068267810159199E-2</v>
      </c>
      <c r="H168" s="78">
        <f t="shared" ref="H168:I168" si="1450">AVERAGE(H165:H167)</f>
        <v>0.23233333333333336</v>
      </c>
      <c r="I168" s="82">
        <f t="shared" si="1450"/>
        <v>6.6029133333333337E-2</v>
      </c>
      <c r="J168" s="82">
        <f>_xlfn.STDEV.S(I165:I167)</f>
        <v>3.6209950142651885E-3</v>
      </c>
      <c r="K168" s="82"/>
      <c r="L168" s="81" t="e">
        <f>_xlfn.STDEV.S(K165:K167)</f>
        <v>#DIV/0!</v>
      </c>
      <c r="M168" s="77">
        <f>AVERAGE(M165:M167)</f>
        <v>6.9711188883429465</v>
      </c>
      <c r="N168" s="76">
        <f>_xlfn.STDEV.S(M165:M167)</f>
        <v>0.71390144807210143</v>
      </c>
      <c r="O168" s="76">
        <f t="shared" ref="O168" si="1451">AVERAGE(O165:O167)</f>
        <v>0</v>
      </c>
      <c r="P168" s="76">
        <f t="shared" ref="P168" si="1452">_xlfn.STDEV.S(O165:O167)</f>
        <v>0</v>
      </c>
      <c r="Q168" s="76">
        <f t="shared" ref="Q168" si="1453">AVERAGE(Q165:Q167)</f>
        <v>0.16162526268570776</v>
      </c>
      <c r="R168" s="76">
        <f t="shared" ref="R168" si="1454">_xlfn.STDEV.S(Q165:Q167)</f>
        <v>0.11505147673802693</v>
      </c>
      <c r="S168" s="76">
        <f t="shared" ref="S168" si="1455">AVERAGE(S165:S167)</f>
        <v>86.082261770008998</v>
      </c>
      <c r="T168" s="76">
        <f t="shared" ref="T168" si="1456">_xlfn.STDEV.S(S165:S167)</f>
        <v>1.1088474957465724</v>
      </c>
      <c r="U168" s="76">
        <f t="shared" ref="U168" si="1457">AVERAGE(U165:U167)</f>
        <v>2.1160644201591432</v>
      </c>
      <c r="V168" s="76">
        <f t="shared" ref="V168" si="1458">_xlfn.STDEV.S(U165:U167)</f>
        <v>0.285212519567699</v>
      </c>
      <c r="W168" s="76">
        <f t="shared" ref="W168" si="1459">AVERAGE(W165:W167)</f>
        <v>4.6689296588032043</v>
      </c>
      <c r="X168" s="76">
        <f>_xlfn.STDEV.S(W165:W167)</f>
        <v>1.4824222924274579</v>
      </c>
      <c r="Y168" s="77">
        <v>0.44366568615282537</v>
      </c>
      <c r="Z168" s="75">
        <f>_xlfn.STDEV.S(Y165:Y167)</f>
        <v>3.6345911877515749E-2</v>
      </c>
      <c r="AA168" s="76">
        <v>0</v>
      </c>
      <c r="AB168" s="75">
        <f>_xlfn.STDEV.S(AA165:AA167)</f>
        <v>0</v>
      </c>
      <c r="AC168" s="76">
        <v>1.009721687886754E-2</v>
      </c>
      <c r="AD168" s="75">
        <f>_xlfn.STDEV.S(AC165:AC167)</f>
        <v>6.9060800574193126E-3</v>
      </c>
      <c r="AE168" s="76">
        <v>5.4912924482154226</v>
      </c>
      <c r="AF168" s="75">
        <f>_xlfn.STDEV.S(AE165:AE167)</f>
        <v>0.29561171405631592</v>
      </c>
      <c r="AG168" s="76">
        <v>0.13487920828659702</v>
      </c>
      <c r="AH168" s="75">
        <f>_xlfn.STDEV.S(AG165:AG167)</f>
        <v>1.841823848632471E-2</v>
      </c>
      <c r="AI168" s="76">
        <v>0.29726847424159203</v>
      </c>
      <c r="AJ168" s="75">
        <f>_xlfn.STDEV.S(AI165:AI167)</f>
        <v>9.2987024663783363E-2</v>
      </c>
      <c r="AK168" s="77">
        <f t="shared" ref="AK168" si="1460">AVERAGE(AK165:AK167)</f>
        <v>0.70126730234570955</v>
      </c>
      <c r="AL168" s="77">
        <f t="shared" ref="AL168" si="1461">_xlfn.STDEV.S(AK165:AK167)</f>
        <v>2.2506913727805875E-2</v>
      </c>
      <c r="AM168" s="77">
        <f>AVERAGE(AM165:AM167)</f>
        <v>0.17499148236950612</v>
      </c>
      <c r="AN168" s="77">
        <f t="shared" ref="AN168" si="1462">_xlfn.STDEV.S(AM165:AM167)</f>
        <v>5.3083379913147965E-3</v>
      </c>
      <c r="AO168" s="78">
        <f t="shared" ref="AO168" si="1463">AVERAGE(AO165:AO167)</f>
        <v>2.9015033962529958E-2</v>
      </c>
      <c r="AP168" s="78">
        <f t="shared" ref="AP168" si="1464">_xlfn.STDEV.S(AO165:AO167)</f>
        <v>8.4537315033641185E-3</v>
      </c>
      <c r="AQ168" s="78">
        <f t="shared" ref="AQ168" si="1465">AVERAGE(AQ165:AQ167)</f>
        <v>7.2537584906324894E-3</v>
      </c>
      <c r="AR168" s="78">
        <f t="shared" ref="AR168" si="1466">_xlfn.STDEV.S(AQ165:AQ167)</f>
        <v>2.1134328758410331E-3</v>
      </c>
      <c r="AS168" s="78">
        <f t="shared" ref="AS168" si="1467">AVERAGE(AS165:AS167)</f>
        <v>0</v>
      </c>
      <c r="AT168" s="78">
        <f t="shared" ref="AT168" si="1468">_xlfn.STDEV.S(AS165:AS167)</f>
        <v>0</v>
      </c>
      <c r="AU168" s="78">
        <f t="shared" ref="AU168" si="1469">AVERAGE(AU165:AU167)</f>
        <v>0</v>
      </c>
      <c r="AV168" s="78">
        <f t="shared" ref="AV168" si="1470">_xlfn.STDEV.S(AU165:AU167)</f>
        <v>0</v>
      </c>
      <c r="AW168" s="78"/>
      <c r="AX168" s="78"/>
      <c r="AY168" s="77">
        <f>SUM(AK168,AO168,AS168,AW168)</f>
        <v>0.73028233630823947</v>
      </c>
      <c r="AZ168" s="77">
        <f>SUM(AL168,AP168,AT168,AX168)</f>
        <v>3.0960645231169995E-2</v>
      </c>
      <c r="BA168" s="78"/>
      <c r="BB168" s="78"/>
      <c r="BC168" s="78"/>
      <c r="BD168" s="78"/>
      <c r="BE168" s="78"/>
      <c r="BF168" s="78"/>
      <c r="BG168" s="78"/>
      <c r="BH168" s="75"/>
      <c r="BI168" s="75"/>
      <c r="BJ168" s="75"/>
      <c r="BK168" s="75"/>
      <c r="BL168" s="75"/>
      <c r="BM168" s="75"/>
      <c r="BN168" s="75"/>
      <c r="BO168" s="78">
        <f t="shared" ref="BO168" si="1471">AVERAGE(BO165:BO167)</f>
        <v>0.10980066445182723</v>
      </c>
      <c r="BP168" s="75">
        <f t="shared" ref="BP168" si="1472">_xlfn.STDEV.S(BO165:BO167)</f>
        <v>2.3452537665277228E-2</v>
      </c>
      <c r="BQ168" s="75">
        <f t="shared" ref="BQ168" si="1473">AVERAGE(BQ165:BQ167)</f>
        <v>0</v>
      </c>
      <c r="BR168" s="75">
        <f t="shared" ref="BR168" si="1474">_xlfn.STDEV.S(BQ165:BQ167)</f>
        <v>0</v>
      </c>
      <c r="BS168" s="75">
        <f t="shared" ref="BS168" si="1475">AVERAGE(BS165:BS167)</f>
        <v>0</v>
      </c>
      <c r="BT168" s="75">
        <f t="shared" ref="BT168" si="1476">_xlfn.STDEV.S(BS165:BS167)</f>
        <v>0</v>
      </c>
      <c r="BU168" s="75">
        <f t="shared" ref="BU168" si="1477">AVERAGE(BU165:BU167)</f>
        <v>0</v>
      </c>
      <c r="BV168" s="75">
        <f t="shared" ref="BV168" si="1478">_xlfn.STDEV.S(BU165:BU167)</f>
        <v>0</v>
      </c>
      <c r="BW168" s="78">
        <f t="shared" ref="BW168" si="1479">AVERAGE(BW165:BW167)</f>
        <v>5.4900332225913629E-3</v>
      </c>
      <c r="BX168" s="75">
        <f t="shared" si="1340"/>
        <v>0</v>
      </c>
      <c r="BY168" s="75">
        <f t="shared" si="1341"/>
        <v>0</v>
      </c>
      <c r="BZ168" s="119">
        <f t="shared" si="1342"/>
        <v>0</v>
      </c>
    </row>
    <row r="169" spans="1:78" x14ac:dyDescent="0.3">
      <c r="A169" s="174" t="s">
        <v>60</v>
      </c>
      <c r="B169" s="70" t="s">
        <v>121</v>
      </c>
      <c r="C169" s="20">
        <v>2</v>
      </c>
      <c r="D169" s="69"/>
      <c r="E169" s="21"/>
      <c r="F169" s="37">
        <v>1.48</v>
      </c>
      <c r="H169" s="37">
        <v>0.184</v>
      </c>
      <c r="I169" s="53">
        <f>H169*0.2842</f>
        <v>5.22928E-2</v>
      </c>
      <c r="K169" s="53">
        <f>(I169-$I$153)/($AI$153/1000-AI169/1000)*0.05</f>
        <v>-8.8736460599153077E-2</v>
      </c>
      <c r="L169" s="68"/>
      <c r="M169" s="22">
        <v>6.7701897806088427</v>
      </c>
      <c r="O169" s="21">
        <v>5.540196669634903</v>
      </c>
      <c r="Q169" s="21">
        <v>0.39440486106257872</v>
      </c>
      <c r="S169" s="21">
        <v>80.921706442110803</v>
      </c>
      <c r="U169" s="21">
        <v>0.20457003229045848</v>
      </c>
      <c r="W169" s="21">
        <v>6.1689322142924263</v>
      </c>
      <c r="Y169" s="22">
        <v>0.4510504568190864</v>
      </c>
      <c r="AA169" s="21">
        <v>0.36910460706194226</v>
      </c>
      <c r="AC169" s="21">
        <v>2.6276441062771248E-2</v>
      </c>
      <c r="AE169" s="21">
        <v>5.3912480801995573</v>
      </c>
      <c r="AG169" s="21">
        <v>1.3629072375546997E-2</v>
      </c>
      <c r="AI169" s="21">
        <v>0.41099286482517883</v>
      </c>
      <c r="AK169" s="22"/>
      <c r="AL169" s="22"/>
      <c r="AM169" s="22"/>
      <c r="AN169" s="22"/>
      <c r="AO169" s="37">
        <f>8*(BW169-$BW$153)/2*($AI$153-AI169)</f>
        <v>9.0230077020843277E-3</v>
      </c>
      <c r="AQ169" s="37">
        <f>(BW169-$BW$153)/($AI$153-AI169)</f>
        <v>5.4977805763045439E-3</v>
      </c>
      <c r="AS169" s="37">
        <f>14*(BX169-$BX$153)/(2*($AA$153-AA169)+2*($AI$153-AI169))</f>
        <v>0</v>
      </c>
      <c r="AU169" s="37">
        <f>(BX169-$BX$153)/(($AA$153-AA169)+($AI$153-AI169))</f>
        <v>0</v>
      </c>
      <c r="AW169" s="22">
        <f>2*(AA169-$AA$153)/2*($AI$153-AI169)</f>
        <v>0.23642937439405873</v>
      </c>
      <c r="BG169" s="37">
        <v>4.24</v>
      </c>
      <c r="BI169" s="2">
        <v>0</v>
      </c>
      <c r="BK169" s="2">
        <v>0</v>
      </c>
      <c r="BM169" s="2">
        <v>0</v>
      </c>
      <c r="BO169" s="37">
        <f t="shared" ref="BO169:BO171" si="1480">(BG169/1000)/60.2*1000</f>
        <v>7.0431893687707636E-2</v>
      </c>
      <c r="BQ169" s="2">
        <f t="shared" ref="BQ169:BQ171" si="1481">BI169/74.08</f>
        <v>0</v>
      </c>
      <c r="BS169" s="2">
        <f t="shared" ref="BS169:BS171" si="1482">(BK169/1000)/88.12*1000</f>
        <v>0</v>
      </c>
      <c r="BU169" s="2">
        <f t="shared" ref="BU169:BU171" si="1483">BM169/88.12</f>
        <v>0</v>
      </c>
      <c r="BW169" s="37">
        <f t="shared" ref="BW169:BW171" si="1484">BO169*0.05</f>
        <v>3.521594684385382E-3</v>
      </c>
      <c r="BX169" s="2">
        <f t="shared" si="1340"/>
        <v>0</v>
      </c>
      <c r="BY169" s="2">
        <f t="shared" si="1341"/>
        <v>0</v>
      </c>
      <c r="BZ169" s="18">
        <f t="shared" si="1342"/>
        <v>0</v>
      </c>
    </row>
    <row r="170" spans="1:78" x14ac:dyDescent="0.3">
      <c r="A170" s="173"/>
      <c r="B170" s="70" t="s">
        <v>122</v>
      </c>
      <c r="C170" s="20">
        <v>2</v>
      </c>
      <c r="D170" s="69"/>
      <c r="E170" s="21"/>
      <c r="F170" s="37">
        <v>1.506</v>
      </c>
      <c r="H170" s="37">
        <v>0.19</v>
      </c>
      <c r="I170" s="53">
        <f t="shared" ref="I170:I171" si="1485">H170*0.2842</f>
        <v>5.3998000000000004E-2</v>
      </c>
      <c r="K170" s="53">
        <f>(I170-$I$154)/($AI$154/1000-AI170/1000)*0.05</f>
        <v>-7.0098409860450225E-2</v>
      </c>
      <c r="L170" s="68"/>
      <c r="M170" s="22">
        <v>5.8574202415369019</v>
      </c>
      <c r="O170" s="21">
        <v>6.3309090372878449</v>
      </c>
      <c r="Q170" s="21">
        <v>0.30684705205642387</v>
      </c>
      <c r="S170" s="21">
        <v>80.512739864431353</v>
      </c>
      <c r="U170" s="21">
        <v>0.21748270691069244</v>
      </c>
      <c r="W170" s="21">
        <v>6.774601097776789</v>
      </c>
      <c r="Y170" s="22">
        <v>0.39709454788549814</v>
      </c>
      <c r="AA170" s="21">
        <v>0.42919397246566721</v>
      </c>
      <c r="AC170" s="21">
        <v>2.0802210936187254E-2</v>
      </c>
      <c r="AE170" s="21">
        <v>5.4582339523415042</v>
      </c>
      <c r="AG170" s="21">
        <v>1.4743896393364425E-2</v>
      </c>
      <c r="AI170" s="21">
        <v>0.45927337447115035</v>
      </c>
      <c r="AK170" s="22"/>
      <c r="AL170" s="22"/>
      <c r="AM170" s="22"/>
      <c r="AN170" s="22"/>
      <c r="AO170" s="37">
        <f>8*(BW170-$BW$154)/2*($AI$154-AI170)</f>
        <v>5.1520592765180737E-3</v>
      </c>
      <c r="AQ170" s="37">
        <f>(BW170-$BW$154)/($AI$154-AI170)</f>
        <v>3.482623508162011E-3</v>
      </c>
      <c r="AS170" s="37">
        <f>14*(BX170-$BX$154)/(2*($AA$154-AA170)+2*($AI$154-AI170))</f>
        <v>0</v>
      </c>
      <c r="AU170" s="37">
        <f>(BX170-$BX$154)/(($AA$154-AA170)+($AI$154-AI170))</f>
        <v>0</v>
      </c>
      <c r="AW170" s="22">
        <f>2*(AA170-$AA$154)/2*($AI$154-AI170)</f>
        <v>0.26101218390881664</v>
      </c>
      <c r="BG170" s="37">
        <v>2.5499999999999998</v>
      </c>
      <c r="BI170" s="2">
        <v>0</v>
      </c>
      <c r="BK170" s="2">
        <v>0</v>
      </c>
      <c r="BM170" s="2">
        <v>0</v>
      </c>
      <c r="BO170" s="37">
        <f t="shared" si="1480"/>
        <v>4.2358803986710956E-2</v>
      </c>
      <c r="BQ170" s="2">
        <f t="shared" si="1481"/>
        <v>0</v>
      </c>
      <c r="BS170" s="2">
        <f t="shared" si="1482"/>
        <v>0</v>
      </c>
      <c r="BU170" s="2">
        <f t="shared" si="1483"/>
        <v>0</v>
      </c>
      <c r="BW170" s="37">
        <f t="shared" si="1484"/>
        <v>2.1179401993355481E-3</v>
      </c>
      <c r="BX170" s="2">
        <f t="shared" si="1340"/>
        <v>0</v>
      </c>
      <c r="BY170" s="2">
        <f t="shared" si="1341"/>
        <v>0</v>
      </c>
      <c r="BZ170" s="18">
        <f t="shared" si="1342"/>
        <v>0</v>
      </c>
    </row>
    <row r="171" spans="1:78" x14ac:dyDescent="0.3">
      <c r="A171" s="173"/>
      <c r="B171" s="70" t="s">
        <v>123</v>
      </c>
      <c r="C171" s="20">
        <v>2</v>
      </c>
      <c r="D171" s="69"/>
      <c r="E171" s="21"/>
      <c r="F171" s="37">
        <v>1.484</v>
      </c>
      <c r="G171" s="67"/>
      <c r="H171" s="37">
        <v>0.17199999999999999</v>
      </c>
      <c r="I171" s="53">
        <f t="shared" si="1485"/>
        <v>4.8882399999999999E-2</v>
      </c>
      <c r="K171" s="53">
        <f>(I171-$I$155)/($AI$155/1000-AI171/1000)*0.05</f>
        <v>0.14874179721155251</v>
      </c>
      <c r="L171" s="68"/>
      <c r="M171" s="22">
        <v>4.2213908513910852</v>
      </c>
      <c r="O171" s="21">
        <v>3.7419840330689604</v>
      </c>
      <c r="Q171" s="21">
        <v>4.5919403025242854E-2</v>
      </c>
      <c r="S171" s="21">
        <v>81.045795809308586</v>
      </c>
      <c r="U171" s="21">
        <v>0.10115457675500943</v>
      </c>
      <c r="W171" s="21">
        <v>10.843755326451111</v>
      </c>
      <c r="Y171" s="22">
        <v>0.28200189989404184</v>
      </c>
      <c r="AA171" s="21">
        <v>0.24997604909075832</v>
      </c>
      <c r="AC171" s="21">
        <v>3.0675574356853184E-3</v>
      </c>
      <c r="AE171" s="21">
        <v>5.4141085725616032</v>
      </c>
      <c r="AG171" s="21">
        <v>6.7574370230347588E-3</v>
      </c>
      <c r="AI171" s="21">
        <v>0.72439622666961834</v>
      </c>
      <c r="AK171" s="22"/>
      <c r="AL171" s="22"/>
      <c r="AM171" s="22"/>
      <c r="AN171" s="22"/>
      <c r="AO171" s="37">
        <f>8*(BW171-$BW$155)/2*($AI$155-AI171)</f>
        <v>8.6076429293696893E-3</v>
      </c>
      <c r="AQ171" s="37">
        <f>(BW171-$BW$155)/($AI$155-AI171)</f>
        <v>1.4736086506950968E-2</v>
      </c>
      <c r="AS171" s="37">
        <f>14*(BX171-$BX$155)/(2*($AA$155-AA171)+2*($AI$153-AI171))</f>
        <v>0</v>
      </c>
      <c r="AU171" s="37">
        <f>(BX171-$BX$155)/(($AA$155-AA171)+($AI$155-AI171))</f>
        <v>0</v>
      </c>
      <c r="AW171" s="22">
        <f>2*(AA171-$AA$155)/2*($AI$155-AI171)</f>
        <v>9.5525527435371488E-2</v>
      </c>
      <c r="BG171" s="37">
        <v>6.78</v>
      </c>
      <c r="BI171" s="2">
        <v>0</v>
      </c>
      <c r="BK171" s="2">
        <v>0</v>
      </c>
      <c r="BM171" s="2">
        <v>0</v>
      </c>
      <c r="BO171" s="37">
        <f t="shared" si="1480"/>
        <v>0.11262458471760797</v>
      </c>
      <c r="BQ171" s="2">
        <f t="shared" si="1481"/>
        <v>0</v>
      </c>
      <c r="BS171" s="2">
        <f t="shared" si="1482"/>
        <v>0</v>
      </c>
      <c r="BU171" s="2">
        <f t="shared" si="1483"/>
        <v>0</v>
      </c>
      <c r="BW171" s="37">
        <f t="shared" si="1484"/>
        <v>5.6312292358803992E-3</v>
      </c>
      <c r="BX171" s="2">
        <f t="shared" si="1340"/>
        <v>0</v>
      </c>
      <c r="BY171" s="2">
        <f t="shared" si="1341"/>
        <v>0</v>
      </c>
      <c r="BZ171" s="18">
        <f t="shared" si="1342"/>
        <v>0</v>
      </c>
    </row>
    <row r="172" spans="1:78" ht="15" thickBot="1" x14ac:dyDescent="0.35">
      <c r="A172" s="175"/>
      <c r="B172" s="66" t="s">
        <v>63</v>
      </c>
      <c r="C172" s="65">
        <v>2</v>
      </c>
      <c r="D172" s="64" t="e">
        <f>AVERAGE(D169:D171)</f>
        <v>#DIV/0!</v>
      </c>
      <c r="E172" s="58"/>
      <c r="F172" s="60">
        <f t="shared" ref="F172" si="1486">AVERAGE(F169:F171)</f>
        <v>1.49</v>
      </c>
      <c r="G172" s="55">
        <f>_xlfn.STDEV.S(F169:F171)</f>
        <v>1.4000000000000012E-2</v>
      </c>
      <c r="H172" s="60">
        <f t="shared" ref="H172:I172" si="1487">AVERAGE(H169:H171)</f>
        <v>0.18200000000000002</v>
      </c>
      <c r="I172" s="63">
        <f t="shared" si="1487"/>
        <v>5.1724400000000004E-2</v>
      </c>
      <c r="J172" s="63">
        <f>_xlfn.STDEV.S(I169:I171)</f>
        <v>2.6047360250129018E-3</v>
      </c>
      <c r="K172" s="63">
        <f t="shared" ref="K172" si="1488">AVERAGE(K169:K171)</f>
        <v>-3.3643577493502699E-3</v>
      </c>
      <c r="L172" s="62">
        <f>_xlfn.STDEV.S(K169:K171)</f>
        <v>0.13205701805120862</v>
      </c>
      <c r="M172" s="59">
        <f>AVERAGE(M169:M171)</f>
        <v>5.6163336245122766</v>
      </c>
      <c r="N172" s="58">
        <f>_xlfn.STDEV.S(M169:M171)</f>
        <v>1.2913891989159061</v>
      </c>
      <c r="O172" s="58">
        <f t="shared" ref="O172" si="1489">AVERAGE(O169:O171)</f>
        <v>5.2043632466639025</v>
      </c>
      <c r="P172" s="58">
        <f t="shared" ref="P172" si="1490">_xlfn.STDEV.S(O169:O171)</f>
        <v>1.3267332947340085</v>
      </c>
      <c r="Q172" s="58">
        <f t="shared" ref="Q172" si="1491">AVERAGE(Q169:Q171)</f>
        <v>0.24905710538141515</v>
      </c>
      <c r="R172" s="58">
        <f t="shared" ref="R172" si="1492">_xlfn.STDEV.S(Q169:Q171)</f>
        <v>0.1812878569248316</v>
      </c>
      <c r="S172" s="58">
        <f t="shared" ref="S172" si="1493">AVERAGE(S169:S171)</f>
        <v>80.826747371950248</v>
      </c>
      <c r="T172" s="58">
        <f t="shared" ref="T172" si="1494">_xlfn.STDEV.S(S169:S171)</f>
        <v>0.27892665495889424</v>
      </c>
      <c r="U172" s="58">
        <f t="shared" ref="U172" si="1495">AVERAGE(U169:U171)</f>
        <v>0.17440243865205343</v>
      </c>
      <c r="V172" s="58">
        <f t="shared" ref="V172" si="1496">_xlfn.STDEV.S(U169:U171)</f>
        <v>6.376222428545239E-2</v>
      </c>
      <c r="W172" s="58">
        <f t="shared" ref="W172" si="1497">AVERAGE(W169:W171)</f>
        <v>7.9290962128401086</v>
      </c>
      <c r="X172" s="58">
        <f>_xlfn.STDEV.S(W169:W171)</f>
        <v>2.5422700506677218</v>
      </c>
      <c r="Y172" s="59">
        <v>0.37671563486620879</v>
      </c>
      <c r="Z172" s="57">
        <f>_xlfn.STDEV.S(Y169:Y171)</f>
        <v>8.6347140783559428E-2</v>
      </c>
      <c r="AA172" s="58">
        <v>0.34942487620612256</v>
      </c>
      <c r="AB172" s="57">
        <f>_xlfn.STDEV.S(AA169:AA171)</f>
        <v>9.1215321463128274E-2</v>
      </c>
      <c r="AC172" s="58">
        <v>1.6715403144881274E-2</v>
      </c>
      <c r="AD172" s="57">
        <f>_xlfn.STDEV.S(AC169:AC171)</f>
        <v>1.2132170796943714E-2</v>
      </c>
      <c r="AE172" s="58">
        <v>5.4211968683675549</v>
      </c>
      <c r="AF172" s="57">
        <f>_xlfn.STDEV.S(AE169:AE171)</f>
        <v>3.4050840220599857E-2</v>
      </c>
      <c r="AG172" s="58">
        <v>1.171013526398206E-2</v>
      </c>
      <c r="AH172" s="57">
        <f>_xlfn.STDEV.S(AG169:AG171)</f>
        <v>4.3252309819346701E-3</v>
      </c>
      <c r="AI172" s="58">
        <v>0.53155415532198258</v>
      </c>
      <c r="AJ172" s="57">
        <f>_xlfn.STDEV.S(AI169:AI171)</f>
        <v>0.1687418153990102</v>
      </c>
      <c r="AK172" s="59"/>
      <c r="AL172" s="59"/>
      <c r="AM172" s="59"/>
      <c r="AN172" s="59"/>
      <c r="AO172" s="60">
        <f t="shared" ref="AO172" si="1498">AVERAGE(AO169:AO171)</f>
        <v>7.5942366359906975E-3</v>
      </c>
      <c r="AP172" s="60">
        <f t="shared" ref="AP172" si="1499">_xlfn.STDEV.S(AO169:AO171)</f>
        <v>2.1251599151460524E-3</v>
      </c>
      <c r="AQ172" s="60">
        <f t="shared" ref="AQ172" si="1500">AVERAGE(AQ169:AQ171)</f>
        <v>7.9054968638058408E-3</v>
      </c>
      <c r="AR172" s="60">
        <f t="shared" ref="AR172" si="1501">_xlfn.STDEV.S(AQ169:AQ171)</f>
        <v>6.000660851698111E-3</v>
      </c>
      <c r="AS172" s="60">
        <f t="shared" ref="AS172" si="1502">AVERAGE(AS169:AS171)</f>
        <v>0</v>
      </c>
      <c r="AT172" s="60">
        <f t="shared" ref="AT172" si="1503">_xlfn.STDEV.S(AS169:AS171)</f>
        <v>0</v>
      </c>
      <c r="AU172" s="60">
        <f t="shared" ref="AU172" si="1504">AVERAGE(AU169:AU171)</f>
        <v>0</v>
      </c>
      <c r="AV172" s="65">
        <f t="shared" ref="AV172" si="1505">_xlfn.STDEV.S(AU169:AU171)</f>
        <v>0</v>
      </c>
      <c r="AW172" s="59">
        <f t="shared" ref="AW172" si="1506">AVERAGE(AW169:AW171)</f>
        <v>0.19765569524608229</v>
      </c>
      <c r="AX172" s="59">
        <f t="shared" ref="AX172" si="1507">_xlfn.STDEV.S(AW169:AW171)</f>
        <v>8.9297295668416918E-2</v>
      </c>
      <c r="AY172" s="77">
        <f>SUM(AK172,AO172,AS172,AW172)</f>
        <v>0.20524993188207299</v>
      </c>
      <c r="AZ172" s="77">
        <f>SUM(AL172,AP172,AT172,AX172)</f>
        <v>9.1422455583562975E-2</v>
      </c>
      <c r="BA172" s="60"/>
      <c r="BB172" s="60"/>
      <c r="BC172" s="60"/>
      <c r="BD172" s="60"/>
      <c r="BE172" s="60"/>
      <c r="BF172" s="60"/>
      <c r="BG172" s="60"/>
      <c r="BH172" s="57"/>
      <c r="BI172" s="57"/>
      <c r="BJ172" s="57"/>
      <c r="BK172" s="57"/>
      <c r="BL172" s="57"/>
      <c r="BM172" s="57"/>
      <c r="BN172" s="57"/>
      <c r="BO172" s="60">
        <f t="shared" ref="BO172" si="1508">AVERAGE(BO169:BO171)</f>
        <v>7.5138427464008853E-2</v>
      </c>
      <c r="BP172" s="57">
        <f t="shared" ref="BP172" si="1509">_xlfn.STDEV.S(BO169:BO171)</f>
        <v>3.5368539418121611E-2</v>
      </c>
      <c r="BQ172" s="57">
        <f t="shared" ref="BQ172" si="1510">AVERAGE(BQ169:BQ171)</f>
        <v>0</v>
      </c>
      <c r="BR172" s="57">
        <f t="shared" ref="BR172" si="1511">_xlfn.STDEV.S(BQ169:BQ171)</f>
        <v>0</v>
      </c>
      <c r="BS172" s="57">
        <f t="shared" ref="BS172" si="1512">AVERAGE(BS169:BS171)</f>
        <v>0</v>
      </c>
      <c r="BT172" s="57">
        <f t="shared" ref="BT172" si="1513">_xlfn.STDEV.S(BS169:BS171)</f>
        <v>0</v>
      </c>
      <c r="BU172" s="57">
        <f t="shared" ref="BU172" si="1514">AVERAGE(BU169:BU171)</f>
        <v>0</v>
      </c>
      <c r="BV172" s="57">
        <f t="shared" ref="BV172" si="1515">_xlfn.STDEV.S(BU169:BU171)</f>
        <v>0</v>
      </c>
      <c r="BW172" s="60">
        <f t="shared" ref="BW172" si="1516">AVERAGE(BW169:BW171)</f>
        <v>3.7569213732004426E-3</v>
      </c>
      <c r="BX172" s="57">
        <f t="shared" si="1340"/>
        <v>0</v>
      </c>
      <c r="BY172" s="57">
        <f t="shared" si="1341"/>
        <v>0</v>
      </c>
      <c r="BZ172" s="61">
        <f t="shared" si="1342"/>
        <v>0</v>
      </c>
    </row>
    <row r="173" spans="1:78" x14ac:dyDescent="0.3">
      <c r="A173" s="172" t="s">
        <v>59</v>
      </c>
      <c r="B173" s="95" t="s">
        <v>118</v>
      </c>
      <c r="C173" s="94">
        <v>3</v>
      </c>
      <c r="D173" s="93"/>
      <c r="E173" s="88"/>
      <c r="F173" s="90">
        <v>1.27</v>
      </c>
      <c r="G173" s="85"/>
      <c r="H173" s="90">
        <v>0.23799999999999999</v>
      </c>
      <c r="I173" s="92">
        <f>H173*0.2842</f>
        <v>6.7639599999999994E-2</v>
      </c>
      <c r="J173" s="92"/>
      <c r="K173" s="92">
        <f>(I173-I149)/(AI149/1000-AI173/1000)*0.05</f>
        <v>0.59911240481684813</v>
      </c>
      <c r="L173" s="91"/>
      <c r="M173" s="89">
        <v>10.192702534539864</v>
      </c>
      <c r="O173" s="88">
        <v>0</v>
      </c>
      <c r="Q173" s="88">
        <v>0.55074953243730662</v>
      </c>
      <c r="S173" s="88">
        <v>85.879416103245319</v>
      </c>
      <c r="U173" s="88">
        <v>3.3100195744876895</v>
      </c>
      <c r="W173" s="88">
        <v>6.7112255289841896E-2</v>
      </c>
      <c r="X173" s="88"/>
      <c r="Y173" s="89">
        <v>0.58271425113570929</v>
      </c>
      <c r="AA173" s="21">
        <v>0</v>
      </c>
      <c r="AC173" s="21">
        <v>3.1486212834134775E-2</v>
      </c>
      <c r="AE173" s="21">
        <v>4.9097047101094171</v>
      </c>
      <c r="AG173" s="21">
        <v>0.18923299007854402</v>
      </c>
      <c r="AI173" s="88">
        <v>3.8367908266454874E-3</v>
      </c>
      <c r="AJ173" s="87"/>
      <c r="AK173" s="22">
        <f>8*(AG173-$AG$149)/(2*($AA$149-AA173)+2*($AI$149-AI173))</f>
        <v>0.70918340296591997</v>
      </c>
      <c r="AL173" s="22"/>
      <c r="AM173" s="22">
        <f>(AG173-$AG$149)/(($AA$149-AA173)+($AI$149-AI173))</f>
        <v>0.17729585074147999</v>
      </c>
      <c r="AN173" s="22"/>
      <c r="AO173" s="37">
        <f>8*(BW173-$BW$149)/(2*($AA$149-AA173)+2*($AI$149-AI173))</f>
        <v>3.8970820845608059E-2</v>
      </c>
      <c r="AQ173" s="37">
        <f>(BW173-$BW$149)/(($AA$149-AA173)+($AI$149-AI173))</f>
        <v>9.7427052114020148E-3</v>
      </c>
      <c r="AS173" s="37">
        <f>14*(BX173-$BX$149)/(2*($AA$149-AA173)+2*($AI$149-AI173))</f>
        <v>0</v>
      </c>
      <c r="AU173" s="37">
        <f>(BX173-$BX$149)/(($AA$149-AA173)+($AI$149-AI173))</f>
        <v>0</v>
      </c>
      <c r="AY173" s="90"/>
      <c r="AZ173" s="90"/>
      <c r="BA173" s="90"/>
      <c r="BB173" s="90"/>
      <c r="BC173" s="90"/>
      <c r="BD173" s="90"/>
      <c r="BE173" s="90"/>
      <c r="BF173" s="90"/>
      <c r="BG173" s="90">
        <v>12.52</v>
      </c>
      <c r="BH173" s="87"/>
      <c r="BI173" s="2">
        <v>0</v>
      </c>
      <c r="BK173" s="2">
        <v>0</v>
      </c>
      <c r="BM173" s="2">
        <v>0</v>
      </c>
      <c r="BN173" s="87"/>
      <c r="BO173" s="90">
        <f t="shared" ref="BO173:BO175" si="1517">(BG173/1000)/60.2*1000</f>
        <v>0.20797342192691029</v>
      </c>
      <c r="BP173" s="87"/>
      <c r="BQ173" s="87">
        <f t="shared" ref="BQ173:BQ175" si="1518">BI173/74.08</f>
        <v>0</v>
      </c>
      <c r="BR173" s="87"/>
      <c r="BS173" s="87">
        <f t="shared" ref="BS173:BS175" si="1519">(BK173/1000)/88.12*1000</f>
        <v>0</v>
      </c>
      <c r="BT173" s="87"/>
      <c r="BU173" s="87">
        <f t="shared" ref="BU173:BU175" si="1520">BM173/88.12</f>
        <v>0</v>
      </c>
      <c r="BV173" s="87"/>
      <c r="BW173" s="90">
        <f t="shared" ref="BW173:BW175" si="1521">BO173*0.05</f>
        <v>1.0398671096345515E-2</v>
      </c>
      <c r="BX173" s="87">
        <f t="shared" si="1340"/>
        <v>0</v>
      </c>
      <c r="BY173" s="87">
        <f t="shared" si="1341"/>
        <v>0</v>
      </c>
      <c r="BZ173" s="23">
        <f t="shared" si="1342"/>
        <v>0</v>
      </c>
    </row>
    <row r="174" spans="1:78" x14ac:dyDescent="0.3">
      <c r="A174" s="173"/>
      <c r="B174" s="70" t="s">
        <v>119</v>
      </c>
      <c r="C174" s="20">
        <v>3</v>
      </c>
      <c r="D174" s="69"/>
      <c r="E174" s="21"/>
      <c r="F174" s="37">
        <v>1.3280000000000001</v>
      </c>
      <c r="H174" s="37">
        <v>0.23699999999999999</v>
      </c>
      <c r="I174" s="53">
        <f t="shared" ref="I174" si="1522">H174*0.2842</f>
        <v>6.7355399999999996E-2</v>
      </c>
      <c r="K174" s="53">
        <f t="shared" ref="K174:K175" si="1523">(I174-I150)/(AI150/1000-AI174/1000)*0.05</f>
        <v>0.70957798030360253</v>
      </c>
      <c r="L174" s="68"/>
      <c r="M174" s="22">
        <v>9.2218661557939718</v>
      </c>
      <c r="O174" s="21">
        <v>0</v>
      </c>
      <c r="Q174" s="21">
        <v>0.24926086049184012</v>
      </c>
      <c r="S174" s="21">
        <v>87.336122721278684</v>
      </c>
      <c r="U174" s="21">
        <v>3.1292607752345285</v>
      </c>
      <c r="W174" s="21">
        <v>6.3489487200967198E-2</v>
      </c>
      <c r="Y174" s="22">
        <v>0.55128916681878515</v>
      </c>
      <c r="AA174" s="21">
        <v>0</v>
      </c>
      <c r="AC174" s="21">
        <v>1.4900976633101982E-2</v>
      </c>
      <c r="AE174" s="21">
        <v>5.2210103155689929</v>
      </c>
      <c r="AG174" s="21">
        <v>0.18706924784999993</v>
      </c>
      <c r="AI174" s="21">
        <v>3.7954429081344288E-3</v>
      </c>
      <c r="AK174" s="22">
        <f>8*(AG174-$AG$150)/(2*($AA$150-AA174)+2*($AI$150-AI174))</f>
        <v>0.70500561160127473</v>
      </c>
      <c r="AL174" s="22"/>
      <c r="AM174" s="22">
        <f>(AG174-$AG$150)/(($AA$150-AA174)+($AI$150-AI174))</f>
        <v>0.17625140290031868</v>
      </c>
      <c r="AN174" s="22"/>
      <c r="AO174" s="37">
        <f>8*(BW174-$BW$150)/(2*($AA$150-AA174)+2*($AI$150-AI174))</f>
        <v>3.6121809313378356E-2</v>
      </c>
      <c r="AQ174" s="37">
        <f>(BW174-$BW$150)/(($AA$150-AA174)+($AI$150-AI174))</f>
        <v>9.0304523283445889E-3</v>
      </c>
      <c r="AS174" s="37">
        <f>14*(BX174-$BX$150)/(2*($AA$150-AA174)+2*($AI$150-AI174))</f>
        <v>0</v>
      </c>
      <c r="AU174" s="37">
        <f>(BX174-$BX$150)/(($AA$150-AA174)+($AI$150-AI174))</f>
        <v>0</v>
      </c>
      <c r="BG174" s="37">
        <v>11.55</v>
      </c>
      <c r="BI174" s="2">
        <v>0</v>
      </c>
      <c r="BK174" s="2">
        <v>0</v>
      </c>
      <c r="BM174" s="2">
        <v>0</v>
      </c>
      <c r="BO174" s="37">
        <f t="shared" si="1517"/>
        <v>0.19186046511627911</v>
      </c>
      <c r="BQ174" s="2">
        <f t="shared" si="1518"/>
        <v>0</v>
      </c>
      <c r="BS174" s="2">
        <f t="shared" si="1519"/>
        <v>0</v>
      </c>
      <c r="BU174" s="2">
        <f t="shared" si="1520"/>
        <v>0</v>
      </c>
      <c r="BW174" s="37">
        <f t="shared" si="1521"/>
        <v>9.593023255813956E-3</v>
      </c>
      <c r="BX174" s="2">
        <f t="shared" si="1340"/>
        <v>0</v>
      </c>
      <c r="BY174" s="2">
        <f t="shared" si="1341"/>
        <v>0</v>
      </c>
      <c r="BZ174" s="18">
        <f t="shared" si="1342"/>
        <v>0</v>
      </c>
    </row>
    <row r="175" spans="1:78" x14ac:dyDescent="0.3">
      <c r="A175" s="173"/>
      <c r="B175" s="70" t="s">
        <v>120</v>
      </c>
      <c r="C175" s="20">
        <v>3</v>
      </c>
      <c r="D175" s="69"/>
      <c r="E175" s="21"/>
      <c r="F175" s="37">
        <v>1.3340000000000001</v>
      </c>
      <c r="H175" s="37">
        <v>0.23899999999999999</v>
      </c>
      <c r="I175" s="53">
        <f>H175*0.2842</f>
        <v>6.7923799999999993E-2</v>
      </c>
      <c r="K175" s="53">
        <f t="shared" si="1523"/>
        <v>0.7252518626172122</v>
      </c>
      <c r="L175" s="68"/>
      <c r="M175" s="22">
        <v>9.2053636560935459</v>
      </c>
      <c r="O175" s="21">
        <v>0</v>
      </c>
      <c r="Q175" s="21">
        <v>0.2055934924241882</v>
      </c>
      <c r="S175" s="21">
        <v>87.358424679107955</v>
      </c>
      <c r="U175" s="21">
        <v>3.1910913280375293</v>
      </c>
      <c r="W175" s="21">
        <v>3.9526844336776619E-2</v>
      </c>
      <c r="Y175" s="22">
        <v>0.55278894372858367</v>
      </c>
      <c r="AA175" s="21">
        <v>0</v>
      </c>
      <c r="AC175" s="21">
        <v>1.2346042346671049E-2</v>
      </c>
      <c r="AE175" s="21">
        <v>5.2459384667753737</v>
      </c>
      <c r="AG175" s="21">
        <v>0.19162741098225039</v>
      </c>
      <c r="AI175" s="21">
        <v>2.3736164421257989E-3</v>
      </c>
      <c r="AK175" s="22">
        <f>8*(AG175-$AG$151)/(2*($AA$151-AA175)+2*($AI$151-AI175))</f>
        <v>0.72446705107718168</v>
      </c>
      <c r="AL175" s="22"/>
      <c r="AM175" s="22">
        <f>(AG175-$AG$150)/(($AA$150-AA175)+($AI$150-AI175))</f>
        <v>0.18030443972749022</v>
      </c>
      <c r="AN175" s="22"/>
      <c r="AO175" s="37">
        <f>8*(BW175-$BW$151)/(2*($AA$151-AA175)+2*($AI$151-AI175))</f>
        <v>4.7791336066657038E-2</v>
      </c>
      <c r="AQ175" s="37">
        <f>(BW175-$BW$151)/(($AA$151-AA175)+($AI$151-AI175))</f>
        <v>1.1947834016664259E-2</v>
      </c>
      <c r="AS175" s="37">
        <f>14*(BX175-$BX$151)/(2*($AA$151-AA175)+2*($AI$151-AI175))</f>
        <v>0</v>
      </c>
      <c r="AU175" s="37">
        <f>(BX175-$BX$151)/(($AA$151-AA175)+($AI$151-AI175))</f>
        <v>0</v>
      </c>
      <c r="BG175" s="37">
        <v>15.25</v>
      </c>
      <c r="BI175" s="2">
        <v>0</v>
      </c>
      <c r="BK175" s="2">
        <v>0</v>
      </c>
      <c r="BM175" s="2">
        <v>0</v>
      </c>
      <c r="BO175" s="37">
        <f t="shared" si="1517"/>
        <v>0.25332225913621259</v>
      </c>
      <c r="BQ175" s="2">
        <f t="shared" si="1518"/>
        <v>0</v>
      </c>
      <c r="BS175" s="2">
        <f t="shared" si="1519"/>
        <v>0</v>
      </c>
      <c r="BU175" s="2">
        <f t="shared" si="1520"/>
        <v>0</v>
      </c>
      <c r="BW175" s="37">
        <f t="shared" si="1521"/>
        <v>1.2666112956810631E-2</v>
      </c>
      <c r="BX175" s="2">
        <f t="shared" si="1340"/>
        <v>0</v>
      </c>
      <c r="BY175" s="2">
        <f t="shared" si="1341"/>
        <v>0</v>
      </c>
      <c r="BZ175" s="18">
        <f t="shared" si="1342"/>
        <v>0</v>
      </c>
    </row>
    <row r="176" spans="1:78" ht="15" thickBot="1" x14ac:dyDescent="0.35">
      <c r="A176" s="173"/>
      <c r="B176" s="83" t="s">
        <v>63</v>
      </c>
      <c r="C176" s="80">
        <v>3</v>
      </c>
      <c r="D176" s="79" t="e">
        <f>AVERAGE(D173:D175)</f>
        <v>#DIV/0!</v>
      </c>
      <c r="E176" s="76"/>
      <c r="F176" s="78">
        <f t="shared" ref="F176" si="1524">AVERAGE(F173:F175)</f>
        <v>1.3106666666666666</v>
      </c>
      <c r="G176" s="73">
        <f>_xlfn.STDEV.S(F173:F175)</f>
        <v>3.5345909711497529E-2</v>
      </c>
      <c r="H176" s="78">
        <f t="shared" ref="H176:K176" si="1525">AVERAGE(H173:H175)</f>
        <v>0.23799999999999999</v>
      </c>
      <c r="I176" s="82">
        <f t="shared" si="1525"/>
        <v>6.763959999999998E-2</v>
      </c>
      <c r="J176" s="82">
        <f>_xlfn.STDEV.S(I173:I175)</f>
        <v>2.8419999999999834E-4</v>
      </c>
      <c r="K176" s="82">
        <f t="shared" si="1525"/>
        <v>0.67798074924588769</v>
      </c>
      <c r="L176" s="81">
        <f>_xlfn.STDEV.S(K173:K175)</f>
        <v>6.8750123355732412E-2</v>
      </c>
      <c r="M176" s="77">
        <f>AVERAGE(M173:M175)</f>
        <v>9.5399774488091271</v>
      </c>
      <c r="N176" s="76">
        <f>_xlfn.STDEV.S(M173:M175)</f>
        <v>0.56533672380337952</v>
      </c>
      <c r="O176" s="76">
        <f t="shared" ref="O176" si="1526">AVERAGE(O173:O175)</f>
        <v>0</v>
      </c>
      <c r="P176" s="76">
        <f t="shared" ref="P176" si="1527">_xlfn.STDEV.S(O173:O175)</f>
        <v>0</v>
      </c>
      <c r="Q176" s="76">
        <f t="shared" ref="Q176" si="1528">AVERAGE(Q173:Q175)</f>
        <v>0.3352012951177783</v>
      </c>
      <c r="R176" s="76">
        <f t="shared" ref="R176" si="1529">_xlfn.STDEV.S(Q173:Q175)</f>
        <v>0.18794278841486772</v>
      </c>
      <c r="S176" s="76">
        <f t="shared" ref="S176" si="1530">AVERAGE(S173:S175)</f>
        <v>86.857987834543977</v>
      </c>
      <c r="T176" s="76">
        <f t="shared" ref="T176" si="1531">_xlfn.STDEV.S(S173:S175)</f>
        <v>0.84754133781391916</v>
      </c>
      <c r="U176" s="76">
        <f t="shared" ref="U176" si="1532">AVERAGE(U173:U175)</f>
        <v>3.2101238925865823</v>
      </c>
      <c r="V176" s="76">
        <f t="shared" ref="V176" si="1533">_xlfn.STDEV.S(U173:U175)</f>
        <v>9.187009721256717E-2</v>
      </c>
      <c r="W176" s="76">
        <f t="shared" ref="W176" si="1534">AVERAGE(W173:W175)</f>
        <v>5.6709528942528564E-2</v>
      </c>
      <c r="X176" s="76">
        <f>_xlfn.STDEV.S(W173:W175)</f>
        <v>1.4990483643031743E-2</v>
      </c>
      <c r="Y176" s="77">
        <v>0.56226412056102604</v>
      </c>
      <c r="Z176" s="75">
        <f>_xlfn.STDEV.S(Y173:Y175)</f>
        <v>1.7726201315735626E-2</v>
      </c>
      <c r="AA176" s="76">
        <v>0</v>
      </c>
      <c r="AB176" s="75">
        <f>_xlfn.STDEV.S(AA173:AA175)</f>
        <v>0</v>
      </c>
      <c r="AC176" s="76">
        <v>1.957774393796927E-2</v>
      </c>
      <c r="AD176" s="75">
        <f>_xlfn.STDEV.S(AC173:AC175)</f>
        <v>1.0391854785850358E-2</v>
      </c>
      <c r="AE176" s="76">
        <v>5.1255511641512612</v>
      </c>
      <c r="AF176" s="75">
        <f>_xlfn.STDEV.S(AE173:AE175)</f>
        <v>0.18734359335848794</v>
      </c>
      <c r="AG176" s="76">
        <v>0.18930988297026477</v>
      </c>
      <c r="AH176" s="75">
        <f>_xlfn.STDEV.S(AG173:AG175)</f>
        <v>2.2800542038841371E-3</v>
      </c>
      <c r="AI176" s="76">
        <v>3.3352833923019055E-3</v>
      </c>
      <c r="AJ176" s="75">
        <f>_xlfn.STDEV.S(AI173:AI175)</f>
        <v>8.330845724697219E-4</v>
      </c>
      <c r="AK176" s="77">
        <f t="shared" ref="AK176" si="1535">AVERAGE(AK173:AK175)</f>
        <v>0.71288535521479213</v>
      </c>
      <c r="AL176" s="77">
        <f t="shared" ref="AL176" si="1536">_xlfn.STDEV.S(AK173:AK175)</f>
        <v>1.0245254728814435E-2</v>
      </c>
      <c r="AM176" s="77">
        <f>AVERAGE(AM173:AM175)</f>
        <v>0.17795056445642965</v>
      </c>
      <c r="AN176" s="77">
        <f t="shared" ref="AN176" si="1537">_xlfn.STDEV.S(AM173:AM175)</f>
        <v>2.1043441774124174E-3</v>
      </c>
      <c r="AO176" s="78">
        <f t="shared" ref="AO176" si="1538">AVERAGE(AO173:AO175)</f>
        <v>4.0961322075214489E-2</v>
      </c>
      <c r="AP176" s="78">
        <f t="shared" ref="AP176" si="1539">_xlfn.STDEV.S(AO173:AO175)</f>
        <v>6.0840804580618623E-3</v>
      </c>
      <c r="AQ176" s="78">
        <f t="shared" ref="AQ176" si="1540">AVERAGE(AQ173:AQ175)</f>
        <v>1.0240330518803622E-2</v>
      </c>
      <c r="AR176" s="78">
        <f t="shared" ref="AR176" si="1541">_xlfn.STDEV.S(AQ173:AQ175)</f>
        <v>1.5210201145154656E-3</v>
      </c>
      <c r="AS176" s="78">
        <f t="shared" ref="AS176" si="1542">AVERAGE(AS173:AS175)</f>
        <v>0</v>
      </c>
      <c r="AT176" s="78">
        <f t="shared" ref="AT176" si="1543">_xlfn.STDEV.S(AS173:AS175)</f>
        <v>0</v>
      </c>
      <c r="AU176" s="78">
        <f t="shared" ref="AU176" si="1544">AVERAGE(AU173:AU175)</f>
        <v>0</v>
      </c>
      <c r="AV176" s="78">
        <f t="shared" ref="AV176" si="1545">_xlfn.STDEV.S(AU173:AU175)</f>
        <v>0</v>
      </c>
      <c r="AW176" s="78"/>
      <c r="AX176" s="78"/>
      <c r="AY176" s="77">
        <f>SUM(AK176,AO176,AS176,AW176)</f>
        <v>0.75384667729000665</v>
      </c>
      <c r="AZ176" s="77">
        <f>SUM(AL176,AP176,AT176,AX176)</f>
        <v>1.6329335186876296E-2</v>
      </c>
      <c r="BA176" s="78"/>
      <c r="BB176" s="78"/>
      <c r="BC176" s="78"/>
      <c r="BD176" s="78"/>
      <c r="BE176" s="78"/>
      <c r="BF176" s="78"/>
      <c r="BG176" s="78"/>
      <c r="BH176" s="75"/>
      <c r="BI176" s="75"/>
      <c r="BJ176" s="75"/>
      <c r="BK176" s="75"/>
      <c r="BL176" s="75"/>
      <c r="BM176" s="75"/>
      <c r="BN176" s="75"/>
      <c r="BO176" s="78">
        <f t="shared" ref="BO176" si="1546">AVERAGE(BO173:BO175)</f>
        <v>0.217718715393134</v>
      </c>
      <c r="BP176" s="75">
        <f t="shared" ref="BP176" si="1547">_xlfn.STDEV.S(BO173:BO175)</f>
        <v>3.1868732161702246E-2</v>
      </c>
      <c r="BQ176" s="75">
        <f t="shared" ref="BQ176" si="1548">AVERAGE(BQ173:BQ175)</f>
        <v>0</v>
      </c>
      <c r="BR176" s="75">
        <f t="shared" ref="BR176" si="1549">_xlfn.STDEV.S(BQ173:BQ175)</f>
        <v>0</v>
      </c>
      <c r="BS176" s="75">
        <f t="shared" ref="BS176" si="1550">AVERAGE(BS173:BS175)</f>
        <v>0</v>
      </c>
      <c r="BT176" s="75">
        <f t="shared" ref="BT176" si="1551">_xlfn.STDEV.S(BS173:BS175)</f>
        <v>0</v>
      </c>
      <c r="BU176" s="75">
        <f t="shared" ref="BU176" si="1552">AVERAGE(BU173:BU175)</f>
        <v>0</v>
      </c>
      <c r="BV176" s="75">
        <f t="shared" ref="BV176" si="1553">_xlfn.STDEV.S(BU173:BU175)</f>
        <v>0</v>
      </c>
      <c r="BW176" s="78">
        <f t="shared" ref="BW176" si="1554">AVERAGE(BW173:BW175)</f>
        <v>1.0885935769656701E-2</v>
      </c>
      <c r="BX176" s="75">
        <f t="shared" si="1340"/>
        <v>0</v>
      </c>
      <c r="BY176" s="75">
        <f t="shared" si="1341"/>
        <v>0</v>
      </c>
      <c r="BZ176" s="119">
        <f t="shared" si="1342"/>
        <v>0</v>
      </c>
    </row>
    <row r="177" spans="1:78" x14ac:dyDescent="0.3">
      <c r="A177" s="174" t="s">
        <v>60</v>
      </c>
      <c r="B177" s="70" t="s">
        <v>121</v>
      </c>
      <c r="C177" s="20">
        <v>3</v>
      </c>
      <c r="D177" s="69"/>
      <c r="E177" s="21"/>
      <c r="F177" s="37">
        <v>1.44</v>
      </c>
      <c r="H177" s="37">
        <v>0.17399999999999999</v>
      </c>
      <c r="I177" s="53">
        <f>H177*0.2842</f>
        <v>4.9450799999999996E-2</v>
      </c>
      <c r="K177" s="92">
        <f>(I177-I153)/(AI153/1000-AI177/1000)*0.05</f>
        <v>-0.18998279329809908</v>
      </c>
      <c r="L177" s="68"/>
      <c r="M177" s="22">
        <v>10.685158509942466</v>
      </c>
      <c r="O177" s="21">
        <v>12.336089396581698</v>
      </c>
      <c r="Q177" s="21">
        <v>0.25151344411421139</v>
      </c>
      <c r="S177" s="21">
        <v>76.460251462014767</v>
      </c>
      <c r="U177" s="21">
        <v>0.19920465378573299</v>
      </c>
      <c r="W177" s="21">
        <v>6.7782533561106542E-2</v>
      </c>
      <c r="Y177" s="22">
        <v>0.69263754623297047</v>
      </c>
      <c r="AA177" s="21">
        <v>0.79965483729683295</v>
      </c>
      <c r="AC177" s="21">
        <v>1.6303703367036786E-2</v>
      </c>
      <c r="AE177" s="21">
        <v>4.9563364837056554</v>
      </c>
      <c r="AG177" s="21">
        <v>1.2912922393051278E-2</v>
      </c>
      <c r="AI177" s="21">
        <v>4.3938260419378282E-3</v>
      </c>
      <c r="AK177" s="22"/>
      <c r="AL177" s="22"/>
      <c r="AM177" s="22"/>
      <c r="AN177" s="22"/>
      <c r="AO177" s="37">
        <f>8*(BW177-$BW$153)/2*($AI$153-AI177)</f>
        <v>2.9292297799872514E-2</v>
      </c>
      <c r="AQ177" s="37">
        <f>(BW177-$BW$153)/($AI$153-AI177)</f>
        <v>6.6784819993222916E-3</v>
      </c>
      <c r="AS177" s="37">
        <f>14*(BX177-$BX$153)/(2*($AA$153-AA177)+2*($AI$153-AI177))</f>
        <v>0</v>
      </c>
      <c r="AU177" s="37">
        <f>(BX177-$BX$153)/(($AA$153-AA177)+($AI$153-AI177))</f>
        <v>0</v>
      </c>
      <c r="AW177" s="22">
        <f>2*(AA177-$AA$153)/2*($AI$153-AI177)</f>
        <v>0.8373565340847311</v>
      </c>
      <c r="BG177" s="37">
        <v>8.42</v>
      </c>
      <c r="BI177" s="2">
        <v>0</v>
      </c>
      <c r="BK177" s="2">
        <v>0</v>
      </c>
      <c r="BM177" s="2">
        <v>0</v>
      </c>
      <c r="BO177" s="37">
        <f t="shared" ref="BO177:BO179" si="1555">(BG177/1000)/60.2*1000</f>
        <v>0.13986710963455151</v>
      </c>
      <c r="BQ177" s="2">
        <f t="shared" ref="BQ177:BQ179" si="1556">BI177/74.08</f>
        <v>0</v>
      </c>
      <c r="BS177" s="2">
        <f t="shared" ref="BS177:BS179" si="1557">(BK177/1000)/88.12*1000</f>
        <v>0</v>
      </c>
      <c r="BU177" s="2">
        <f t="shared" ref="BU177:BU179" si="1558">BM177/88.12</f>
        <v>0</v>
      </c>
      <c r="BW177" s="37">
        <f t="shared" ref="BW177:BW179" si="1559">BO177*0.05</f>
        <v>6.9933554817275759E-3</v>
      </c>
      <c r="BX177" s="2">
        <f t="shared" si="1340"/>
        <v>0</v>
      </c>
      <c r="BY177" s="2">
        <f t="shared" si="1341"/>
        <v>0</v>
      </c>
      <c r="BZ177" s="18">
        <f t="shared" si="1342"/>
        <v>0</v>
      </c>
    </row>
    <row r="178" spans="1:78" x14ac:dyDescent="0.3">
      <c r="A178" s="173"/>
      <c r="B178" s="70" t="s">
        <v>122</v>
      </c>
      <c r="C178" s="20">
        <v>3</v>
      </c>
      <c r="D178" s="69"/>
      <c r="E178" s="21"/>
      <c r="F178" s="37">
        <v>1.458</v>
      </c>
      <c r="H178" s="37">
        <v>0.189</v>
      </c>
      <c r="I178" s="53">
        <f t="shared" ref="I178:I179" si="1560">H178*0.2842</f>
        <v>5.3713799999999999E-2</v>
      </c>
      <c r="K178" s="53">
        <f t="shared" ref="K178:K179" si="1561">(I178-I154)/(AI154/1000-AI178/1000)*0.05</f>
        <v>-5.3537730419386767E-2</v>
      </c>
      <c r="L178" s="68"/>
      <c r="M178" s="22">
        <v>10.354385750025255</v>
      </c>
      <c r="O178" s="21">
        <v>12.182602997592411</v>
      </c>
      <c r="Q178" s="21">
        <v>3.6912030781056399E-2</v>
      </c>
      <c r="S178" s="21">
        <v>77.130766790536342</v>
      </c>
      <c r="U178" s="21">
        <v>0.2079179555120346</v>
      </c>
      <c r="W178" s="21">
        <v>8.7414475552899717E-2</v>
      </c>
      <c r="Y178" s="22">
        <v>0.67958601513711347</v>
      </c>
      <c r="AA178" s="21">
        <v>0.79957680011207699</v>
      </c>
      <c r="AC178" s="21">
        <v>2.4226352499041679E-3</v>
      </c>
      <c r="AE178" s="21">
        <v>5.0622984031208951</v>
      </c>
      <c r="AG178" s="21">
        <v>1.3646211206834223E-2</v>
      </c>
      <c r="AI178" s="21">
        <v>5.7372456986307325E-3</v>
      </c>
      <c r="AK178" s="22"/>
      <c r="AL178" s="22"/>
      <c r="AM178" s="22"/>
      <c r="AN178" s="22"/>
      <c r="AO178" s="37">
        <f>8*(BW178-$BW$154)/2*($AI$154-AI178)</f>
        <v>3.6823758677719337E-2</v>
      </c>
      <c r="AQ178" s="37">
        <f>(BW178-$BW$154)/($AI$154-AI178)</f>
        <v>8.1673261538829384E-3</v>
      </c>
      <c r="AS178" s="37">
        <f>14*(BX178-$BX$154)/(2*($AA$154-AA178)+2*($AI$154-AI178))</f>
        <v>0</v>
      </c>
      <c r="AU178" s="37">
        <f>(BX178-$BX$154)/(($AA$154-AA178)+($AI$154-AI178))</f>
        <v>0</v>
      </c>
      <c r="AW178" s="22">
        <f>2*(AA178-$AA$154)/2*($AI$154-AI178)</f>
        <v>0.84889562860351298</v>
      </c>
      <c r="BG178" s="37">
        <v>10.44</v>
      </c>
      <c r="BI178" s="2">
        <v>0</v>
      </c>
      <c r="BK178" s="2">
        <v>0</v>
      </c>
      <c r="BM178" s="2">
        <v>0</v>
      </c>
      <c r="BO178" s="37">
        <f t="shared" si="1555"/>
        <v>0.17342192691029901</v>
      </c>
      <c r="BQ178" s="2">
        <f t="shared" si="1556"/>
        <v>0</v>
      </c>
      <c r="BS178" s="2">
        <f t="shared" si="1557"/>
        <v>0</v>
      </c>
      <c r="BU178" s="2">
        <f t="shared" si="1558"/>
        <v>0</v>
      </c>
      <c r="BW178" s="37">
        <f t="shared" si="1559"/>
        <v>8.6710963455149514E-3</v>
      </c>
      <c r="BX178" s="2">
        <f t="shared" si="1340"/>
        <v>0</v>
      </c>
      <c r="BY178" s="2">
        <f t="shared" si="1341"/>
        <v>0</v>
      </c>
      <c r="BZ178" s="18">
        <f t="shared" si="1342"/>
        <v>0</v>
      </c>
    </row>
    <row r="179" spans="1:78" x14ac:dyDescent="0.3">
      <c r="A179" s="173"/>
      <c r="B179" s="70" t="s">
        <v>123</v>
      </c>
      <c r="C179" s="20">
        <v>3</v>
      </c>
      <c r="D179" s="69"/>
      <c r="E179" s="21"/>
      <c r="F179" s="37">
        <v>1.458</v>
      </c>
      <c r="G179" s="67"/>
      <c r="H179" s="37">
        <v>0.17199999999999999</v>
      </c>
      <c r="I179" s="53">
        <f t="shared" si="1560"/>
        <v>4.8882399999999999E-2</v>
      </c>
      <c r="K179" s="53">
        <f t="shared" si="1561"/>
        <v>5.1872562022372309E-2</v>
      </c>
      <c r="L179" s="68"/>
      <c r="M179" s="22">
        <v>10.858270721152499</v>
      </c>
      <c r="O179" s="21">
        <v>13.126530569392738</v>
      </c>
      <c r="Q179" s="21">
        <v>5.1753219651146286E-2</v>
      </c>
      <c r="S179" s="21">
        <v>75.696309161086432</v>
      </c>
      <c r="U179" s="21">
        <v>0.10300152984228138</v>
      </c>
      <c r="W179" s="21">
        <v>0.16413479887490814</v>
      </c>
      <c r="Y179" s="22">
        <v>0.71265733272975862</v>
      </c>
      <c r="AA179" s="21">
        <v>0.86152928986708432</v>
      </c>
      <c r="AC179" s="21">
        <v>3.3967021475081191E-3</v>
      </c>
      <c r="AE179" s="21">
        <v>4.968151114443871</v>
      </c>
      <c r="AG179" s="21">
        <v>6.7602657374795736E-3</v>
      </c>
      <c r="AI179" s="21">
        <v>1.0772605599753547E-2</v>
      </c>
      <c r="AK179" s="22"/>
      <c r="AL179" s="22"/>
      <c r="AM179" s="22"/>
      <c r="AN179" s="22"/>
      <c r="AO179" s="37">
        <f>8*(BW179-$BW$155)/2*($AI$155-AI179)</f>
        <v>5.5443390215312791E-2</v>
      </c>
      <c r="AQ179" s="37">
        <f>(BW179-$BW$155)/($AI$155-AI179)</f>
        <v>1.1544019343227461E-2</v>
      </c>
      <c r="AS179" s="37">
        <f>14*(BX179-$BX$155)/(2*($AA$155-AA179)+2*($AI$153-AI179))</f>
        <v>0</v>
      </c>
      <c r="AU179" s="37">
        <f>(BX179-$BX$155)/(($AA$155-AA179)+($AI$155-AI179))</f>
        <v>0</v>
      </c>
      <c r="AW179" s="22">
        <f>2*(AA179-$AA$155)/2*($AI$155-AI179)</f>
        <v>0.94403135158283935</v>
      </c>
      <c r="BG179" s="37">
        <v>15.23</v>
      </c>
      <c r="BI179" s="2">
        <v>0</v>
      </c>
      <c r="BK179" s="2">
        <v>0</v>
      </c>
      <c r="BM179" s="2">
        <v>0</v>
      </c>
      <c r="BO179" s="37">
        <f t="shared" si="1555"/>
        <v>0.25299003322259139</v>
      </c>
      <c r="BQ179" s="2">
        <f t="shared" si="1556"/>
        <v>0</v>
      </c>
      <c r="BS179" s="2">
        <f t="shared" si="1557"/>
        <v>0</v>
      </c>
      <c r="BU179" s="2">
        <f t="shared" si="1558"/>
        <v>0</v>
      </c>
      <c r="BW179" s="37">
        <f t="shared" si="1559"/>
        <v>1.264950166112957E-2</v>
      </c>
      <c r="BX179" s="2">
        <f t="shared" si="1340"/>
        <v>0</v>
      </c>
      <c r="BY179" s="2">
        <f t="shared" si="1341"/>
        <v>0</v>
      </c>
      <c r="BZ179" s="18">
        <f t="shared" si="1342"/>
        <v>0</v>
      </c>
    </row>
    <row r="180" spans="1:78" ht="15" thickBot="1" x14ac:dyDescent="0.35">
      <c r="A180" s="175"/>
      <c r="B180" s="66" t="s">
        <v>63</v>
      </c>
      <c r="C180" s="65">
        <v>3</v>
      </c>
      <c r="D180" s="64" t="e">
        <f>AVERAGE(D177:D179)</f>
        <v>#DIV/0!</v>
      </c>
      <c r="E180" s="58"/>
      <c r="F180" s="60">
        <f t="shared" ref="F180" si="1562">AVERAGE(F177:F179)</f>
        <v>1.452</v>
      </c>
      <c r="G180" s="55">
        <f>_xlfn.STDEV.S(F177:F179)</f>
        <v>1.0392304845413272E-2</v>
      </c>
      <c r="H180" s="60">
        <f t="shared" ref="H180:I180" si="1563">AVERAGE(H177:H179)</f>
        <v>0.17833333333333332</v>
      </c>
      <c r="I180" s="63">
        <f t="shared" si="1563"/>
        <v>5.0682333333333329E-2</v>
      </c>
      <c r="J180" s="63">
        <f>_xlfn.STDEV.S(I177:I179)</f>
        <v>2.6406651157110657E-3</v>
      </c>
      <c r="K180" s="63">
        <f t="shared" ref="K180" si="1564">AVERAGE(K177:K179)</f>
        <v>-6.3882653898371181E-2</v>
      </c>
      <c r="L180" s="62">
        <f>_xlfn.STDEV.S(K177:K179)</f>
        <v>0.12125908751775019</v>
      </c>
      <c r="M180" s="59">
        <f>AVERAGE(M177:M179)</f>
        <v>10.632604993706741</v>
      </c>
      <c r="N180" s="58">
        <f>_xlfn.STDEV.S(M177:M179)</f>
        <v>0.25602035091673842</v>
      </c>
      <c r="O180" s="58">
        <f>AVERAGE(O177:O179)</f>
        <v>12.548407654522284</v>
      </c>
      <c r="P180" s="58">
        <f>_xlfn.STDEV.S(O177:O179)</f>
        <v>0.50651663071651309</v>
      </c>
      <c r="Q180" s="58">
        <f>AVERAGE(Q177:Q179)</f>
        <v>0.11339289818213803</v>
      </c>
      <c r="R180" s="58">
        <f>_xlfn.STDEV.S(Q177:Q179)</f>
        <v>0.11984585569889308</v>
      </c>
      <c r="S180" s="58">
        <f>AVERAGE(S177:S179)</f>
        <v>76.429109137879195</v>
      </c>
      <c r="T180" s="58">
        <f>_xlfn.STDEV.S(S177:S179)</f>
        <v>0.71773571454692697</v>
      </c>
      <c r="U180" s="58">
        <f>AVERAGE(U177:U179)</f>
        <v>0.17004137971334965</v>
      </c>
      <c r="V180" s="58">
        <f>_xlfn.STDEV.S(U177:U179)</f>
        <v>5.8221443728191068E-2</v>
      </c>
      <c r="W180" s="58">
        <f>AVERAGE(W177:W179)</f>
        <v>0.10644393599630479</v>
      </c>
      <c r="X180" s="58">
        <f>_xlfn.STDEV.S(W177:W179)</f>
        <v>5.0916893378825136E-2</v>
      </c>
      <c r="Y180" s="59">
        <v>0.69496029803328085</v>
      </c>
      <c r="Z180" s="57">
        <f>_xlfn.STDEV.S(Y177:Y179)</f>
        <v>1.6657562660028744E-2</v>
      </c>
      <c r="AA180" s="58">
        <v>0.82025364242533139</v>
      </c>
      <c r="AB180" s="57">
        <f>_xlfn.STDEV.S(AA177:AA179)</f>
        <v>3.5745780537742682E-2</v>
      </c>
      <c r="AC180" s="58">
        <v>7.3743469214830231E-3</v>
      </c>
      <c r="AD180" s="57">
        <f>_xlfn.STDEV.S(AC177:AC179)</f>
        <v>7.7483712145886736E-3</v>
      </c>
      <c r="AE180" s="58">
        <v>4.9955953337568069</v>
      </c>
      <c r="AF180" s="57">
        <f>_xlfn.STDEV.S(AE177:AE179)</f>
        <v>5.806781356149756E-2</v>
      </c>
      <c r="AG180" s="58">
        <v>1.1106466445788358E-2</v>
      </c>
      <c r="AH180" s="57">
        <f>_xlfn.STDEV.S(AG177:AG179)</f>
        <v>3.7817355233784704E-3</v>
      </c>
      <c r="AI180" s="58">
        <v>6.9678924467740351E-3</v>
      </c>
      <c r="AJ180" s="57">
        <f>_xlfn.STDEV.S(AI177:AI179)</f>
        <v>3.3627482400320585E-3</v>
      </c>
      <c r="AK180" s="59"/>
      <c r="AL180" s="59"/>
      <c r="AM180" s="59"/>
      <c r="AN180" s="59"/>
      <c r="AO180" s="60">
        <f t="shared" ref="AO180" si="1565">AVERAGE(AO177:AO179)</f>
        <v>4.0519815564301544E-2</v>
      </c>
      <c r="AP180" s="60">
        <f t="shared" ref="AP180" si="1566">_xlfn.STDEV.S(AO177:AO179)</f>
        <v>1.3461631996599208E-2</v>
      </c>
      <c r="AQ180" s="60">
        <f t="shared" ref="AQ180" si="1567">AVERAGE(AQ177:AQ179)</f>
        <v>8.7966091654775643E-3</v>
      </c>
      <c r="AR180" s="60">
        <f t="shared" ref="AR180" si="1568">_xlfn.STDEV.S(AQ177:AQ179)</f>
        <v>2.4930626231094042E-3</v>
      </c>
      <c r="AS180" s="60">
        <f t="shared" ref="AS180" si="1569">AVERAGE(AS177:AS179)</f>
        <v>0</v>
      </c>
      <c r="AT180" s="60">
        <f t="shared" ref="AT180" si="1570">_xlfn.STDEV.S(AS177:AS179)</f>
        <v>0</v>
      </c>
      <c r="AU180" s="60">
        <f t="shared" ref="AU180" si="1571">AVERAGE(AU177:AU179)</f>
        <v>0</v>
      </c>
      <c r="AV180" s="65">
        <f t="shared" ref="AV180" si="1572">_xlfn.STDEV.S(AU177:AU179)</f>
        <v>0</v>
      </c>
      <c r="AW180" s="59">
        <f t="shared" ref="AW180" si="1573">AVERAGE(AW177:AW179)</f>
        <v>0.87676117142369447</v>
      </c>
      <c r="AX180" s="59">
        <f t="shared" ref="AX180" si="1574">_xlfn.STDEV.S(AW177:AW179)</f>
        <v>5.8542681263854E-2</v>
      </c>
      <c r="AY180" s="77">
        <f>SUM(AK180,AO180,AS180,AW180)</f>
        <v>0.91728098698799598</v>
      </c>
      <c r="AZ180" s="77">
        <f>SUM(AL180,AP180,AT180,AX180)</f>
        <v>7.2004313260453201E-2</v>
      </c>
      <c r="BA180" s="60"/>
      <c r="BB180" s="60"/>
      <c r="BC180" s="60"/>
      <c r="BD180" s="60"/>
      <c r="BE180" s="60"/>
      <c r="BF180" s="60"/>
      <c r="BG180" s="60"/>
      <c r="BH180" s="57"/>
      <c r="BI180" s="57"/>
      <c r="BJ180" s="57"/>
      <c r="BK180" s="57"/>
      <c r="BL180" s="57"/>
      <c r="BM180" s="57"/>
      <c r="BN180" s="57"/>
      <c r="BO180" s="60">
        <f t="shared" ref="BO180" si="1575">AVERAGE(BO177:BO179)</f>
        <v>0.18875968992248063</v>
      </c>
      <c r="BP180" s="57">
        <f t="shared" ref="BP180" si="1576">_xlfn.STDEV.S(BO177:BO179)</f>
        <v>5.8100208183273834E-2</v>
      </c>
      <c r="BQ180" s="57">
        <f t="shared" ref="BQ180" si="1577">AVERAGE(BQ177:BQ179)</f>
        <v>0</v>
      </c>
      <c r="BR180" s="57">
        <f t="shared" ref="BR180" si="1578">_xlfn.STDEV.S(BQ177:BQ179)</f>
        <v>0</v>
      </c>
      <c r="BS180" s="57">
        <f t="shared" ref="BS180" si="1579">AVERAGE(BS177:BS179)</f>
        <v>0</v>
      </c>
      <c r="BT180" s="57">
        <f t="shared" ref="BT180" si="1580">_xlfn.STDEV.S(BS177:BS179)</f>
        <v>0</v>
      </c>
      <c r="BU180" s="57">
        <f t="shared" ref="BU180" si="1581">AVERAGE(BU177:BU179)</f>
        <v>0</v>
      </c>
      <c r="BV180" s="57">
        <f t="shared" ref="BV180" si="1582">_xlfn.STDEV.S(BU177:BU179)</f>
        <v>0</v>
      </c>
      <c r="BW180" s="60">
        <f t="shared" ref="BW180" si="1583">AVERAGE(BW177:BW179)</f>
        <v>9.4379844961240324E-3</v>
      </c>
      <c r="BX180" s="57">
        <f t="shared" si="1340"/>
        <v>0</v>
      </c>
      <c r="BY180" s="57">
        <f t="shared" si="1341"/>
        <v>0</v>
      </c>
      <c r="BZ180" s="61">
        <f t="shared" si="1342"/>
        <v>0</v>
      </c>
    </row>
    <row r="181" spans="1:78" x14ac:dyDescent="0.3">
      <c r="A181" s="172" t="s">
        <v>59</v>
      </c>
      <c r="B181" s="95" t="s">
        <v>118</v>
      </c>
      <c r="C181" s="94">
        <v>4</v>
      </c>
      <c r="D181" s="93"/>
      <c r="E181" s="88"/>
      <c r="F181" s="90">
        <v>1.248</v>
      </c>
      <c r="G181" s="85"/>
      <c r="H181" s="90">
        <v>0.26</v>
      </c>
      <c r="I181" s="92">
        <f>H181*0.2842</f>
        <v>7.3891999999999999E-2</v>
      </c>
      <c r="J181" s="92"/>
      <c r="K181" s="92">
        <f>(I181-I149)/(AI149/1000-AI181/1000)*0.05</f>
        <v>0.88881672035490211</v>
      </c>
      <c r="L181" s="91"/>
      <c r="M181" s="89">
        <v>10.569610107530609</v>
      </c>
      <c r="O181" s="88">
        <v>0</v>
      </c>
      <c r="Q181" s="88">
        <v>0.31720691738280443</v>
      </c>
      <c r="S181" s="88">
        <v>85.79353893268123</v>
      </c>
      <c r="U181" s="88">
        <v>3.3196440424053684</v>
      </c>
      <c r="W181" s="88">
        <v>0</v>
      </c>
      <c r="X181" s="88"/>
      <c r="Y181" s="89">
        <v>0.59379443262473486</v>
      </c>
      <c r="AA181" s="21">
        <v>0</v>
      </c>
      <c r="AC181" s="21">
        <v>1.7820496651788913E-2</v>
      </c>
      <c r="AE181" s="21">
        <v>4.8198301787029294</v>
      </c>
      <c r="AG181" s="21">
        <v>0.18649563518636803</v>
      </c>
      <c r="AI181" s="88">
        <v>0</v>
      </c>
      <c r="AJ181" s="87"/>
      <c r="AK181" s="22">
        <f>8*(AG181-$AG$149)/(2*($AA$149-AA181)+2*($AI$149-AI181))</f>
        <v>0.69642122460261102</v>
      </c>
      <c r="AL181" s="22"/>
      <c r="AM181" s="22">
        <f>(AG181-$AG$149)/(($AA$149-AA181)+($AI$149-AI181))</f>
        <v>0.17410530615065276</v>
      </c>
      <c r="AN181" s="22"/>
      <c r="AO181" s="37">
        <f>8*(BW181-$BW$149)/(2*($AA$149-AA181)+2*($AI$149-AI181))</f>
        <v>6.6527949229886307E-2</v>
      </c>
      <c r="AQ181" s="37">
        <f>(BW181-$BW$149)/(($AA$149-AA181)+($AI$149-AI181))</f>
        <v>1.6631987307471577E-2</v>
      </c>
      <c r="AS181" s="37">
        <f>14*(BX181-$BX$149)/(2*($AA$149-AA181)+2*($AI$149-AI181))</f>
        <v>0</v>
      </c>
      <c r="AU181" s="37">
        <f>(BX181-$BX$149)/(($AA$149-AA181)+($AI$149-AI181))</f>
        <v>0</v>
      </c>
      <c r="AY181" s="90"/>
      <c r="AZ181" s="90"/>
      <c r="BA181" s="90"/>
      <c r="BB181" s="90"/>
      <c r="BC181" s="90"/>
      <c r="BD181" s="90"/>
      <c r="BE181" s="90"/>
      <c r="BF181" s="90"/>
      <c r="BG181" s="90">
        <v>21.45</v>
      </c>
      <c r="BH181" s="87"/>
      <c r="BI181" s="2">
        <v>0</v>
      </c>
      <c r="BK181" s="2">
        <v>0</v>
      </c>
      <c r="BM181" s="2">
        <v>0</v>
      </c>
      <c r="BN181" s="87"/>
      <c r="BO181" s="90">
        <f t="shared" ref="BO181:BO183" si="1584">(BG181/1000)/60.2*1000</f>
        <v>0.35631229235880396</v>
      </c>
      <c r="BP181" s="87"/>
      <c r="BQ181" s="87">
        <f t="shared" ref="BQ181:BQ183" si="1585">BI181/74.08</f>
        <v>0</v>
      </c>
      <c r="BR181" s="87"/>
      <c r="BS181" s="87">
        <f t="shared" ref="BS181:BS183" si="1586">(BK181/1000)/88.12*1000</f>
        <v>0</v>
      </c>
      <c r="BT181" s="87"/>
      <c r="BU181" s="87">
        <f t="shared" ref="BU181:BU183" si="1587">BM181/88.12</f>
        <v>0</v>
      </c>
      <c r="BV181" s="87"/>
      <c r="BW181" s="90">
        <f t="shared" ref="BW181:BW183" si="1588">BO181*0.05</f>
        <v>1.7815614617940199E-2</v>
      </c>
      <c r="BX181" s="87">
        <f t="shared" si="1340"/>
        <v>0</v>
      </c>
      <c r="BY181" s="87">
        <f t="shared" si="1341"/>
        <v>0</v>
      </c>
      <c r="BZ181" s="23">
        <f t="shared" si="1342"/>
        <v>0</v>
      </c>
    </row>
    <row r="182" spans="1:78" x14ac:dyDescent="0.3">
      <c r="A182" s="173"/>
      <c r="B182" s="70" t="s">
        <v>119</v>
      </c>
      <c r="C182" s="20">
        <v>4</v>
      </c>
      <c r="D182" s="69"/>
      <c r="E182" s="21"/>
      <c r="F182" s="37">
        <v>1.3</v>
      </c>
      <c r="H182" s="37">
        <v>0.249</v>
      </c>
      <c r="I182" s="53">
        <f t="shared" ref="I182:I183" si="1589">H182*0.2842</f>
        <v>7.0765800000000004E-2</v>
      </c>
      <c r="K182" s="53">
        <f>(I182-I150)/(AI150/1000-AI182/1000)*0.05</f>
        <v>0.86713630097652095</v>
      </c>
      <c r="L182" s="68"/>
      <c r="M182" s="22">
        <v>9.4096812552652622</v>
      </c>
      <c r="O182" s="21">
        <v>0</v>
      </c>
      <c r="Q182" s="21">
        <v>0.23043312479611427</v>
      </c>
      <c r="S182" s="21">
        <v>87.188411380376849</v>
      </c>
      <c r="U182" s="21">
        <v>3.1714742395617681</v>
      </c>
      <c r="W182" s="21">
        <v>0</v>
      </c>
      <c r="Y182" s="22">
        <v>0.55065658025165032</v>
      </c>
      <c r="AA182" s="21">
        <v>0</v>
      </c>
      <c r="AC182" s="21">
        <v>1.3484996253824008E-2</v>
      </c>
      <c r="AE182" s="21">
        <v>5.1022846731846005</v>
      </c>
      <c r="AG182" s="21">
        <v>0.18559535777432185</v>
      </c>
      <c r="AI182" s="21">
        <v>0</v>
      </c>
      <c r="AK182" s="22">
        <f>8*(AG182-$AG$150)/(2*($AA$150-AA182)+2*($AI$150-AI182))</f>
        <v>0.69695868356559043</v>
      </c>
      <c r="AL182" s="22"/>
      <c r="AM182" s="22">
        <f>(AG182-$AG$150)/(($AA$150-AA182)+($AI$150-AI182))</f>
        <v>0.17423967089139761</v>
      </c>
      <c r="AN182" s="22"/>
      <c r="AO182" s="37">
        <f>8*(BW182-$BW$150)/(2*($AA$150-AA182)+2*($AI$150-AI182))</f>
        <v>5.6391268433450395E-2</v>
      </c>
      <c r="AQ182" s="37">
        <f>(BW182-$BW$150)/(($AA$150-AA182)+($AI$150-AI182))</f>
        <v>1.4097817108362599E-2</v>
      </c>
      <c r="AS182" s="37">
        <f>14*(BX182-$BX$150)/(2*($AA$150-AA182)+2*($AI$150-AI182))</f>
        <v>0</v>
      </c>
      <c r="AU182" s="37">
        <f>(BX182-$BX$150)/(($AA$150-AA182)+($AI$150-AI182))</f>
        <v>0</v>
      </c>
      <c r="BG182" s="37">
        <v>18.09</v>
      </c>
      <c r="BI182" s="2">
        <v>0</v>
      </c>
      <c r="BK182" s="2">
        <v>0</v>
      </c>
      <c r="BM182" s="2">
        <v>0</v>
      </c>
      <c r="BO182" s="37">
        <f t="shared" si="1584"/>
        <v>0.30049833887043181</v>
      </c>
      <c r="BQ182" s="2">
        <f t="shared" si="1585"/>
        <v>0</v>
      </c>
      <c r="BS182" s="2">
        <f t="shared" si="1586"/>
        <v>0</v>
      </c>
      <c r="BU182" s="2">
        <f t="shared" si="1587"/>
        <v>0</v>
      </c>
      <c r="BW182" s="37">
        <f t="shared" si="1588"/>
        <v>1.5024916943521592E-2</v>
      </c>
      <c r="BX182" s="2">
        <f t="shared" si="1340"/>
        <v>0</v>
      </c>
      <c r="BY182" s="2">
        <f t="shared" si="1341"/>
        <v>0</v>
      </c>
      <c r="BZ182" s="18">
        <f t="shared" si="1342"/>
        <v>0</v>
      </c>
    </row>
    <row r="183" spans="1:78" x14ac:dyDescent="0.3">
      <c r="A183" s="173"/>
      <c r="B183" s="70" t="s">
        <v>120</v>
      </c>
      <c r="C183" s="20">
        <v>4</v>
      </c>
      <c r="D183" s="69"/>
      <c r="E183" s="21"/>
      <c r="F183" s="37">
        <v>1.3220000000000001</v>
      </c>
      <c r="H183" s="37">
        <v>0.26700000000000002</v>
      </c>
      <c r="I183" s="53">
        <f t="shared" si="1589"/>
        <v>7.5881400000000002E-2</v>
      </c>
      <c r="K183" s="53">
        <f>(I183-I151)/(AI151/1000-AI183/1000)*0.05</f>
        <v>1.0988432116332192</v>
      </c>
      <c r="L183" s="68"/>
      <c r="M183" s="22">
        <v>9.1438739583892961</v>
      </c>
      <c r="O183" s="21">
        <v>0</v>
      </c>
      <c r="Q183" s="21">
        <v>0.29596851316832623</v>
      </c>
      <c r="S183" s="21">
        <v>87.405561379903673</v>
      </c>
      <c r="U183" s="21">
        <v>3.1545961485386971</v>
      </c>
      <c r="W183" s="21">
        <v>0</v>
      </c>
      <c r="Y183" s="22">
        <v>0.54415704330863135</v>
      </c>
      <c r="AA183" s="21">
        <v>0</v>
      </c>
      <c r="AC183" s="21">
        <v>1.761325142614913E-2</v>
      </c>
      <c r="AE183" s="21">
        <v>5.2015537468757538</v>
      </c>
      <c r="AG183" s="21">
        <v>0.18773177767249033</v>
      </c>
      <c r="AI183" s="21">
        <v>0</v>
      </c>
      <c r="AK183" s="22">
        <f>8*(AG183-$AG$151)/(2*($AA$151-AA183)+2*($AI$151-AI183))</f>
        <v>0.70815052780849186</v>
      </c>
      <c r="AL183" s="22"/>
      <c r="AM183" s="22">
        <f>(AG183-$AG$150)/(($AA$150-AA183)+($AI$150-AI183))</f>
        <v>0.17624537353615533</v>
      </c>
      <c r="AN183" s="22"/>
      <c r="AO183" s="37">
        <f>8*(BW183-$BW$151)/(2*($AA$151-AA183)+2*($AI$151-AI183))</f>
        <v>8.0173637766532649E-2</v>
      </c>
      <c r="AQ183" s="37">
        <f>(BW183-$BW$151)/(($AA$151-AA183)+($AI$151-AI183))</f>
        <v>2.0043409441633162E-2</v>
      </c>
      <c r="AS183" s="37">
        <f>14*(BX183-$BX$151)/(2*($AA$151-AA183)+2*($AI$151-AI183))</f>
        <v>0</v>
      </c>
      <c r="AU183" s="37">
        <f>(BX183-$BX$151)/(($AA$151-AA183)+($AI$151-AI183))</f>
        <v>0</v>
      </c>
      <c r="BG183" s="37">
        <v>25.62</v>
      </c>
      <c r="BI183" s="2">
        <v>0</v>
      </c>
      <c r="BK183" s="2">
        <v>0</v>
      </c>
      <c r="BM183" s="2">
        <v>0</v>
      </c>
      <c r="BO183" s="37">
        <f t="shared" si="1584"/>
        <v>0.42558139534883715</v>
      </c>
      <c r="BQ183" s="2">
        <f t="shared" si="1585"/>
        <v>0</v>
      </c>
      <c r="BS183" s="2">
        <f t="shared" si="1586"/>
        <v>0</v>
      </c>
      <c r="BU183" s="2">
        <f t="shared" si="1587"/>
        <v>0</v>
      </c>
      <c r="BW183" s="37">
        <f t="shared" si="1588"/>
        <v>2.1279069767441858E-2</v>
      </c>
      <c r="BX183" s="2">
        <f t="shared" si="1340"/>
        <v>0</v>
      </c>
      <c r="BY183" s="2">
        <f t="shared" si="1341"/>
        <v>0</v>
      </c>
      <c r="BZ183" s="18">
        <f t="shared" si="1342"/>
        <v>0</v>
      </c>
    </row>
    <row r="184" spans="1:78" x14ac:dyDescent="0.3">
      <c r="A184" s="173"/>
      <c r="B184" s="83" t="s">
        <v>63</v>
      </c>
      <c r="C184" s="80">
        <v>4</v>
      </c>
      <c r="D184" s="79" t="e">
        <f>AVERAGE(D181:D183)</f>
        <v>#DIV/0!</v>
      </c>
      <c r="E184" s="76"/>
      <c r="F184" s="78">
        <f t="shared" ref="F184" si="1590">AVERAGE(F181:F183)</f>
        <v>1.29</v>
      </c>
      <c r="G184" s="73">
        <f>_xlfn.STDEV.S(F181:F183)</f>
        <v>3.8000000000000034E-2</v>
      </c>
      <c r="H184" s="78">
        <f t="shared" ref="H184:I184" si="1591">AVERAGE(H181:H183)</f>
        <v>0.25866666666666666</v>
      </c>
      <c r="I184" s="82">
        <f t="shared" si="1591"/>
        <v>7.3513066666666668E-2</v>
      </c>
      <c r="J184" s="82">
        <f>_xlfn.STDEV.S(I181:I183)</f>
        <v>2.5787659244943745E-3</v>
      </c>
      <c r="K184" s="82">
        <f>AVERAGE(K181:K182)</f>
        <v>0.87797651066571158</v>
      </c>
      <c r="L184" s="81">
        <f>_xlfn.STDEV.S(K181:K182)</f>
        <v>1.5330371561421556E-2</v>
      </c>
      <c r="M184" s="77">
        <f>AVERAGE(M181:M183)</f>
        <v>9.7077217737283892</v>
      </c>
      <c r="N184" s="76">
        <f>_xlfn.STDEV.S(M181:M183)</f>
        <v>0.75815697894723777</v>
      </c>
      <c r="O184" s="76">
        <f t="shared" ref="O184" si="1592">AVERAGE(O181:O183)</f>
        <v>0</v>
      </c>
      <c r="P184" s="76">
        <f t="shared" ref="P184" si="1593">_xlfn.STDEV.S(O181:O183)</f>
        <v>0</v>
      </c>
      <c r="Q184" s="76">
        <f t="shared" ref="Q184" si="1594">AVERAGE(Q181:Q183)</f>
        <v>0.281202851782415</v>
      </c>
      <c r="R184" s="76">
        <f t="shared" ref="R184" si="1595">_xlfn.STDEV.S(Q181:Q183)</f>
        <v>4.5232083050551812E-2</v>
      </c>
      <c r="S184" s="76">
        <f t="shared" ref="S184" si="1596">AVERAGE(S181:S183)</f>
        <v>86.79583723098726</v>
      </c>
      <c r="T184" s="76">
        <f t="shared" ref="T184" si="1597">_xlfn.STDEV.S(S181:S183)</f>
        <v>0.87477993784950503</v>
      </c>
      <c r="U184" s="76">
        <f t="shared" ref="U184" si="1598">AVERAGE(U181:U183)</f>
        <v>3.2152381435019444</v>
      </c>
      <c r="V184" s="76">
        <f t="shared" ref="V184" si="1599">_xlfn.STDEV.S(U181:U183)</f>
        <v>9.0811129733748719E-2</v>
      </c>
      <c r="W184" s="76">
        <f t="shared" ref="W184" si="1600">AVERAGE(W181:W183)</f>
        <v>0</v>
      </c>
      <c r="X184" s="76">
        <f>_xlfn.STDEV.S(W181:W183)</f>
        <v>0</v>
      </c>
      <c r="Y184" s="77">
        <v>0.56286935206167221</v>
      </c>
      <c r="Z184" s="75">
        <f>_xlfn.STDEV.S(Y181:Y183)</f>
        <v>2.6978351524738407E-2</v>
      </c>
      <c r="AA184" s="76">
        <v>0</v>
      </c>
      <c r="AB184" s="75">
        <f>_xlfn.STDEV.S(AA181:AA183)</f>
        <v>0</v>
      </c>
      <c r="AC184" s="76">
        <v>1.6306248110587351E-2</v>
      </c>
      <c r="AD184" s="75">
        <f>_xlfn.STDEV.S(AC181:AC183)</f>
        <v>2.4454721784055479E-3</v>
      </c>
      <c r="AE184" s="76">
        <v>5.0412228662544285</v>
      </c>
      <c r="AF184" s="75">
        <f>_xlfn.STDEV.S(AE181:AE183)</f>
        <v>0.19805208613854963</v>
      </c>
      <c r="AG184" s="76">
        <v>0.18660759021106008</v>
      </c>
      <c r="AH184" s="75">
        <f>_xlfn.STDEV.S(AG181:AG183)</f>
        <v>1.0726010166823012E-3</v>
      </c>
      <c r="AI184" s="76">
        <v>0</v>
      </c>
      <c r="AJ184" s="75">
        <f>_xlfn.STDEV.S(AI181:AI183)</f>
        <v>0</v>
      </c>
      <c r="AK184" s="77">
        <f t="shared" ref="AK184" si="1601">AVERAGE(AK181:AK183)</f>
        <v>0.70051014532556444</v>
      </c>
      <c r="AL184" s="77">
        <f t="shared" ref="AL184" si="1602">_xlfn.STDEV.S(AK181:AK183)</f>
        <v>6.6222200883306395E-3</v>
      </c>
      <c r="AM184" s="77">
        <f>AVERAGE(AM181:AM183)</f>
        <v>0.17486345019273522</v>
      </c>
      <c r="AN184" s="77">
        <f t="shared" ref="AN184" si="1603">_xlfn.STDEV.S(AM181:AM183)</f>
        <v>1.1986649098917885E-3</v>
      </c>
      <c r="AO184" s="78">
        <f t="shared" ref="AO184" si="1604">AVERAGE(AO181:AO183)</f>
        <v>6.7697618476623117E-2</v>
      </c>
      <c r="AP184" s="78">
        <f t="shared" ref="AP184" si="1605">_xlfn.STDEV.S(AO181:AO183)</f>
        <v>1.1934251856897171E-2</v>
      </c>
      <c r="AQ184" s="78">
        <f t="shared" ref="AQ184" si="1606">AVERAGE(AQ181:AQ183)</f>
        <v>1.6924404619155779E-2</v>
      </c>
      <c r="AR184" s="78">
        <f t="shared" ref="AR184" si="1607">_xlfn.STDEV.S(AQ181:AQ183)</f>
        <v>2.9835629642242993E-3</v>
      </c>
      <c r="AS184" s="78">
        <f t="shared" ref="AS184" si="1608">AVERAGE(AS181:AS183)</f>
        <v>0</v>
      </c>
      <c r="AT184" s="78">
        <f t="shared" ref="AT184" si="1609">_xlfn.STDEV.S(AS181:AS183)</f>
        <v>0</v>
      </c>
      <c r="AU184" s="78">
        <f t="shared" ref="AU184" si="1610">AVERAGE(AU181:AU183)</f>
        <v>0</v>
      </c>
      <c r="AV184" s="78">
        <f t="shared" ref="AV184" si="1611">_xlfn.STDEV.S(AU181:AU183)</f>
        <v>0</v>
      </c>
      <c r="AW184" s="78"/>
      <c r="AX184" s="78"/>
      <c r="AY184" s="77">
        <f>SUM(AK184,AO184,AS184,AW184)</f>
        <v>0.76820776380218758</v>
      </c>
      <c r="AZ184" s="77">
        <f>SUM(AL184,AP184,AT184,AX184)</f>
        <v>1.8556471945227811E-2</v>
      </c>
      <c r="BA184" s="78"/>
      <c r="BB184" s="78"/>
      <c r="BC184" s="78"/>
      <c r="BD184" s="78"/>
      <c r="BE184" s="78"/>
      <c r="BF184" s="78"/>
      <c r="BG184" s="78"/>
      <c r="BH184" s="75"/>
      <c r="BI184" s="75"/>
      <c r="BJ184" s="75"/>
      <c r="BK184" s="75"/>
      <c r="BL184" s="75"/>
      <c r="BM184" s="75"/>
      <c r="BN184" s="75"/>
      <c r="BO184" s="78">
        <f t="shared" ref="BO184" si="1612">AVERAGE(BO181:BO183)</f>
        <v>0.36079734219269094</v>
      </c>
      <c r="BP184" s="75">
        <f t="shared" ref="BP184" si="1613">_xlfn.STDEV.S(BO181:BO183)</f>
        <v>6.2662026048511496E-2</v>
      </c>
      <c r="BQ184" s="75">
        <f t="shared" ref="BQ184" si="1614">AVERAGE(BQ181:BQ183)</f>
        <v>0</v>
      </c>
      <c r="BR184" s="75">
        <f t="shared" ref="BR184" si="1615">_xlfn.STDEV.S(BQ181:BQ183)</f>
        <v>0</v>
      </c>
      <c r="BS184" s="75">
        <f t="shared" ref="BS184" si="1616">AVERAGE(BS181:BS183)</f>
        <v>0</v>
      </c>
      <c r="BT184" s="75">
        <f t="shared" ref="BT184" si="1617">_xlfn.STDEV.S(BS181:BS183)</f>
        <v>0</v>
      </c>
      <c r="BU184" s="75">
        <f t="shared" ref="BU184" si="1618">AVERAGE(BU181:BU183)</f>
        <v>0</v>
      </c>
      <c r="BV184" s="75">
        <f t="shared" ref="BV184" si="1619">_xlfn.STDEV.S(BU181:BU183)</f>
        <v>0</v>
      </c>
      <c r="BW184" s="78">
        <f t="shared" ref="BW184" si="1620">AVERAGE(BW181:BW183)</f>
        <v>1.8039867109634549E-2</v>
      </c>
      <c r="BX184" s="75">
        <f t="shared" si="1340"/>
        <v>0</v>
      </c>
      <c r="BY184" s="75">
        <f t="shared" si="1341"/>
        <v>0</v>
      </c>
      <c r="BZ184" s="119">
        <f t="shared" si="1342"/>
        <v>0</v>
      </c>
    </row>
    <row r="185" spans="1:78" x14ac:dyDescent="0.3">
      <c r="A185" s="174" t="s">
        <v>60</v>
      </c>
      <c r="B185" s="70" t="s">
        <v>121</v>
      </c>
      <c r="C185" s="20">
        <v>4</v>
      </c>
      <c r="D185" s="69"/>
      <c r="E185" s="21"/>
      <c r="F185" s="37">
        <v>1.3939999999999999</v>
      </c>
      <c r="H185" s="37">
        <v>0.187</v>
      </c>
      <c r="I185" s="53">
        <f>H185*0.2842</f>
        <v>5.3145400000000002E-2</v>
      </c>
      <c r="K185" s="53">
        <f>(I185-$I$153)/($AI$153/1000-AI185/1000)*0.05</f>
        <v>-1.3513496948909662E-2</v>
      </c>
      <c r="L185" s="68"/>
      <c r="M185" s="22">
        <v>10.867777757303068</v>
      </c>
      <c r="O185" s="21">
        <v>11.400462815981495</v>
      </c>
      <c r="Q185" s="21">
        <v>0.30861784297056044</v>
      </c>
      <c r="S185" s="21">
        <v>77.107578619163348</v>
      </c>
      <c r="U185" s="21">
        <v>0.31556296458152111</v>
      </c>
      <c r="W185" s="21">
        <v>0</v>
      </c>
      <c r="Y185" s="22">
        <v>0.68197128879720581</v>
      </c>
      <c r="AA185" s="21">
        <v>0.71539816999615413</v>
      </c>
      <c r="AC185" s="21">
        <v>1.9366287461575434E-2</v>
      </c>
      <c r="AE185" s="21">
        <v>4.8386299334844116</v>
      </c>
      <c r="AG185" s="21">
        <v>1.9802105495551826E-2</v>
      </c>
      <c r="AI185" s="21">
        <v>0</v>
      </c>
      <c r="AK185" s="22"/>
      <c r="AL185" s="22"/>
      <c r="AM185" s="22"/>
      <c r="AN185" s="22"/>
      <c r="AO185" s="37">
        <f>8*(BW185-$BW$153)/2*($AI$153-AI185)</f>
        <v>5.3205893125732567E-2</v>
      </c>
      <c r="AQ185" s="37">
        <f>(BW185-$BW$153)/($AI$153-AI185)</f>
        <v>1.2029486425257082E-2</v>
      </c>
      <c r="AS185" s="37">
        <f>14*(BX185-$BX$153)/(2*($AA$153-AA185)+2*($AI$153-AI185))</f>
        <v>0</v>
      </c>
      <c r="AU185" s="37">
        <f>(BX185-$BX$153)/(($AA$153-AA185)+($AI$153-AI185))</f>
        <v>0</v>
      </c>
      <c r="AW185" s="22">
        <f>2*(AA185-$AA$153)/2*($AI$153-AI185)</f>
        <v>0.75227071379666244</v>
      </c>
      <c r="BG185" s="37">
        <v>15.23</v>
      </c>
      <c r="BI185" s="2">
        <v>0</v>
      </c>
      <c r="BK185" s="2">
        <v>0</v>
      </c>
      <c r="BM185" s="2">
        <v>0</v>
      </c>
      <c r="BO185" s="37">
        <f t="shared" ref="BO185:BO187" si="1621">(BG185/1000)/60.2*1000</f>
        <v>0.25299003322259139</v>
      </c>
      <c r="BQ185" s="2">
        <f t="shared" ref="BQ185:BQ187" si="1622">BI185/74.08</f>
        <v>0</v>
      </c>
      <c r="BS185" s="2">
        <f t="shared" ref="BS185:BS187" si="1623">(BK185/1000)/88.12*1000</f>
        <v>0</v>
      </c>
      <c r="BU185" s="2">
        <f t="shared" ref="BU185:BU187" si="1624">BM185/88.12</f>
        <v>0</v>
      </c>
      <c r="BW185" s="37">
        <f t="shared" ref="BW185:BW187" si="1625">BO185*0.05</f>
        <v>1.264950166112957E-2</v>
      </c>
      <c r="BX185" s="2">
        <f t="shared" si="1340"/>
        <v>0</v>
      </c>
      <c r="BY185" s="2">
        <f t="shared" si="1341"/>
        <v>0</v>
      </c>
      <c r="BZ185" s="18">
        <f t="shared" si="1342"/>
        <v>0</v>
      </c>
    </row>
    <row r="186" spans="1:78" x14ac:dyDescent="0.3">
      <c r="A186" s="173"/>
      <c r="B186" s="70" t="s">
        <v>122</v>
      </c>
      <c r="C186" s="20">
        <v>4</v>
      </c>
      <c r="D186" s="69"/>
      <c r="E186" s="21"/>
      <c r="F186" s="37">
        <v>1.4079999999999999</v>
      </c>
      <c r="H186" s="37">
        <v>0.218</v>
      </c>
      <c r="I186" s="53">
        <f t="shared" ref="I186:I187" si="1626">H186*0.2842</f>
        <v>6.19556E-2</v>
      </c>
      <c r="K186" s="53">
        <f>(I186-$I$154)/($AI$154/1000-AI186/1000)*0.05</f>
        <v>0.33281232219596113</v>
      </c>
      <c r="L186" s="68"/>
      <c r="M186" s="22">
        <v>10.135399144027261</v>
      </c>
      <c r="O186" s="21">
        <v>11.429574441449443</v>
      </c>
      <c r="Q186" s="21">
        <v>0.30269635369315417</v>
      </c>
      <c r="S186" s="21">
        <v>77.798904867537814</v>
      </c>
      <c r="U186" s="21">
        <v>0.3334251932923385</v>
      </c>
      <c r="W186" s="21">
        <v>0</v>
      </c>
      <c r="Y186" s="22">
        <v>0.64240081004540106</v>
      </c>
      <c r="AA186" s="21">
        <v>0.72442809358802163</v>
      </c>
      <c r="AC186" s="21">
        <v>1.918546867735952E-2</v>
      </c>
      <c r="AE186" s="21">
        <v>4.9310420633017911</v>
      </c>
      <c r="AG186" s="21">
        <v>2.1133120779635532E-2</v>
      </c>
      <c r="AI186" s="21">
        <v>0</v>
      </c>
      <c r="AK186" s="22"/>
      <c r="AL186" s="22"/>
      <c r="AM186" s="22"/>
      <c r="AN186" s="22"/>
      <c r="AO186" s="37">
        <f>8*(BW186-$BW$154)/2*($AI$154-AI186)</f>
        <v>5.9151292656093639E-2</v>
      </c>
      <c r="AQ186" s="37">
        <f>(BW186-$BW$154)/($AI$154-AI186)</f>
        <v>1.2978809864908753E-2</v>
      </c>
      <c r="AS186" s="37">
        <f>14*(BX186-$BX$154)/(2*($AA$154-AA186)+2*($AI$154-AI186))</f>
        <v>0</v>
      </c>
      <c r="AU186" s="37">
        <f>(BX186-$BX$154)/(($AA$154-AA186)+($AI$154-AI186))</f>
        <v>0</v>
      </c>
      <c r="AW186" s="22">
        <f>2*(AA186-$AA$154)/2*($AI$154-AI186)</f>
        <v>0.7732678842810814</v>
      </c>
      <c r="BG186" s="37">
        <v>16.68</v>
      </c>
      <c r="BI186" s="2">
        <v>0</v>
      </c>
      <c r="BK186" s="2">
        <v>0</v>
      </c>
      <c r="BM186" s="2">
        <v>0</v>
      </c>
      <c r="BO186" s="37">
        <f t="shared" si="1621"/>
        <v>0.27707641196013288</v>
      </c>
      <c r="BQ186" s="2">
        <f t="shared" si="1622"/>
        <v>0</v>
      </c>
      <c r="BS186" s="2">
        <f t="shared" si="1623"/>
        <v>0</v>
      </c>
      <c r="BU186" s="2">
        <f t="shared" si="1624"/>
        <v>0</v>
      </c>
      <c r="BW186" s="37">
        <f t="shared" si="1625"/>
        <v>1.3853820598006645E-2</v>
      </c>
      <c r="BX186" s="2">
        <f t="shared" si="1340"/>
        <v>0</v>
      </c>
      <c r="BY186" s="2">
        <f t="shared" si="1341"/>
        <v>0</v>
      </c>
      <c r="BZ186" s="18">
        <f t="shared" si="1342"/>
        <v>0</v>
      </c>
    </row>
    <row r="187" spans="1:78" x14ac:dyDescent="0.3">
      <c r="A187" s="173"/>
      <c r="B187" s="70" t="s">
        <v>123</v>
      </c>
      <c r="C187" s="20">
        <v>4</v>
      </c>
      <c r="D187" s="69"/>
      <c r="E187" s="21"/>
      <c r="F187" s="37">
        <v>1.41</v>
      </c>
      <c r="G187" s="67"/>
      <c r="H187" s="37">
        <v>0.17699999999999999</v>
      </c>
      <c r="I187" s="53">
        <f t="shared" si="1626"/>
        <v>5.0303399999999998E-2</v>
      </c>
      <c r="K187" s="53">
        <f>(I187-$I$155)/($AI$155/1000-AI187/1000)*0.05</f>
        <v>0.11557700945869256</v>
      </c>
      <c r="L187" s="68"/>
      <c r="M187" s="22">
        <v>11.19068545347389</v>
      </c>
      <c r="O187" s="21">
        <v>12.277706301908019</v>
      </c>
      <c r="Q187" s="21">
        <v>0.1364196941941038</v>
      </c>
      <c r="S187" s="21">
        <v>76.296189910684703</v>
      </c>
      <c r="U187" s="21">
        <v>9.8998639739278471E-2</v>
      </c>
      <c r="W187" s="21">
        <v>0</v>
      </c>
      <c r="Y187" s="22">
        <v>0.71029436644041588</v>
      </c>
      <c r="AA187" s="21">
        <v>0.77928967401617832</v>
      </c>
      <c r="AC187" s="21">
        <v>8.6588208256283758E-3</v>
      </c>
      <c r="AE187" s="21">
        <v>4.8426661708737919</v>
      </c>
      <c r="AG187" s="21">
        <v>6.2836344015231999E-3</v>
      </c>
      <c r="AI187" s="21">
        <v>0</v>
      </c>
      <c r="AK187" s="22"/>
      <c r="AL187" s="22"/>
      <c r="AM187" s="22"/>
      <c r="AN187" s="22"/>
      <c r="AO187" s="37">
        <f>8*(BW187-$BW$155)/2*($AI$155-AI187)</f>
        <v>6.8083146886061471E-2</v>
      </c>
      <c r="AQ187" s="37">
        <f>(BW187-$BW$155)/($AI$155-AI187)</f>
        <v>1.3901106193412895E-2</v>
      </c>
      <c r="AS187" s="37">
        <f>14*(BX187-$BX$155)/(2*($AA$155-AA187)+2*($AI$153-AI187))</f>
        <v>0</v>
      </c>
      <c r="AU187" s="37">
        <f>(BX187-$BX$155)/(($AA$155-AA187)+($AI$155-AI187))</f>
        <v>0</v>
      </c>
      <c r="AW187" s="22">
        <f>2*(AA187-$AA$155)/2*($AI$155-AI187)</f>
        <v>0.86231125789379948</v>
      </c>
      <c r="BG187" s="37">
        <v>18.52</v>
      </c>
      <c r="BI187" s="2">
        <v>0</v>
      </c>
      <c r="BK187" s="2">
        <v>0</v>
      </c>
      <c r="BM187" s="2">
        <v>0</v>
      </c>
      <c r="BO187" s="37">
        <f t="shared" si="1621"/>
        <v>0.30764119601328899</v>
      </c>
      <c r="BQ187" s="2">
        <f t="shared" si="1622"/>
        <v>0</v>
      </c>
      <c r="BS187" s="2">
        <f t="shared" si="1623"/>
        <v>0</v>
      </c>
      <c r="BU187" s="2">
        <f t="shared" si="1624"/>
        <v>0</v>
      </c>
      <c r="BW187" s="37">
        <f t="shared" si="1625"/>
        <v>1.538205980066445E-2</v>
      </c>
      <c r="BX187" s="2">
        <f t="shared" si="1340"/>
        <v>0</v>
      </c>
      <c r="BY187" s="2">
        <f t="shared" si="1341"/>
        <v>0</v>
      </c>
      <c r="BZ187" s="18">
        <f t="shared" si="1342"/>
        <v>0</v>
      </c>
    </row>
    <row r="188" spans="1:78" ht="15" thickBot="1" x14ac:dyDescent="0.35">
      <c r="A188" s="175"/>
      <c r="B188" s="66" t="s">
        <v>63</v>
      </c>
      <c r="C188" s="65">
        <v>4</v>
      </c>
      <c r="D188" s="64" t="e">
        <f>AVERAGE(D185:D187)</f>
        <v>#DIV/0!</v>
      </c>
      <c r="E188" s="58"/>
      <c r="F188" s="60">
        <f t="shared" ref="F188" si="1627">AVERAGE(F185:F187)</f>
        <v>1.4039999999999999</v>
      </c>
      <c r="G188" s="55">
        <f>_xlfn.STDEV.S(F185:F187)</f>
        <v>8.7177978870813556E-3</v>
      </c>
      <c r="H188" s="60">
        <f t="shared" ref="H188:I188" si="1628">AVERAGE(H185:H187)</f>
        <v>0.19400000000000003</v>
      </c>
      <c r="I188" s="63">
        <f t="shared" si="1628"/>
        <v>5.5134800000000005E-2</v>
      </c>
      <c r="J188" s="63">
        <f>_xlfn.STDEV.S(I185:I187)</f>
        <v>6.07550207637196E-3</v>
      </c>
      <c r="K188" s="63">
        <f t="shared" ref="K188" si="1629">AVERAGE(K185:K187)</f>
        <v>0.14495861156858134</v>
      </c>
      <c r="L188" s="62">
        <f>_xlfn.STDEV.S(K185:K187)</f>
        <v>0.1750224333007038</v>
      </c>
      <c r="M188" s="59">
        <f>AVERAGE(M185:M187)</f>
        <v>10.731287451601405</v>
      </c>
      <c r="N188" s="58">
        <f>_xlfn.STDEV.S(M185:M187)</f>
        <v>0.54072127883898879</v>
      </c>
      <c r="O188" s="58">
        <f t="shared" ref="O188" si="1630">AVERAGE(O185:O187)</f>
        <v>11.702581186446318</v>
      </c>
      <c r="P188" s="58">
        <f t="shared" ref="P188" si="1631">_xlfn.STDEV.S(O185:O187)</f>
        <v>0.49828560636493585</v>
      </c>
      <c r="Q188" s="58">
        <f t="shared" ref="Q188" si="1632">AVERAGE(Q185:Q187)</f>
        <v>0.24924463028593946</v>
      </c>
      <c r="R188" s="58">
        <f t="shared" ref="R188" si="1633">_xlfn.STDEV.S(Q185:Q187)</f>
        <v>9.7754108158740402E-2</v>
      </c>
      <c r="S188" s="58">
        <f t="shared" ref="S188" si="1634">AVERAGE(S185:S187)</f>
        <v>77.067557799128622</v>
      </c>
      <c r="T188" s="58">
        <f t="shared" ref="T188" si="1635">_xlfn.STDEV.S(S185:S187)</f>
        <v>0.75215643978809432</v>
      </c>
      <c r="U188" s="58">
        <f t="shared" ref="U188" si="1636">AVERAGE(U185:U187)</f>
        <v>0.24932893253771271</v>
      </c>
      <c r="V188" s="58">
        <f t="shared" ref="V188" si="1637">_xlfn.STDEV.S(U185:U187)</f>
        <v>0.13049583327936798</v>
      </c>
      <c r="W188" s="58">
        <f t="shared" ref="W188" si="1638">AVERAGE(W185:W187)</f>
        <v>0</v>
      </c>
      <c r="X188" s="58">
        <f>_xlfn.STDEV.S(W185:W187)</f>
        <v>0</v>
      </c>
      <c r="Y188" s="59">
        <v>0.67822215509434092</v>
      </c>
      <c r="Z188" s="57">
        <f>_xlfn.STDEV.S(Y185:Y187)</f>
        <v>3.4101697210435621E-2</v>
      </c>
      <c r="AA188" s="58">
        <v>0.7397053125334514</v>
      </c>
      <c r="AB188" s="57">
        <f>_xlfn.STDEV.S(AA185:AA187)</f>
        <v>3.4577104209507478E-2</v>
      </c>
      <c r="AC188" s="58">
        <v>1.5736858988187778E-2</v>
      </c>
      <c r="AD188" s="57">
        <f>_xlfn.STDEV.S(AC185:AC187)</f>
        <v>6.1304275569626261E-3</v>
      </c>
      <c r="AE188" s="58">
        <v>4.8707793892199982</v>
      </c>
      <c r="AF188" s="57">
        <f>_xlfn.STDEV.S(AE185:AE187)</f>
        <v>5.2228011820115744E-2</v>
      </c>
      <c r="AG188" s="58">
        <v>1.5739620225570187E-2</v>
      </c>
      <c r="AH188" s="57">
        <f>_xlfn.STDEV.S(AG185:AG187)</f>
        <v>8.2161214298505404E-3</v>
      </c>
      <c r="AI188" s="58">
        <v>0</v>
      </c>
      <c r="AJ188" s="57">
        <f>_xlfn.STDEV.S(AI185:AI187)</f>
        <v>0</v>
      </c>
      <c r="AK188" s="59"/>
      <c r="AL188" s="59"/>
      <c r="AM188" s="59"/>
      <c r="AN188" s="59"/>
      <c r="AO188" s="60">
        <f t="shared" ref="AO188" si="1639">AVERAGE(AO185:AO187)</f>
        <v>6.0146777555962559E-2</v>
      </c>
      <c r="AP188" s="60">
        <f t="shared" ref="AP188" si="1640">_xlfn.STDEV.S(AO185:AO187)</f>
        <v>7.4884185581273041E-3</v>
      </c>
      <c r="AQ188" s="60">
        <f t="shared" ref="AQ188" si="1641">AVERAGE(AQ185:AQ187)</f>
        <v>1.2969800827859576E-2</v>
      </c>
      <c r="AR188" s="60">
        <f t="shared" ref="AR188" si="1642">_xlfn.STDEV.S(AQ185:AQ187)</f>
        <v>9.3584240724564301E-4</v>
      </c>
      <c r="AS188" s="60">
        <f t="shared" ref="AS188" si="1643">AVERAGE(AS185:AS187)</f>
        <v>0</v>
      </c>
      <c r="AT188" s="60">
        <f t="shared" ref="AT188" si="1644">_xlfn.STDEV.S(AS185:AS187)</f>
        <v>0</v>
      </c>
      <c r="AU188" s="60">
        <f t="shared" ref="AU188" si="1645">AVERAGE(AU185:AU187)</f>
        <v>0</v>
      </c>
      <c r="AV188" s="65">
        <f t="shared" ref="AV188" si="1646">_xlfn.STDEV.S(AU185:AU187)</f>
        <v>0</v>
      </c>
      <c r="AW188" s="59">
        <f t="shared" ref="AW188" si="1647">AVERAGE(AW185:AW187)</f>
        <v>0.79594995199051455</v>
      </c>
      <c r="AX188" s="59">
        <f t="shared" ref="AX188" si="1648">_xlfn.STDEV.S(AW185:AW187)</f>
        <v>5.8421635401450109E-2</v>
      </c>
      <c r="AY188" s="77">
        <f>SUM(AK188,AO188,AS188,AW188)</f>
        <v>0.85609672954647709</v>
      </c>
      <c r="AZ188" s="77">
        <f>SUM(AL188,AP188,AT188,AX188)</f>
        <v>6.5910053959577414E-2</v>
      </c>
      <c r="BA188" s="60"/>
      <c r="BB188" s="60"/>
      <c r="BC188" s="60"/>
      <c r="BD188" s="60"/>
      <c r="BE188" s="60"/>
      <c r="BF188" s="60"/>
      <c r="BG188" s="60"/>
      <c r="BH188" s="57"/>
      <c r="BI188" s="57"/>
      <c r="BJ188" s="57"/>
      <c r="BK188" s="57"/>
      <c r="BL188" s="57"/>
      <c r="BM188" s="57"/>
      <c r="BN188" s="57"/>
      <c r="BO188" s="60">
        <f t="shared" ref="BO188" si="1649">AVERAGE(BO185:BO187)</f>
        <v>0.27923588039867109</v>
      </c>
      <c r="BP188" s="57">
        <f t="shared" ref="BP188" si="1650">_xlfn.STDEV.S(BO185:BO187)</f>
        <v>2.7389503035772925E-2</v>
      </c>
      <c r="BQ188" s="57">
        <f t="shared" ref="BQ188" si="1651">AVERAGE(BQ185:BQ187)</f>
        <v>0</v>
      </c>
      <c r="BR188" s="57">
        <f t="shared" ref="BR188" si="1652">_xlfn.STDEV.S(BQ185:BQ187)</f>
        <v>0</v>
      </c>
      <c r="BS188" s="57">
        <f t="shared" ref="BS188" si="1653">AVERAGE(BS185:BS187)</f>
        <v>0</v>
      </c>
      <c r="BT188" s="57">
        <f t="shared" ref="BT188" si="1654">_xlfn.STDEV.S(BS185:BS187)</f>
        <v>0</v>
      </c>
      <c r="BU188" s="57">
        <f t="shared" ref="BU188" si="1655">AVERAGE(BU185:BU187)</f>
        <v>0</v>
      </c>
      <c r="BV188" s="57">
        <f t="shared" ref="BV188" si="1656">_xlfn.STDEV.S(BU185:BU187)</f>
        <v>0</v>
      </c>
      <c r="BW188" s="60">
        <f t="shared" ref="BW188" si="1657">AVERAGE(BW185:BW187)</f>
        <v>1.3961794019933554E-2</v>
      </c>
      <c r="BX188" s="57">
        <f t="shared" si="1340"/>
        <v>0</v>
      </c>
      <c r="BY188" s="57">
        <f t="shared" si="1341"/>
        <v>0</v>
      </c>
      <c r="BZ188" s="61">
        <f t="shared" si="1342"/>
        <v>0</v>
      </c>
    </row>
    <row r="189" spans="1:78" x14ac:dyDescent="0.3">
      <c r="A189" s="172" t="s">
        <v>59</v>
      </c>
      <c r="B189" s="95" t="s">
        <v>118</v>
      </c>
      <c r="C189" s="94">
        <v>5</v>
      </c>
      <c r="D189" s="93"/>
      <c r="E189" s="88"/>
      <c r="F189" s="90">
        <v>1.23</v>
      </c>
      <c r="G189" s="85"/>
      <c r="H189" s="90">
        <v>0.24</v>
      </c>
      <c r="I189" s="92">
        <f>H189*0.2842</f>
        <v>6.8208000000000005E-2</v>
      </c>
      <c r="J189" s="92"/>
      <c r="K189" s="92">
        <f>(I189-I157)/(AI157/1000-AI189/1000)*0.05</f>
        <v>0.20455370436892439</v>
      </c>
      <c r="L189" s="91"/>
      <c r="M189" s="89">
        <v>10.369382105279637</v>
      </c>
      <c r="O189" s="88">
        <v>0</v>
      </c>
      <c r="Q189" s="88">
        <v>0.70672955693067585</v>
      </c>
      <c r="S189" s="88">
        <v>85.590375684400257</v>
      </c>
      <c r="U189" s="88">
        <v>3.3335126533894326</v>
      </c>
      <c r="W189" s="88">
        <v>0</v>
      </c>
      <c r="X189" s="88"/>
      <c r="Y189" s="89">
        <v>0.57414364005742968</v>
      </c>
      <c r="AA189" s="21">
        <v>0</v>
      </c>
      <c r="AC189" s="21">
        <v>3.9130998957570974E-2</v>
      </c>
      <c r="AE189" s="21">
        <v>4.7390644254785377</v>
      </c>
      <c r="AG189" s="21">
        <v>0.18457368718431422</v>
      </c>
      <c r="AI189" s="88">
        <v>0</v>
      </c>
      <c r="AJ189" s="87"/>
      <c r="AK189" s="22">
        <f>8*(AG189-$AG$149)/(2*($AA$149-AA189)+2*($AI$149-AI189))</f>
        <v>0.68924419131775538</v>
      </c>
      <c r="AL189" s="22"/>
      <c r="AM189" s="22">
        <f>(AG189-$AG$149)/(($AA$149-AA189)+($AI$149-AI189))</f>
        <v>0.17231104782943885</v>
      </c>
      <c r="AN189" s="22"/>
      <c r="AO189" s="37">
        <f>8*(BW189-$BW$149)/(2*($AA$149-AA189)+2*($AI$149-AI189))</f>
        <v>6.6465918507993646E-2</v>
      </c>
      <c r="AQ189" s="37">
        <f>(BW189-$BW$149)/(($AA$149-AA189)+($AI$149-AI189))</f>
        <v>1.6616479626998411E-2</v>
      </c>
      <c r="AS189" s="37">
        <f>14*(BX189-$BX$149)/(2*($AA$149-AA189)+2*($AI$149-AI189))</f>
        <v>0</v>
      </c>
      <c r="AU189" s="37">
        <f>(BX189-$BX$149)/(($AA$149-AA189)+($AI$149-AI189))</f>
        <v>0</v>
      </c>
      <c r="AY189" s="90"/>
      <c r="AZ189" s="90"/>
      <c r="BA189" s="90"/>
      <c r="BB189" s="90"/>
      <c r="BC189" s="90"/>
      <c r="BD189" s="90"/>
      <c r="BE189" s="90"/>
      <c r="BF189" s="90"/>
      <c r="BG189" s="90">
        <v>21.43</v>
      </c>
      <c r="BH189" s="87"/>
      <c r="BI189" s="2">
        <v>0</v>
      </c>
      <c r="BK189" s="2">
        <v>0</v>
      </c>
      <c r="BM189" s="2">
        <v>0</v>
      </c>
      <c r="BN189" s="87"/>
      <c r="BO189" s="90">
        <f t="shared" ref="BO189:BO191" si="1658">(BG189/1000)/60.2*1000</f>
        <v>0.35598006644518271</v>
      </c>
      <c r="BP189" s="87"/>
      <c r="BQ189" s="87">
        <f t="shared" ref="BQ189:BQ191" si="1659">BI189/74.08</f>
        <v>0</v>
      </c>
      <c r="BR189" s="87"/>
      <c r="BS189" s="87">
        <f t="shared" ref="BS189:BS191" si="1660">(BK189/1000)/88.12*1000</f>
        <v>0</v>
      </c>
      <c r="BT189" s="87"/>
      <c r="BU189" s="87">
        <f t="shared" ref="BU189:BU191" si="1661">BM189/88.12</f>
        <v>0</v>
      </c>
      <c r="BV189" s="87"/>
      <c r="BW189" s="90">
        <f t="shared" ref="BW189:BW191" si="1662">BO189*0.05</f>
        <v>1.7799003322259137E-2</v>
      </c>
      <c r="BX189" s="87">
        <f t="shared" si="1340"/>
        <v>0</v>
      </c>
      <c r="BY189" s="87">
        <f t="shared" si="1341"/>
        <v>0</v>
      </c>
      <c r="BZ189" s="23">
        <f t="shared" si="1342"/>
        <v>0</v>
      </c>
    </row>
    <row r="190" spans="1:78" x14ac:dyDescent="0.3">
      <c r="A190" s="173"/>
      <c r="B190" s="70" t="s">
        <v>119</v>
      </c>
      <c r="C190" s="20">
        <v>5</v>
      </c>
      <c r="D190" s="69"/>
      <c r="E190" s="21"/>
      <c r="F190" s="37">
        <v>1.238</v>
      </c>
      <c r="H190" s="37">
        <v>0.23100000000000001</v>
      </c>
      <c r="I190" s="53">
        <f t="shared" ref="I190:I191" si="1663">H190*0.2842</f>
        <v>6.5650200000000006E-2</v>
      </c>
      <c r="K190" s="68">
        <f>(I190-I158)/(AI158/1000-AI190/1000)*0.05</f>
        <v>-5.4196632570137251E-2</v>
      </c>
      <c r="L190" s="110"/>
      <c r="M190" s="22">
        <v>9.7064104149370252</v>
      </c>
      <c r="O190" s="21">
        <v>0</v>
      </c>
      <c r="Q190" s="21">
        <v>4.8244031321525098E-2</v>
      </c>
      <c r="S190" s="21">
        <v>87.042244692475208</v>
      </c>
      <c r="U190" s="21">
        <v>3.2031008612662353</v>
      </c>
      <c r="W190" s="21">
        <v>0</v>
      </c>
      <c r="Y190" s="22">
        <v>0.54093099128585864</v>
      </c>
      <c r="AA190" s="21">
        <v>0</v>
      </c>
      <c r="AC190" s="21">
        <v>2.688603775317273E-3</v>
      </c>
      <c r="AE190" s="21">
        <v>4.8507991824444563</v>
      </c>
      <c r="AG190" s="21">
        <v>0.17850641483353899</v>
      </c>
      <c r="AI190" s="21">
        <v>0</v>
      </c>
      <c r="AK190" s="22">
        <f>8*(AG190-$AG$150)/(2*($AA$150-AA190)+2*($AI$150-AI190))</f>
        <v>0.67033786503257875</v>
      </c>
      <c r="AL190" s="22"/>
      <c r="AM190" s="22">
        <f>(AG190-$AG$150)/(($AA$150-AA190)+($AI$150-AI190))</f>
        <v>0.16758446625814469</v>
      </c>
      <c r="AN190" s="22"/>
      <c r="AO190" s="37">
        <f>8*(BW190-$BW$150)/(2*($AA$150-AA190)+2*($AI$150-AI190))</f>
        <v>5.6578407598605662E-2</v>
      </c>
      <c r="AQ190" s="37">
        <f>(BW190-$BW$150)/(($AA$150-AA190)+($AI$150-AI190))</f>
        <v>1.4144601899651416E-2</v>
      </c>
      <c r="AS190" s="37">
        <f>14*(BX190-$BX$150)/(2*($AA$150-AA190)+2*($AI$150-AI190))</f>
        <v>0</v>
      </c>
      <c r="AU190" s="37">
        <f>(BX190-$BX$150)/(($AA$150-AA190)+($AI$150-AI190))</f>
        <v>0</v>
      </c>
      <c r="BG190" s="37">
        <v>18.149999999999999</v>
      </c>
      <c r="BI190" s="2">
        <v>0</v>
      </c>
      <c r="BK190" s="2">
        <v>0</v>
      </c>
      <c r="BM190" s="2">
        <v>0</v>
      </c>
      <c r="BO190" s="37">
        <f t="shared" si="1658"/>
        <v>0.30149501661129569</v>
      </c>
      <c r="BQ190" s="2">
        <f t="shared" si="1659"/>
        <v>0</v>
      </c>
      <c r="BS190" s="2">
        <f t="shared" si="1660"/>
        <v>0</v>
      </c>
      <c r="BU190" s="2">
        <f t="shared" si="1661"/>
        <v>0</v>
      </c>
      <c r="BW190" s="37">
        <f t="shared" si="1662"/>
        <v>1.5074750830564785E-2</v>
      </c>
      <c r="BX190" s="2">
        <f t="shared" si="1340"/>
        <v>0</v>
      </c>
      <c r="BY190" s="2">
        <f t="shared" si="1341"/>
        <v>0</v>
      </c>
      <c r="BZ190" s="18">
        <f t="shared" si="1342"/>
        <v>0</v>
      </c>
    </row>
    <row r="191" spans="1:78" x14ac:dyDescent="0.3">
      <c r="A191" s="173"/>
      <c r="B191" s="70" t="s">
        <v>120</v>
      </c>
      <c r="C191" s="20">
        <v>5</v>
      </c>
      <c r="D191" s="69"/>
      <c r="E191" s="21"/>
      <c r="F191" s="37">
        <v>1.28</v>
      </c>
      <c r="H191" s="37">
        <v>0.251</v>
      </c>
      <c r="I191" s="53">
        <f t="shared" si="1663"/>
        <v>7.13342E-2</v>
      </c>
      <c r="K191" s="53">
        <f>(I191-I159)/(AI159/1000-AI191/1000)*0.05</f>
        <v>0.23197564388856212</v>
      </c>
      <c r="L191" s="68"/>
      <c r="M191" s="22">
        <v>9.6089740293271895</v>
      </c>
      <c r="O191" s="21">
        <v>0</v>
      </c>
      <c r="Q191" s="21">
        <v>0.43152425179332099</v>
      </c>
      <c r="S191" s="21">
        <v>86.789561242823126</v>
      </c>
      <c r="U191" s="21">
        <v>3.1699404760563579</v>
      </c>
      <c r="W191" s="21">
        <v>0</v>
      </c>
      <c r="Y191" s="22">
        <v>0.5536681712756869</v>
      </c>
      <c r="AA191" s="21">
        <v>0</v>
      </c>
      <c r="AC191" s="21">
        <v>2.4864386418603533E-2</v>
      </c>
      <c r="AE191" s="21">
        <v>5.0008062788465777</v>
      </c>
      <c r="AG191" s="21">
        <v>0.18265166927023044</v>
      </c>
      <c r="AI191" s="21">
        <v>0</v>
      </c>
      <c r="AK191" s="22">
        <f>8*(AG191-$AG$151)/(2*($AA$151-AA191)+2*($AI$151-AI191))</f>
        <v>0.68898764824176906</v>
      </c>
      <c r="AL191" s="22"/>
      <c r="AM191" s="22">
        <f>(AG191-$AG$150)/(($AA$150-AA191)+($AI$150-AI191))</f>
        <v>0.17147609252224813</v>
      </c>
      <c r="AN191" s="22"/>
      <c r="AO191" s="37">
        <f>8*(BW191-$BW$151)/(2*($AA$151-AA191)+2*($AI$151-AI191))</f>
        <v>8.1395510323349698E-2</v>
      </c>
      <c r="AQ191" s="37">
        <f>(BW191-$BW$151)/(($AA$151-AA191)+($AI$151-AI191))</f>
        <v>2.0348877580837425E-2</v>
      </c>
      <c r="AS191" s="37">
        <f>14*(BX191-$BX$151)/(2*($AA$151-AA191)+2*($AI$151-AI191))</f>
        <v>0</v>
      </c>
      <c r="AU191" s="37">
        <f>(BX191-$BX$151)/(($AA$151-AA191)+($AI$151-AI191))</f>
        <v>0</v>
      </c>
      <c r="BG191" s="37">
        <v>26.01</v>
      </c>
      <c r="BI191" s="2">
        <v>0</v>
      </c>
      <c r="BK191" s="2">
        <v>0</v>
      </c>
      <c r="BM191" s="2">
        <v>0</v>
      </c>
      <c r="BO191" s="37">
        <f t="shared" si="1658"/>
        <v>0.43205980066445182</v>
      </c>
      <c r="BQ191" s="2">
        <f t="shared" si="1659"/>
        <v>0</v>
      </c>
      <c r="BS191" s="2">
        <f t="shared" si="1660"/>
        <v>0</v>
      </c>
      <c r="BU191" s="2">
        <f t="shared" si="1661"/>
        <v>0</v>
      </c>
      <c r="BW191" s="37">
        <f t="shared" si="1662"/>
        <v>2.1602990033222594E-2</v>
      </c>
      <c r="BX191" s="2">
        <f t="shared" si="1340"/>
        <v>0</v>
      </c>
      <c r="BY191" s="2">
        <f t="shared" si="1341"/>
        <v>0</v>
      </c>
      <c r="BZ191" s="18">
        <f t="shared" si="1342"/>
        <v>0</v>
      </c>
    </row>
    <row r="192" spans="1:78" x14ac:dyDescent="0.3">
      <c r="A192" s="173"/>
      <c r="B192" s="83" t="s">
        <v>63</v>
      </c>
      <c r="C192" s="80">
        <v>5</v>
      </c>
      <c r="D192" s="79" t="e">
        <f>AVERAGE(D189:D191)</f>
        <v>#DIV/0!</v>
      </c>
      <c r="E192" s="76"/>
      <c r="F192" s="78">
        <f t="shared" ref="F192" si="1664">AVERAGE(F189:F191)</f>
        <v>1.2493333333333334</v>
      </c>
      <c r="G192" s="73">
        <f>_xlfn.STDEV.S(F189:F191)</f>
        <v>2.6857649437978273E-2</v>
      </c>
      <c r="H192" s="78">
        <f t="shared" ref="H192:I192" si="1665">AVERAGE(H189:H191)</f>
        <v>0.24066666666666667</v>
      </c>
      <c r="I192" s="82">
        <f t="shared" si="1665"/>
        <v>6.839746666666667E-2</v>
      </c>
      <c r="J192" s="82">
        <f>_xlfn.STDEV.S(I189:I191)</f>
        <v>2.8467327260094715E-3</v>
      </c>
      <c r="K192" s="82">
        <f>AVERAGE(K189:K190)</f>
        <v>7.5178535899393578E-2</v>
      </c>
      <c r="L192" s="81">
        <f>_xlfn.STDEV.S(K189:K191)</f>
        <v>0.15790201151697997</v>
      </c>
      <c r="M192" s="77">
        <f>AVERAGE(M189:M191)</f>
        <v>9.8949221831812846</v>
      </c>
      <c r="N192" s="76">
        <f>_xlfn.STDEV.S(M189:M191)</f>
        <v>0.41377243210291181</v>
      </c>
      <c r="O192" s="76">
        <f t="shared" ref="O192" si="1666">AVERAGE(O189:O191)</f>
        <v>0</v>
      </c>
      <c r="P192" s="76">
        <f t="shared" ref="P192" si="1667">_xlfn.STDEV.S(O189:O191)</f>
        <v>0</v>
      </c>
      <c r="Q192" s="76">
        <f t="shared" ref="Q192" si="1668">AVERAGE(Q189:Q191)</f>
        <v>0.39549928001517398</v>
      </c>
      <c r="R192" s="76">
        <f t="shared" ref="R192" si="1669">_xlfn.STDEV.S(Q189:Q191)</f>
        <v>0.33071762245592851</v>
      </c>
      <c r="S192" s="76">
        <f t="shared" ref="S192" si="1670">AVERAGE(S189:S191)</f>
        <v>86.47406053989954</v>
      </c>
      <c r="T192" s="76">
        <f t="shared" ref="T192" si="1671">_xlfn.STDEV.S(S189:S191)</f>
        <v>0.77565225733642884</v>
      </c>
      <c r="U192" s="76">
        <f t="shared" ref="U192" si="1672">AVERAGE(U189:U191)</f>
        <v>3.2355179969040084</v>
      </c>
      <c r="V192" s="76">
        <f t="shared" ref="V192" si="1673">_xlfn.STDEV.S(U189:U191)</f>
        <v>8.6470326191064262E-2</v>
      </c>
      <c r="W192" s="76">
        <f t="shared" ref="W192" si="1674">AVERAGE(W189:W191)</f>
        <v>0</v>
      </c>
      <c r="X192" s="76">
        <f>_xlfn.STDEV.S(W189:W191)</f>
        <v>0</v>
      </c>
      <c r="Y192" s="77">
        <v>0.55624760087299174</v>
      </c>
      <c r="Z192" s="75">
        <f>_xlfn.STDEV.S(Y189:Y191)</f>
        <v>1.6755897540613095E-2</v>
      </c>
      <c r="AA192" s="76">
        <v>0</v>
      </c>
      <c r="AB192" s="75">
        <f>_xlfn.STDEV.S(AA189:AA191)</f>
        <v>0</v>
      </c>
      <c r="AC192" s="76">
        <v>2.2227996383830592E-2</v>
      </c>
      <c r="AD192" s="75">
        <f>_xlfn.STDEV.S(AC189:AC191)</f>
        <v>1.836368579470022E-2</v>
      </c>
      <c r="AE192" s="76">
        <v>4.8635566289231908</v>
      </c>
      <c r="AF192" s="75">
        <f>_xlfn.STDEV.S(AE189:AE191)</f>
        <v>0.13133645260028712</v>
      </c>
      <c r="AG192" s="76">
        <v>0.18191059042936122</v>
      </c>
      <c r="AH192" s="75">
        <f>_xlfn.STDEV.S(AG189:AG191)</f>
        <v>3.1007816483764926E-3</v>
      </c>
      <c r="AI192" s="76">
        <v>0</v>
      </c>
      <c r="AJ192" s="75">
        <f>_xlfn.STDEV.S(AI189:AI191)</f>
        <v>0</v>
      </c>
      <c r="AK192" s="77">
        <f t="shared" ref="AK192" si="1675">AVERAGE(AK189:AK191)</f>
        <v>0.68285656819736784</v>
      </c>
      <c r="AL192" s="77">
        <f t="shared" ref="AL192" si="1676">_xlfn.STDEV.S(AK189:AK191)</f>
        <v>1.0842273759850023E-2</v>
      </c>
      <c r="AM192" s="77">
        <f>AVERAGE(AM189:AM191)</f>
        <v>0.17045720220327723</v>
      </c>
      <c r="AN192" s="77">
        <f t="shared" ref="AN192" si="1677">_xlfn.STDEV.S(AM189:AM191)</f>
        <v>2.5226467150780089E-3</v>
      </c>
      <c r="AO192" s="78">
        <f t="shared" ref="AO192" si="1678">AVERAGE(AO189:AO191)</f>
        <v>6.814661214331634E-2</v>
      </c>
      <c r="AP192" s="78">
        <f t="shared" ref="AP192" si="1679">_xlfn.STDEV.S(AO189:AO191)</f>
        <v>1.2493626184358392E-2</v>
      </c>
      <c r="AQ192" s="78">
        <f t="shared" ref="AQ192" si="1680">AVERAGE(AQ189:AQ191)</f>
        <v>1.7036653035829085E-2</v>
      </c>
      <c r="AR192" s="78">
        <f t="shared" ref="AR192" si="1681">_xlfn.STDEV.S(AQ189:AQ191)</f>
        <v>3.1234065460895928E-3</v>
      </c>
      <c r="AS192" s="78">
        <f t="shared" ref="AS192" si="1682">AVERAGE(AS189:AS191)</f>
        <v>0</v>
      </c>
      <c r="AT192" s="78">
        <f t="shared" ref="AT192" si="1683">_xlfn.STDEV.S(AS189:AS191)</f>
        <v>0</v>
      </c>
      <c r="AU192" s="78">
        <f t="shared" ref="AU192" si="1684">AVERAGE(AU189:AU191)</f>
        <v>0</v>
      </c>
      <c r="AV192" s="78">
        <f t="shared" ref="AV192" si="1685">_xlfn.STDEV.S(AU189:AU191)</f>
        <v>0</v>
      </c>
      <c r="AW192" s="78"/>
      <c r="AX192" s="78"/>
      <c r="AY192" s="77">
        <f>SUM(AK192,AO192,AS192,AW192)</f>
        <v>0.75100318034068414</v>
      </c>
      <c r="AZ192" s="77">
        <f>SUM(AL192,AP192,AT192,AX192)</f>
        <v>2.3335899944208413E-2</v>
      </c>
      <c r="BA192" s="78"/>
      <c r="BB192" s="78"/>
      <c r="BC192" s="78"/>
      <c r="BD192" s="78"/>
      <c r="BE192" s="78"/>
      <c r="BF192" s="78"/>
      <c r="BG192" s="78"/>
      <c r="BH192" s="75"/>
      <c r="BI192" s="75"/>
      <c r="BJ192" s="75"/>
      <c r="BK192" s="75"/>
      <c r="BL192" s="75"/>
      <c r="BM192" s="75"/>
      <c r="BN192" s="75"/>
      <c r="BO192" s="78">
        <f t="shared" ref="BO192" si="1686">AVERAGE(BO189:BO191)</f>
        <v>0.36317829457364342</v>
      </c>
      <c r="BP192" s="75">
        <f t="shared" ref="BP192" si="1687">_xlfn.STDEV.S(BO189:BO191)</f>
        <v>6.5579353266511001E-2</v>
      </c>
      <c r="BQ192" s="75">
        <f t="shared" ref="BQ192" si="1688">AVERAGE(BQ189:BQ191)</f>
        <v>0</v>
      </c>
      <c r="BR192" s="75">
        <f t="shared" ref="BR192" si="1689">_xlfn.STDEV.S(BQ189:BQ191)</f>
        <v>0</v>
      </c>
      <c r="BS192" s="75">
        <f t="shared" ref="BS192" si="1690">AVERAGE(BS189:BS191)</f>
        <v>0</v>
      </c>
      <c r="BT192" s="75">
        <f t="shared" ref="BT192" si="1691">_xlfn.STDEV.S(BS189:BS191)</f>
        <v>0</v>
      </c>
      <c r="BU192" s="75">
        <f t="shared" ref="BU192" si="1692">AVERAGE(BU189:BU191)</f>
        <v>0</v>
      </c>
      <c r="BV192" s="75">
        <f t="shared" ref="BV192" si="1693">_xlfn.STDEV.S(BU189:BU191)</f>
        <v>0</v>
      </c>
      <c r="BW192" s="78">
        <f t="shared" ref="BW192" si="1694">AVERAGE(BW189:BW191)</f>
        <v>1.8158914728682172E-2</v>
      </c>
      <c r="BX192" s="75">
        <f t="shared" si="1340"/>
        <v>0</v>
      </c>
      <c r="BY192" s="75">
        <f t="shared" si="1341"/>
        <v>0</v>
      </c>
      <c r="BZ192" s="119">
        <f t="shared" si="1342"/>
        <v>0</v>
      </c>
    </row>
    <row r="193" spans="1:78" x14ac:dyDescent="0.3">
      <c r="A193" s="174" t="s">
        <v>60</v>
      </c>
      <c r="B193" s="70" t="s">
        <v>121</v>
      </c>
      <c r="C193" s="20">
        <v>5</v>
      </c>
      <c r="D193" s="69"/>
      <c r="E193" s="21"/>
      <c r="F193" s="37">
        <v>1.3460000000000001</v>
      </c>
      <c r="H193" s="37">
        <v>0.19</v>
      </c>
      <c r="I193" s="53">
        <f>H193*0.2842</f>
        <v>5.3998000000000004E-2</v>
      </c>
      <c r="K193" s="53">
        <f>(I193-$I$153)/($AI$153/1000-AI193/1000)*0.05</f>
        <v>2.7026993897819651E-2</v>
      </c>
      <c r="L193" s="68"/>
      <c r="M193" s="22">
        <v>11.192919972176703</v>
      </c>
      <c r="O193" s="21">
        <v>11.033156859753403</v>
      </c>
      <c r="Q193" s="21">
        <v>0.2571436397329096</v>
      </c>
      <c r="S193" s="21">
        <v>77.296336357605128</v>
      </c>
      <c r="U193" s="21">
        <v>0.22044317073184164</v>
      </c>
      <c r="W193" s="21">
        <v>0</v>
      </c>
      <c r="Y193" s="22">
        <v>0.67818944634166101</v>
      </c>
      <c r="AA193" s="21">
        <v>0.66850925055454602</v>
      </c>
      <c r="AC193" s="21">
        <v>1.5580572638261007E-2</v>
      </c>
      <c r="AE193" s="21">
        <v>4.6834570146943104</v>
      </c>
      <c r="AG193" s="21">
        <v>1.3356857038204484E-2</v>
      </c>
      <c r="AI193" s="21">
        <v>0</v>
      </c>
      <c r="AK193" s="22"/>
      <c r="AL193" s="22"/>
      <c r="AM193" s="22"/>
      <c r="AN193" s="22"/>
      <c r="AO193" s="37">
        <f>8*(BW193-$BW$153)/2*($AI$153-AI193)</f>
        <v>6.6795579551149481E-2</v>
      </c>
      <c r="AQ193" s="37">
        <f>(BW193-$BW$153)/($AI$153-AI193)</f>
        <v>1.510202104076923E-2</v>
      </c>
      <c r="AS193" s="37">
        <f>14*(BX193-$BX$153)/(2*($AA$153-AA193)+2*($AI$153-AI193))</f>
        <v>0</v>
      </c>
      <c r="AU193" s="37">
        <f>(BX193-$BX$153)/(($AA$153-AA193)+($AI$153-AI193))</f>
        <v>0</v>
      </c>
      <c r="AW193" s="22">
        <f>2*(AA193-$AA$153)/2*($AI$153-AI193)</f>
        <v>0.7029650790091394</v>
      </c>
      <c r="BG193" s="37">
        <v>19.12</v>
      </c>
      <c r="BI193" s="2">
        <v>0</v>
      </c>
      <c r="BK193" s="2">
        <v>0</v>
      </c>
      <c r="BM193" s="2">
        <v>0</v>
      </c>
      <c r="BO193" s="37">
        <f t="shared" ref="BO193:BO195" si="1695">(BG193/1000)/60.2*1000</f>
        <v>0.31760797342192693</v>
      </c>
      <c r="BQ193" s="2">
        <f t="shared" ref="BQ193:BQ195" si="1696">BI193/74.08</f>
        <v>0</v>
      </c>
      <c r="BS193" s="2">
        <f t="shared" ref="BS193:BS195" si="1697">(BK193/1000)/88.12*1000</f>
        <v>0</v>
      </c>
      <c r="BU193" s="2">
        <f t="shared" ref="BU193:BU195" si="1698">BM193/88.12</f>
        <v>0</v>
      </c>
      <c r="BW193" s="37">
        <f t="shared" ref="BW193:BW195" si="1699">BO193*0.05</f>
        <v>1.5880398671096346E-2</v>
      </c>
      <c r="BX193" s="2">
        <f t="shared" si="1340"/>
        <v>0</v>
      </c>
      <c r="BY193" s="2">
        <f t="shared" si="1341"/>
        <v>0</v>
      </c>
      <c r="BZ193" s="18">
        <f t="shared" si="1342"/>
        <v>0</v>
      </c>
    </row>
    <row r="194" spans="1:78" x14ac:dyDescent="0.3">
      <c r="A194" s="173"/>
      <c r="B194" s="70" t="s">
        <v>122</v>
      </c>
      <c r="C194" s="20">
        <v>5</v>
      </c>
      <c r="D194" s="69"/>
      <c r="E194" s="21"/>
      <c r="F194" s="37">
        <v>1.35</v>
      </c>
      <c r="H194" s="37">
        <v>0.216</v>
      </c>
      <c r="I194" s="53">
        <f t="shared" ref="I194:I195" si="1700">H194*0.2842</f>
        <v>6.1387200000000003E-2</v>
      </c>
      <c r="K194" s="53">
        <f>(I194-$I$154)/($AI$154/1000-AI194/1000)*0.05</f>
        <v>0.3061873364202844</v>
      </c>
      <c r="L194" s="68"/>
      <c r="M194" s="22">
        <v>10.738451980490447</v>
      </c>
      <c r="O194" s="21">
        <v>10.828974642375313</v>
      </c>
      <c r="Q194" s="21">
        <v>0.29685201560504598</v>
      </c>
      <c r="S194" s="21">
        <v>77.781795292099886</v>
      </c>
      <c r="U194" s="21">
        <v>0.35392606942929161</v>
      </c>
      <c r="W194" s="21">
        <v>0</v>
      </c>
      <c r="Y194" s="22">
        <v>0.65258639675185448</v>
      </c>
      <c r="AA194" s="21">
        <v>0.65808754885936072</v>
      </c>
      <c r="AC194" s="21">
        <v>1.8039991945223988E-2</v>
      </c>
      <c r="AE194" s="21">
        <v>4.7268769851353882</v>
      </c>
      <c r="AG194" s="21">
        <v>2.1508438905815112E-2</v>
      </c>
      <c r="AI194" s="21">
        <v>0</v>
      </c>
      <c r="AK194" s="22"/>
      <c r="AL194" s="22"/>
      <c r="AM194" s="22"/>
      <c r="AN194" s="22"/>
      <c r="AO194" s="37">
        <f>8*(BW194-$BW$154)/2*($AI$154-AI194)</f>
        <v>8.9436187097522879E-2</v>
      </c>
      <c r="AQ194" s="37">
        <f>(BW194-$BW$154)/($AI$154-AI194)</f>
        <v>1.9623836018764915E-2</v>
      </c>
      <c r="AS194" s="37">
        <f>14*(BX194-$BX$154)/(2*($AA$154-AA194)+2*($AI$154-AI194))</f>
        <v>0</v>
      </c>
      <c r="AU194" s="37">
        <f>(BX194-$BX$154)/(($AA$154-AA194)+($AI$154-AI194))</f>
        <v>0</v>
      </c>
      <c r="AW194" s="22">
        <f>2*(AA194-$AA$154)/2*($AI$154-AI194)</f>
        <v>0.70245476546578667</v>
      </c>
      <c r="BG194" s="37">
        <v>25.22</v>
      </c>
      <c r="BI194" s="2">
        <v>0</v>
      </c>
      <c r="BK194" s="2">
        <v>0</v>
      </c>
      <c r="BM194" s="2">
        <v>0</v>
      </c>
      <c r="BO194" s="37">
        <f t="shared" si="1695"/>
        <v>0.41893687707641197</v>
      </c>
      <c r="BQ194" s="2">
        <f t="shared" si="1696"/>
        <v>0</v>
      </c>
      <c r="BS194" s="2">
        <f t="shared" si="1697"/>
        <v>0</v>
      </c>
      <c r="BU194" s="2">
        <f t="shared" si="1698"/>
        <v>0</v>
      </c>
      <c r="BW194" s="37">
        <f t="shared" si="1699"/>
        <v>2.0946843853820601E-2</v>
      </c>
      <c r="BX194" s="2">
        <f t="shared" si="1340"/>
        <v>0</v>
      </c>
      <c r="BY194" s="2">
        <f t="shared" si="1341"/>
        <v>0</v>
      </c>
      <c r="BZ194" s="18">
        <f t="shared" si="1342"/>
        <v>0</v>
      </c>
    </row>
    <row r="195" spans="1:78" x14ac:dyDescent="0.3">
      <c r="A195" s="173"/>
      <c r="B195" s="70" t="s">
        <v>123</v>
      </c>
      <c r="C195" s="20">
        <v>5</v>
      </c>
      <c r="D195" s="69"/>
      <c r="E195" s="21"/>
      <c r="F195" s="37">
        <v>1.3580000000000001</v>
      </c>
      <c r="G195" s="67"/>
      <c r="H195" s="37">
        <v>0.189</v>
      </c>
      <c r="I195" s="53">
        <f t="shared" si="1700"/>
        <v>5.3713799999999999E-2</v>
      </c>
      <c r="K195" s="53">
        <f>(I195-$I$155)/($AI$155/1000-AI195/1000)*0.05</f>
        <v>0.26967968873694986</v>
      </c>
      <c r="L195" s="68"/>
      <c r="M195" s="22">
        <v>11.270616536800475</v>
      </c>
      <c r="O195" s="21">
        <v>12.331507406436568</v>
      </c>
      <c r="Q195" s="21">
        <v>0.12249247543460261</v>
      </c>
      <c r="S195" s="21">
        <v>76.180182494067211</v>
      </c>
      <c r="U195" s="21">
        <v>9.5201087261142472E-2</v>
      </c>
      <c r="W195" s="21">
        <v>0</v>
      </c>
      <c r="Y195" s="22">
        <v>0.68898538969850021</v>
      </c>
      <c r="AA195" s="21">
        <v>0.75383883465931201</v>
      </c>
      <c r="AC195" s="21">
        <v>7.4881019726718524E-3</v>
      </c>
      <c r="AE195" s="21">
        <v>4.6569797270272391</v>
      </c>
      <c r="AG195" s="21">
        <v>5.8197489012397543E-3</v>
      </c>
      <c r="AI195" s="21">
        <v>0</v>
      </c>
      <c r="AK195" s="22"/>
      <c r="AL195" s="22"/>
      <c r="AM195" s="22"/>
      <c r="AN195" s="22"/>
      <c r="AO195" s="37">
        <f>8*(BW195-$BW$155)/2*($AI$155-AI195)</f>
        <v>6.9921244804151697E-2</v>
      </c>
      <c r="AQ195" s="37">
        <f>(BW195-$BW$155)/($AI$155-AI195)</f>
        <v>1.427640603664759E-2</v>
      </c>
      <c r="AS195" s="37">
        <f>14*(BX195-$BX$155)/(2*($AA$155-AA195)+2*($AI$153-AI195))</f>
        <v>0</v>
      </c>
      <c r="AU195" s="37">
        <f>(BX195-$BX$155)/(($AA$155-AA195)+($AI$155-AI195))</f>
        <v>0</v>
      </c>
      <c r="AW195" s="22">
        <f>2*(AA195-$AA$155)/2*($AI$155-AI195)</f>
        <v>0.83414901472282577</v>
      </c>
      <c r="BG195" s="37">
        <v>19.02</v>
      </c>
      <c r="BI195" s="2">
        <v>0</v>
      </c>
      <c r="BK195" s="2">
        <v>0</v>
      </c>
      <c r="BM195" s="2">
        <v>0</v>
      </c>
      <c r="BO195" s="37">
        <f t="shared" si="1695"/>
        <v>0.3159468438538206</v>
      </c>
      <c r="BQ195" s="2">
        <f t="shared" si="1696"/>
        <v>0</v>
      </c>
      <c r="BS195" s="2">
        <f t="shared" si="1697"/>
        <v>0</v>
      </c>
      <c r="BU195" s="2">
        <f t="shared" si="1698"/>
        <v>0</v>
      </c>
      <c r="BW195" s="37">
        <f t="shared" si="1699"/>
        <v>1.5797342192691032E-2</v>
      </c>
      <c r="BX195" s="2">
        <f t="shared" si="1340"/>
        <v>0</v>
      </c>
      <c r="BY195" s="2">
        <f t="shared" si="1341"/>
        <v>0</v>
      </c>
      <c r="BZ195" s="18">
        <f t="shared" si="1342"/>
        <v>0</v>
      </c>
    </row>
    <row r="196" spans="1:78" ht="15" thickBot="1" x14ac:dyDescent="0.35">
      <c r="A196" s="175"/>
      <c r="B196" s="66" t="s">
        <v>63</v>
      </c>
      <c r="C196" s="65">
        <v>5</v>
      </c>
      <c r="D196" s="64" t="e">
        <f>AVERAGE(D193:D195)</f>
        <v>#DIV/0!</v>
      </c>
      <c r="E196" s="58"/>
      <c r="F196" s="60">
        <f t="shared" ref="F196" si="1701">AVERAGE(F193:F195)</f>
        <v>1.3513333333333335</v>
      </c>
      <c r="G196" s="55">
        <f>_xlfn.STDEV.S(F193:F195)</f>
        <v>6.1101009266077916E-3</v>
      </c>
      <c r="H196" s="60">
        <f t="shared" ref="H196:I196" si="1702">AVERAGE(H193:H195)</f>
        <v>0.19833333333333333</v>
      </c>
      <c r="I196" s="63">
        <f t="shared" si="1702"/>
        <v>5.6366333333333331E-2</v>
      </c>
      <c r="J196" s="63">
        <f>_xlfn.STDEV.S(I193:I195)</f>
        <v>4.3505193912144954E-3</v>
      </c>
      <c r="K196" s="63">
        <f t="shared" ref="K196" si="1703">AVERAGE(K193:K195)</f>
        <v>0.2009646730183513</v>
      </c>
      <c r="L196" s="62">
        <f>_xlfn.STDEV.S(K194:K195)</f>
        <v>2.5814805242055202E-2</v>
      </c>
      <c r="M196" s="59">
        <f>AVERAGE(M193:M195)</f>
        <v>11.067329496489208</v>
      </c>
      <c r="N196" s="58">
        <f>_xlfn.STDEV.S(M193:M195)</f>
        <v>0.28745348221185363</v>
      </c>
      <c r="O196" s="58">
        <f t="shared" ref="O196" si="1704">AVERAGE(O193:O195)</f>
        <v>11.397879636188428</v>
      </c>
      <c r="P196" s="58">
        <f t="shared" ref="P196" si="1705">_xlfn.STDEV.S(O193:O195)</f>
        <v>0.81496515539453851</v>
      </c>
      <c r="Q196" s="58">
        <f t="shared" ref="Q196" si="1706">AVERAGE(Q193:Q195)</f>
        <v>0.22549604359085273</v>
      </c>
      <c r="R196" s="58">
        <f t="shared" ref="R196" si="1707">_xlfn.STDEV.S(Q193:Q195)</f>
        <v>9.1386487339705502E-2</v>
      </c>
      <c r="S196" s="58">
        <f t="shared" ref="S196" si="1708">AVERAGE(S193:S195)</f>
        <v>77.086104714590746</v>
      </c>
      <c r="T196" s="58">
        <f t="shared" ref="T196" si="1709">_xlfn.STDEV.S(S193:S195)</f>
        <v>0.82124228854760661</v>
      </c>
      <c r="U196" s="58">
        <f t="shared" ref="U196" si="1710">AVERAGE(U193:U195)</f>
        <v>0.22319010914075857</v>
      </c>
      <c r="V196" s="58">
        <f t="shared" ref="V196" si="1711">_xlfn.STDEV.S(U193:U195)</f>
        <v>0.12938436285905666</v>
      </c>
      <c r="W196" s="58">
        <f t="shared" ref="W196" si="1712">AVERAGE(W193:W195)</f>
        <v>0</v>
      </c>
      <c r="X196" s="58">
        <f>_xlfn.STDEV.S(W193:W195)</f>
        <v>0</v>
      </c>
      <c r="Y196" s="59">
        <v>0.6732537442640053</v>
      </c>
      <c r="Z196" s="57">
        <f>_xlfn.STDEV.S(Y193:Y195)</f>
        <v>1.8694719525363918E-2</v>
      </c>
      <c r="AA196" s="58">
        <v>0.69347854469107295</v>
      </c>
      <c r="AB196" s="57">
        <f>_xlfn.STDEV.S(AA193:AA195)</f>
        <v>5.2532622439235656E-2</v>
      </c>
      <c r="AC196" s="58">
        <v>1.3702888852052281E-2</v>
      </c>
      <c r="AD196" s="57">
        <f>_xlfn.STDEV.S(AC193:AC195)</f>
        <v>5.5208575238775192E-3</v>
      </c>
      <c r="AE196" s="58">
        <v>4.6891045756189795</v>
      </c>
      <c r="AF196" s="57">
        <f>_xlfn.STDEV.S(AE193:AE195)</f>
        <v>3.5289203463066306E-2</v>
      </c>
      <c r="AG196" s="58">
        <v>1.3561681615086451E-2</v>
      </c>
      <c r="AH196" s="57">
        <f>_xlfn.STDEV.S(AG193:AG195)</f>
        <v>7.846350320077914E-3</v>
      </c>
      <c r="AI196" s="58">
        <v>0</v>
      </c>
      <c r="AJ196" s="57">
        <f>_xlfn.STDEV.S(AI193:AI195)</f>
        <v>0</v>
      </c>
      <c r="AK196" s="59"/>
      <c r="AL196" s="59"/>
      <c r="AM196" s="59"/>
      <c r="AN196" s="59"/>
      <c r="AO196" s="60">
        <f t="shared" ref="AO196" si="1713">AVERAGE(AO193:AO195)</f>
        <v>7.5384337150941352E-2</v>
      </c>
      <c r="AP196" s="60">
        <f t="shared" ref="AP196" si="1714">_xlfn.STDEV.S(AO193:AO195)</f>
        <v>1.2269201726656383E-2</v>
      </c>
      <c r="AQ196" s="60">
        <f t="shared" ref="AQ196" si="1715">AVERAGE(AQ193:AQ195)</f>
        <v>1.6334087698727243E-2</v>
      </c>
      <c r="AR196" s="60">
        <f t="shared" ref="AR196" si="1716">_xlfn.STDEV.S(AQ193:AQ195)</f>
        <v>2.8787572041856363E-3</v>
      </c>
      <c r="AS196" s="60">
        <f t="shared" ref="AS196" si="1717">AVERAGE(AS193:AS195)</f>
        <v>0</v>
      </c>
      <c r="AT196" s="60">
        <f t="shared" ref="AT196" si="1718">_xlfn.STDEV.S(AS193:AS195)</f>
        <v>0</v>
      </c>
      <c r="AU196" s="60">
        <f t="shared" ref="AU196" si="1719">AVERAGE(AU193:AU195)</f>
        <v>0</v>
      </c>
      <c r="AV196" s="65">
        <f t="shared" ref="AV196" si="1720">_xlfn.STDEV.S(AU193:AU195)</f>
        <v>0</v>
      </c>
      <c r="AW196" s="59">
        <f t="shared" ref="AW196" si="1721">AVERAGE(AW193:AW195)</f>
        <v>0.74652295306591732</v>
      </c>
      <c r="AX196" s="59">
        <f t="shared" ref="AX196" si="1722">_xlfn.STDEV.S(AW193:AW195)</f>
        <v>7.5886824390689708E-2</v>
      </c>
      <c r="AY196" s="77">
        <f>SUM(AK196,AO196,AS196,AW196)</f>
        <v>0.82190729021685871</v>
      </c>
      <c r="AZ196" s="77">
        <f>SUM(AL196,AP196,AT196,AX196)</f>
        <v>8.815602611734609E-2</v>
      </c>
      <c r="BA196" s="60"/>
      <c r="BB196" s="60"/>
      <c r="BC196" s="60"/>
      <c r="BD196" s="60"/>
      <c r="BE196" s="60"/>
      <c r="BF196" s="60"/>
      <c r="BG196" s="60"/>
      <c r="BH196" s="57"/>
      <c r="BI196" s="57"/>
      <c r="BJ196" s="57"/>
      <c r="BK196" s="57"/>
      <c r="BL196" s="57"/>
      <c r="BM196" s="57"/>
      <c r="BN196" s="57"/>
      <c r="BO196" s="60">
        <f t="shared" ref="BO196" si="1723">AVERAGE(BO193:BO195)</f>
        <v>0.35083056478405322</v>
      </c>
      <c r="BP196" s="57">
        <f t="shared" ref="BP196" si="1724">_xlfn.STDEV.S(BO193:BO195)</f>
        <v>5.8987644201211137E-2</v>
      </c>
      <c r="BQ196" s="57">
        <f t="shared" ref="BQ196" si="1725">AVERAGE(BQ193:BQ195)</f>
        <v>0</v>
      </c>
      <c r="BR196" s="57">
        <f t="shared" ref="BR196" si="1726">_xlfn.STDEV.S(BQ193:BQ195)</f>
        <v>0</v>
      </c>
      <c r="BS196" s="57">
        <f t="shared" ref="BS196" si="1727">AVERAGE(BS193:BS195)</f>
        <v>0</v>
      </c>
      <c r="BT196" s="57">
        <f t="shared" ref="BT196" si="1728">_xlfn.STDEV.S(BS193:BS195)</f>
        <v>0</v>
      </c>
      <c r="BU196" s="57">
        <f t="shared" ref="BU196" si="1729">AVERAGE(BU193:BU195)</f>
        <v>0</v>
      </c>
      <c r="BV196" s="57">
        <f t="shared" ref="BV196" si="1730">_xlfn.STDEV.S(BU193:BU195)</f>
        <v>0</v>
      </c>
      <c r="BW196" s="60">
        <f t="shared" ref="BW196" si="1731">AVERAGE(BW193:BW195)</f>
        <v>1.7541528239202658E-2</v>
      </c>
      <c r="BX196" s="57">
        <f t="shared" si="1340"/>
        <v>0</v>
      </c>
      <c r="BY196" s="57">
        <f t="shared" si="1341"/>
        <v>0</v>
      </c>
      <c r="BZ196" s="61">
        <f t="shared" si="1342"/>
        <v>0</v>
      </c>
    </row>
    <row r="197" spans="1:78" x14ac:dyDescent="0.3">
      <c r="A197" s="172" t="s">
        <v>59</v>
      </c>
      <c r="B197" s="95" t="s">
        <v>118</v>
      </c>
      <c r="C197" s="94">
        <v>6</v>
      </c>
      <c r="D197" s="93">
        <v>7.68</v>
      </c>
      <c r="E197" s="88"/>
      <c r="F197" s="90">
        <v>1.1259999999999999</v>
      </c>
      <c r="G197" s="85"/>
      <c r="H197" s="90">
        <v>0.19</v>
      </c>
      <c r="I197" s="92">
        <f>H197*0.2842</f>
        <v>5.3998000000000004E-2</v>
      </c>
      <c r="J197" s="92"/>
      <c r="K197" s="92">
        <f>(I197-I149)/(AI149/1000-AI197/1000)*0.05</f>
        <v>-3.9797763597980797E-2</v>
      </c>
      <c r="L197" s="91"/>
      <c r="M197" s="89">
        <v>10.09714769332763</v>
      </c>
      <c r="O197" s="88">
        <v>0</v>
      </c>
      <c r="Q197" s="88">
        <v>0.2147188890213392</v>
      </c>
      <c r="S197" s="88">
        <v>86.3068529798513</v>
      </c>
      <c r="U197" s="88">
        <v>3.3812804377997399</v>
      </c>
      <c r="W197" s="88">
        <v>0</v>
      </c>
      <c r="X197" s="88"/>
      <c r="Y197" s="89">
        <v>0.5117992770075136</v>
      </c>
      <c r="AA197" s="21">
        <v>0</v>
      </c>
      <c r="AC197" s="21">
        <v>1.0883565884016644E-2</v>
      </c>
      <c r="AE197" s="21">
        <v>4.374679493404968</v>
      </c>
      <c r="AG197" s="21">
        <v>0.17138868678420191</v>
      </c>
      <c r="AI197" s="88">
        <v>0</v>
      </c>
      <c r="AJ197" s="87"/>
      <c r="AK197" s="22">
        <f>8*(AG197-$AG$149)/(2*($AA$149-AA197)+2*($AI$149-AI197))</f>
        <v>0.64000811072071573</v>
      </c>
      <c r="AL197" s="22"/>
      <c r="AM197" s="22">
        <f>(AG197-$AG$149)/(($AA$149-AA197)+($AI$149-AI197))</f>
        <v>0.16000202768017893</v>
      </c>
      <c r="AN197" s="22"/>
      <c r="AO197" s="37">
        <f>8*(BW197-$BW$149)/(2*($AA$149-AA197)+2*($AI$149-AI197))</f>
        <v>6.612474953758396E-2</v>
      </c>
      <c r="AQ197" s="37">
        <f>(BW197-$BW$149)/(($AA$149-AA197)+($AI$149-AI197))</f>
        <v>1.653118738439599E-2</v>
      </c>
      <c r="AS197" s="37">
        <f>14*(BX197-$BX$149)/(2*($AA$149-AA197)+2*($AI$149-AI197))</f>
        <v>0</v>
      </c>
      <c r="AU197" s="37">
        <f>(BX197-$BX$149)/(($AA$149-AA197)+($AI$149-AI197))</f>
        <v>0</v>
      </c>
      <c r="AY197" s="90"/>
      <c r="AZ197" s="90"/>
      <c r="BA197" s="90"/>
      <c r="BB197" s="90"/>
      <c r="BC197" s="90"/>
      <c r="BD197" s="90"/>
      <c r="BE197" s="90"/>
      <c r="BF197" s="90"/>
      <c r="BG197" s="90">
        <v>21.32</v>
      </c>
      <c r="BH197" s="87"/>
      <c r="BI197" s="2">
        <v>0</v>
      </c>
      <c r="BK197" s="2">
        <v>0</v>
      </c>
      <c r="BM197" s="2">
        <v>0</v>
      </c>
      <c r="BN197" s="87"/>
      <c r="BO197" s="90">
        <f t="shared" ref="BO197:BO199" si="1732">(BG197/1000)/60.2*1000</f>
        <v>0.3541528239202657</v>
      </c>
      <c r="BP197" s="87"/>
      <c r="BQ197" s="87">
        <f t="shared" ref="BQ197:BQ199" si="1733">BI197/74.08</f>
        <v>0</v>
      </c>
      <c r="BR197" s="87"/>
      <c r="BS197" s="87">
        <f t="shared" ref="BS197:BS199" si="1734">(BK197/1000)/88.12*1000</f>
        <v>0</v>
      </c>
      <c r="BT197" s="87"/>
      <c r="BU197" s="87">
        <f t="shared" ref="BU197:BU199" si="1735">BM197/88.12</f>
        <v>0</v>
      </c>
      <c r="BV197" s="87"/>
      <c r="BW197" s="90">
        <f t="shared" ref="BW197:BW199" si="1736">BO197*0.05</f>
        <v>1.7707641196013285E-2</v>
      </c>
      <c r="BX197" s="87">
        <f t="shared" si="1340"/>
        <v>0</v>
      </c>
      <c r="BY197" s="87">
        <f t="shared" si="1341"/>
        <v>0</v>
      </c>
      <c r="BZ197" s="23">
        <f t="shared" si="1342"/>
        <v>0</v>
      </c>
    </row>
    <row r="198" spans="1:78" x14ac:dyDescent="0.3">
      <c r="A198" s="173"/>
      <c r="B198" s="70" t="s">
        <v>119</v>
      </c>
      <c r="C198" s="20">
        <v>6</v>
      </c>
      <c r="D198" s="69">
        <v>7.77</v>
      </c>
      <c r="E198" s="21"/>
      <c r="F198" s="37">
        <v>1.21</v>
      </c>
      <c r="H198" s="37">
        <v>0.183</v>
      </c>
      <c r="I198" s="53">
        <f t="shared" ref="I198:I199" si="1737">H198*0.2842</f>
        <v>5.2008600000000002E-2</v>
      </c>
      <c r="K198" s="53">
        <f t="shared" ref="K198:K199" si="1738">(I198-I150)/(AI150/1000-AI198/1000)*0.05</f>
        <v>-1.3340558476561782E-2</v>
      </c>
      <c r="L198" s="68"/>
      <c r="M198" s="22">
        <v>8.991569262098551</v>
      </c>
      <c r="O198" s="21">
        <v>0</v>
      </c>
      <c r="Q198" s="21">
        <v>0.41447626208303678</v>
      </c>
      <c r="S198" s="21">
        <v>87.477434322396448</v>
      </c>
      <c r="U198" s="21">
        <v>3.1165201534219715</v>
      </c>
      <c r="W198" s="21">
        <v>0</v>
      </c>
      <c r="Y198" s="22">
        <v>0.48976013618649417</v>
      </c>
      <c r="AA198" s="21">
        <v>0</v>
      </c>
      <c r="AC198" s="21">
        <v>2.257603146310861E-2</v>
      </c>
      <c r="AE198" s="21">
        <v>4.7647923180188929</v>
      </c>
      <c r="AG198" s="21">
        <v>0.16975316435605844</v>
      </c>
      <c r="AI198" s="21">
        <v>0</v>
      </c>
      <c r="AK198" s="22">
        <f>8*(AG198-$AG$150)/(2*($AA$150-AA198)+2*($AI$150-AI198))</f>
        <v>0.6374671402317843</v>
      </c>
      <c r="AL198" s="22"/>
      <c r="AM198" s="22">
        <f>(AG198-$AG$150)/(($AA$150-AA198)+($AI$150-AI198))</f>
        <v>0.15936678505794608</v>
      </c>
      <c r="AN198" s="22"/>
      <c r="AO198" s="37">
        <f>8*(BW198-$BW$150)/(2*($AA$150-AA198)+2*($AI$150-AI198))</f>
        <v>5.6547217737746444E-2</v>
      </c>
      <c r="AQ198" s="37">
        <f>(BW198-$BW$150)/(($AA$150-AA198)+($AI$150-AI198))</f>
        <v>1.4136804434436611E-2</v>
      </c>
      <c r="AS198" s="37">
        <f>14*(BX198-$BX$150)/(2*($AA$150-AA198)+2*($AI$150-AI198))</f>
        <v>0</v>
      </c>
      <c r="AU198" s="37">
        <f>(BX198-$BX$150)/(($AA$150-AA198)+($AI$150-AI198))</f>
        <v>0</v>
      </c>
      <c r="BG198" s="37">
        <v>18.14</v>
      </c>
      <c r="BI198" s="2">
        <v>0</v>
      </c>
      <c r="BK198" s="2">
        <v>0</v>
      </c>
      <c r="BM198" s="2">
        <v>0</v>
      </c>
      <c r="BO198" s="37">
        <f t="shared" si="1732"/>
        <v>0.301328903654485</v>
      </c>
      <c r="BQ198" s="2">
        <f t="shared" si="1733"/>
        <v>0</v>
      </c>
      <c r="BS198" s="2">
        <f t="shared" si="1734"/>
        <v>0</v>
      </c>
      <c r="BU198" s="2">
        <f t="shared" si="1735"/>
        <v>0</v>
      </c>
      <c r="BW198" s="37">
        <f t="shared" si="1736"/>
        <v>1.506644518272425E-2</v>
      </c>
      <c r="BX198" s="2">
        <f t="shared" si="1340"/>
        <v>0</v>
      </c>
      <c r="BY198" s="2">
        <f t="shared" si="1341"/>
        <v>0</v>
      </c>
      <c r="BZ198" s="18">
        <f t="shared" si="1342"/>
        <v>0</v>
      </c>
    </row>
    <row r="199" spans="1:78" x14ac:dyDescent="0.3">
      <c r="A199" s="173"/>
      <c r="B199" s="70" t="s">
        <v>120</v>
      </c>
      <c r="C199" s="20">
        <v>6</v>
      </c>
      <c r="D199" s="69">
        <v>7.75</v>
      </c>
      <c r="E199" s="21"/>
      <c r="F199" s="37">
        <v>1.22</v>
      </c>
      <c r="H199" s="37">
        <v>0.20200000000000001</v>
      </c>
      <c r="I199" s="53">
        <f t="shared" si="1737"/>
        <v>5.7408400000000005E-2</v>
      </c>
      <c r="K199" s="53">
        <f t="shared" si="1738"/>
        <v>0.22780895850932625</v>
      </c>
      <c r="L199" s="68"/>
      <c r="M199" s="22">
        <v>8.9803191785685765</v>
      </c>
      <c r="O199" s="21">
        <v>0</v>
      </c>
      <c r="Q199" s="21">
        <v>0.42575738965438326</v>
      </c>
      <c r="S199" s="21">
        <v>87.413363295337177</v>
      </c>
      <c r="U199" s="21">
        <v>3.1805601364398779</v>
      </c>
      <c r="W199" s="21">
        <v>0</v>
      </c>
      <c r="Y199" s="22">
        <v>0.49318989759531146</v>
      </c>
      <c r="AA199" s="21">
        <v>0</v>
      </c>
      <c r="AC199" s="21">
        <v>2.3382158164846224E-2</v>
      </c>
      <c r="AE199" s="21">
        <v>4.8006520519865159</v>
      </c>
      <c r="AG199" s="21">
        <v>0.17467309310453086</v>
      </c>
      <c r="AI199" s="21">
        <v>0</v>
      </c>
      <c r="AK199" s="22">
        <f>8*(AG199-$AG$151)/(2*($AA$151-AA199)+2*($AI$151-AI199))</f>
        <v>0.65889134279497763</v>
      </c>
      <c r="AL199" s="22"/>
      <c r="AM199" s="22">
        <f>(AG199-$AG$150)/(($AA$150-AA199)+($AI$150-AI199))</f>
        <v>0.16398568704031863</v>
      </c>
      <c r="AN199" s="22"/>
      <c r="AO199" s="37">
        <f>8*(BW199-$BW$151)/(2*($AA$151-AA199)+2*($AI$151-AI199))</f>
        <v>8.136418025779027E-2</v>
      </c>
      <c r="AQ199" s="37">
        <f>(BW199-$BW$151)/(($AA$151-AA199)+($AI$151-AI199))</f>
        <v>2.0341045064447567E-2</v>
      </c>
      <c r="AS199" s="37">
        <f>14*(BX199-$BX$151)/(2*($AA$151-AA199)+2*($AI$151-AI199))</f>
        <v>0</v>
      </c>
      <c r="AU199" s="37">
        <f>(BX199-$BX$151)/(($AA$151-AA199)+($AI$151-AI199))</f>
        <v>0</v>
      </c>
      <c r="BG199" s="37">
        <v>26</v>
      </c>
      <c r="BI199" s="2">
        <v>0</v>
      </c>
      <c r="BK199" s="2">
        <v>0</v>
      </c>
      <c r="BM199" s="2">
        <v>0</v>
      </c>
      <c r="BO199" s="37">
        <f t="shared" si="1732"/>
        <v>0.43189368770764114</v>
      </c>
      <c r="BQ199" s="2">
        <f t="shared" si="1733"/>
        <v>0</v>
      </c>
      <c r="BS199" s="2">
        <f t="shared" si="1734"/>
        <v>0</v>
      </c>
      <c r="BU199" s="2">
        <f t="shared" si="1735"/>
        <v>0</v>
      </c>
      <c r="BW199" s="37">
        <f t="shared" si="1736"/>
        <v>2.1594684385382059E-2</v>
      </c>
      <c r="BX199" s="2">
        <f t="shared" si="1340"/>
        <v>0</v>
      </c>
      <c r="BY199" s="2">
        <f t="shared" si="1341"/>
        <v>0</v>
      </c>
      <c r="BZ199" s="18">
        <f t="shared" si="1342"/>
        <v>0</v>
      </c>
    </row>
    <row r="200" spans="1:78" x14ac:dyDescent="0.3">
      <c r="A200" s="173"/>
      <c r="B200" s="83" t="s">
        <v>63</v>
      </c>
      <c r="C200" s="80">
        <v>6</v>
      </c>
      <c r="D200" s="79">
        <f>AVERAGE(D197:D199)</f>
        <v>7.7333333333333334</v>
      </c>
      <c r="E200" s="77">
        <f>_xlfn.STDEV.S(D197:D199)</f>
        <v>4.725815626252608E-2</v>
      </c>
      <c r="F200" s="78">
        <f t="shared" ref="F200" si="1739">AVERAGE(F197:F199)</f>
        <v>1.1853333333333333</v>
      </c>
      <c r="G200" s="73">
        <f>_xlfn.STDEV.S(F197:F199)</f>
        <v>5.1626866390798283E-2</v>
      </c>
      <c r="H200" s="78">
        <f t="shared" ref="H200:I200" si="1740">AVERAGE(H197:H199)</f>
        <v>0.19166666666666665</v>
      </c>
      <c r="I200" s="82">
        <f t="shared" si="1740"/>
        <v>5.4471666666666668E-2</v>
      </c>
      <c r="J200" s="82">
        <f>_xlfn.STDEV.S(I197:I199)</f>
        <v>2.7308844891963742E-3</v>
      </c>
      <c r="K200" s="82">
        <f t="shared" ref="K200" si="1741">AVERAGE(K197:K199)</f>
        <v>5.8223545478261224E-2</v>
      </c>
      <c r="L200" s="81">
        <f>_xlfn.STDEV.S(K197:K199)</f>
        <v>0.14745984253483016</v>
      </c>
      <c r="M200" s="77">
        <f>AVERAGE(M197:M199)</f>
        <v>9.3563453779982524</v>
      </c>
      <c r="N200" s="76">
        <f>_xlfn.STDEV.S(M197:M199)</f>
        <v>0.64157828352655644</v>
      </c>
      <c r="O200" s="76">
        <f t="shared" ref="O200" si="1742">AVERAGE(O197:O199)</f>
        <v>0</v>
      </c>
      <c r="P200" s="76">
        <f t="shared" ref="P200" si="1743">_xlfn.STDEV.S(O197:O199)</f>
        <v>0</v>
      </c>
      <c r="Q200" s="76">
        <f t="shared" ref="Q200" si="1744">AVERAGE(Q197:Q199)</f>
        <v>0.35165084691958642</v>
      </c>
      <c r="R200" s="76">
        <f t="shared" ref="R200" si="1745">_xlfn.STDEV.S(Q197:Q199)</f>
        <v>0.11872062491499015</v>
      </c>
      <c r="S200" s="76">
        <f t="shared" ref="S200" si="1746">AVERAGE(S197:S199)</f>
        <v>87.065883532528304</v>
      </c>
      <c r="T200" s="76">
        <f t="shared" ref="T200" si="1747">_xlfn.STDEV.S(S197:S199)</f>
        <v>0.65811990476658677</v>
      </c>
      <c r="U200" s="76">
        <f t="shared" ref="U200" si="1748">AVERAGE(U197:U199)</f>
        <v>3.2261202425538631</v>
      </c>
      <c r="V200" s="76">
        <f t="shared" ref="V200" si="1749">_xlfn.STDEV.S(U197:U199)</f>
        <v>0.13813505890174074</v>
      </c>
      <c r="W200" s="76">
        <f t="shared" ref="W200" si="1750">AVERAGE(W197:W199)</f>
        <v>0</v>
      </c>
      <c r="X200" s="76">
        <f>_xlfn.STDEV.S(W197:W199)</f>
        <v>0</v>
      </c>
      <c r="Y200" s="77">
        <v>0.49824977026310641</v>
      </c>
      <c r="Z200" s="75">
        <f>_xlfn.STDEV.S(Y197:Y199)</f>
        <v>1.1858864431002871E-2</v>
      </c>
      <c r="AA200" s="76">
        <v>0</v>
      </c>
      <c r="AB200" s="75">
        <f>_xlfn.STDEV.S(AA197:AA199)</f>
        <v>0</v>
      </c>
      <c r="AC200" s="76">
        <v>1.8947251837323823E-2</v>
      </c>
      <c r="AD200" s="75">
        <f>_xlfn.STDEV.S(AC197:AC199)</f>
        <v>6.994979158652756E-3</v>
      </c>
      <c r="AE200" s="76">
        <v>4.6467079544701253</v>
      </c>
      <c r="AF200" s="75">
        <f>_xlfn.STDEV.S(AE197:AE199)</f>
        <v>0.23626487858368975</v>
      </c>
      <c r="AG200" s="76">
        <v>0.17193831474826374</v>
      </c>
      <c r="AH200" s="75">
        <f>_xlfn.STDEV.S(AG197:AG199)</f>
        <v>2.5055923245153812E-3</v>
      </c>
      <c r="AI200" s="76">
        <v>0</v>
      </c>
      <c r="AJ200" s="75">
        <f>_xlfn.STDEV.S(AI197:AI199)</f>
        <v>0</v>
      </c>
      <c r="AK200" s="77">
        <f t="shared" ref="AK200" si="1751">AVERAGE(AK197:AK199)</f>
        <v>0.64545553124915922</v>
      </c>
      <c r="AL200" s="77">
        <f t="shared" ref="AL200" si="1752">_xlfn.STDEV.S(AK197:AK199)</f>
        <v>1.170490951171625E-2</v>
      </c>
      <c r="AM200" s="77">
        <f>AVERAGE(AM197:AM199)</f>
        <v>0.16111816659281455</v>
      </c>
      <c r="AN200" s="77">
        <f t="shared" ref="AN200" si="1753">_xlfn.STDEV.S(AM197:AM199)</f>
        <v>2.5035751306713028E-3</v>
      </c>
      <c r="AO200" s="78">
        <f t="shared" ref="AO200" si="1754">AVERAGE(AO197:AO199)</f>
        <v>6.8012049177706882E-2</v>
      </c>
      <c r="AP200" s="78">
        <f t="shared" ref="AP200" si="1755">_xlfn.STDEV.S(AO197:AO199)</f>
        <v>1.2515663471387403E-2</v>
      </c>
      <c r="AQ200" s="78">
        <f t="shared" ref="AQ200" si="1756">AVERAGE(AQ197:AQ199)</f>
        <v>1.700301229442672E-2</v>
      </c>
      <c r="AR200" s="78">
        <f t="shared" ref="AR200" si="1757">_xlfn.STDEV.S(AQ197:AQ199)</f>
        <v>3.128915867846852E-3</v>
      </c>
      <c r="AS200" s="78">
        <f t="shared" ref="AS200" si="1758">AVERAGE(AS197:AS199)</f>
        <v>0</v>
      </c>
      <c r="AT200" s="78">
        <f t="shared" ref="AT200" si="1759">_xlfn.STDEV.S(AS197:AS199)</f>
        <v>0</v>
      </c>
      <c r="AU200" s="78">
        <f t="shared" ref="AU200" si="1760">AVERAGE(AU197:AU199)</f>
        <v>0</v>
      </c>
      <c r="AV200" s="78">
        <f t="shared" ref="AV200" si="1761">_xlfn.STDEV.S(AU197:AU199)</f>
        <v>0</v>
      </c>
      <c r="AW200" s="78"/>
      <c r="AX200" s="78"/>
      <c r="AY200" s="77">
        <f>SUM(AK200,AO200,AS200,AW200)</f>
        <v>0.71346758042686609</v>
      </c>
      <c r="AZ200" s="77">
        <f>SUM(AL200,AP200,AT200,AX200)</f>
        <v>2.4220572983103653E-2</v>
      </c>
      <c r="BA200" s="78"/>
      <c r="BB200" s="78"/>
      <c r="BC200" s="78"/>
      <c r="BD200" s="78"/>
      <c r="BE200" s="78"/>
      <c r="BF200" s="78"/>
      <c r="BG200" s="78"/>
      <c r="BH200" s="75"/>
      <c r="BI200" s="75"/>
      <c r="BJ200" s="75"/>
      <c r="BK200" s="75"/>
      <c r="BL200" s="75"/>
      <c r="BM200" s="75"/>
      <c r="BN200" s="75"/>
      <c r="BO200" s="78">
        <f t="shared" ref="BO200" si="1762">AVERAGE(BO197:BO199)</f>
        <v>0.36245847176079726</v>
      </c>
      <c r="BP200" s="75">
        <f t="shared" ref="BP200" si="1763">_xlfn.STDEV.S(BO197:BO199)</f>
        <v>6.5677458448466466E-2</v>
      </c>
      <c r="BQ200" s="75">
        <f t="shared" ref="BQ200" si="1764">AVERAGE(BQ197:BQ199)</f>
        <v>0</v>
      </c>
      <c r="BR200" s="75">
        <f t="shared" ref="BR200" si="1765">_xlfn.STDEV.S(BQ197:BQ199)</f>
        <v>0</v>
      </c>
      <c r="BS200" s="75">
        <f t="shared" ref="BS200" si="1766">AVERAGE(BS197:BS199)</f>
        <v>0</v>
      </c>
      <c r="BT200" s="75">
        <f t="shared" ref="BT200" si="1767">_xlfn.STDEV.S(BS197:BS199)</f>
        <v>0</v>
      </c>
      <c r="BU200" s="75">
        <f t="shared" ref="BU200" si="1768">AVERAGE(BU197:BU199)</f>
        <v>0</v>
      </c>
      <c r="BV200" s="75">
        <f t="shared" ref="BV200" si="1769">_xlfn.STDEV.S(BU197:BU199)</f>
        <v>0</v>
      </c>
      <c r="BW200" s="78">
        <f t="shared" ref="BW200" si="1770">AVERAGE(BW197:BW199)</f>
        <v>1.8122923588039866E-2</v>
      </c>
      <c r="BX200" s="75">
        <f t="shared" si="1340"/>
        <v>0</v>
      </c>
      <c r="BY200" s="75">
        <f t="shared" si="1341"/>
        <v>0</v>
      </c>
      <c r="BZ200" s="119">
        <f t="shared" si="1342"/>
        <v>0</v>
      </c>
    </row>
    <row r="201" spans="1:78" x14ac:dyDescent="0.3">
      <c r="A201" s="174" t="s">
        <v>60</v>
      </c>
      <c r="B201" s="70" t="s">
        <v>121</v>
      </c>
      <c r="C201" s="20">
        <v>6</v>
      </c>
      <c r="D201" s="69">
        <v>7.58</v>
      </c>
      <c r="E201" s="21"/>
      <c r="F201" s="37">
        <v>1.288</v>
      </c>
      <c r="H201" s="37">
        <v>0.13900000000000001</v>
      </c>
      <c r="I201" s="53">
        <f>H201*0.2842</f>
        <v>3.9503800000000006E-2</v>
      </c>
      <c r="K201" s="53">
        <f>(I201-$I$153)/($AI$153/1000-AI201/1000)*0.05</f>
        <v>-0.66216135049657709</v>
      </c>
      <c r="L201" s="68"/>
      <c r="M201" s="22">
        <v>10.31596648271997</v>
      </c>
      <c r="O201" s="21">
        <v>14.069506518753494</v>
      </c>
      <c r="Q201" s="21">
        <v>0.30862579989377542</v>
      </c>
      <c r="S201" s="21">
        <v>75.134643703945812</v>
      </c>
      <c r="U201" s="21">
        <v>0.17125749468693965</v>
      </c>
      <c r="W201" s="21">
        <v>0</v>
      </c>
      <c r="Y201" s="22">
        <v>0.59812004062521096</v>
      </c>
      <c r="AA201" s="21">
        <v>0.81575040251145647</v>
      </c>
      <c r="AC201" s="21">
        <v>1.7894132971415167E-2</v>
      </c>
      <c r="AE201" s="21">
        <v>4.3563088557763319</v>
      </c>
      <c r="AG201" s="21">
        <v>9.9295145880036063E-3</v>
      </c>
      <c r="AI201" s="21">
        <v>0</v>
      </c>
      <c r="AK201" s="22"/>
      <c r="AL201" s="22"/>
      <c r="AM201" s="22"/>
      <c r="AN201" s="22"/>
      <c r="AO201" s="37">
        <f>8*(BW201-$BW$153)/2*($AI$153-AI201)</f>
        <v>8.1153834360523147E-2</v>
      </c>
      <c r="AQ201" s="37">
        <f>(BW201-$BW$153)/($AI$153-AI201)</f>
        <v>1.8348323680809062E-2</v>
      </c>
      <c r="AS201" s="37">
        <f>14*(BX201-$BX$153)/(2*($AA$153-AA201)+2*($AI$153-AI201))</f>
        <v>0</v>
      </c>
      <c r="AU201" s="37">
        <f>(BX201-$BX$153)/(($AA$153-AA201)+($AI$153-AI201))</f>
        <v>0</v>
      </c>
      <c r="AW201" s="22">
        <f>2*(AA201-$AA$153)/2*($AI$153-AI201)</f>
        <v>0.85779522972571631</v>
      </c>
      <c r="BG201" s="37">
        <v>23.23</v>
      </c>
      <c r="BI201" s="2">
        <v>0</v>
      </c>
      <c r="BK201" s="2">
        <v>0</v>
      </c>
      <c r="BM201" s="2">
        <v>0</v>
      </c>
      <c r="BO201" s="37">
        <f t="shared" ref="BO201:BO203" si="1771">(BG201/1000)/60.2*1000</f>
        <v>0.38588039867109636</v>
      </c>
      <c r="BQ201" s="2">
        <f t="shared" ref="BQ201:BQ203" si="1772">BI201/74.08</f>
        <v>0</v>
      </c>
      <c r="BS201" s="2">
        <f t="shared" ref="BS201:BS203" si="1773">(BK201/1000)/88.12*1000</f>
        <v>0</v>
      </c>
      <c r="BU201" s="2">
        <f t="shared" ref="BU201:BU203" si="1774">BM201/88.12</f>
        <v>0</v>
      </c>
      <c r="BW201" s="37">
        <f t="shared" ref="BW201:BW203" si="1775">BO201*0.05</f>
        <v>1.9294019933554819E-2</v>
      </c>
      <c r="BX201" s="2">
        <f t="shared" si="1340"/>
        <v>0</v>
      </c>
      <c r="BY201" s="2">
        <f t="shared" si="1341"/>
        <v>0</v>
      </c>
      <c r="BZ201" s="18">
        <f t="shared" si="1342"/>
        <v>0</v>
      </c>
    </row>
    <row r="202" spans="1:78" x14ac:dyDescent="0.3">
      <c r="A202" s="173"/>
      <c r="B202" s="70" t="s">
        <v>122</v>
      </c>
      <c r="C202" s="20">
        <v>6</v>
      </c>
      <c r="D202" s="69">
        <v>7.62</v>
      </c>
      <c r="E202" s="21"/>
      <c r="F202" s="37">
        <v>1.284</v>
      </c>
      <c r="H202" s="37">
        <v>0.14499999999999999</v>
      </c>
      <c r="I202" s="53">
        <f t="shared" ref="I202:I203" si="1776">H202*0.2842</f>
        <v>4.1208999999999996E-2</v>
      </c>
      <c r="K202" s="53">
        <f>(I202-$I$154)/($AI$154/1000-AI202/1000)*0.05</f>
        <v>-0.63899965861624652</v>
      </c>
      <c r="L202" s="68"/>
      <c r="M202" s="22">
        <v>9.8227383639460868</v>
      </c>
      <c r="O202" s="21">
        <v>11.803074522537678</v>
      </c>
      <c r="Q202" s="21">
        <v>0.39318012033338234</v>
      </c>
      <c r="S202" s="21">
        <v>77.718095072609287</v>
      </c>
      <c r="U202" s="21">
        <v>0.262911920573561</v>
      </c>
      <c r="W202" s="21">
        <v>0</v>
      </c>
      <c r="Y202" s="22">
        <v>0.56775395585355437</v>
      </c>
      <c r="AA202" s="21">
        <v>0.6822173209867497</v>
      </c>
      <c r="AC202" s="21">
        <v>2.2725798083109722E-2</v>
      </c>
      <c r="AE202" s="21">
        <v>4.4921033508165564</v>
      </c>
      <c r="AG202" s="21">
        <v>1.5196300401788244E-2</v>
      </c>
      <c r="AI202" s="21">
        <v>0</v>
      </c>
      <c r="AK202" s="22"/>
      <c r="AL202" s="22"/>
      <c r="AM202" s="22"/>
      <c r="AN202" s="22"/>
      <c r="AO202" s="37">
        <f>8*(BW202-$BW$154)/2*($AI$154-AI202)</f>
        <v>0.10433039747855366</v>
      </c>
      <c r="AQ202" s="37">
        <f>(BW202-$BW$154)/($AI$154-AI202)</f>
        <v>2.2891881668202371E-2</v>
      </c>
      <c r="AS202" s="37">
        <f>14*(BX202-$BX$154)/(2*($AA$154-AA202)+2*($AI$154-AI202))</f>
        <v>0</v>
      </c>
      <c r="AU202" s="37">
        <f>(BX202-$BX$154)/(($AA$154-AA202)+($AI$154-AI202))</f>
        <v>0</v>
      </c>
      <c r="AW202" s="22">
        <f>2*(AA202-$AA$154)/2*($AI$154-AI202)</f>
        <v>0.72821132847912251</v>
      </c>
      <c r="BG202" s="37">
        <v>29.42</v>
      </c>
      <c r="BI202" s="2">
        <v>0</v>
      </c>
      <c r="BK202" s="2">
        <v>0</v>
      </c>
      <c r="BM202" s="2">
        <v>0</v>
      </c>
      <c r="BO202" s="37">
        <f t="shared" si="1771"/>
        <v>0.4887043189368771</v>
      </c>
      <c r="BQ202" s="2">
        <f t="shared" si="1772"/>
        <v>0</v>
      </c>
      <c r="BS202" s="2">
        <f t="shared" si="1773"/>
        <v>0</v>
      </c>
      <c r="BU202" s="2">
        <f t="shared" si="1774"/>
        <v>0</v>
      </c>
      <c r="BW202" s="37">
        <f t="shared" si="1775"/>
        <v>2.4435215946843857E-2</v>
      </c>
      <c r="BX202" s="2">
        <f t="shared" si="1340"/>
        <v>0</v>
      </c>
      <c r="BY202" s="2">
        <f t="shared" si="1341"/>
        <v>0</v>
      </c>
      <c r="BZ202" s="18">
        <f t="shared" si="1342"/>
        <v>0</v>
      </c>
    </row>
    <row r="203" spans="1:78" x14ac:dyDescent="0.3">
      <c r="A203" s="173"/>
      <c r="B203" s="70" t="s">
        <v>123</v>
      </c>
      <c r="C203" s="20">
        <v>6</v>
      </c>
      <c r="D203" s="69">
        <v>7.61</v>
      </c>
      <c r="E203" s="21"/>
      <c r="F203" s="37">
        <v>1.292</v>
      </c>
      <c r="G203" s="67"/>
      <c r="H203" s="37">
        <v>0.13</v>
      </c>
      <c r="I203" s="53">
        <f t="shared" si="1776"/>
        <v>3.6946E-2</v>
      </c>
      <c r="K203" s="53">
        <f>(I203-$I$155)/($AI$155/1000-AI203/1000)*0.05</f>
        <v>-0.48799181771448147</v>
      </c>
      <c r="L203" s="68"/>
      <c r="M203" s="22">
        <v>10.974989174372467</v>
      </c>
      <c r="O203" s="21">
        <v>11.714145754217416</v>
      </c>
      <c r="Q203" s="21">
        <v>0.24863579582679243</v>
      </c>
      <c r="S203" s="21">
        <v>77.00369794428002</v>
      </c>
      <c r="U203" s="21">
        <v>5.8531331303294992E-2</v>
      </c>
      <c r="W203" s="21">
        <v>0</v>
      </c>
      <c r="Y203" s="22">
        <v>0.63830637643714816</v>
      </c>
      <c r="AA203" s="21">
        <v>0.68129579087795855</v>
      </c>
      <c r="AC203" s="21">
        <v>1.4460680677240031E-2</v>
      </c>
      <c r="AE203" s="21">
        <v>4.4785421312166793</v>
      </c>
      <c r="AG203" s="21">
        <v>3.4041875940515162E-3</v>
      </c>
      <c r="AI203" s="21">
        <v>0</v>
      </c>
      <c r="AK203" s="22"/>
      <c r="AL203" s="22"/>
      <c r="AM203" s="22"/>
      <c r="AN203" s="22"/>
      <c r="AO203" s="37">
        <f>8*(BW203-$BW$155)/2*($AI$155-AI203)</f>
        <v>7.0730007888111374E-2</v>
      </c>
      <c r="AQ203" s="37">
        <f>(BW203-$BW$155)/($AI$155-AI203)</f>
        <v>1.4441537967670849E-2</v>
      </c>
      <c r="AS203" s="37">
        <f>14*(BX203-$BX$155)/(2*($AA$155-AA203)+2*($AI$153-AI203))</f>
        <v>0</v>
      </c>
      <c r="AU203" s="37">
        <f>(BX203-$BX$155)/(($AA$155-AA203)+($AI$155-AI203))</f>
        <v>0</v>
      </c>
      <c r="AW203" s="22">
        <f>2*(AA203-$AA$155)/2*($AI$155-AI203)</f>
        <v>0.75387760163947315</v>
      </c>
      <c r="BG203" s="37">
        <v>19.239999999999998</v>
      </c>
      <c r="BI203" s="2">
        <v>0</v>
      </c>
      <c r="BK203" s="2">
        <v>0</v>
      </c>
      <c r="BM203" s="2">
        <v>0</v>
      </c>
      <c r="BO203" s="37">
        <f t="shared" si="1771"/>
        <v>0.31960132890365445</v>
      </c>
      <c r="BQ203" s="2">
        <f t="shared" si="1772"/>
        <v>0</v>
      </c>
      <c r="BS203" s="2">
        <f t="shared" si="1773"/>
        <v>0</v>
      </c>
      <c r="BU203" s="2">
        <f t="shared" si="1774"/>
        <v>0</v>
      </c>
      <c r="BW203" s="37">
        <f t="shared" si="1775"/>
        <v>1.5980066445182722E-2</v>
      </c>
      <c r="BX203" s="2">
        <f t="shared" si="1340"/>
        <v>0</v>
      </c>
      <c r="BY203" s="2">
        <f t="shared" si="1341"/>
        <v>0</v>
      </c>
      <c r="BZ203" s="18">
        <f t="shared" si="1342"/>
        <v>0</v>
      </c>
    </row>
    <row r="204" spans="1:78" ht="15" thickBot="1" x14ac:dyDescent="0.35">
      <c r="A204" s="175"/>
      <c r="B204" s="66" t="s">
        <v>63</v>
      </c>
      <c r="C204" s="65">
        <v>6</v>
      </c>
      <c r="D204" s="64">
        <f>AVERAGE(D201:D203)</f>
        <v>7.6033333333333326</v>
      </c>
      <c r="E204" s="64">
        <f>_xlfn.STDEV.S(D201:D203)</f>
        <v>2.0816659994661382E-2</v>
      </c>
      <c r="F204" s="60">
        <f t="shared" ref="F204" si="1777">AVERAGE(F201:F203)</f>
        <v>1.288</v>
      </c>
      <c r="G204" s="55">
        <f>_xlfn.STDEV.S(F201:F203)</f>
        <v>4.0000000000000036E-3</v>
      </c>
      <c r="H204" s="60">
        <f t="shared" ref="H204:I204" si="1778">AVERAGE(H201:H203)</f>
        <v>0.13800000000000001</v>
      </c>
      <c r="I204" s="63">
        <f t="shared" si="1778"/>
        <v>3.92196E-2</v>
      </c>
      <c r="J204" s="63">
        <f>_xlfn.STDEV.S(I201:I203)</f>
        <v>2.1456629465039455E-3</v>
      </c>
      <c r="K204" s="63">
        <f t="shared" ref="K204" si="1779">AVERAGE(K201:K203)</f>
        <v>-0.59638427560910168</v>
      </c>
      <c r="L204" s="62">
        <f>_xlfn.STDEV.S(K201:K203)</f>
        <v>9.458229056762002E-2</v>
      </c>
      <c r="M204" s="59">
        <f>AVERAGE(M201:M203)</f>
        <v>10.371231340346176</v>
      </c>
      <c r="N204" s="58">
        <f>_xlfn.STDEV.S(M201:M203)</f>
        <v>0.57810996868969167</v>
      </c>
      <c r="O204" s="58">
        <f t="shared" ref="O204" si="1780">AVERAGE(O201:O203)</f>
        <v>12.528908931836193</v>
      </c>
      <c r="P204" s="58">
        <f t="shared" ref="P204" si="1781">_xlfn.STDEV.S(O201:O203)</f>
        <v>1.3349373674709579</v>
      </c>
      <c r="Q204" s="58">
        <f t="shared" ref="Q204" si="1782">AVERAGE(Q201:Q203)</f>
        <v>0.31681390535131676</v>
      </c>
      <c r="R204" s="58">
        <f t="shared" ref="R204" si="1783">_xlfn.STDEV.S(Q201:Q203)</f>
        <v>7.2619207101182789E-2</v>
      </c>
      <c r="S204" s="58">
        <f t="shared" ref="S204" si="1784">AVERAGE(S201:S203)</f>
        <v>76.618812240278373</v>
      </c>
      <c r="T204" s="58">
        <f t="shared" ref="T204" si="1785">_xlfn.STDEV.S(S201:S203)</f>
        <v>1.3340382293701063</v>
      </c>
      <c r="U204" s="58">
        <f t="shared" ref="U204" si="1786">AVERAGE(U201:U203)</f>
        <v>0.16423358218793191</v>
      </c>
      <c r="V204" s="58">
        <f t="shared" ref="V204" si="1787">_xlfn.STDEV.S(U201:U203)</f>
        <v>0.10237117674282432</v>
      </c>
      <c r="W204" s="58">
        <f t="shared" ref="W204" si="1788">AVERAGE(W201:W203)</f>
        <v>0</v>
      </c>
      <c r="X204" s="58">
        <f>_xlfn.STDEV.S(W201:W203)</f>
        <v>0</v>
      </c>
      <c r="Y204" s="59">
        <v>0.60139345763863783</v>
      </c>
      <c r="Z204" s="57">
        <f>_xlfn.STDEV.S(Y201:Y203)</f>
        <v>3.5389934398906725E-2</v>
      </c>
      <c r="AA204" s="58">
        <v>0.72642117145872165</v>
      </c>
      <c r="AB204" s="57">
        <f>_xlfn.STDEV.S(AA201:AA203)</f>
        <v>7.7362755540311676E-2</v>
      </c>
      <c r="AC204" s="58">
        <v>1.8360203910588308E-2</v>
      </c>
      <c r="AD204" s="57">
        <f>_xlfn.STDEV.S(AC201:AC203)</f>
        <v>4.1522232627182794E-3</v>
      </c>
      <c r="AE204" s="58">
        <v>4.4423181126031892</v>
      </c>
      <c r="AF204" s="57">
        <f>_xlfn.STDEV.S(AE201:AE203)</f>
        <v>7.4794190043012382E-2</v>
      </c>
      <c r="AG204" s="58">
        <v>9.5100008612811222E-3</v>
      </c>
      <c r="AH204" s="57">
        <f>_xlfn.STDEV.S(AG201:AG203)</f>
        <v>5.907239198033089E-3</v>
      </c>
      <c r="AI204" s="58">
        <v>0</v>
      </c>
      <c r="AJ204" s="57">
        <f>_xlfn.STDEV.S(AI201:AI203)</f>
        <v>0</v>
      </c>
      <c r="AK204" s="59"/>
      <c r="AL204" s="59"/>
      <c r="AM204" s="59"/>
      <c r="AN204" s="59"/>
      <c r="AO204" s="60">
        <f t="shared" ref="AO204" si="1789">AVERAGE(AO201:AO203)</f>
        <v>8.5404746575729384E-2</v>
      </c>
      <c r="AP204" s="60">
        <f>_xlfn.STDEV.S(AO201:AO202)</f>
        <v>1.6388304945357382E-2</v>
      </c>
      <c r="AQ204" s="60">
        <f t="shared" ref="AQ204" si="1790">AVERAGE(AQ201:AQ203)</f>
        <v>1.8560581105560761E-2</v>
      </c>
      <c r="AR204" s="60">
        <f t="shared" ref="AR204" si="1791">_xlfn.STDEV.S(AQ201:AQ203)</f>
        <v>4.2291686032895244E-3</v>
      </c>
      <c r="AS204" s="60">
        <f t="shared" ref="AS204" si="1792">AVERAGE(AS201:AS203)</f>
        <v>0</v>
      </c>
      <c r="AT204" s="60">
        <f t="shared" ref="AT204" si="1793">_xlfn.STDEV.S(AS201:AS203)</f>
        <v>0</v>
      </c>
      <c r="AU204" s="60">
        <f t="shared" ref="AU204" si="1794">AVERAGE(AU201:AU203)</f>
        <v>0</v>
      </c>
      <c r="AV204" s="65">
        <f t="shared" ref="AV204" si="1795">_xlfn.STDEV.S(AU201:AU203)</f>
        <v>0</v>
      </c>
      <c r="AW204" s="59">
        <f>AVERAGE(AW202:AW203)</f>
        <v>0.74104446505929777</v>
      </c>
      <c r="AX204" s="59">
        <f>_xlfn.STDEV.S(AW202:AW203)</f>
        <v>1.8148795799470218E-2</v>
      </c>
      <c r="AY204" s="59">
        <f>SUM(AK204,AO204,AS204,AW204)</f>
        <v>0.82644921163502716</v>
      </c>
      <c r="AZ204" s="64">
        <f>SUM(AL204,AP204,AT204,AX204)</f>
        <v>3.4537100744827604E-2</v>
      </c>
      <c r="BA204" s="60"/>
      <c r="BB204" s="60"/>
      <c r="BC204" s="60"/>
      <c r="BD204" s="60"/>
      <c r="BE204" s="60"/>
      <c r="BF204" s="60"/>
      <c r="BG204" s="60"/>
      <c r="BH204" s="57"/>
      <c r="BI204" s="57"/>
      <c r="BJ204" s="57"/>
      <c r="BK204" s="57"/>
      <c r="BL204" s="57"/>
      <c r="BM204" s="57"/>
      <c r="BN204" s="57"/>
      <c r="BO204" s="60">
        <f t="shared" ref="BO204" si="1796">AVERAGE(BO201:BO203)</f>
        <v>0.39806201550387604</v>
      </c>
      <c r="BP204" s="57">
        <f t="shared" ref="BP204" si="1797">_xlfn.STDEV.S(BO201:BO203)</f>
        <v>8.5207095661332583E-2</v>
      </c>
      <c r="BQ204" s="57">
        <f t="shared" ref="BQ204" si="1798">AVERAGE(BQ201:BQ203)</f>
        <v>0</v>
      </c>
      <c r="BR204" s="57">
        <f t="shared" ref="BR204" si="1799">_xlfn.STDEV.S(BQ201:BQ203)</f>
        <v>0</v>
      </c>
      <c r="BS204" s="57">
        <f t="shared" ref="BS204" si="1800">AVERAGE(BS201:BS203)</f>
        <v>0</v>
      </c>
      <c r="BT204" s="57">
        <f t="shared" ref="BT204" si="1801">_xlfn.STDEV.S(BS201:BS203)</f>
        <v>0</v>
      </c>
      <c r="BU204" s="57">
        <f t="shared" ref="BU204" si="1802">AVERAGE(BU201:BU203)</f>
        <v>0</v>
      </c>
      <c r="BV204" s="57">
        <f t="shared" ref="BV204" si="1803">_xlfn.STDEV.S(BU201:BU203)</f>
        <v>0</v>
      </c>
      <c r="BW204" s="60">
        <f t="shared" ref="BW204" si="1804">AVERAGE(BW201:BW203)</f>
        <v>1.9903100775193801E-2</v>
      </c>
      <c r="BX204" s="57">
        <f t="shared" si="1340"/>
        <v>0</v>
      </c>
      <c r="BY204" s="57">
        <f t="shared" si="1341"/>
        <v>0</v>
      </c>
      <c r="BZ204" s="61">
        <f t="shared" si="1342"/>
        <v>0</v>
      </c>
    </row>
  </sheetData>
  <mergeCells count="73">
    <mergeCell ref="A197:A200"/>
    <mergeCell ref="A201:A204"/>
    <mergeCell ref="A181:A184"/>
    <mergeCell ref="A185:A188"/>
    <mergeCell ref="A189:A192"/>
    <mergeCell ref="A193:A196"/>
    <mergeCell ref="A165:A168"/>
    <mergeCell ref="A169:A172"/>
    <mergeCell ref="A173:A176"/>
    <mergeCell ref="A177:A180"/>
    <mergeCell ref="BO147:BV147"/>
    <mergeCell ref="BW147:BZ147"/>
    <mergeCell ref="A149:A152"/>
    <mergeCell ref="A153:A156"/>
    <mergeCell ref="A157:A160"/>
    <mergeCell ref="A161:A164"/>
    <mergeCell ref="M146:X146"/>
    <mergeCell ref="BG146:BN146"/>
    <mergeCell ref="I147:J147"/>
    <mergeCell ref="K147:L147"/>
    <mergeCell ref="M147:X147"/>
    <mergeCell ref="Y147:AI147"/>
    <mergeCell ref="BG147:BN147"/>
    <mergeCell ref="A122:A125"/>
    <mergeCell ref="A126:A129"/>
    <mergeCell ref="A130:A133"/>
    <mergeCell ref="A134:A137"/>
    <mergeCell ref="A106:A109"/>
    <mergeCell ref="A110:A113"/>
    <mergeCell ref="A114:A117"/>
    <mergeCell ref="A118:A121"/>
    <mergeCell ref="A90:A93"/>
    <mergeCell ref="A94:A97"/>
    <mergeCell ref="A98:A101"/>
    <mergeCell ref="A102:A105"/>
    <mergeCell ref="BO72:BV72"/>
    <mergeCell ref="BW72:BZ72"/>
    <mergeCell ref="A74:A77"/>
    <mergeCell ref="A78:A81"/>
    <mergeCell ref="A82:A85"/>
    <mergeCell ref="A86:A89"/>
    <mergeCell ref="M71:X71"/>
    <mergeCell ref="BG71:BN71"/>
    <mergeCell ref="I72:J72"/>
    <mergeCell ref="K72:L72"/>
    <mergeCell ref="M72:X72"/>
    <mergeCell ref="Y72:AI72"/>
    <mergeCell ref="BG72:BN72"/>
    <mergeCell ref="A53:A56"/>
    <mergeCell ref="A57:A60"/>
    <mergeCell ref="A61:A64"/>
    <mergeCell ref="A65:A68"/>
    <mergeCell ref="A37:A40"/>
    <mergeCell ref="A41:A44"/>
    <mergeCell ref="A45:A48"/>
    <mergeCell ref="A49:A52"/>
    <mergeCell ref="A21:A24"/>
    <mergeCell ref="A25:A28"/>
    <mergeCell ref="A29:A32"/>
    <mergeCell ref="A33:A36"/>
    <mergeCell ref="BO3:BV3"/>
    <mergeCell ref="BW3:BZ3"/>
    <mergeCell ref="A5:A8"/>
    <mergeCell ref="A9:A12"/>
    <mergeCell ref="A13:A16"/>
    <mergeCell ref="A17:A20"/>
    <mergeCell ref="M2:X2"/>
    <mergeCell ref="BG2:BN2"/>
    <mergeCell ref="I3:J3"/>
    <mergeCell ref="K3:L3"/>
    <mergeCell ref="M3:X3"/>
    <mergeCell ref="Y3:AI3"/>
    <mergeCell ref="BG3:BN3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52D2-2BEB-439A-86FA-A1AD83A379EF}">
  <dimension ref="B2:T24"/>
  <sheetViews>
    <sheetView zoomScale="80" zoomScaleNormal="80" workbookViewId="0">
      <selection activeCell="D29" sqref="D29"/>
    </sheetView>
  </sheetViews>
  <sheetFormatPr baseColWidth="10" defaultRowHeight="14.4" x14ac:dyDescent="0.3"/>
  <cols>
    <col min="17" max="17" width="12.77734375" bestFit="1" customWidth="1"/>
  </cols>
  <sheetData>
    <row r="2" spans="2:20" ht="15" thickBot="1" x14ac:dyDescent="0.35"/>
    <row r="3" spans="2:20" ht="15" thickBot="1" x14ac:dyDescent="0.35">
      <c r="C3" s="203" t="s">
        <v>43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5"/>
    </row>
    <row r="4" spans="2:20" ht="15" thickBot="1" x14ac:dyDescent="0.35">
      <c r="C4" s="198" t="s">
        <v>0</v>
      </c>
      <c r="D4" s="199"/>
      <c r="E4" s="199"/>
      <c r="F4" s="200"/>
      <c r="G4" s="201" t="s">
        <v>44</v>
      </c>
      <c r="H4" s="202"/>
      <c r="I4" s="167" t="s">
        <v>45</v>
      </c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9"/>
    </row>
    <row r="5" spans="2:20" x14ac:dyDescent="0.3">
      <c r="C5" s="134" t="s">
        <v>46</v>
      </c>
      <c r="D5" s="134" t="s">
        <v>47</v>
      </c>
      <c r="E5" s="134" t="s">
        <v>48</v>
      </c>
      <c r="F5" s="134" t="s">
        <v>47</v>
      </c>
      <c r="G5" s="135" t="s">
        <v>49</v>
      </c>
      <c r="H5" s="136" t="s">
        <v>47</v>
      </c>
      <c r="I5" s="138" t="s">
        <v>50</v>
      </c>
      <c r="J5" s="138" t="s">
        <v>47</v>
      </c>
      <c r="K5" s="138" t="s">
        <v>51</v>
      </c>
      <c r="L5" s="138" t="s">
        <v>47</v>
      </c>
      <c r="M5" s="138" t="s">
        <v>52</v>
      </c>
      <c r="N5" s="138" t="s">
        <v>47</v>
      </c>
      <c r="O5" s="138" t="s">
        <v>53</v>
      </c>
      <c r="P5" s="138" t="s">
        <v>47</v>
      </c>
      <c r="Q5" s="138" t="s">
        <v>54</v>
      </c>
      <c r="R5" s="138" t="s">
        <v>47</v>
      </c>
      <c r="S5" s="138" t="s">
        <v>54</v>
      </c>
      <c r="T5" s="138" t="s">
        <v>47</v>
      </c>
    </row>
    <row r="6" spans="2:20" x14ac:dyDescent="0.3">
      <c r="B6" s="145" t="s">
        <v>55</v>
      </c>
      <c r="C6" s="139">
        <v>7.0933333333333337</v>
      </c>
      <c r="D6" s="139">
        <v>2.5166114784235766E-2</v>
      </c>
      <c r="E6" s="139">
        <v>7.1766666666666667</v>
      </c>
      <c r="F6" s="139">
        <v>5.5075705472861163E-2</v>
      </c>
      <c r="G6" s="139">
        <v>1.0564112773806362</v>
      </c>
      <c r="H6" s="139">
        <v>7.8252687213380412E-3</v>
      </c>
      <c r="I6" s="139">
        <v>0.43683453001312339</v>
      </c>
      <c r="J6" s="139">
        <v>4.307317514391483E-2</v>
      </c>
      <c r="K6" s="139" t="s">
        <v>56</v>
      </c>
      <c r="L6" s="139" t="s">
        <v>56</v>
      </c>
      <c r="M6" s="148" t="s">
        <v>56</v>
      </c>
      <c r="N6" s="148" t="s">
        <v>56</v>
      </c>
      <c r="O6" s="139" t="s">
        <v>56</v>
      </c>
      <c r="P6" s="139" t="s">
        <v>56</v>
      </c>
      <c r="Q6" s="139">
        <f>SUM(I6)</f>
        <v>0.43683453001312339</v>
      </c>
      <c r="R6" s="139">
        <v>4.5628094095624287E-2</v>
      </c>
      <c r="S6" s="139">
        <f>Q6*100</f>
        <v>43.683453001312337</v>
      </c>
      <c r="T6" s="140">
        <f>R6*100</f>
        <v>4.562809409562429</v>
      </c>
    </row>
    <row r="7" spans="2:20" x14ac:dyDescent="0.3">
      <c r="B7" s="146" t="s">
        <v>57</v>
      </c>
      <c r="C7" s="50">
        <v>7.126666666666666</v>
      </c>
      <c r="D7" s="50">
        <v>4.0414518843273822E-2</v>
      </c>
      <c r="E7" s="50">
        <v>7.5366666666666662</v>
      </c>
      <c r="F7" s="50">
        <v>4.5092497528228866E-2</v>
      </c>
      <c r="G7" s="50">
        <v>0.36033317341138593</v>
      </c>
      <c r="H7" s="50">
        <v>2.6406356248076406E-2</v>
      </c>
      <c r="I7" s="50">
        <v>0.89980528947822258</v>
      </c>
      <c r="J7" s="50">
        <v>1.3097770056366033E-2</v>
      </c>
      <c r="K7" s="50" t="s">
        <v>56</v>
      </c>
      <c r="L7" s="50" t="s">
        <v>56</v>
      </c>
      <c r="M7" s="149" t="s">
        <v>56</v>
      </c>
      <c r="N7" s="149" t="s">
        <v>56</v>
      </c>
      <c r="O7" s="50" t="s">
        <v>56</v>
      </c>
      <c r="P7" s="50" t="s">
        <v>56</v>
      </c>
      <c r="Q7" s="50">
        <v>0.90839935245670522</v>
      </c>
      <c r="R7" s="50">
        <v>1.4766550612121808E-2</v>
      </c>
      <c r="S7" s="50">
        <f t="shared" ref="S7:T11" si="0">Q7*100</f>
        <v>90.839935245670517</v>
      </c>
      <c r="T7" s="141">
        <f t="shared" si="0"/>
        <v>1.4766550612121807</v>
      </c>
    </row>
    <row r="8" spans="2:20" x14ac:dyDescent="0.3">
      <c r="B8" s="146" t="s">
        <v>58</v>
      </c>
      <c r="C8" s="50">
        <v>7.07</v>
      </c>
      <c r="D8" s="50">
        <v>3.6055512754640105E-2</v>
      </c>
      <c r="E8" s="50">
        <v>7.3066666666666675</v>
      </c>
      <c r="F8" s="50">
        <v>6.6583281184793536E-2</v>
      </c>
      <c r="G8" s="50">
        <v>0.74639628054529494</v>
      </c>
      <c r="H8" s="50">
        <v>2.5288912345951944E-2</v>
      </c>
      <c r="I8" s="50" t="s">
        <v>56</v>
      </c>
      <c r="J8" s="50" t="s">
        <v>56</v>
      </c>
      <c r="K8" s="50">
        <v>0.7237011140813171</v>
      </c>
      <c r="L8" s="50">
        <v>2.1762714137415803E-2</v>
      </c>
      <c r="M8" s="149">
        <v>0.02</v>
      </c>
      <c r="N8" s="149">
        <v>4.3064361012499174E-4</v>
      </c>
      <c r="O8" s="50" t="s">
        <v>56</v>
      </c>
      <c r="P8" s="50" t="s">
        <v>56</v>
      </c>
      <c r="Q8" s="50">
        <v>0.73936453826210446</v>
      </c>
      <c r="R8" s="50">
        <v>2.2193357747540794E-2</v>
      </c>
      <c r="S8" s="50">
        <f>Q8*100</f>
        <v>73.936453826210453</v>
      </c>
      <c r="T8" s="141">
        <f>R8*100</f>
        <v>2.2193357747540792</v>
      </c>
    </row>
    <row r="9" spans="2:20" x14ac:dyDescent="0.3">
      <c r="B9" s="146" t="s">
        <v>59</v>
      </c>
      <c r="C9" s="50">
        <v>7.0533333333333337</v>
      </c>
      <c r="D9" s="50">
        <v>3.2145502536643007E-2</v>
      </c>
      <c r="E9" s="50">
        <v>7.4866666666666672</v>
      </c>
      <c r="F9" s="50">
        <v>8.326663997864539E-2</v>
      </c>
      <c r="G9" s="50">
        <v>2.2183567404104676</v>
      </c>
      <c r="H9" s="50">
        <v>0.24290418474204528</v>
      </c>
      <c r="I9" s="50">
        <v>0.74753609379218788</v>
      </c>
      <c r="J9" s="50">
        <v>2.6029819492688594E-2</v>
      </c>
      <c r="K9" s="50" t="s">
        <v>56</v>
      </c>
      <c r="L9" s="50" t="s">
        <v>56</v>
      </c>
      <c r="M9" s="149" t="s">
        <v>56</v>
      </c>
      <c r="N9" s="149" t="s">
        <v>56</v>
      </c>
      <c r="O9" s="50" t="s">
        <v>56</v>
      </c>
      <c r="P9" s="50" t="s">
        <v>56</v>
      </c>
      <c r="Q9" s="50">
        <v>0.76372792575129234</v>
      </c>
      <c r="R9" s="50">
        <v>4.3557987159574804E-2</v>
      </c>
      <c r="S9" s="50">
        <f t="shared" si="0"/>
        <v>76.372792575129239</v>
      </c>
      <c r="T9" s="141">
        <f t="shared" si="0"/>
        <v>4.35579871595748</v>
      </c>
    </row>
    <row r="10" spans="2:20" x14ac:dyDescent="0.3">
      <c r="B10" s="146" t="s">
        <v>60</v>
      </c>
      <c r="C10" s="50">
        <v>7.07</v>
      </c>
      <c r="D10" s="50">
        <v>4.0000000000000036E-2</v>
      </c>
      <c r="E10" s="50">
        <v>7.166666666666667</v>
      </c>
      <c r="F10" s="50">
        <v>2.0816659994661382E-2</v>
      </c>
      <c r="G10" s="50">
        <v>2.2714331884389276</v>
      </c>
      <c r="H10" s="50">
        <v>0.15498847456934137</v>
      </c>
      <c r="I10" s="50" t="s">
        <v>56</v>
      </c>
      <c r="J10" s="50" t="s">
        <v>56</v>
      </c>
      <c r="K10" s="50">
        <v>0.55085322611921494</v>
      </c>
      <c r="L10" s="50">
        <v>9.5324576914970552E-3</v>
      </c>
      <c r="M10" s="149">
        <v>9.1295334446346089E-4</v>
      </c>
      <c r="N10" s="149">
        <v>3.2799515348559319E-4</v>
      </c>
      <c r="O10" s="50" t="s">
        <v>56</v>
      </c>
      <c r="P10" s="50" t="s">
        <v>56</v>
      </c>
      <c r="Q10" s="50">
        <v>0.55176617946367845</v>
      </c>
      <c r="R10" s="50">
        <v>9.8604528449826485E-3</v>
      </c>
      <c r="S10" s="50">
        <f t="shared" si="0"/>
        <v>55.176617946367848</v>
      </c>
      <c r="T10" s="141">
        <f t="shared" si="0"/>
        <v>0.9860452844982649</v>
      </c>
    </row>
    <row r="11" spans="2:20" x14ac:dyDescent="0.3">
      <c r="B11" s="147" t="s">
        <v>61</v>
      </c>
      <c r="C11" s="142">
        <v>7.0866666666666669</v>
      </c>
      <c r="D11" s="142">
        <v>3.0550504633039155E-2</v>
      </c>
      <c r="E11" s="142">
        <v>7.5366666666666662</v>
      </c>
      <c r="F11" s="142">
        <v>0.11503622617824953</v>
      </c>
      <c r="G11" s="142">
        <v>0.3165595856999025</v>
      </c>
      <c r="H11" s="142">
        <v>6.2560348889448864E-2</v>
      </c>
      <c r="I11" s="142">
        <v>0.69635783886370861</v>
      </c>
      <c r="J11" s="142">
        <v>3.1594137374514539E-2</v>
      </c>
      <c r="K11" s="142" t="s">
        <v>56</v>
      </c>
      <c r="L11" s="142" t="s">
        <v>56</v>
      </c>
      <c r="M11" s="150" t="s">
        <v>56</v>
      </c>
      <c r="N11" s="150" t="s">
        <v>56</v>
      </c>
      <c r="O11" s="142" t="s">
        <v>56</v>
      </c>
      <c r="P11" s="142" t="s">
        <v>56</v>
      </c>
      <c r="Q11" s="142">
        <v>0.69635783886370861</v>
      </c>
      <c r="R11" s="142">
        <v>3.1594137374514539E-2</v>
      </c>
      <c r="S11" s="142">
        <f t="shared" si="0"/>
        <v>69.635783886370859</v>
      </c>
      <c r="T11" s="144">
        <f t="shared" si="0"/>
        <v>3.1594137374514539</v>
      </c>
    </row>
    <row r="12" spans="2:20" ht="15" thickBot="1" x14ac:dyDescent="0.35"/>
    <row r="13" spans="2:20" ht="15" thickBot="1" x14ac:dyDescent="0.35">
      <c r="C13" s="203" t="s">
        <v>62</v>
      </c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5"/>
    </row>
    <row r="14" spans="2:20" ht="15" thickBot="1" x14ac:dyDescent="0.35">
      <c r="C14" s="198" t="s">
        <v>0</v>
      </c>
      <c r="D14" s="199"/>
      <c r="E14" s="199"/>
      <c r="F14" s="200"/>
      <c r="G14" s="201" t="s">
        <v>44</v>
      </c>
      <c r="H14" s="202"/>
      <c r="I14" s="167" t="s">
        <v>45</v>
      </c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9"/>
    </row>
    <row r="15" spans="2:20" x14ac:dyDescent="0.3">
      <c r="C15" s="134" t="s">
        <v>46</v>
      </c>
      <c r="D15" s="134" t="s">
        <v>47</v>
      </c>
      <c r="E15" s="134" t="s">
        <v>48</v>
      </c>
      <c r="F15" s="134" t="s">
        <v>47</v>
      </c>
      <c r="G15" s="135" t="s">
        <v>49</v>
      </c>
      <c r="H15" s="136" t="s">
        <v>47</v>
      </c>
      <c r="I15" s="137" t="s">
        <v>50</v>
      </c>
      <c r="J15" s="137" t="s">
        <v>47</v>
      </c>
      <c r="K15" s="137" t="s">
        <v>51</v>
      </c>
      <c r="L15" s="137" t="s">
        <v>47</v>
      </c>
      <c r="M15" s="137" t="s">
        <v>52</v>
      </c>
      <c r="N15" s="137" t="s">
        <v>47</v>
      </c>
      <c r="O15" s="137" t="s">
        <v>53</v>
      </c>
      <c r="P15" s="137" t="s">
        <v>47</v>
      </c>
      <c r="Q15" s="137" t="s">
        <v>54</v>
      </c>
      <c r="R15" s="137" t="s">
        <v>47</v>
      </c>
      <c r="S15" s="138" t="s">
        <v>54</v>
      </c>
      <c r="T15" s="138" t="s">
        <v>47</v>
      </c>
    </row>
    <row r="16" spans="2:20" x14ac:dyDescent="0.3">
      <c r="B16" s="145" t="s">
        <v>55</v>
      </c>
      <c r="C16" s="139">
        <v>7.0999999999999988</v>
      </c>
      <c r="D16" s="139">
        <v>2.9999999999999805E-2</v>
      </c>
      <c r="E16" s="139">
        <v>7.669999999999999</v>
      </c>
      <c r="F16" s="139">
        <v>7.8102496759066414E-2</v>
      </c>
      <c r="G16" s="139">
        <v>0.67238080482555551</v>
      </c>
      <c r="H16" s="139">
        <v>1.8820997843859776E-2</v>
      </c>
      <c r="I16" s="139">
        <v>0.70459803426430501</v>
      </c>
      <c r="J16" s="139">
        <v>1.0590418636717468E-2</v>
      </c>
      <c r="K16" s="139">
        <v>1.2081233047199706E-2</v>
      </c>
      <c r="L16" s="139">
        <v>3.0756600949748488E-3</v>
      </c>
      <c r="M16" s="139" t="s">
        <v>56</v>
      </c>
      <c r="N16" s="139" t="s">
        <v>56</v>
      </c>
      <c r="O16" s="139" t="s">
        <v>56</v>
      </c>
      <c r="P16" s="139" t="s">
        <v>56</v>
      </c>
      <c r="Q16" s="139">
        <v>0.71723442786953462</v>
      </c>
      <c r="R16" s="139">
        <v>1.0590418636717468E-2</v>
      </c>
      <c r="S16" s="139">
        <f>Q16*100</f>
        <v>71.723442786953456</v>
      </c>
      <c r="T16" s="140">
        <f>R16*100</f>
        <v>1.0590418636717467</v>
      </c>
    </row>
    <row r="17" spans="2:20" x14ac:dyDescent="0.3">
      <c r="B17" s="146" t="s">
        <v>57</v>
      </c>
      <c r="C17" s="50">
        <v>7.0100000000000007</v>
      </c>
      <c r="D17" s="50">
        <v>3.605551275463962E-2</v>
      </c>
      <c r="E17" s="50">
        <v>7.6000000000000005</v>
      </c>
      <c r="F17" s="50">
        <v>4.5825756949558774E-2</v>
      </c>
      <c r="G17" s="50">
        <v>0.65152831828820901</v>
      </c>
      <c r="H17" s="50">
        <v>1.6342008301629747E-2</v>
      </c>
      <c r="I17" s="50">
        <v>0.78613155915546573</v>
      </c>
      <c r="J17" s="50">
        <v>7.0581501807470371E-3</v>
      </c>
      <c r="K17" s="50">
        <v>1.0494621686927772E-2</v>
      </c>
      <c r="L17" s="50">
        <v>7.5764240752921881E-4</v>
      </c>
      <c r="M17" s="50" t="s">
        <v>56</v>
      </c>
      <c r="N17" s="50" t="s">
        <v>56</v>
      </c>
      <c r="O17" s="50" t="s">
        <v>56</v>
      </c>
      <c r="P17" s="50" t="s">
        <v>56</v>
      </c>
      <c r="Q17" s="50">
        <v>0.79662618084239345</v>
      </c>
      <c r="R17" s="50">
        <v>7.0581501807470371E-3</v>
      </c>
      <c r="S17" s="50">
        <f t="shared" ref="S17:T20" si="1">Q17*100</f>
        <v>79.662618084239341</v>
      </c>
      <c r="T17" s="141">
        <f t="shared" si="1"/>
        <v>0.7058150180747037</v>
      </c>
    </row>
    <row r="18" spans="2:20" x14ac:dyDescent="0.3">
      <c r="B18" s="146" t="s">
        <v>58</v>
      </c>
      <c r="C18" s="50">
        <v>7.1033333333333344</v>
      </c>
      <c r="D18" s="50">
        <v>4.1633319989322765E-2</v>
      </c>
      <c r="E18" s="50">
        <v>7.09</v>
      </c>
      <c r="F18" s="50">
        <v>3.6055512754639987E-2</v>
      </c>
      <c r="G18" s="1" t="s">
        <v>56</v>
      </c>
      <c r="H18" s="1" t="s">
        <v>56</v>
      </c>
      <c r="I18" s="50" t="s">
        <v>56</v>
      </c>
      <c r="J18" s="50" t="s">
        <v>56</v>
      </c>
      <c r="K18" s="50" t="s">
        <v>56</v>
      </c>
      <c r="L18" s="50" t="s">
        <v>56</v>
      </c>
      <c r="M18" s="50" t="s">
        <v>56</v>
      </c>
      <c r="N18" s="50" t="s">
        <v>56</v>
      </c>
      <c r="O18" s="50" t="s">
        <v>56</v>
      </c>
      <c r="P18" s="50" t="s">
        <v>56</v>
      </c>
      <c r="Q18" s="50" t="s">
        <v>56</v>
      </c>
      <c r="R18" s="50" t="s">
        <v>56</v>
      </c>
      <c r="S18" s="50" t="s">
        <v>56</v>
      </c>
      <c r="T18" s="141" t="s">
        <v>56</v>
      </c>
    </row>
    <row r="19" spans="2:20" x14ac:dyDescent="0.3">
      <c r="B19" s="146" t="s">
        <v>59</v>
      </c>
      <c r="C19" s="50">
        <v>7.0933333333333337</v>
      </c>
      <c r="D19" s="50">
        <v>2.081665999466124E-2</v>
      </c>
      <c r="E19" s="50">
        <v>7.7333333333333334</v>
      </c>
      <c r="F19" s="50">
        <v>4.725815626252608E-2</v>
      </c>
      <c r="G19" s="50">
        <v>0.87797651066571158</v>
      </c>
      <c r="H19" s="50">
        <v>1.5330371561421556E-2</v>
      </c>
      <c r="I19" s="50">
        <v>0.64545553124915922</v>
      </c>
      <c r="J19" s="50">
        <v>1.170490951171625E-2</v>
      </c>
      <c r="K19" s="50">
        <v>6.8012049177706882E-2</v>
      </c>
      <c r="L19" s="50">
        <v>1.2515663471387403E-2</v>
      </c>
      <c r="M19" s="50" t="s">
        <v>56</v>
      </c>
      <c r="N19" s="50" t="s">
        <v>56</v>
      </c>
      <c r="O19" s="50" t="s">
        <v>56</v>
      </c>
      <c r="P19" s="50" t="s">
        <v>56</v>
      </c>
      <c r="Q19" s="50">
        <v>0.71346758042686609</v>
      </c>
      <c r="R19" s="50">
        <v>2.4220572983103653E-2</v>
      </c>
      <c r="S19" s="50">
        <f t="shared" si="1"/>
        <v>71.346758042686602</v>
      </c>
      <c r="T19" s="141">
        <f t="shared" si="1"/>
        <v>2.4220572983103654</v>
      </c>
    </row>
    <row r="20" spans="2:20" x14ac:dyDescent="0.3">
      <c r="B20" s="146" t="s">
        <v>60</v>
      </c>
      <c r="C20" s="50">
        <v>7.1233333333333322</v>
      </c>
      <c r="D20" s="50">
        <v>3.7859388972001841E-2</v>
      </c>
      <c r="E20" s="50">
        <v>7.6033333333333326</v>
      </c>
      <c r="F20" s="50">
        <v>2.0816659994661382E-2</v>
      </c>
      <c r="G20" s="50">
        <v>0.2009646730183513</v>
      </c>
      <c r="H20" s="50">
        <v>2.5814805242055202E-2</v>
      </c>
      <c r="I20" s="50" t="s">
        <v>56</v>
      </c>
      <c r="J20" s="50" t="s">
        <v>56</v>
      </c>
      <c r="K20" s="50">
        <v>8.5404746575729384E-2</v>
      </c>
      <c r="L20" s="50">
        <v>1.6388304945357382E-2</v>
      </c>
      <c r="M20" s="50" t="s">
        <v>56</v>
      </c>
      <c r="N20" s="50" t="s">
        <v>56</v>
      </c>
      <c r="O20" s="50">
        <v>0.74104446505929777</v>
      </c>
      <c r="P20" s="50">
        <v>1.8148795799470218E-2</v>
      </c>
      <c r="Q20" s="50">
        <v>0.98483219427029922</v>
      </c>
      <c r="R20" s="50">
        <v>7.0168847909403045E-2</v>
      </c>
      <c r="S20" s="50">
        <f t="shared" si="1"/>
        <v>98.483219427029923</v>
      </c>
      <c r="T20" s="141">
        <f t="shared" si="1"/>
        <v>7.0168847909403045</v>
      </c>
    </row>
    <row r="21" spans="2:20" x14ac:dyDescent="0.3">
      <c r="B21" s="147" t="s">
        <v>61</v>
      </c>
      <c r="C21" s="142">
        <v>7.1466666666666674</v>
      </c>
      <c r="D21" s="142">
        <v>3.2145502536643007E-2</v>
      </c>
      <c r="E21" s="142">
        <v>7.1066666666666665</v>
      </c>
      <c r="F21" s="142">
        <v>2.5166114784235766E-2</v>
      </c>
      <c r="G21" s="143" t="s">
        <v>56</v>
      </c>
      <c r="H21" s="143" t="s">
        <v>56</v>
      </c>
      <c r="I21" s="142" t="s">
        <v>56</v>
      </c>
      <c r="J21" s="142" t="s">
        <v>56</v>
      </c>
      <c r="K21" s="142" t="s">
        <v>56</v>
      </c>
      <c r="L21" s="142" t="s">
        <v>56</v>
      </c>
      <c r="M21" s="142" t="s">
        <v>56</v>
      </c>
      <c r="N21" s="142" t="s">
        <v>56</v>
      </c>
      <c r="O21" s="142" t="s">
        <v>56</v>
      </c>
      <c r="P21" s="142" t="s">
        <v>56</v>
      </c>
      <c r="Q21" s="142" t="s">
        <v>56</v>
      </c>
      <c r="R21" s="142" t="s">
        <v>56</v>
      </c>
      <c r="S21" s="142" t="s">
        <v>56</v>
      </c>
      <c r="T21" s="144" t="s">
        <v>56</v>
      </c>
    </row>
    <row r="24" spans="2:20" x14ac:dyDescent="0.3">
      <c r="C24" s="50"/>
      <c r="D24" s="50"/>
    </row>
  </sheetData>
  <mergeCells count="8">
    <mergeCell ref="C14:F14"/>
    <mergeCell ref="G14:H14"/>
    <mergeCell ref="I14:T14"/>
    <mergeCell ref="C3:T3"/>
    <mergeCell ref="C4:F4"/>
    <mergeCell ref="G4:H4"/>
    <mergeCell ref="I4:T4"/>
    <mergeCell ref="C13:T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Inoculum</vt:lpstr>
      <vt:lpstr>BCB1</vt:lpstr>
      <vt:lpstr>BCB2</vt:lpstr>
      <vt:lpstr>M. activity tests</vt:lpstr>
      <vt:lpstr>T. activity tests</vt:lpstr>
      <vt:lpstr>Activity tests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VÍCTOR RODRÍGUEZ GALLEGO</cp:lastModifiedBy>
  <dcterms:created xsi:type="dcterms:W3CDTF">2015-06-05T18:19:34Z</dcterms:created>
  <dcterms:modified xsi:type="dcterms:W3CDTF">2025-08-28T11:27:23Z</dcterms:modified>
</cp:coreProperties>
</file>